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szc\Downloads\"/>
    </mc:Choice>
  </mc:AlternateContent>
  <xr:revisionPtr revIDLastSave="0" documentId="13_ncr:1_{499E2C1E-DD05-4CE6-9B74-AFBF31D56696}" xr6:coauthVersionLast="47" xr6:coauthVersionMax="47" xr10:uidLastSave="{00000000-0000-0000-0000-000000000000}"/>
  <bookViews>
    <workbookView xWindow="-25320" yWindow="-120" windowWidth="25440" windowHeight="15270" xr2:uid="{DADC2D59-1894-424A-8D0D-406FDEA5C5F0}"/>
  </bookViews>
  <sheets>
    <sheet name="WPISZ ZAŁOŻENIA" sheetId="6" r:id="rId1"/>
    <sheet name="OBLIGACJE" sheetId="5" r:id="rId2"/>
    <sheet name="IKE OBLIGACJE" sheetId="4" r:id="rId3"/>
  </sheets>
  <definedNames>
    <definedName name="IKE_oplata_rok">'WPISZ ZAŁOŻENIA'!$A$43:$A$54</definedName>
    <definedName name="IKE_oplata_wskaznik">'WPISZ ZAŁOŻENIA'!$B$43:$B$54</definedName>
    <definedName name="IKE_wyniki_COI_I">'IKE OBLIGACJE'!$CQ$16:$CQ$162</definedName>
    <definedName name="IKE_wyniki_COI_preferencje">'IKE OBLIGACJE'!$CN$16:$CN$162</definedName>
    <definedName name="IKE_wyniki_EDO_I">'IKE OBLIGACJE'!$DH$16:$DH$162</definedName>
    <definedName name="IKE_wyniki_EDO_preferencje">'IKE OBLIGACJE'!$DE$16:$DE$162</definedName>
    <definedName name="IKE_wyniki_mc">'IKE OBLIGACJE'!$W$16:$W$162</definedName>
    <definedName name="IKE_wyniki_skumulowana_inflacja">'IKE OBLIGACJE'!$X$16:$X$162</definedName>
    <definedName name="IKE_wyniki_TOS_I">'IKE OBLIGACJE'!$BG$16:$BG$162</definedName>
    <definedName name="IKE_wyniki_TOS_preferencje">'IKE OBLIGACJE'!$BD$16:$BD$162</definedName>
    <definedName name="IKE_zakup_domyslny_mc">'IKE OBLIGACJE'!$C$17</definedName>
    <definedName name="kapitalizacja_odsetek_mc_EDO">'WPISZ ZAŁOŻENIA'!$H$34</definedName>
    <definedName name="kapitalizacja_odsetek_mc_ROD">'WPISZ ZAŁOŻENIA'!$H$36</definedName>
    <definedName name="kapitalizacja_odsetek_mc_ROS">'WPISZ ZAŁOŻENIA'!$H$35</definedName>
    <definedName name="kapitalizacja_odsetek_mc_TOS">'WPISZ ZAŁOŻENIA'!$H$32</definedName>
    <definedName name="koszt_wczesniejszy_wykup_COI">'WPISZ ZAŁOŻENIA'!$J$33</definedName>
    <definedName name="koszt_wczesniejszy_wykup_DOR">'WPISZ ZAŁOŻENIA'!$J$31</definedName>
    <definedName name="koszt_wczesniejszy_wykup_EDO">'WPISZ ZAŁOŻENIA'!$J$34</definedName>
    <definedName name="koszt_wczesniejszy_wykup_ochrona_COI">'WPISZ ZAŁOŻENIA'!$K$33</definedName>
    <definedName name="koszt_wczesniejszy_wykup_ochrona_DOR">'WPISZ ZAŁOŻENIA'!$K$31</definedName>
    <definedName name="koszt_wczesniejszy_wykup_ochrona_ROR">'WPISZ ZAŁOŻENIA'!$K$30</definedName>
    <definedName name="koszt_wczesniejszy_wykup_ochrona_TOS">'WPISZ ZAŁOŻENIA'!$K$32</definedName>
    <definedName name="koszt_wczesniejszy_wykup_ROD">'WPISZ ZAŁOŻENIA'!$J$36</definedName>
    <definedName name="koszt_wczesniejszy_wykup_ROR">'WPISZ ZAŁOŻENIA'!$J$30</definedName>
    <definedName name="koszt_wczesniejszy_wykup_ROS">'WPISZ ZAŁOŻENIA'!$J$35</definedName>
    <definedName name="koszt_wczesniejszy_wykup_TOS">'WPISZ ZAŁOŻENIA'!$J$32</definedName>
    <definedName name="marza_COI">'WPISZ ZAŁOŻENIA'!$F$33</definedName>
    <definedName name="marza_DOR">'WPISZ ZAŁOŻENIA'!$F$31</definedName>
    <definedName name="marza_EDO">'WPISZ ZAŁOŻENIA'!$F$34</definedName>
    <definedName name="marza_ROD">'WPISZ ZAŁOŻENIA'!$F$36</definedName>
    <definedName name="marza_ROR">'WPISZ ZAŁOŻENIA'!$F$30</definedName>
    <definedName name="marza_ROS">'WPISZ ZAŁOŻENIA'!$F$35</definedName>
    <definedName name="marza_TOS">'WPISZ ZAŁOŻENIA'!$F$32</definedName>
    <definedName name="podatek_Belki">'WPISZ ZAŁOŻENIA'!$B$8</definedName>
    <definedName name="proc_I_okres_COI">'WPISZ ZAŁOŻENIA'!$C$33</definedName>
    <definedName name="proc_I_okres_DOR">'WPISZ ZAŁOŻENIA'!$C$31</definedName>
    <definedName name="proc_I_okres_EDO">'WPISZ ZAŁOŻENIA'!$C$34</definedName>
    <definedName name="proc_I_okres_ROD">'WPISZ ZAŁOŻENIA'!$C$36</definedName>
    <definedName name="proc_I_okres_ROR">'WPISZ ZAŁOŻENIA'!$C$30</definedName>
    <definedName name="proc_I_okres_ROS">'WPISZ ZAŁOŻENIA'!$C$35</definedName>
    <definedName name="proc_I_okres_TOS">'WPISZ ZAŁOŻENIA'!$C$32</definedName>
    <definedName name="scenariusz_I_inflacja">OBLIGACJE!$EF$28:$EF$39</definedName>
    <definedName name="scenariusz_I_inflacja_skumulowana">OBLIGACJE!$EG$28:$EG$39</definedName>
    <definedName name="scenariusz_I_konto">OBLIGACJE!$EJ$28:$EJ$39</definedName>
    <definedName name="scenariusz_I_rok">OBLIGACJE!$EE$28:$EE$39</definedName>
    <definedName name="scenariusz_I_stopa_NBP">OBLIGACJE!$EH$28:$EH$39</definedName>
    <definedName name="scenariusz_I_WIBOR6M">OBLIGACJE!$EI$28:$EI$39</definedName>
    <definedName name="test">OBLIGACJE!#REF!</definedName>
    <definedName name="trigger_inflacja">'WPISZ ZAŁOŻENIA'!$A$11</definedName>
    <definedName name="wyniki_COI_I" localSheetId="2">'IKE OBLIGACJE'!$CD$20:$CD$165</definedName>
    <definedName name="wyniki_COI_obl" localSheetId="1">OBLIGACJE!$CL$42:$CL$187</definedName>
    <definedName name="wyniki_DOR_obl" localSheetId="1">OBLIGACJE!$BG$42:$BG$187</definedName>
    <definedName name="wyniki_EDO_I" localSheetId="2">'IKE OBLIGACJE'!$CR$20:$CR$165</definedName>
    <definedName name="wyniki_EDO_obl" localSheetId="1">OBLIGACJE!$CZ$42:$CZ$187</definedName>
    <definedName name="wyniki_mc" localSheetId="2">'IKE OBLIGACJE'!$BO$20:$BO$165</definedName>
    <definedName name="wyniki_mc" localSheetId="1">OBLIGACJE!$AA$42:$AA$187</definedName>
    <definedName name="wyniki_ROD_I" localSheetId="2">'IKE OBLIGACJE'!$DT$20:$DT$165</definedName>
    <definedName name="wyniki_ROD_obl" localSheetId="1">OBLIGACJE!$EB$42:$EB$187</definedName>
    <definedName name="wyniki_ROR_obl" localSheetId="1">OBLIGACJE!$AQ$42:$AQ$187</definedName>
    <definedName name="wyniki_ROS_I" localSheetId="2">'IKE OBLIGACJE'!$DF$20:$DF$165</definedName>
    <definedName name="wyniki_ROS_obl" localSheetId="1">OBLIGACJE!$DN$42:$DN$187</definedName>
    <definedName name="wyniki_skumulowana_inflacja" localSheetId="2">'IKE OBLIGACJE'!$BQ$20:$BQ$165</definedName>
    <definedName name="wyniki_skumulowana_inflacja" localSheetId="1">OBLIGACJE!$AB$42:$AB$187</definedName>
    <definedName name="wyniki_TOS_obl" localSheetId="1">OBLIGACJE!$BW$42:$BW$187</definedName>
    <definedName name="wyplata_odsetek_COI">'WPISZ ZAŁOŻENIA'!$G$33</definedName>
    <definedName name="wyplata_odsetek_DOR">'WPISZ ZAŁOŻENIA'!$G$31</definedName>
    <definedName name="wyplata_odsetek_ROR">'WPISZ ZAŁOŻENIA'!$G$30</definedName>
    <definedName name="wyplata_odsetek_TOS">'WPISZ ZAŁOŻENIA'!$G$32</definedName>
    <definedName name="zakup_domyslny_ilosc">'WPISZ ZAŁOŻENIA'!$B$6</definedName>
    <definedName name="zakup_domyslny_mc">OBLIGACJE!$B$4</definedName>
    <definedName name="zakup_domyslny_wartosc">'WPISZ ZAŁOŻENIA'!$B$7</definedName>
    <definedName name="zamiana_COI">'WPISZ ZAŁOŻENIA'!$I$33</definedName>
    <definedName name="zamiana_DOR">'WPISZ ZAŁOŻENIA'!$I$31</definedName>
    <definedName name="zamiana_EDO">'WPISZ ZAŁOŻENIA'!$I$34</definedName>
    <definedName name="zamiana_ROR">'WPISZ ZAŁOŻENIA'!$I$30</definedName>
    <definedName name="zamiana_TOS">'WPISZ ZAŁOŻENIA'!$I$32</definedName>
    <definedName name="zapadalnosc_COI">'WPISZ ZAŁOŻENIA'!$B$33</definedName>
    <definedName name="zapadalnosc_DOR">'WPISZ ZAŁOŻENIA'!$B$31</definedName>
    <definedName name="zapadalnosc_EDO">'WPISZ ZAŁOŻENIA'!$B$34</definedName>
    <definedName name="zapadalnosc_ROD">'WPISZ ZAŁOŻENIA'!$B$36</definedName>
    <definedName name="zapadalnosc_ROR">'WPISZ ZAŁOŻENIA'!$B$30</definedName>
    <definedName name="zapadalnosc_ROS">'WPISZ ZAŁOŻENIA'!$B$35</definedName>
    <definedName name="zapadalnosc_TOS">'WPISZ ZAŁOŻENIA'!$B$32</definedName>
    <definedName name="zmiana_oprocentowania_co_ile_mc_COI">'WPISZ ZAŁOŻENIA'!$D$33</definedName>
    <definedName name="zmiana_oprocentowania_co_ile_mc_DOR">'WPISZ ZAŁOŻENIA'!$D$31</definedName>
    <definedName name="zmiana_oprocentowania_co_ile_mc_EDO">'WPISZ ZAŁOŻENIA'!$D$34</definedName>
    <definedName name="zmiana_oprocentowania_co_ile_mc_ROD">'WPISZ ZAŁOŻENIA'!$D$36</definedName>
    <definedName name="zmiana_oprocentowania_co_ile_mc_ROR">'WPISZ ZAŁOŻENIA'!$D$30</definedName>
    <definedName name="zmiana_oprocentowania_co_ile_mc_ROS">'WPISZ ZAŁOŻENIA'!$D$35</definedName>
    <definedName name="zmiana_oprocentowania_co_ile_mc_TOS">'WPISZ ZAŁOŻENIA'!$D$32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F91" i="5" l="1"/>
  <c r="CF44" i="5" l="1"/>
  <c r="CI44" i="5" s="1"/>
  <c r="CD44" i="5"/>
  <c r="BZ44" i="5"/>
  <c r="BA44" i="5"/>
  <c r="AY44" i="5"/>
  <c r="AU44" i="5"/>
  <c r="AS45" i="5"/>
  <c r="BI45" i="5"/>
  <c r="BI46" i="5"/>
  <c r="BI47" i="5" s="1"/>
  <c r="BI48" i="5" s="1"/>
  <c r="BI49" i="5"/>
  <c r="BI50" i="5" s="1"/>
  <c r="BI51" i="5" s="1"/>
  <c r="BI52" i="5" s="1"/>
  <c r="BI53" i="5" s="1"/>
  <c r="BI54" i="5" s="1"/>
  <c r="BI55" i="5" s="1"/>
  <c r="BI56" i="5" s="1"/>
  <c r="BI57" i="5" s="1"/>
  <c r="BI58" i="5" s="1"/>
  <c r="BI59" i="5" s="1"/>
  <c r="BI60" i="5" s="1"/>
  <c r="BI61" i="5" s="1"/>
  <c r="BI62" i="5" s="1"/>
  <c r="BI63" i="5" s="1"/>
  <c r="BI64" i="5" s="1"/>
  <c r="BI65" i="5" s="1"/>
  <c r="BI66" i="5" s="1"/>
  <c r="BI67" i="5" s="1"/>
  <c r="BI68" i="5" s="1"/>
  <c r="BI69" i="5" s="1"/>
  <c r="BI70" i="5" s="1"/>
  <c r="BI71" i="5" s="1"/>
  <c r="BI72" i="5" s="1"/>
  <c r="BI73" i="5" s="1"/>
  <c r="BI74" i="5" s="1"/>
  <c r="BI75" i="5" s="1"/>
  <c r="BI76" i="5" s="1"/>
  <c r="BI77" i="5" s="1"/>
  <c r="BI78" i="5" s="1"/>
  <c r="BI79" i="5" s="1"/>
  <c r="BI80" i="5" s="1"/>
  <c r="BI81" i="5" s="1"/>
  <c r="BI82" i="5" s="1"/>
  <c r="BI83" i="5" s="1"/>
  <c r="BI84" i="5" s="1"/>
  <c r="BI85" i="5" s="1"/>
  <c r="BI86" i="5" s="1"/>
  <c r="BI87" i="5" s="1"/>
  <c r="BI88" i="5" s="1"/>
  <c r="BI89" i="5" s="1"/>
  <c r="BI90" i="5" s="1"/>
  <c r="BI91" i="5" s="1"/>
  <c r="BI92" i="5" s="1"/>
  <c r="BI93" i="5" s="1"/>
  <c r="BI94" i="5" s="1"/>
  <c r="BI95" i="5" s="1"/>
  <c r="BI96" i="5" s="1"/>
  <c r="BI97" i="5" s="1"/>
  <c r="BI98" i="5" s="1"/>
  <c r="BI99" i="5" s="1"/>
  <c r="BI100" i="5" s="1"/>
  <c r="BI101" i="5" s="1"/>
  <c r="BI102" i="5" s="1"/>
  <c r="BI103" i="5" s="1"/>
  <c r="BI104" i="5" s="1"/>
  <c r="BI105" i="5" s="1"/>
  <c r="BI106" i="5" s="1"/>
  <c r="BI107" i="5" s="1"/>
  <c r="BI108" i="5" s="1"/>
  <c r="BI109" i="5" s="1"/>
  <c r="BI110" i="5" s="1"/>
  <c r="BI111" i="5" s="1"/>
  <c r="BI112" i="5" s="1"/>
  <c r="BI113" i="5" s="1"/>
  <c r="BI114" i="5" s="1"/>
  <c r="BI115" i="5" s="1"/>
  <c r="BI116" i="5" s="1"/>
  <c r="BI117" i="5" s="1"/>
  <c r="BI118" i="5" s="1"/>
  <c r="BI119" i="5" s="1"/>
  <c r="BI120" i="5" s="1"/>
  <c r="BI121" i="5" s="1"/>
  <c r="BI122" i="5" s="1"/>
  <c r="BI123" i="5" s="1"/>
  <c r="BI124" i="5" s="1"/>
  <c r="BI125" i="5" s="1"/>
  <c r="BI126" i="5" s="1"/>
  <c r="BI127" i="5" s="1"/>
  <c r="BI128" i="5" s="1"/>
  <c r="BI129" i="5" s="1"/>
  <c r="BI130" i="5" s="1"/>
  <c r="BI131" i="5" s="1"/>
  <c r="BI132" i="5" s="1"/>
  <c r="BI133" i="5" s="1"/>
  <c r="BI134" i="5" s="1"/>
  <c r="BI135" i="5" s="1"/>
  <c r="BI136" i="5" s="1"/>
  <c r="BI137" i="5" s="1"/>
  <c r="BI138" i="5" s="1"/>
  <c r="BI139" i="5" s="1"/>
  <c r="BI140" i="5" s="1"/>
  <c r="BI141" i="5" s="1"/>
  <c r="BI142" i="5" s="1"/>
  <c r="BI143" i="5" s="1"/>
  <c r="BI144" i="5" s="1"/>
  <c r="BI145" i="5" s="1"/>
  <c r="BI146" i="5" s="1"/>
  <c r="BI147" i="5" s="1"/>
  <c r="BI148" i="5" s="1"/>
  <c r="BI149" i="5" s="1"/>
  <c r="BI150" i="5" s="1"/>
  <c r="BI151" i="5" s="1"/>
  <c r="BI152" i="5" s="1"/>
  <c r="BI153" i="5" s="1"/>
  <c r="BI154" i="5" s="1"/>
  <c r="BI155" i="5" s="1"/>
  <c r="BI156" i="5" s="1"/>
  <c r="BI157" i="5" s="1"/>
  <c r="BI158" i="5" s="1"/>
  <c r="BI159" i="5" s="1"/>
  <c r="BI160" i="5" s="1"/>
  <c r="BI161" i="5" s="1"/>
  <c r="BI162" i="5" s="1"/>
  <c r="BI163" i="5" s="1"/>
  <c r="BI164" i="5" s="1"/>
  <c r="BI165" i="5" s="1"/>
  <c r="BI166" i="5" s="1"/>
  <c r="BI167" i="5" s="1"/>
  <c r="BI168" i="5" s="1"/>
  <c r="BI169" i="5" s="1"/>
  <c r="BI170" i="5" s="1"/>
  <c r="BI171" i="5" s="1"/>
  <c r="BI172" i="5" s="1"/>
  <c r="BI173" i="5" s="1"/>
  <c r="BI174" i="5" s="1"/>
  <c r="BI175" i="5" s="1"/>
  <c r="BI176" i="5" s="1"/>
  <c r="BI177" i="5" s="1"/>
  <c r="BI178" i="5" s="1"/>
  <c r="BI179" i="5" s="1"/>
  <c r="BI180" i="5" s="1"/>
  <c r="BI181" i="5" s="1"/>
  <c r="BI182" i="5" s="1"/>
  <c r="BI183" i="5" s="1"/>
  <c r="BI184" i="5" s="1"/>
  <c r="BI185" i="5" s="1"/>
  <c r="BI186" i="5" s="1"/>
  <c r="BI187" i="5" s="1"/>
  <c r="BZ45" i="5" l="1"/>
  <c r="AU45" i="5"/>
  <c r="AS46" i="5"/>
  <c r="AS47" i="5" l="1"/>
  <c r="AS48" i="5" l="1"/>
  <c r="AS49" i="5" l="1"/>
  <c r="AS50" i="5" l="1"/>
  <c r="AS51" i="5" l="1"/>
  <c r="AS52" i="5" l="1"/>
  <c r="AS53" i="5" l="1"/>
  <c r="AS54" i="5" l="1"/>
  <c r="AS55" i="5" l="1"/>
  <c r="AS56" i="5" l="1"/>
  <c r="AS57" i="5" l="1"/>
  <c r="AS58" i="5" l="1"/>
  <c r="AS59" i="5" l="1"/>
  <c r="AS60" i="5" l="1"/>
  <c r="AS61" i="5" l="1"/>
  <c r="AS62" i="5" l="1"/>
  <c r="AS63" i="5" l="1"/>
  <c r="AS64" i="5" l="1"/>
  <c r="AS65" i="5" l="1"/>
  <c r="AS66" i="5" l="1"/>
  <c r="AS67" i="5" l="1"/>
  <c r="AS68" i="5" l="1"/>
  <c r="AS69" i="5" l="1"/>
  <c r="AS70" i="5" l="1"/>
  <c r="AS71" i="5" l="1"/>
  <c r="AS72" i="5" l="1"/>
  <c r="AS73" i="5" l="1"/>
  <c r="AS74" i="5" l="1"/>
  <c r="AS75" i="5" l="1"/>
  <c r="AS76" i="5" l="1"/>
  <c r="AS77" i="5" l="1"/>
  <c r="AS78" i="5" l="1"/>
  <c r="AS79" i="5" l="1"/>
  <c r="AS80" i="5" l="1"/>
  <c r="AS81" i="5" l="1"/>
  <c r="AS82" i="5" l="1"/>
  <c r="AS83" i="5" l="1"/>
  <c r="AS84" i="5" l="1"/>
  <c r="AS85" i="5" l="1"/>
  <c r="AS86" i="5" l="1"/>
  <c r="AS87" i="5" l="1"/>
  <c r="AS88" i="5" l="1"/>
  <c r="AS89" i="5" l="1"/>
  <c r="AS90" i="5" l="1"/>
  <c r="AS91" i="5" l="1"/>
  <c r="AS92" i="5" l="1"/>
  <c r="AS93" i="5" l="1"/>
  <c r="AS94" i="5" l="1"/>
  <c r="AS95" i="5" l="1"/>
  <c r="AS96" i="5" l="1"/>
  <c r="AS97" i="5" l="1"/>
  <c r="AS98" i="5" l="1"/>
  <c r="AS99" i="5" l="1"/>
  <c r="AS100" i="5" l="1"/>
  <c r="AS101" i="5" l="1"/>
  <c r="AS102" i="5" l="1"/>
  <c r="AS103" i="5" l="1"/>
  <c r="AS104" i="5" l="1"/>
  <c r="AS105" i="5" l="1"/>
  <c r="AS106" i="5" l="1"/>
  <c r="AS107" i="5" l="1"/>
  <c r="AS108" i="5" l="1"/>
  <c r="AS109" i="5" l="1"/>
  <c r="AS110" i="5" l="1"/>
  <c r="AS111" i="5" l="1"/>
  <c r="AS112" i="5" l="1"/>
  <c r="AS113" i="5" l="1"/>
  <c r="AS114" i="5" l="1"/>
  <c r="AS115" i="5" l="1"/>
  <c r="AS116" i="5" l="1"/>
  <c r="AS117" i="5" l="1"/>
  <c r="AS118" i="5" l="1"/>
  <c r="AS119" i="5" l="1"/>
  <c r="AS120" i="5" l="1"/>
  <c r="AS121" i="5" l="1"/>
  <c r="AS122" i="5" l="1"/>
  <c r="AS123" i="5" l="1"/>
  <c r="AS124" i="5" l="1"/>
  <c r="AS125" i="5" l="1"/>
  <c r="AS126" i="5" l="1"/>
  <c r="AS127" i="5" l="1"/>
  <c r="AS128" i="5" l="1"/>
  <c r="AS129" i="5" l="1"/>
  <c r="AS130" i="5" l="1"/>
  <c r="AS131" i="5" l="1"/>
  <c r="AS132" i="5" l="1"/>
  <c r="AS133" i="5" l="1"/>
  <c r="AS134" i="5" l="1"/>
  <c r="AS135" i="5" l="1"/>
  <c r="AS136" i="5" l="1"/>
  <c r="AS137" i="5" l="1"/>
  <c r="AS138" i="5" l="1"/>
  <c r="AS139" i="5" l="1"/>
  <c r="AS140" i="5" l="1"/>
  <c r="AS141" i="5" l="1"/>
  <c r="AS142" i="5" l="1"/>
  <c r="AS143" i="5" l="1"/>
  <c r="AS144" i="5" l="1"/>
  <c r="AS145" i="5" l="1"/>
  <c r="AS146" i="5" l="1"/>
  <c r="AS147" i="5" l="1"/>
  <c r="AS148" i="5" l="1"/>
  <c r="AS149" i="5" l="1"/>
  <c r="AS150" i="5" l="1"/>
  <c r="AS151" i="5" l="1"/>
  <c r="AS152" i="5" l="1"/>
  <c r="AS153" i="5" l="1"/>
  <c r="AS154" i="5" l="1"/>
  <c r="AS155" i="5" l="1"/>
  <c r="AS156" i="5" l="1"/>
  <c r="AS157" i="5" l="1"/>
  <c r="AS158" i="5" l="1"/>
  <c r="AS159" i="5" l="1"/>
  <c r="AS160" i="5" l="1"/>
  <c r="AS161" i="5" l="1"/>
  <c r="AS162" i="5" l="1"/>
  <c r="AS163" i="5" l="1"/>
  <c r="AS164" i="5" l="1"/>
  <c r="AS165" i="5" l="1"/>
  <c r="AS166" i="5" l="1"/>
  <c r="AS167" i="5" l="1"/>
  <c r="AS168" i="5" l="1"/>
  <c r="AS169" i="5" l="1"/>
  <c r="AS170" i="5" l="1"/>
  <c r="AS171" i="5" l="1"/>
  <c r="AS172" i="5" l="1"/>
  <c r="AS173" i="5" l="1"/>
  <c r="AS174" i="5" l="1"/>
  <c r="AS175" i="5" l="1"/>
  <c r="AS176" i="5" l="1"/>
  <c r="AS177" i="5" l="1"/>
  <c r="AS178" i="5" l="1"/>
  <c r="AS179" i="5" l="1"/>
  <c r="AS180" i="5" l="1"/>
  <c r="AS181" i="5" l="1"/>
  <c r="AS182" i="5" l="1"/>
  <c r="AS183" i="5" l="1"/>
  <c r="AS184" i="5" l="1"/>
  <c r="AS185" i="5" l="1"/>
  <c r="AS186" i="5" l="1"/>
  <c r="AS187" i="5" l="1"/>
  <c r="AE44" i="5" l="1"/>
  <c r="EJ39" i="5"/>
  <c r="EI39" i="5"/>
  <c r="EH39" i="5"/>
  <c r="EF39" i="5"/>
  <c r="EJ38" i="5"/>
  <c r="EI38" i="5"/>
  <c r="EH38" i="5"/>
  <c r="EF38" i="5"/>
  <c r="EJ37" i="5"/>
  <c r="EI37" i="5"/>
  <c r="EH37" i="5"/>
  <c r="EF37" i="5"/>
  <c r="EJ36" i="5"/>
  <c r="EI36" i="5"/>
  <c r="EH36" i="5"/>
  <c r="EF36" i="5"/>
  <c r="EJ35" i="5"/>
  <c r="EI35" i="5"/>
  <c r="EH35" i="5"/>
  <c r="EF35" i="5"/>
  <c r="EJ34" i="5"/>
  <c r="EI34" i="5"/>
  <c r="EH34" i="5"/>
  <c r="EF34" i="5"/>
  <c r="EJ33" i="5"/>
  <c r="EI33" i="5"/>
  <c r="EH33" i="5"/>
  <c r="EF33" i="5"/>
  <c r="EJ32" i="5"/>
  <c r="EI32" i="5"/>
  <c r="EH32" i="5"/>
  <c r="EF32" i="5"/>
  <c r="EJ31" i="5"/>
  <c r="EI31" i="5"/>
  <c r="EH31" i="5"/>
  <c r="EF31" i="5"/>
  <c r="EJ30" i="5"/>
  <c r="EI30" i="5"/>
  <c r="EH30" i="5"/>
  <c r="EF30" i="5"/>
  <c r="EJ29" i="5"/>
  <c r="EI29" i="5"/>
  <c r="EH29" i="5"/>
  <c r="EF29" i="5"/>
  <c r="EJ28" i="5"/>
  <c r="EI28" i="5"/>
  <c r="EH28" i="5"/>
  <c r="EF28" i="5"/>
  <c r="EG28" i="5" s="1"/>
  <c r="AT68" i="5" l="1"/>
  <c r="AT69" i="5"/>
  <c r="AT70" i="5"/>
  <c r="AT71" i="5"/>
  <c r="AT72" i="5"/>
  <c r="AT73" i="5"/>
  <c r="AT74" i="5"/>
  <c r="AT75" i="5"/>
  <c r="AT76" i="5"/>
  <c r="AT77" i="5"/>
  <c r="AT78" i="5"/>
  <c r="AT79" i="5"/>
  <c r="AT92" i="5"/>
  <c r="AT93" i="5"/>
  <c r="AT94" i="5"/>
  <c r="AT95" i="5"/>
  <c r="AT96" i="5"/>
  <c r="AT97" i="5"/>
  <c r="AT98" i="5"/>
  <c r="AT99" i="5"/>
  <c r="AT100" i="5"/>
  <c r="AT101" i="5"/>
  <c r="AT102" i="5"/>
  <c r="AT103" i="5"/>
  <c r="AT116" i="5"/>
  <c r="AT117" i="5"/>
  <c r="AT118" i="5"/>
  <c r="AT119" i="5"/>
  <c r="AT120" i="5"/>
  <c r="AT121" i="5"/>
  <c r="AT122" i="5"/>
  <c r="AT123" i="5"/>
  <c r="AT124" i="5"/>
  <c r="AT125" i="5"/>
  <c r="AT126" i="5"/>
  <c r="AT127" i="5"/>
  <c r="AT140" i="5"/>
  <c r="AT141" i="5"/>
  <c r="AT142" i="5"/>
  <c r="AT143" i="5"/>
  <c r="AT144" i="5"/>
  <c r="AT145" i="5"/>
  <c r="AT146" i="5"/>
  <c r="AT147" i="5"/>
  <c r="AT148" i="5"/>
  <c r="AT149" i="5"/>
  <c r="AT150" i="5"/>
  <c r="AT151" i="5"/>
  <c r="AT164" i="5"/>
  <c r="AT165" i="5"/>
  <c r="AT166" i="5"/>
  <c r="AT167" i="5"/>
  <c r="AT168" i="5"/>
  <c r="AT169" i="5"/>
  <c r="AT170" i="5"/>
  <c r="AT171" i="5"/>
  <c r="AT172" i="5"/>
  <c r="AT173" i="5"/>
  <c r="AT174" i="5"/>
  <c r="AT175" i="5"/>
  <c r="AT45" i="5"/>
  <c r="AT46" i="5"/>
  <c r="AT47" i="5"/>
  <c r="AT48" i="5"/>
  <c r="AT49" i="5"/>
  <c r="AT50" i="5"/>
  <c r="AT51" i="5"/>
  <c r="AT52" i="5"/>
  <c r="AT53" i="5"/>
  <c r="AT54" i="5"/>
  <c r="AT55" i="5"/>
  <c r="CJ44" i="5"/>
  <c r="CK44" i="5" s="1"/>
  <c r="BE44" i="5"/>
  <c r="AT56" i="5"/>
  <c r="AT57" i="5"/>
  <c r="AT58" i="5"/>
  <c r="AT59" i="5"/>
  <c r="AT60" i="5"/>
  <c r="AT61" i="5"/>
  <c r="AT62" i="5"/>
  <c r="AT63" i="5"/>
  <c r="AT64" i="5"/>
  <c r="AT65" i="5"/>
  <c r="AT66" i="5"/>
  <c r="AT67" i="5"/>
  <c r="AT80" i="5"/>
  <c r="AT81" i="5"/>
  <c r="AT82" i="5"/>
  <c r="AT83" i="5"/>
  <c r="AT84" i="5"/>
  <c r="AT85" i="5"/>
  <c r="AT86" i="5"/>
  <c r="AT87" i="5"/>
  <c r="AT88" i="5"/>
  <c r="AT89" i="5"/>
  <c r="AT90" i="5"/>
  <c r="AT91" i="5"/>
  <c r="AT104" i="5"/>
  <c r="AT105" i="5"/>
  <c r="AT106" i="5"/>
  <c r="AT107" i="5"/>
  <c r="AT108" i="5"/>
  <c r="AT109" i="5"/>
  <c r="AT110" i="5"/>
  <c r="AT111" i="5"/>
  <c r="AT112" i="5"/>
  <c r="AT113" i="5"/>
  <c r="AT114" i="5"/>
  <c r="AT115" i="5"/>
  <c r="AT128" i="5"/>
  <c r="AT129" i="5"/>
  <c r="AT130" i="5"/>
  <c r="AT131" i="5"/>
  <c r="AT132" i="5"/>
  <c r="AT133" i="5"/>
  <c r="AT134" i="5"/>
  <c r="AT135" i="5"/>
  <c r="AT136" i="5"/>
  <c r="AT137" i="5"/>
  <c r="AT138" i="5"/>
  <c r="AT139" i="5"/>
  <c r="AT152" i="5"/>
  <c r="AT153" i="5"/>
  <c r="AT154" i="5"/>
  <c r="AT155" i="5"/>
  <c r="AT156" i="5"/>
  <c r="AT157" i="5"/>
  <c r="AT158" i="5"/>
  <c r="AT159" i="5"/>
  <c r="AT160" i="5"/>
  <c r="AT161" i="5"/>
  <c r="AT162" i="5"/>
  <c r="AT163" i="5"/>
  <c r="AT176" i="5"/>
  <c r="AT177" i="5"/>
  <c r="AT178" i="5"/>
  <c r="AT179" i="5"/>
  <c r="AT180" i="5"/>
  <c r="AT181" i="5"/>
  <c r="AT182" i="5"/>
  <c r="AT183" i="5"/>
  <c r="AT184" i="5"/>
  <c r="AT185" i="5"/>
  <c r="AT186" i="5"/>
  <c r="AT187" i="5"/>
  <c r="EG29" i="5"/>
  <c r="EG30" i="5" s="1"/>
  <c r="EG31" i="5" s="1"/>
  <c r="EG32" i="5" s="1"/>
  <c r="EG33" i="5" s="1"/>
  <c r="EG34" i="5" s="1"/>
  <c r="EG35" i="5" s="1"/>
  <c r="EG36" i="5" s="1"/>
  <c r="EG37" i="5" s="1"/>
  <c r="EG38" i="5" s="1"/>
  <c r="EG39" i="5" s="1"/>
  <c r="BO44" i="5" l="1"/>
  <c r="BQ44" i="5"/>
  <c r="AD19" i="4"/>
  <c r="AI44" i="5"/>
  <c r="AW162" i="4"/>
  <c r="AX162" i="4" s="1"/>
  <c r="AM162" i="4"/>
  <c r="AM161" i="4"/>
  <c r="AM160" i="4"/>
  <c r="AM159" i="4"/>
  <c r="AM158" i="4"/>
  <c r="AM157" i="4"/>
  <c r="AM156" i="4"/>
  <c r="AM155" i="4"/>
  <c r="AM154" i="4"/>
  <c r="AM153" i="4"/>
  <c r="AM152" i="4"/>
  <c r="AM151" i="4"/>
  <c r="AM150" i="4"/>
  <c r="AM149" i="4"/>
  <c r="AM148" i="4"/>
  <c r="AM147" i="4"/>
  <c r="AM146" i="4"/>
  <c r="AM145" i="4"/>
  <c r="AM144" i="4"/>
  <c r="AM143" i="4"/>
  <c r="AM142" i="4"/>
  <c r="AM141" i="4"/>
  <c r="AM140" i="4"/>
  <c r="AM139" i="4"/>
  <c r="AM138" i="4"/>
  <c r="AM137" i="4"/>
  <c r="AM136" i="4"/>
  <c r="AM135" i="4"/>
  <c r="AM134" i="4"/>
  <c r="AM133" i="4"/>
  <c r="AM132" i="4"/>
  <c r="AM131" i="4"/>
  <c r="AM130" i="4"/>
  <c r="AM129" i="4"/>
  <c r="AM128" i="4"/>
  <c r="AM127" i="4"/>
  <c r="AM126" i="4"/>
  <c r="AM125" i="4"/>
  <c r="AM124" i="4"/>
  <c r="AM123" i="4"/>
  <c r="AM122" i="4"/>
  <c r="AM121" i="4"/>
  <c r="AM120" i="4"/>
  <c r="AM119" i="4"/>
  <c r="AM118" i="4"/>
  <c r="AM117" i="4"/>
  <c r="AM116" i="4"/>
  <c r="AM115" i="4"/>
  <c r="AM114" i="4"/>
  <c r="AM113" i="4"/>
  <c r="AM112" i="4"/>
  <c r="AM111" i="4"/>
  <c r="AM110" i="4"/>
  <c r="AM109" i="4"/>
  <c r="AM108" i="4"/>
  <c r="AM107" i="4"/>
  <c r="AM106" i="4"/>
  <c r="AM105" i="4"/>
  <c r="AM104" i="4"/>
  <c r="AM103" i="4"/>
  <c r="AM102" i="4"/>
  <c r="AM101" i="4"/>
  <c r="AM100" i="4"/>
  <c r="AM99" i="4"/>
  <c r="AM98" i="4"/>
  <c r="AM97" i="4"/>
  <c r="AM96" i="4"/>
  <c r="AM95" i="4"/>
  <c r="AM94" i="4"/>
  <c r="AM93" i="4"/>
  <c r="AM92" i="4"/>
  <c r="AM91" i="4"/>
  <c r="AM90" i="4"/>
  <c r="AM89" i="4"/>
  <c r="AM88" i="4"/>
  <c r="AM87" i="4"/>
  <c r="AM86" i="4"/>
  <c r="AM85" i="4"/>
  <c r="AM84" i="4"/>
  <c r="AM83" i="4"/>
  <c r="AM82" i="4"/>
  <c r="AM81" i="4"/>
  <c r="AM80" i="4"/>
  <c r="AM79" i="4"/>
  <c r="AM78" i="4"/>
  <c r="AM77" i="4"/>
  <c r="AM76" i="4"/>
  <c r="AM75" i="4"/>
  <c r="AM74" i="4"/>
  <c r="AM73" i="4"/>
  <c r="AM72" i="4"/>
  <c r="AM71" i="4"/>
  <c r="AM70" i="4"/>
  <c r="AM69" i="4"/>
  <c r="AM68" i="4"/>
  <c r="AM67" i="4"/>
  <c r="AM66" i="4"/>
  <c r="AM65" i="4"/>
  <c r="AM64" i="4"/>
  <c r="AM63" i="4"/>
  <c r="AM62" i="4"/>
  <c r="AM61" i="4"/>
  <c r="AM60" i="4"/>
  <c r="AM59" i="4"/>
  <c r="AM58" i="4"/>
  <c r="AM57" i="4"/>
  <c r="AM56" i="4"/>
  <c r="AM55" i="4"/>
  <c r="AM54" i="4"/>
  <c r="AM53" i="4"/>
  <c r="AM52" i="4"/>
  <c r="AM51" i="4"/>
  <c r="AM50" i="4"/>
  <c r="AM49" i="4"/>
  <c r="AM48" i="4"/>
  <c r="AM47" i="4"/>
  <c r="AM46" i="4"/>
  <c r="AM45" i="4"/>
  <c r="AM44" i="4"/>
  <c r="AM43" i="4"/>
  <c r="AM42" i="4"/>
  <c r="AM41" i="4"/>
  <c r="AM40" i="4"/>
  <c r="AM39" i="4"/>
  <c r="AM38" i="4"/>
  <c r="AM37" i="4"/>
  <c r="AM36" i="4"/>
  <c r="AM35" i="4"/>
  <c r="AM34" i="4"/>
  <c r="AM33" i="4"/>
  <c r="AM32" i="4"/>
  <c r="AM31" i="4"/>
  <c r="AF19" i="4"/>
  <c r="Z19" i="4"/>
  <c r="Z20" i="4" l="1"/>
  <c r="AY162" i="4"/>
  <c r="AZ162" i="4" s="1"/>
  <c r="BN19" i="4" l="1"/>
  <c r="BU44" i="5" l="1"/>
  <c r="BK44" i="5"/>
  <c r="BK45" i="5" s="1"/>
  <c r="AK44" i="5"/>
  <c r="AO44" i="5"/>
  <c r="AC45" i="5"/>
  <c r="AE45" i="5" l="1"/>
  <c r="AC46" i="5"/>
  <c r="AD45" i="5" l="1"/>
  <c r="AC47" i="5"/>
  <c r="AD46" i="5"/>
  <c r="U20" i="4"/>
  <c r="M34" i="4"/>
  <c r="B45" i="5"/>
  <c r="N45" i="5" s="1"/>
  <c r="AC48" i="5" l="1"/>
  <c r="AD47" i="5"/>
  <c r="DZ44" i="5"/>
  <c r="DL44" i="5"/>
  <c r="CX44" i="5"/>
  <c r="B7" i="6"/>
  <c r="AC19" i="4" l="1"/>
  <c r="CB44" i="5"/>
  <c r="CA44" i="5"/>
  <c r="CA45" i="5" s="1"/>
  <c r="AW44" i="5"/>
  <c r="AV44" i="5"/>
  <c r="AV45" i="5" s="1"/>
  <c r="AF44" i="5"/>
  <c r="AF45" i="5" s="1"/>
  <c r="E37" i="4"/>
  <c r="D37" i="4"/>
  <c r="E21" i="4"/>
  <c r="O21" i="4" s="1"/>
  <c r="D21" i="4"/>
  <c r="N21" i="4" s="1"/>
  <c r="AA19" i="4"/>
  <c r="AA20" i="4" s="1"/>
  <c r="AB19" i="4"/>
  <c r="E8" i="5"/>
  <c r="E24" i="5" s="1"/>
  <c r="C8" i="5"/>
  <c r="C24" i="5" s="1"/>
  <c r="E44" i="5"/>
  <c r="Q44" i="5" s="1"/>
  <c r="C44" i="5"/>
  <c r="O44" i="5" s="1"/>
  <c r="D8" i="5"/>
  <c r="D24" i="5" s="1"/>
  <c r="D44" i="5"/>
  <c r="P44" i="5" s="1"/>
  <c r="BM44" i="5"/>
  <c r="BL44" i="5"/>
  <c r="AG44" i="5"/>
  <c r="AD48" i="5"/>
  <c r="AC49" i="5"/>
  <c r="H37" i="4"/>
  <c r="I8" i="5"/>
  <c r="I24" i="5" s="1"/>
  <c r="K44" i="5"/>
  <c r="W44" i="5" s="1"/>
  <c r="G37" i="4"/>
  <c r="F21" i="4"/>
  <c r="P21" i="4" s="1"/>
  <c r="F37" i="4"/>
  <c r="G8" i="5"/>
  <c r="G24" i="5" s="1"/>
  <c r="J37" i="4"/>
  <c r="I21" i="4"/>
  <c r="S21" i="4" s="1"/>
  <c r="H44" i="5"/>
  <c r="T44" i="5" s="1"/>
  <c r="K8" i="5"/>
  <c r="K24" i="5" s="1"/>
  <c r="K37" i="4"/>
  <c r="K21" i="4"/>
  <c r="U21" i="4" s="1"/>
  <c r="I44" i="5"/>
  <c r="U44" i="5" s="1"/>
  <c r="I37" i="4"/>
  <c r="H21" i="4"/>
  <c r="R21" i="4" s="1"/>
  <c r="G44" i="5"/>
  <c r="S44" i="5" s="1"/>
  <c r="J8" i="5"/>
  <c r="G21" i="4"/>
  <c r="Q21" i="4" s="1"/>
  <c r="F44" i="5"/>
  <c r="R44" i="5" s="1"/>
  <c r="H8" i="5"/>
  <c r="H24" i="5" s="1"/>
  <c r="F8" i="5"/>
  <c r="F24" i="5" s="1"/>
  <c r="J21" i="4"/>
  <c r="J44" i="5"/>
  <c r="CY19" i="4"/>
  <c r="CW19" i="4"/>
  <c r="BP19" i="4"/>
  <c r="CG162" i="4"/>
  <c r="CH162" i="4" s="1"/>
  <c r="BW162" i="4"/>
  <c r="BW161" i="4"/>
  <c r="BW160" i="4"/>
  <c r="BW159" i="4"/>
  <c r="BW158" i="4"/>
  <c r="BW157" i="4"/>
  <c r="BW156" i="4"/>
  <c r="BW155" i="4"/>
  <c r="BW154" i="4"/>
  <c r="BW153" i="4"/>
  <c r="BW152" i="4"/>
  <c r="BW151" i="4"/>
  <c r="BW150" i="4"/>
  <c r="BW149" i="4"/>
  <c r="BW148" i="4"/>
  <c r="BW147" i="4"/>
  <c r="BW146" i="4"/>
  <c r="BW145" i="4"/>
  <c r="BW144" i="4"/>
  <c r="BW143" i="4"/>
  <c r="BW142" i="4"/>
  <c r="BW141" i="4"/>
  <c r="BW140" i="4"/>
  <c r="BW139" i="4"/>
  <c r="BW138" i="4"/>
  <c r="BW137" i="4"/>
  <c r="BW136" i="4"/>
  <c r="BW135" i="4"/>
  <c r="BW134" i="4"/>
  <c r="BW133" i="4"/>
  <c r="BW132" i="4"/>
  <c r="BW131" i="4"/>
  <c r="BW130" i="4"/>
  <c r="BW129" i="4"/>
  <c r="BW128" i="4"/>
  <c r="BW127" i="4"/>
  <c r="BW126" i="4"/>
  <c r="BW125" i="4"/>
  <c r="BW124" i="4"/>
  <c r="BW123" i="4"/>
  <c r="BW122" i="4"/>
  <c r="BW121" i="4"/>
  <c r="BW120" i="4"/>
  <c r="BW119" i="4"/>
  <c r="BW118" i="4"/>
  <c r="BW117" i="4"/>
  <c r="BW116" i="4"/>
  <c r="BW115" i="4"/>
  <c r="BW114" i="4"/>
  <c r="BW113" i="4"/>
  <c r="BW112" i="4"/>
  <c r="BW111" i="4"/>
  <c r="BW110" i="4"/>
  <c r="BW109" i="4"/>
  <c r="BW108" i="4"/>
  <c r="BW107" i="4"/>
  <c r="BW106" i="4"/>
  <c r="BW105" i="4"/>
  <c r="BW104" i="4"/>
  <c r="BW103" i="4"/>
  <c r="BW102" i="4"/>
  <c r="BW101" i="4"/>
  <c r="BW100" i="4"/>
  <c r="BW99" i="4"/>
  <c r="BW98" i="4"/>
  <c r="BW97" i="4"/>
  <c r="BW96" i="4"/>
  <c r="BW95" i="4"/>
  <c r="BW94" i="4"/>
  <c r="BW93" i="4"/>
  <c r="BW92" i="4"/>
  <c r="BW91" i="4"/>
  <c r="BW90" i="4"/>
  <c r="BW89" i="4"/>
  <c r="BW88" i="4"/>
  <c r="BW87" i="4"/>
  <c r="BW86" i="4"/>
  <c r="BW85" i="4"/>
  <c r="BW84" i="4"/>
  <c r="BW83" i="4"/>
  <c r="BW82" i="4"/>
  <c r="BW81" i="4"/>
  <c r="BW80" i="4"/>
  <c r="BW79" i="4"/>
  <c r="BW78" i="4"/>
  <c r="BW77" i="4"/>
  <c r="BW76" i="4"/>
  <c r="BW75" i="4"/>
  <c r="BW74" i="4"/>
  <c r="BW73" i="4"/>
  <c r="BW72" i="4"/>
  <c r="BW71" i="4"/>
  <c r="BW70" i="4"/>
  <c r="BW69" i="4"/>
  <c r="BW68" i="4"/>
  <c r="BW67" i="4"/>
  <c r="BW66" i="4"/>
  <c r="BW65" i="4"/>
  <c r="BW64" i="4"/>
  <c r="BW63" i="4"/>
  <c r="BW62" i="4"/>
  <c r="BW61" i="4"/>
  <c r="BW60" i="4"/>
  <c r="BW59" i="4"/>
  <c r="BW58" i="4"/>
  <c r="BW57" i="4"/>
  <c r="BW56" i="4"/>
  <c r="BW55" i="4"/>
  <c r="BW54" i="4"/>
  <c r="BW53" i="4"/>
  <c r="BW52" i="4"/>
  <c r="BW51" i="4"/>
  <c r="BW50" i="4"/>
  <c r="BW49" i="4"/>
  <c r="BW48" i="4"/>
  <c r="BW47" i="4"/>
  <c r="BW46" i="4"/>
  <c r="BW45" i="4"/>
  <c r="BW44" i="4"/>
  <c r="BW43" i="4"/>
  <c r="BW42" i="4"/>
  <c r="BW41" i="4"/>
  <c r="BW40" i="4"/>
  <c r="BW39" i="4"/>
  <c r="BW38" i="4"/>
  <c r="BW37" i="4"/>
  <c r="BW36" i="4"/>
  <c r="BW35" i="4"/>
  <c r="BW34" i="4"/>
  <c r="BW33" i="4"/>
  <c r="BW32" i="4"/>
  <c r="BW31" i="4"/>
  <c r="CS19" i="4"/>
  <c r="BJ19" i="4"/>
  <c r="CV19" i="4"/>
  <c r="CU19" i="4"/>
  <c r="CT19" i="4"/>
  <c r="BL19" i="4"/>
  <c r="BK19" i="4"/>
  <c r="AA45" i="5"/>
  <c r="DV44" i="5"/>
  <c r="DT44" i="5"/>
  <c r="DP44" i="5"/>
  <c r="DH44" i="5"/>
  <c r="DF44" i="5"/>
  <c r="DB44" i="5"/>
  <c r="CT44" i="5"/>
  <c r="CR44" i="5"/>
  <c r="CN44" i="5"/>
  <c r="W20" i="4"/>
  <c r="C38" i="4"/>
  <c r="AX44" i="5" l="1"/>
  <c r="AZ44" i="5" s="1"/>
  <c r="AW45" i="5"/>
  <c r="AX45" i="5" s="1"/>
  <c r="CF45" i="5"/>
  <c r="CI45" i="5" s="1"/>
  <c r="CD45" i="5"/>
  <c r="CJ45" i="5"/>
  <c r="BE45" i="5"/>
  <c r="BA45" i="5"/>
  <c r="AV46" i="5" s="1"/>
  <c r="AY45" i="5"/>
  <c r="BB45" i="5"/>
  <c r="CC44" i="5"/>
  <c r="CE44" i="5" s="1"/>
  <c r="CB45" i="5"/>
  <c r="CC45" i="5" s="1"/>
  <c r="AC20" i="4"/>
  <c r="BO45" i="5"/>
  <c r="AT19" i="4"/>
  <c r="AV19" i="4" s="1"/>
  <c r="AX19" i="4" s="1"/>
  <c r="AY19" i="4" s="1"/>
  <c r="AZ19" i="4" s="1"/>
  <c r="BL45" i="5"/>
  <c r="BQ45" i="5"/>
  <c r="AD20" i="4"/>
  <c r="AI45" i="5"/>
  <c r="AE19" i="4"/>
  <c r="AG19" i="4" s="1"/>
  <c r="AB20" i="4"/>
  <c r="BN44" i="5"/>
  <c r="BM45" i="5"/>
  <c r="AH44" i="5"/>
  <c r="AJ44" i="5" s="1"/>
  <c r="AN44" i="5" s="1"/>
  <c r="AP44" i="5" s="1"/>
  <c r="AG45" i="5"/>
  <c r="AH45" i="5" s="1"/>
  <c r="AF20" i="4"/>
  <c r="BN20" i="4"/>
  <c r="BP20" i="4"/>
  <c r="BU45" i="5"/>
  <c r="AK45" i="5"/>
  <c r="AE46" i="5" s="1"/>
  <c r="AO45" i="5"/>
  <c r="AD49" i="5"/>
  <c r="AC50" i="5"/>
  <c r="BJ50" i="5"/>
  <c r="DZ45" i="5"/>
  <c r="J38" i="4"/>
  <c r="BJ20" i="4"/>
  <c r="V44" i="5"/>
  <c r="J45" i="5"/>
  <c r="V45" i="5" s="1"/>
  <c r="J22" i="4"/>
  <c r="T21" i="4"/>
  <c r="J24" i="5"/>
  <c r="J9" i="5"/>
  <c r="CW20" i="4"/>
  <c r="CY20" i="4"/>
  <c r="CX45" i="5"/>
  <c r="DL45" i="5"/>
  <c r="B46" i="5"/>
  <c r="CT20" i="4"/>
  <c r="CZ19" i="4" s="1"/>
  <c r="DA19" i="4" s="1"/>
  <c r="CV20" i="4"/>
  <c r="CS20" i="4"/>
  <c r="BK20" i="4"/>
  <c r="CD19" i="4" s="1"/>
  <c r="X19" i="4"/>
  <c r="K38" i="4" s="1"/>
  <c r="X20" i="4"/>
  <c r="K39" i="4" s="1"/>
  <c r="B37" i="4"/>
  <c r="CR45" i="5"/>
  <c r="CQ44" i="5"/>
  <c r="CS44" i="5" s="1"/>
  <c r="DD44" i="5"/>
  <c r="DD45" i="5" s="1"/>
  <c r="DE44" i="5"/>
  <c r="CP44" i="5"/>
  <c r="CP45" i="5" s="1"/>
  <c r="DQ44" i="5"/>
  <c r="DQ45" i="5" s="1"/>
  <c r="DY44" i="5" s="1"/>
  <c r="EA44" i="5" s="1"/>
  <c r="DR44" i="5"/>
  <c r="DR45" i="5" s="1"/>
  <c r="DC44" i="5"/>
  <c r="DC45" i="5" s="1"/>
  <c r="DK44" i="5" s="1"/>
  <c r="DM44" i="5" s="1"/>
  <c r="DS44" i="5"/>
  <c r="DU44" i="5" s="1"/>
  <c r="CO44" i="5"/>
  <c r="CO45" i="5" s="1"/>
  <c r="CT45" i="5"/>
  <c r="DB45" i="5"/>
  <c r="DT45" i="5"/>
  <c r="DV45" i="5"/>
  <c r="AA46" i="5"/>
  <c r="DP45" i="5"/>
  <c r="CN45" i="5"/>
  <c r="AB44" i="5"/>
  <c r="K45" i="5" s="1"/>
  <c r="W45" i="5" s="1"/>
  <c r="DF45" i="5"/>
  <c r="DH45" i="5"/>
  <c r="AB45" i="5"/>
  <c r="K46" i="5" s="1"/>
  <c r="W46" i="5" s="1"/>
  <c r="BM19" i="4"/>
  <c r="BO19" i="4" s="1"/>
  <c r="BQ19" i="4" s="1"/>
  <c r="C39" i="4"/>
  <c r="W21" i="4"/>
  <c r="CU20" i="4"/>
  <c r="CA46" i="5" l="1"/>
  <c r="CE45" i="5"/>
  <c r="CG45" i="5" s="1"/>
  <c r="CH45" i="5" s="1"/>
  <c r="CL45" i="5" s="1"/>
  <c r="CG44" i="5"/>
  <c r="CH44" i="5" s="1"/>
  <c r="CL44" i="5" s="1"/>
  <c r="CF46" i="5"/>
  <c r="CI46" i="5" s="1"/>
  <c r="CD46" i="5"/>
  <c r="BE46" i="5"/>
  <c r="BA46" i="5"/>
  <c r="CJ46" i="5"/>
  <c r="AY46" i="5"/>
  <c r="CB46" i="5"/>
  <c r="CC46" i="5" s="1"/>
  <c r="BZ46" i="5"/>
  <c r="AZ45" i="5"/>
  <c r="BD45" i="5" s="1"/>
  <c r="CK45" i="5"/>
  <c r="BD44" i="5"/>
  <c r="BF44" i="5" s="1"/>
  <c r="BB44" i="5"/>
  <c r="BC44" i="5" s="1"/>
  <c r="BG44" i="5" s="1"/>
  <c r="D45" i="5" s="1"/>
  <c r="P45" i="5" s="1"/>
  <c r="AC21" i="4"/>
  <c r="AW46" i="5"/>
  <c r="AX46" i="5" s="1"/>
  <c r="AU46" i="5"/>
  <c r="BB46" i="5" s="1"/>
  <c r="AF46" i="5"/>
  <c r="AL44" i="5"/>
  <c r="AM44" i="5" s="1"/>
  <c r="AQ44" i="5" s="1"/>
  <c r="C45" i="5" s="1"/>
  <c r="O45" i="5" s="1"/>
  <c r="BO46" i="5"/>
  <c r="BN45" i="5"/>
  <c r="BP45" i="5" s="1"/>
  <c r="BR45" i="5" s="1"/>
  <c r="BP44" i="5"/>
  <c r="BT44" i="5"/>
  <c r="BV44" i="5" s="1"/>
  <c r="BL46" i="5"/>
  <c r="BT45" i="5" s="1"/>
  <c r="BK46" i="5"/>
  <c r="BQ46" i="5"/>
  <c r="AI46" i="5"/>
  <c r="AD21" i="4"/>
  <c r="AE20" i="4"/>
  <c r="BE19" i="4"/>
  <c r="BA19" i="4"/>
  <c r="AF21" i="4"/>
  <c r="BN21" i="4"/>
  <c r="AB21" i="4"/>
  <c r="Z21" i="4"/>
  <c r="AA21" i="4"/>
  <c r="X21" i="4"/>
  <c r="K40" i="4" s="1"/>
  <c r="BJ21" i="4"/>
  <c r="AJ45" i="5"/>
  <c r="AN45" i="5" s="1"/>
  <c r="AP45" i="5" s="1"/>
  <c r="BU46" i="5"/>
  <c r="AK46" i="5"/>
  <c r="AE47" i="5" s="1"/>
  <c r="AO46" i="5"/>
  <c r="AG46" i="5"/>
  <c r="AH46" i="5" s="1"/>
  <c r="BM46" i="5"/>
  <c r="CF19" i="4"/>
  <c r="CH19" i="4" s="1"/>
  <c r="CI19" i="4" s="1"/>
  <c r="CJ19" i="4" s="1"/>
  <c r="DG44" i="5"/>
  <c r="DI44" i="5" s="1"/>
  <c r="DJ44" i="5" s="1"/>
  <c r="AD50" i="5"/>
  <c r="AC51" i="5"/>
  <c r="BJ51" i="5"/>
  <c r="DZ46" i="5"/>
  <c r="J39" i="4"/>
  <c r="J46" i="5"/>
  <c r="J10" i="5"/>
  <c r="J25" i="5"/>
  <c r="J23" i="4"/>
  <c r="T22" i="4"/>
  <c r="CV21" i="4"/>
  <c r="CS21" i="4"/>
  <c r="CT21" i="4"/>
  <c r="CZ20" i="4" s="1"/>
  <c r="DA20" i="4" s="1"/>
  <c r="BP21" i="4"/>
  <c r="CY21" i="4"/>
  <c r="CW21" i="4"/>
  <c r="CX46" i="5"/>
  <c r="DL46" i="5"/>
  <c r="N46" i="5"/>
  <c r="B47" i="5"/>
  <c r="N47" i="5" s="1"/>
  <c r="BK21" i="4"/>
  <c r="CD20" i="4" s="1"/>
  <c r="CK19" i="4"/>
  <c r="CL19" i="4" s="1"/>
  <c r="DH46" i="5"/>
  <c r="AB46" i="5"/>
  <c r="K47" i="5" s="1"/>
  <c r="W47" i="5" s="1"/>
  <c r="AA47" i="5"/>
  <c r="DT46" i="5"/>
  <c r="CT46" i="5"/>
  <c r="CN46" i="5"/>
  <c r="CQ45" i="5"/>
  <c r="CS45" i="5" s="1"/>
  <c r="CU45" i="5" s="1"/>
  <c r="CV45" i="5" s="1"/>
  <c r="CO46" i="5"/>
  <c r="CW45" i="5" s="1"/>
  <c r="DE45" i="5"/>
  <c r="DW44" i="5"/>
  <c r="DX44" i="5" s="1"/>
  <c r="DS45" i="5"/>
  <c r="DU45" i="5" s="1"/>
  <c r="CP46" i="5"/>
  <c r="DR46" i="5"/>
  <c r="CU44" i="5"/>
  <c r="CV44" i="5" s="1"/>
  <c r="CW44" i="5"/>
  <c r="CY44" i="5" s="1"/>
  <c r="DP46" i="5"/>
  <c r="DF46" i="5"/>
  <c r="DV46" i="5"/>
  <c r="CR46" i="5"/>
  <c r="DQ46" i="5"/>
  <c r="DY45" i="5" s="1"/>
  <c r="EA45" i="5" s="1"/>
  <c r="DD46" i="5"/>
  <c r="DC46" i="5"/>
  <c r="DK45" i="5" s="1"/>
  <c r="DM45" i="5" s="1"/>
  <c r="DB46" i="5"/>
  <c r="CX19" i="4"/>
  <c r="DF19" i="4" s="1"/>
  <c r="BL20" i="4"/>
  <c r="BM20" i="4" s="1"/>
  <c r="BO20" i="4" s="1"/>
  <c r="BQ20" i="4" s="1"/>
  <c r="W22" i="4"/>
  <c r="C40" i="4"/>
  <c r="CU21" i="4"/>
  <c r="CX20" i="4"/>
  <c r="DF20" i="4" s="1"/>
  <c r="CE46" i="5" l="1"/>
  <c r="CG46" i="5" s="1"/>
  <c r="CH46" i="5" s="1"/>
  <c r="CL46" i="5" s="1"/>
  <c r="CB47" i="5"/>
  <c r="CC47" i="5" s="1"/>
  <c r="CK46" i="5"/>
  <c r="CA47" i="5"/>
  <c r="AC22" i="4"/>
  <c r="BF45" i="5"/>
  <c r="CD47" i="5"/>
  <c r="CJ47" i="5"/>
  <c r="CF47" i="5"/>
  <c r="CI47" i="5" s="1"/>
  <c r="BA47" i="5"/>
  <c r="AY47" i="5"/>
  <c r="BE47" i="5"/>
  <c r="AF47" i="5"/>
  <c r="BZ47" i="5"/>
  <c r="AW47" i="5"/>
  <c r="AX47" i="5" s="1"/>
  <c r="AU47" i="5"/>
  <c r="BB47" i="5" s="1"/>
  <c r="AZ46" i="5"/>
  <c r="BC45" i="5"/>
  <c r="BG45" i="5" s="1"/>
  <c r="D46" i="5" s="1"/>
  <c r="P46" i="5" s="1"/>
  <c r="AV47" i="5"/>
  <c r="BO47" i="5"/>
  <c r="BN46" i="5"/>
  <c r="BN47" i="5" s="1"/>
  <c r="AT20" i="4"/>
  <c r="AV20" i="4" s="1"/>
  <c r="AX20" i="4" s="1"/>
  <c r="AY20" i="4" s="1"/>
  <c r="AZ20" i="4" s="1"/>
  <c r="BR44" i="5"/>
  <c r="BS44" i="5" s="1"/>
  <c r="BQ47" i="5"/>
  <c r="BK47" i="5"/>
  <c r="BL47" i="5"/>
  <c r="BT46" i="5" s="1"/>
  <c r="BV45" i="5"/>
  <c r="AD22" i="4"/>
  <c r="BA20" i="4"/>
  <c r="BB20" i="4" s="1"/>
  <c r="AG20" i="4"/>
  <c r="BE20" i="4" s="1"/>
  <c r="BS45" i="5"/>
  <c r="BB19" i="4"/>
  <c r="BC19" i="4" s="1"/>
  <c r="BD19" i="4" s="1"/>
  <c r="D38" i="4" s="1"/>
  <c r="BF19" i="4"/>
  <c r="AE21" i="4"/>
  <c r="Z22" i="4"/>
  <c r="AF22" i="4"/>
  <c r="BN22" i="4"/>
  <c r="AB22" i="4"/>
  <c r="AA22" i="4"/>
  <c r="BJ22" i="4"/>
  <c r="AJ46" i="5"/>
  <c r="AN46" i="5" s="1"/>
  <c r="AP46" i="5" s="1"/>
  <c r="AG47" i="5"/>
  <c r="BU47" i="5"/>
  <c r="AO47" i="5"/>
  <c r="AK47" i="5"/>
  <c r="AE48" i="5" s="1"/>
  <c r="AI47" i="5"/>
  <c r="BM47" i="5"/>
  <c r="F45" i="5"/>
  <c r="R45" i="5" s="1"/>
  <c r="AD51" i="5"/>
  <c r="AC52" i="5"/>
  <c r="BJ52" i="5"/>
  <c r="DZ47" i="5"/>
  <c r="J40" i="4"/>
  <c r="DE46" i="5"/>
  <c r="DG45" i="5"/>
  <c r="DI45" i="5" s="1"/>
  <c r="DJ45" i="5" s="1"/>
  <c r="DN45" i="5" s="1"/>
  <c r="J24" i="4"/>
  <c r="T23" i="4"/>
  <c r="J11" i="5"/>
  <c r="J26" i="5"/>
  <c r="J47" i="5"/>
  <c r="V47" i="5" s="1"/>
  <c r="V46" i="5"/>
  <c r="CV22" i="4"/>
  <c r="BP22" i="4"/>
  <c r="CY22" i="4"/>
  <c r="CW22" i="4"/>
  <c r="X22" i="4"/>
  <c r="K41" i="4" s="1"/>
  <c r="CT22" i="4"/>
  <c r="CS22" i="4"/>
  <c r="EB44" i="5"/>
  <c r="I45" i="5" s="1"/>
  <c r="U45" i="5" s="1"/>
  <c r="DN44" i="5"/>
  <c r="H45" i="5" s="1"/>
  <c r="T45" i="5" s="1"/>
  <c r="CX47" i="5"/>
  <c r="DL47" i="5"/>
  <c r="CZ44" i="5"/>
  <c r="G45" i="5" s="1"/>
  <c r="S45" i="5" s="1"/>
  <c r="DD47" i="5"/>
  <c r="CZ45" i="5"/>
  <c r="G46" i="5" s="1"/>
  <c r="S46" i="5" s="1"/>
  <c r="CY45" i="5"/>
  <c r="DB47" i="5"/>
  <c r="CT47" i="5"/>
  <c r="AA48" i="5"/>
  <c r="AB47" i="5"/>
  <c r="K48" i="5" s="1"/>
  <c r="W48" i="5" s="1"/>
  <c r="B48" i="5"/>
  <c r="DV47" i="5"/>
  <c r="DF47" i="5"/>
  <c r="BK22" i="4"/>
  <c r="CD21" i="4" s="1"/>
  <c r="CF20" i="4"/>
  <c r="CH20" i="4" s="1"/>
  <c r="CR47" i="5"/>
  <c r="DH47" i="5"/>
  <c r="DT47" i="5"/>
  <c r="CK20" i="4"/>
  <c r="CL20" i="4" s="1"/>
  <c r="DG19" i="4"/>
  <c r="DB19" i="4"/>
  <c r="DC19" i="4" s="1"/>
  <c r="CP47" i="5"/>
  <c r="CN47" i="5"/>
  <c r="CQ46" i="5"/>
  <c r="CS46" i="5" s="1"/>
  <c r="CU46" i="5" s="1"/>
  <c r="CV46" i="5" s="1"/>
  <c r="CO47" i="5"/>
  <c r="CW46" i="5" s="1"/>
  <c r="DS46" i="5"/>
  <c r="DU46" i="5" s="1"/>
  <c r="DW46" i="5" s="1"/>
  <c r="DX46" i="5" s="1"/>
  <c r="DW45" i="5"/>
  <c r="DX45" i="5" s="1"/>
  <c r="DP47" i="5"/>
  <c r="DQ47" i="5"/>
  <c r="DY46" i="5" s="1"/>
  <c r="EA46" i="5" s="1"/>
  <c r="DR47" i="5"/>
  <c r="DC47" i="5"/>
  <c r="DK46" i="5" s="1"/>
  <c r="DM46" i="5" s="1"/>
  <c r="DG20" i="4"/>
  <c r="DB20" i="4"/>
  <c r="DC20" i="4" s="1"/>
  <c r="CM19" i="4"/>
  <c r="CN19" i="4" s="1"/>
  <c r="F38" i="4" s="1"/>
  <c r="CO19" i="4"/>
  <c r="CP19" i="4" s="1"/>
  <c r="BL21" i="4"/>
  <c r="BM21" i="4" s="1"/>
  <c r="BO21" i="4" s="1"/>
  <c r="BQ21" i="4" s="1"/>
  <c r="CU22" i="4"/>
  <c r="CX21" i="4"/>
  <c r="DF21" i="4" s="1"/>
  <c r="C41" i="4"/>
  <c r="W23" i="4"/>
  <c r="CE47" i="5" l="1"/>
  <c r="CG47" i="5" s="1"/>
  <c r="CH47" i="5" s="1"/>
  <c r="CL47" i="5" s="1"/>
  <c r="CB48" i="5"/>
  <c r="CC48" i="5" s="1"/>
  <c r="AF48" i="5"/>
  <c r="AC23" i="4"/>
  <c r="BD46" i="5"/>
  <c r="BF46" i="5" s="1"/>
  <c r="BC46" i="5"/>
  <c r="BG46" i="5" s="1"/>
  <c r="D47" i="5" s="1"/>
  <c r="P47" i="5" s="1"/>
  <c r="AV48" i="5"/>
  <c r="AW48" i="5"/>
  <c r="AX48" i="5" s="1"/>
  <c r="AU48" i="5"/>
  <c r="BB48" i="5" s="1"/>
  <c r="CA48" i="5"/>
  <c r="AZ47" i="5"/>
  <c r="CK47" i="5"/>
  <c r="CF48" i="5"/>
  <c r="CI48" i="5" s="1"/>
  <c r="CJ48" i="5"/>
  <c r="CD48" i="5"/>
  <c r="CE48" i="5" s="1"/>
  <c r="BE48" i="5"/>
  <c r="BA48" i="5"/>
  <c r="AY48" i="5"/>
  <c r="BP47" i="5"/>
  <c r="BR47" i="5" s="1"/>
  <c r="BZ48" i="5"/>
  <c r="BO48" i="5"/>
  <c r="BK48" i="5"/>
  <c r="BN48" i="5"/>
  <c r="BP46" i="5"/>
  <c r="BR46" i="5" s="1"/>
  <c r="BS46" i="5" s="1"/>
  <c r="AT21" i="4"/>
  <c r="AV21" i="4" s="1"/>
  <c r="AX21" i="4" s="1"/>
  <c r="AY21" i="4" s="1"/>
  <c r="AZ21" i="4" s="1"/>
  <c r="BW44" i="5"/>
  <c r="E45" i="5" s="1"/>
  <c r="Q45" i="5" s="1"/>
  <c r="BW45" i="5"/>
  <c r="E46" i="5" s="1"/>
  <c r="Q46" i="5" s="1"/>
  <c r="BV46" i="5"/>
  <c r="BL48" i="5"/>
  <c r="BT47" i="5" s="1"/>
  <c r="BQ48" i="5"/>
  <c r="AD23" i="4"/>
  <c r="BF20" i="4"/>
  <c r="AG21" i="4"/>
  <c r="BE21" i="4" s="1"/>
  <c r="BC20" i="4"/>
  <c r="BD20" i="4" s="1"/>
  <c r="D39" i="4" s="1"/>
  <c r="BG19" i="4"/>
  <c r="E38" i="4" s="1"/>
  <c r="BA21" i="4"/>
  <c r="AA23" i="4"/>
  <c r="AB23" i="4"/>
  <c r="AE22" i="4"/>
  <c r="AG22" i="4" s="1"/>
  <c r="Z23" i="4"/>
  <c r="AF23" i="4"/>
  <c r="BN23" i="4"/>
  <c r="BJ23" i="4"/>
  <c r="AK48" i="5"/>
  <c r="AE49" i="5" s="1"/>
  <c r="AO48" i="5"/>
  <c r="BU48" i="5"/>
  <c r="AI48" i="5"/>
  <c r="BM48" i="5"/>
  <c r="AG48" i="5"/>
  <c r="AH48" i="5" s="1"/>
  <c r="AH47" i="5"/>
  <c r="AJ47" i="5" s="1"/>
  <c r="AN47" i="5" s="1"/>
  <c r="AP47" i="5" s="1"/>
  <c r="F46" i="5"/>
  <c r="R46" i="5" s="1"/>
  <c r="DG46" i="5"/>
  <c r="DI46" i="5" s="1"/>
  <c r="DJ46" i="5" s="1"/>
  <c r="DN46" i="5" s="1"/>
  <c r="H47" i="5" s="1"/>
  <c r="T47" i="5" s="1"/>
  <c r="AD52" i="5"/>
  <c r="AC53" i="5"/>
  <c r="BJ53" i="5"/>
  <c r="DH48" i="5"/>
  <c r="J41" i="4"/>
  <c r="DE47" i="5"/>
  <c r="J48" i="5"/>
  <c r="V48" i="5" s="1"/>
  <c r="J12" i="5"/>
  <c r="J27" i="5"/>
  <c r="J25" i="4"/>
  <c r="T24" i="4"/>
  <c r="CT23" i="4"/>
  <c r="CZ22" i="4" s="1"/>
  <c r="CV23" i="4"/>
  <c r="CZ21" i="4"/>
  <c r="DA21" i="4" s="1"/>
  <c r="CW23" i="4"/>
  <c r="BP23" i="4"/>
  <c r="CY23" i="4"/>
  <c r="X23" i="4"/>
  <c r="K42" i="4" s="1"/>
  <c r="CS23" i="4"/>
  <c r="CP48" i="5"/>
  <c r="CN48" i="5"/>
  <c r="AA49" i="5"/>
  <c r="AB48" i="5"/>
  <c r="K49" i="5" s="1"/>
  <c r="W49" i="5" s="1"/>
  <c r="DL48" i="5"/>
  <c r="DZ48" i="5"/>
  <c r="DD48" i="5"/>
  <c r="EB45" i="5"/>
  <c r="I46" i="5" s="1"/>
  <c r="U46" i="5" s="1"/>
  <c r="EB46" i="5"/>
  <c r="I47" i="5" s="1"/>
  <c r="U47" i="5" s="1"/>
  <c r="H46" i="5"/>
  <c r="T46" i="5" s="1"/>
  <c r="CX48" i="5"/>
  <c r="CZ46" i="5"/>
  <c r="G47" i="5" s="1"/>
  <c r="S47" i="5" s="1"/>
  <c r="CY46" i="5"/>
  <c r="DT48" i="5"/>
  <c r="DF48" i="5"/>
  <c r="CR48" i="5"/>
  <c r="B49" i="5"/>
  <c r="CT48" i="5"/>
  <c r="DV48" i="5"/>
  <c r="DR48" i="5"/>
  <c r="DP48" i="5"/>
  <c r="N48" i="5"/>
  <c r="DB48" i="5"/>
  <c r="BK23" i="4"/>
  <c r="CD22" i="4" s="1"/>
  <c r="DD19" i="4"/>
  <c r="DG21" i="4"/>
  <c r="CQ47" i="5"/>
  <c r="CS47" i="5" s="1"/>
  <c r="CU47" i="5" s="1"/>
  <c r="CV47" i="5" s="1"/>
  <c r="CO48" i="5"/>
  <c r="CW47" i="5" s="1"/>
  <c r="DS47" i="5"/>
  <c r="DQ48" i="5"/>
  <c r="DY47" i="5" s="1"/>
  <c r="EA47" i="5" s="1"/>
  <c r="DC48" i="5"/>
  <c r="DK47" i="5" s="1"/>
  <c r="DM47" i="5" s="1"/>
  <c r="DB21" i="4"/>
  <c r="DC21" i="4" s="1"/>
  <c r="CQ19" i="4"/>
  <c r="G38" i="4" s="1"/>
  <c r="CO20" i="4"/>
  <c r="CP20" i="4" s="1"/>
  <c r="CI20" i="4"/>
  <c r="CJ20" i="4" s="1"/>
  <c r="BL22" i="4"/>
  <c r="BM22" i="4" s="1"/>
  <c r="BO22" i="4" s="1"/>
  <c r="BQ22" i="4" s="1"/>
  <c r="C42" i="4"/>
  <c r="W24" i="4"/>
  <c r="CU23" i="4"/>
  <c r="CX22" i="4"/>
  <c r="DF22" i="4" s="1"/>
  <c r="BZ49" i="5" l="1"/>
  <c r="BZ50" i="5" s="1"/>
  <c r="BD47" i="5"/>
  <c r="BF47" i="5" s="1"/>
  <c r="BC47" i="5"/>
  <c r="BG47" i="5" s="1"/>
  <c r="D48" i="5" s="1"/>
  <c r="P48" i="5" s="1"/>
  <c r="CG48" i="5"/>
  <c r="CH48" i="5" s="1"/>
  <c r="CL48" i="5" s="1"/>
  <c r="AW49" i="5"/>
  <c r="AX49" i="5" s="1"/>
  <c r="AU49" i="5"/>
  <c r="BB49" i="5" s="1"/>
  <c r="CA49" i="5"/>
  <c r="AF49" i="5"/>
  <c r="CF49" i="5"/>
  <c r="CI49" i="5" s="1"/>
  <c r="CD49" i="5"/>
  <c r="CJ49" i="5"/>
  <c r="AY49" i="5"/>
  <c r="BE49" i="5"/>
  <c r="BA49" i="5"/>
  <c r="AC24" i="4"/>
  <c r="AZ48" i="5"/>
  <c r="AV49" i="5"/>
  <c r="CK48" i="5"/>
  <c r="CB49" i="5"/>
  <c r="CC49" i="5" s="1"/>
  <c r="BP48" i="5"/>
  <c r="BR48" i="5" s="1"/>
  <c r="BQ49" i="5"/>
  <c r="BO49" i="5"/>
  <c r="BN49" i="5"/>
  <c r="AT22" i="4"/>
  <c r="AV22" i="4" s="1"/>
  <c r="AX22" i="4" s="1"/>
  <c r="AY22" i="4" s="1"/>
  <c r="AZ22" i="4" s="1"/>
  <c r="BW46" i="5"/>
  <c r="E47" i="5" s="1"/>
  <c r="Q47" i="5" s="1"/>
  <c r="BV47" i="5"/>
  <c r="BL49" i="5"/>
  <c r="BT48" i="5" s="1"/>
  <c r="BK49" i="5"/>
  <c r="AD24" i="4"/>
  <c r="BF21" i="4"/>
  <c r="BG20" i="4"/>
  <c r="E39" i="4" s="1"/>
  <c r="BB21" i="4"/>
  <c r="BC21" i="4" s="1"/>
  <c r="BD21" i="4" s="1"/>
  <c r="D40" i="4" s="1"/>
  <c r="Z24" i="4"/>
  <c r="BE22" i="4"/>
  <c r="BA22" i="4"/>
  <c r="AF24" i="4"/>
  <c r="BN24" i="4"/>
  <c r="AE23" i="4"/>
  <c r="AG23" i="4" s="1"/>
  <c r="AA24" i="4"/>
  <c r="AB24" i="4"/>
  <c r="BJ24" i="4"/>
  <c r="J42" i="4"/>
  <c r="AG49" i="5"/>
  <c r="AH49" i="5" s="1"/>
  <c r="BU49" i="5"/>
  <c r="AK49" i="5"/>
  <c r="AE50" i="5" s="1"/>
  <c r="AO49" i="5"/>
  <c r="AI49" i="5"/>
  <c r="BM49" i="5"/>
  <c r="AJ48" i="5"/>
  <c r="AN48" i="5" s="1"/>
  <c r="AP48" i="5" s="1"/>
  <c r="BS47" i="5"/>
  <c r="F47" i="5"/>
  <c r="R47" i="5" s="1"/>
  <c r="DB49" i="5"/>
  <c r="DE48" i="5"/>
  <c r="DE49" i="5" s="1"/>
  <c r="DD49" i="5"/>
  <c r="AD53" i="5"/>
  <c r="AC54" i="5"/>
  <c r="BJ54" i="5"/>
  <c r="DH49" i="5"/>
  <c r="DG47" i="5"/>
  <c r="DI47" i="5" s="1"/>
  <c r="DJ47" i="5" s="1"/>
  <c r="DN47" i="5" s="1"/>
  <c r="H48" i="5" s="1"/>
  <c r="T48" i="5" s="1"/>
  <c r="J26" i="4"/>
  <c r="T25" i="4"/>
  <c r="N49" i="5"/>
  <c r="J49" i="5"/>
  <c r="V49" i="5" s="1"/>
  <c r="J13" i="5"/>
  <c r="J28" i="5"/>
  <c r="CV24" i="4"/>
  <c r="CP49" i="5"/>
  <c r="DF49" i="5"/>
  <c r="CR49" i="5"/>
  <c r="CT49" i="5"/>
  <c r="AA50" i="5"/>
  <c r="CT24" i="4"/>
  <c r="DA22" i="4"/>
  <c r="CS24" i="4"/>
  <c r="BP24" i="4"/>
  <c r="CY24" i="4"/>
  <c r="CW24" i="4"/>
  <c r="X24" i="4"/>
  <c r="K43" i="4" s="1"/>
  <c r="CN49" i="5"/>
  <c r="DV49" i="5"/>
  <c r="B50" i="5"/>
  <c r="DZ49" i="5"/>
  <c r="AB49" i="5"/>
  <c r="K50" i="5" s="1"/>
  <c r="W50" i="5" s="1"/>
  <c r="CX49" i="5"/>
  <c r="DL49" i="5"/>
  <c r="DT49" i="5"/>
  <c r="DP49" i="5"/>
  <c r="CZ47" i="5"/>
  <c r="G48" i="5" s="1"/>
  <c r="S48" i="5" s="1"/>
  <c r="CY47" i="5"/>
  <c r="DR49" i="5"/>
  <c r="CF21" i="4"/>
  <c r="CH21" i="4" s="1"/>
  <c r="CI21" i="4" s="1"/>
  <c r="CJ21" i="4" s="1"/>
  <c r="BK24" i="4"/>
  <c r="CD23" i="4" s="1"/>
  <c r="DE19" i="4"/>
  <c r="H38" i="4" s="1"/>
  <c r="DH19" i="4"/>
  <c r="I38" i="4" s="1"/>
  <c r="DD20" i="4"/>
  <c r="DB22" i="4"/>
  <c r="DC22" i="4" s="1"/>
  <c r="CQ48" i="5"/>
  <c r="CS48" i="5" s="1"/>
  <c r="CU48" i="5" s="1"/>
  <c r="CV48" i="5" s="1"/>
  <c r="CO49" i="5"/>
  <c r="CW48" i="5" s="1"/>
  <c r="DC49" i="5"/>
  <c r="DK48" i="5" s="1"/>
  <c r="DM48" i="5" s="1"/>
  <c r="DQ49" i="5"/>
  <c r="DY48" i="5" s="1"/>
  <c r="EA48" i="5" s="1"/>
  <c r="DU47" i="5"/>
  <c r="DW47" i="5" s="1"/>
  <c r="DX47" i="5" s="1"/>
  <c r="DS48" i="5"/>
  <c r="DG22" i="4"/>
  <c r="CM20" i="4"/>
  <c r="CK21" i="4"/>
  <c r="CL21" i="4" s="1"/>
  <c r="CO21" i="4"/>
  <c r="BL23" i="4"/>
  <c r="BM23" i="4" s="1"/>
  <c r="BO23" i="4" s="1"/>
  <c r="BQ23" i="4" s="1"/>
  <c r="CX23" i="4"/>
  <c r="DF23" i="4" s="1"/>
  <c r="W25" i="4"/>
  <c r="C43" i="4"/>
  <c r="CU24" i="4"/>
  <c r="CB50" i="5" l="1"/>
  <c r="CC50" i="5" s="1"/>
  <c r="CD50" i="5"/>
  <c r="CJ50" i="5"/>
  <c r="CF50" i="5"/>
  <c r="CI50" i="5" s="1"/>
  <c r="BE50" i="5"/>
  <c r="BA50" i="5"/>
  <c r="AY50" i="5"/>
  <c r="AZ49" i="5"/>
  <c r="AC25" i="4"/>
  <c r="BD48" i="5"/>
  <c r="BF48" i="5" s="1"/>
  <c r="BC48" i="5"/>
  <c r="BG48" i="5" s="1"/>
  <c r="D49" i="5" s="1"/>
  <c r="P49" i="5" s="1"/>
  <c r="CK49" i="5"/>
  <c r="AF50" i="5"/>
  <c r="AV50" i="5"/>
  <c r="AW50" i="5"/>
  <c r="AX50" i="5" s="1"/>
  <c r="AU50" i="5"/>
  <c r="BB50" i="5" s="1"/>
  <c r="CA50" i="5"/>
  <c r="CE49" i="5"/>
  <c r="BO50" i="5"/>
  <c r="BK50" i="5"/>
  <c r="BN50" i="5"/>
  <c r="BP49" i="5"/>
  <c r="AT23" i="4"/>
  <c r="AV23" i="4" s="1"/>
  <c r="AX23" i="4" s="1"/>
  <c r="AY23" i="4" s="1"/>
  <c r="AZ23" i="4" s="1"/>
  <c r="BW47" i="5"/>
  <c r="E48" i="5" s="1"/>
  <c r="Q48" i="5" s="1"/>
  <c r="BV48" i="5"/>
  <c r="BL50" i="5"/>
  <c r="BT49" i="5" s="1"/>
  <c r="BQ50" i="5"/>
  <c r="BG21" i="4"/>
  <c r="E40" i="4" s="1"/>
  <c r="AE24" i="4"/>
  <c r="AF25" i="4"/>
  <c r="BN25" i="4"/>
  <c r="Y25" i="4"/>
  <c r="AD25" i="4" s="1"/>
  <c r="AA25" i="4"/>
  <c r="AT24" i="4" s="1"/>
  <c r="AB25" i="4"/>
  <c r="BF22" i="4"/>
  <c r="BB22" i="4"/>
  <c r="BC22" i="4" s="1"/>
  <c r="BD22" i="4" s="1"/>
  <c r="D41" i="4" s="1"/>
  <c r="BE23" i="4"/>
  <c r="BA23" i="4"/>
  <c r="Z25" i="4"/>
  <c r="BJ25" i="4"/>
  <c r="J43" i="4"/>
  <c r="F48" i="5"/>
  <c r="R48" i="5" s="1"/>
  <c r="BM50" i="5"/>
  <c r="AG50" i="5"/>
  <c r="AH50" i="5" s="1"/>
  <c r="AK50" i="5"/>
  <c r="AE51" i="5" s="1"/>
  <c r="AO50" i="5"/>
  <c r="BU50" i="5"/>
  <c r="AI50" i="5"/>
  <c r="AJ49" i="5"/>
  <c r="AN49" i="5" s="1"/>
  <c r="AP49" i="5" s="1"/>
  <c r="BS48" i="5"/>
  <c r="BW48" i="5" s="1"/>
  <c r="DD50" i="5"/>
  <c r="DB50" i="5"/>
  <c r="DG48" i="5"/>
  <c r="DI48" i="5" s="1"/>
  <c r="DJ48" i="5" s="1"/>
  <c r="DN48" i="5" s="1"/>
  <c r="H49" i="5" s="1"/>
  <c r="T49" i="5" s="1"/>
  <c r="AD54" i="5"/>
  <c r="AC55" i="5"/>
  <c r="BJ55" i="5"/>
  <c r="DZ50" i="5"/>
  <c r="J50" i="5"/>
  <c r="V50" i="5" s="1"/>
  <c r="J14" i="5"/>
  <c r="J29" i="5"/>
  <c r="J27" i="4"/>
  <c r="T26" i="4"/>
  <c r="CV25" i="4"/>
  <c r="CF22" i="4"/>
  <c r="CH22" i="4" s="1"/>
  <c r="CI22" i="4" s="1"/>
  <c r="CJ22" i="4" s="1"/>
  <c r="CK23" i="4" s="1"/>
  <c r="CL23" i="4" s="1"/>
  <c r="DE50" i="5"/>
  <c r="DV50" i="5"/>
  <c r="CN50" i="5"/>
  <c r="AA51" i="5"/>
  <c r="DF50" i="5"/>
  <c r="AB50" i="5"/>
  <c r="K51" i="5" s="1"/>
  <c r="W51" i="5" s="1"/>
  <c r="B51" i="5"/>
  <c r="CP50" i="5"/>
  <c r="DR50" i="5"/>
  <c r="DL50" i="5"/>
  <c r="CR50" i="5"/>
  <c r="DH50" i="5"/>
  <c r="DT50" i="5"/>
  <c r="CT50" i="5"/>
  <c r="CX50" i="5"/>
  <c r="CT25" i="4"/>
  <c r="CZ24" i="4" s="1"/>
  <c r="CZ23" i="4"/>
  <c r="DA23" i="4" s="1"/>
  <c r="BP25" i="4"/>
  <c r="CY25" i="4"/>
  <c r="CW25" i="4"/>
  <c r="X25" i="4"/>
  <c r="K44" i="4" s="1"/>
  <c r="CS25" i="4"/>
  <c r="DP50" i="5"/>
  <c r="DG49" i="5"/>
  <c r="DI49" i="5" s="1"/>
  <c r="DJ49" i="5" s="1"/>
  <c r="DN49" i="5" s="1"/>
  <c r="N50" i="5"/>
  <c r="EB47" i="5"/>
  <c r="I48" i="5" s="1"/>
  <c r="U48" i="5" s="1"/>
  <c r="CY48" i="5"/>
  <c r="CZ48" i="5"/>
  <c r="G49" i="5" s="1"/>
  <c r="S49" i="5" s="1"/>
  <c r="BK25" i="4"/>
  <c r="CD24" i="4" s="1"/>
  <c r="DD21" i="4"/>
  <c r="DH21" i="4" s="1"/>
  <c r="I40" i="4" s="1"/>
  <c r="DE20" i="4"/>
  <c r="H39" i="4" s="1"/>
  <c r="DH20" i="4"/>
  <c r="I39" i="4" s="1"/>
  <c r="CP21" i="4"/>
  <c r="DG23" i="4"/>
  <c r="CM21" i="4"/>
  <c r="CN21" i="4" s="1"/>
  <c r="F40" i="4" s="1"/>
  <c r="CQ49" i="5"/>
  <c r="CS49" i="5" s="1"/>
  <c r="CU49" i="5" s="1"/>
  <c r="CV49" i="5" s="1"/>
  <c r="CO50" i="5"/>
  <c r="CW49" i="5" s="1"/>
  <c r="DC50" i="5"/>
  <c r="DK49" i="5" s="1"/>
  <c r="DM49" i="5" s="1"/>
  <c r="DQ50" i="5"/>
  <c r="DY49" i="5" s="1"/>
  <c r="EA49" i="5" s="1"/>
  <c r="DS49" i="5"/>
  <c r="DU48" i="5"/>
  <c r="DW48" i="5" s="1"/>
  <c r="DX48" i="5" s="1"/>
  <c r="DB23" i="4"/>
  <c r="DC23" i="4" s="1"/>
  <c r="CQ20" i="4"/>
  <c r="G39" i="4" s="1"/>
  <c r="CN20" i="4"/>
  <c r="F39" i="4" s="1"/>
  <c r="CK22" i="4"/>
  <c r="CL22" i="4" s="1"/>
  <c r="CO22" i="4"/>
  <c r="BL24" i="4"/>
  <c r="BM24" i="4" s="1"/>
  <c r="BO24" i="4" s="1"/>
  <c r="BQ24" i="4" s="1"/>
  <c r="CX24" i="4"/>
  <c r="DF24" i="4" s="1"/>
  <c r="W26" i="4"/>
  <c r="C44" i="4"/>
  <c r="CU25" i="4"/>
  <c r="CA51" i="5" l="1"/>
  <c r="BZ51" i="5"/>
  <c r="CB51" i="5"/>
  <c r="CC51" i="5" s="1"/>
  <c r="CE50" i="5"/>
  <c r="CG50" i="5" s="1"/>
  <c r="CH50" i="5" s="1"/>
  <c r="CL50" i="5" s="1"/>
  <c r="AZ50" i="5"/>
  <c r="BD50" i="5" s="1"/>
  <c r="CG49" i="5"/>
  <c r="CH49" i="5" s="1"/>
  <c r="CL49" i="5" s="1"/>
  <c r="AV51" i="5"/>
  <c r="AW51" i="5"/>
  <c r="AX51" i="5" s="1"/>
  <c r="AU51" i="5"/>
  <c r="BB51" i="5" s="1"/>
  <c r="AC26" i="4"/>
  <c r="BD49" i="5"/>
  <c r="BF49" i="5" s="1"/>
  <c r="BC49" i="5"/>
  <c r="BG49" i="5" s="1"/>
  <c r="D50" i="5" s="1"/>
  <c r="P50" i="5" s="1"/>
  <c r="CJ51" i="5"/>
  <c r="CF51" i="5"/>
  <c r="CI51" i="5" s="1"/>
  <c r="CD51" i="5"/>
  <c r="BA51" i="5"/>
  <c r="BE51" i="5"/>
  <c r="AY51" i="5"/>
  <c r="AF51" i="5"/>
  <c r="CK50" i="5"/>
  <c r="BO51" i="5"/>
  <c r="BK51" i="5"/>
  <c r="BP50" i="5"/>
  <c r="BR50" i="5" s="1"/>
  <c r="BN51" i="5"/>
  <c r="E49" i="5"/>
  <c r="Q49" i="5" s="1"/>
  <c r="BL51" i="5"/>
  <c r="BT50" i="5" s="1"/>
  <c r="BR49" i="5"/>
  <c r="BS49" i="5" s="1"/>
  <c r="BQ51" i="5"/>
  <c r="BA24" i="4"/>
  <c r="BB24" i="4" s="1"/>
  <c r="AG24" i="4"/>
  <c r="BE24" i="4" s="1"/>
  <c r="AV24" i="4"/>
  <c r="AX24" i="4" s="1"/>
  <c r="AY24" i="4" s="1"/>
  <c r="AZ24" i="4" s="1"/>
  <c r="Z26" i="4"/>
  <c r="AF26" i="4"/>
  <c r="BN26" i="4"/>
  <c r="Y26" i="4"/>
  <c r="AD26" i="4" s="1"/>
  <c r="BG22" i="4"/>
  <c r="E41" i="4" s="1"/>
  <c r="AB26" i="4"/>
  <c r="AA26" i="4"/>
  <c r="AT25" i="4" s="1"/>
  <c r="AE25" i="4"/>
  <c r="AG25" i="4" s="1"/>
  <c r="BF23" i="4"/>
  <c r="BB23" i="4"/>
  <c r="BC23" i="4" s="1"/>
  <c r="BJ26" i="4"/>
  <c r="BV49" i="5"/>
  <c r="F49" i="5"/>
  <c r="R49" i="5" s="1"/>
  <c r="J44" i="4"/>
  <c r="AJ50" i="5"/>
  <c r="AN50" i="5" s="1"/>
  <c r="AP50" i="5" s="1"/>
  <c r="AG51" i="5"/>
  <c r="AH51" i="5" s="1"/>
  <c r="BU51" i="5"/>
  <c r="AO51" i="5"/>
  <c r="AK51" i="5"/>
  <c r="AE52" i="5" s="1"/>
  <c r="AI51" i="5"/>
  <c r="BM51" i="5"/>
  <c r="DD51" i="5"/>
  <c r="CT51" i="5"/>
  <c r="DL51" i="5"/>
  <c r="AD55" i="5"/>
  <c r="AC56" i="5"/>
  <c r="BJ56" i="5"/>
  <c r="AB51" i="5"/>
  <c r="K52" i="5" s="1"/>
  <c r="W52" i="5" s="1"/>
  <c r="DV51" i="5"/>
  <c r="CX51" i="5"/>
  <c r="AA52" i="5"/>
  <c r="DF51" i="5"/>
  <c r="B52" i="5"/>
  <c r="N52" i="5" s="1"/>
  <c r="N51" i="5"/>
  <c r="J51" i="5"/>
  <c r="V51" i="5" s="1"/>
  <c r="J28" i="4"/>
  <c r="T27" i="4"/>
  <c r="DR51" i="5"/>
  <c r="J15" i="5"/>
  <c r="J30" i="5"/>
  <c r="DA24" i="4"/>
  <c r="CT26" i="4"/>
  <c r="CZ25" i="4" s="1"/>
  <c r="CV26" i="4"/>
  <c r="DP51" i="5"/>
  <c r="DG50" i="5"/>
  <c r="DI50" i="5" s="1"/>
  <c r="DJ50" i="5" s="1"/>
  <c r="DN50" i="5" s="1"/>
  <c r="H51" i="5" s="1"/>
  <c r="T51" i="5" s="1"/>
  <c r="DT51" i="5"/>
  <c r="CR51" i="5"/>
  <c r="DH51" i="5"/>
  <c r="DZ51" i="5"/>
  <c r="DE51" i="5"/>
  <c r="CN51" i="5"/>
  <c r="DB51" i="5"/>
  <c r="CP51" i="5"/>
  <c r="CS26" i="4"/>
  <c r="BP26" i="4"/>
  <c r="CY26" i="4"/>
  <c r="CW26" i="4"/>
  <c r="X26" i="4"/>
  <c r="K45" i="4" s="1"/>
  <c r="EB48" i="5"/>
  <c r="I49" i="5" s="1"/>
  <c r="U49" i="5" s="1"/>
  <c r="H50" i="5"/>
  <c r="T50" i="5" s="1"/>
  <c r="CZ49" i="5"/>
  <c r="G50" i="5" s="1"/>
  <c r="S50" i="5" s="1"/>
  <c r="CY49" i="5"/>
  <c r="BK26" i="4"/>
  <c r="CD25" i="4" s="1"/>
  <c r="DD22" i="4"/>
  <c r="DE22" i="4" s="1"/>
  <c r="H41" i="4" s="1"/>
  <c r="DE21" i="4"/>
  <c r="H40" i="4" s="1"/>
  <c r="CP22" i="4"/>
  <c r="CQ50" i="5"/>
  <c r="CQ51" i="5" s="1"/>
  <c r="CO51" i="5"/>
  <c r="CW50" i="5" s="1"/>
  <c r="DC51" i="5"/>
  <c r="DK50" i="5" s="1"/>
  <c r="DM50" i="5" s="1"/>
  <c r="DQ51" i="5"/>
  <c r="DY50" i="5" s="1"/>
  <c r="EA50" i="5" s="1"/>
  <c r="DS50" i="5"/>
  <c r="DU49" i="5"/>
  <c r="DW49" i="5" s="1"/>
  <c r="DX49" i="5" s="1"/>
  <c r="DG24" i="4"/>
  <c r="DB24" i="4"/>
  <c r="DC24" i="4" s="1"/>
  <c r="CQ21" i="4"/>
  <c r="G40" i="4" s="1"/>
  <c r="CM22" i="4"/>
  <c r="CO23" i="4"/>
  <c r="CP23" i="4" s="1"/>
  <c r="BL25" i="4"/>
  <c r="BM25" i="4" s="1"/>
  <c r="BO25" i="4" s="1"/>
  <c r="BQ25" i="4" s="1"/>
  <c r="CF23" i="4"/>
  <c r="CH23" i="4" s="1"/>
  <c r="CX25" i="4"/>
  <c r="DF25" i="4" s="1"/>
  <c r="CU26" i="4"/>
  <c r="W27" i="4"/>
  <c r="C45" i="4"/>
  <c r="BC50" i="5" l="1"/>
  <c r="BG50" i="5" s="1"/>
  <c r="D51" i="5" s="1"/>
  <c r="P51" i="5" s="1"/>
  <c r="CB52" i="5"/>
  <c r="CC52" i="5" s="1"/>
  <c r="CE51" i="5"/>
  <c r="CG51" i="5" s="1"/>
  <c r="CH51" i="5" s="1"/>
  <c r="CL51" i="5" s="1"/>
  <c r="BF50" i="5"/>
  <c r="BZ52" i="5"/>
  <c r="AV52" i="5"/>
  <c r="AV53" i="5" s="1"/>
  <c r="CF52" i="5"/>
  <c r="CI52" i="5" s="1"/>
  <c r="CD52" i="5"/>
  <c r="CJ52" i="5"/>
  <c r="BA52" i="5"/>
  <c r="AY52" i="5"/>
  <c r="BE52" i="5"/>
  <c r="AU52" i="5"/>
  <c r="BB52" i="5" s="1"/>
  <c r="AW52" i="5"/>
  <c r="AX52" i="5" s="1"/>
  <c r="AF52" i="5"/>
  <c r="CA52" i="5"/>
  <c r="AC27" i="4"/>
  <c r="CK51" i="5"/>
  <c r="AZ51" i="5"/>
  <c r="BO52" i="5"/>
  <c r="DF52" i="5"/>
  <c r="B53" i="5"/>
  <c r="N53" i="5" s="1"/>
  <c r="AA53" i="5"/>
  <c r="CX52" i="5"/>
  <c r="AB52" i="5"/>
  <c r="K53" i="5" s="1"/>
  <c r="W53" i="5" s="1"/>
  <c r="DH52" i="5"/>
  <c r="DL52" i="5"/>
  <c r="CR52" i="5"/>
  <c r="DT52" i="5"/>
  <c r="BN52" i="5"/>
  <c r="BW49" i="5"/>
  <c r="E50" i="5" s="1"/>
  <c r="Q50" i="5" s="1"/>
  <c r="BL52" i="5"/>
  <c r="BT51" i="5" s="1"/>
  <c r="BP51" i="5"/>
  <c r="BR51" i="5" s="1"/>
  <c r="BQ52" i="5"/>
  <c r="BK52" i="5"/>
  <c r="BF24" i="4"/>
  <c r="AV25" i="4"/>
  <c r="AX25" i="4" s="1"/>
  <c r="AY25" i="4" s="1"/>
  <c r="AZ25" i="4" s="1"/>
  <c r="Z27" i="4"/>
  <c r="BG23" i="4"/>
  <c r="E42" i="4" s="1"/>
  <c r="F50" i="5"/>
  <c r="R50" i="5" s="1"/>
  <c r="BV50" i="5"/>
  <c r="AE26" i="4"/>
  <c r="AG26" i="4" s="1"/>
  <c r="BE25" i="4"/>
  <c r="BA25" i="4"/>
  <c r="BC24" i="4"/>
  <c r="BD23" i="4"/>
  <c r="D42" i="4" s="1"/>
  <c r="AB27" i="4"/>
  <c r="AA27" i="4"/>
  <c r="AT26" i="4" s="1"/>
  <c r="AF27" i="4"/>
  <c r="Y27" i="4"/>
  <c r="AD27" i="4" s="1"/>
  <c r="BN27" i="4"/>
  <c r="BJ27" i="4"/>
  <c r="J45" i="4"/>
  <c r="CP52" i="5"/>
  <c r="BU52" i="5"/>
  <c r="AK52" i="5"/>
  <c r="AE53" i="5" s="1"/>
  <c r="AO52" i="5"/>
  <c r="AI52" i="5"/>
  <c r="BM52" i="5"/>
  <c r="AG52" i="5"/>
  <c r="AH52" i="5" s="1"/>
  <c r="BS50" i="5"/>
  <c r="AJ51" i="5"/>
  <c r="AN51" i="5" s="1"/>
  <c r="AP51" i="5" s="1"/>
  <c r="DD52" i="5"/>
  <c r="CN52" i="5"/>
  <c r="DV52" i="5"/>
  <c r="CQ52" i="5"/>
  <c r="DZ52" i="5"/>
  <c r="AD56" i="5"/>
  <c r="AC57" i="5"/>
  <c r="CT52" i="5"/>
  <c r="BJ57" i="5"/>
  <c r="DR52" i="5"/>
  <c r="DG51" i="5"/>
  <c r="DI51" i="5" s="1"/>
  <c r="DJ51" i="5" s="1"/>
  <c r="DN51" i="5" s="1"/>
  <c r="H52" i="5" s="1"/>
  <c r="T52" i="5" s="1"/>
  <c r="DP52" i="5"/>
  <c r="DB52" i="5"/>
  <c r="CT27" i="4"/>
  <c r="CZ26" i="4" s="1"/>
  <c r="DA25" i="4"/>
  <c r="J16" i="5"/>
  <c r="J31" i="5"/>
  <c r="J52" i="5"/>
  <c r="V52" i="5" s="1"/>
  <c r="J29" i="4"/>
  <c r="T28" i="4"/>
  <c r="CS27" i="4"/>
  <c r="CV27" i="4"/>
  <c r="DE52" i="5"/>
  <c r="CW27" i="4"/>
  <c r="CY27" i="4"/>
  <c r="BP27" i="4"/>
  <c r="X27" i="4"/>
  <c r="K46" i="4" s="1"/>
  <c r="EB49" i="5"/>
  <c r="I50" i="5" s="1"/>
  <c r="U50" i="5" s="1"/>
  <c r="CY50" i="5"/>
  <c r="CX53" i="5"/>
  <c r="BK27" i="4"/>
  <c r="CD26" i="4" s="1"/>
  <c r="DH22" i="4"/>
  <c r="I41" i="4" s="1"/>
  <c r="DD23" i="4"/>
  <c r="DE23" i="4" s="1"/>
  <c r="H42" i="4" s="1"/>
  <c r="DG25" i="4"/>
  <c r="CO52" i="5"/>
  <c r="CW51" i="5" s="1"/>
  <c r="CS50" i="5"/>
  <c r="CU50" i="5" s="1"/>
  <c r="CV50" i="5" s="1"/>
  <c r="CS51" i="5"/>
  <c r="CU51" i="5" s="1"/>
  <c r="CV51" i="5" s="1"/>
  <c r="DC52" i="5"/>
  <c r="DK51" i="5" s="1"/>
  <c r="DM51" i="5" s="1"/>
  <c r="DQ52" i="5"/>
  <c r="DY51" i="5" s="1"/>
  <c r="EA51" i="5" s="1"/>
  <c r="DS51" i="5"/>
  <c r="DU50" i="5"/>
  <c r="DH53" i="5"/>
  <c r="DF53" i="5"/>
  <c r="DB25" i="4"/>
  <c r="DC25" i="4" s="1"/>
  <c r="CQ22" i="4"/>
  <c r="G41" i="4" s="1"/>
  <c r="CN22" i="4"/>
  <c r="F41" i="4" s="1"/>
  <c r="CM23" i="4"/>
  <c r="CO24" i="4"/>
  <c r="BL26" i="4"/>
  <c r="BM26" i="4" s="1"/>
  <c r="BO26" i="4" s="1"/>
  <c r="BQ26" i="4" s="1"/>
  <c r="CI23" i="4"/>
  <c r="CJ23" i="4" s="1"/>
  <c r="CK24" i="4" s="1"/>
  <c r="CL24" i="4" s="1"/>
  <c r="CX26" i="4"/>
  <c r="DF26" i="4" s="1"/>
  <c r="W28" i="4"/>
  <c r="C46" i="4"/>
  <c r="CU27" i="4"/>
  <c r="CE52" i="5" l="1"/>
  <c r="CG52" i="5" s="1"/>
  <c r="CH52" i="5" s="1"/>
  <c r="CL52" i="5" s="1"/>
  <c r="AZ52" i="5"/>
  <c r="BD52" i="5" s="1"/>
  <c r="CK52" i="5"/>
  <c r="CB53" i="5"/>
  <c r="CC53" i="5" s="1"/>
  <c r="BD51" i="5"/>
  <c r="BF51" i="5" s="1"/>
  <c r="BC51" i="5"/>
  <c r="BG51" i="5" s="1"/>
  <c r="D52" i="5" s="1"/>
  <c r="P52" i="5" s="1"/>
  <c r="AC28" i="4"/>
  <c r="BZ53" i="5"/>
  <c r="CA53" i="5"/>
  <c r="AO53" i="5"/>
  <c r="CF53" i="5"/>
  <c r="CI53" i="5" s="1"/>
  <c r="CD53" i="5"/>
  <c r="CJ53" i="5"/>
  <c r="BA53" i="5"/>
  <c r="BE53" i="5"/>
  <c r="AY53" i="5"/>
  <c r="AF53" i="5"/>
  <c r="AU53" i="5"/>
  <c r="BB53" i="5" s="1"/>
  <c r="AW53" i="5"/>
  <c r="AX53" i="5" s="1"/>
  <c r="B54" i="5"/>
  <c r="BO53" i="5"/>
  <c r="BP52" i="5"/>
  <c r="BR52" i="5" s="1"/>
  <c r="CS52" i="5"/>
  <c r="CU52" i="5" s="1"/>
  <c r="CV52" i="5" s="1"/>
  <c r="AK53" i="5"/>
  <c r="AE54" i="5" s="1"/>
  <c r="BU53" i="5"/>
  <c r="DT53" i="5"/>
  <c r="DL53" i="5"/>
  <c r="AB53" i="5"/>
  <c r="K54" i="5" s="1"/>
  <c r="W54" i="5" s="1"/>
  <c r="DZ53" i="5"/>
  <c r="AA54" i="5"/>
  <c r="CT53" i="5"/>
  <c r="AI53" i="5"/>
  <c r="BN53" i="5"/>
  <c r="CR53" i="5"/>
  <c r="DV53" i="5"/>
  <c r="DD53" i="5"/>
  <c r="DD54" i="5" s="1"/>
  <c r="BQ53" i="5"/>
  <c r="DB53" i="5"/>
  <c r="DB54" i="5" s="1"/>
  <c r="BK53" i="5"/>
  <c r="BW50" i="5"/>
  <c r="E51" i="5" s="1"/>
  <c r="Q51" i="5" s="1"/>
  <c r="BL53" i="5"/>
  <c r="BT52" i="5" s="1"/>
  <c r="BE26" i="4"/>
  <c r="AV26" i="4"/>
  <c r="AX26" i="4" s="1"/>
  <c r="AY26" i="4" s="1"/>
  <c r="AZ26" i="4" s="1"/>
  <c r="BV51" i="5"/>
  <c r="F51" i="5"/>
  <c r="R51" i="5" s="1"/>
  <c r="BA26" i="4"/>
  <c r="BB26" i="4" s="1"/>
  <c r="CP53" i="5"/>
  <c r="BD24" i="4"/>
  <c r="D43" i="4" s="1"/>
  <c r="BG24" i="4"/>
  <c r="E43" i="4" s="1"/>
  <c r="AB28" i="4"/>
  <c r="AA28" i="4"/>
  <c r="AT27" i="4" s="1"/>
  <c r="Z28" i="4"/>
  <c r="J46" i="4"/>
  <c r="AF28" i="4"/>
  <c r="BN28" i="4"/>
  <c r="Y28" i="4"/>
  <c r="AD28" i="4" s="1"/>
  <c r="BF25" i="4"/>
  <c r="BB25" i="4"/>
  <c r="BC25" i="4" s="1"/>
  <c r="BD25" i="4" s="1"/>
  <c r="D44" i="4" s="1"/>
  <c r="AE27" i="4"/>
  <c r="AG27" i="4" s="1"/>
  <c r="BJ28" i="4"/>
  <c r="AJ52" i="5"/>
  <c r="AN52" i="5" s="1"/>
  <c r="AP52" i="5" s="1"/>
  <c r="BS51" i="5"/>
  <c r="BM53" i="5"/>
  <c r="DR53" i="5"/>
  <c r="AG53" i="5"/>
  <c r="AH53" i="5" s="1"/>
  <c r="BU54" i="5"/>
  <c r="AK54" i="5"/>
  <c r="AO54" i="5"/>
  <c r="AI54" i="5"/>
  <c r="CN53" i="5"/>
  <c r="DP53" i="5"/>
  <c r="CQ53" i="5"/>
  <c r="AD57" i="5"/>
  <c r="AC58" i="5"/>
  <c r="DG52" i="5"/>
  <c r="DI52" i="5" s="1"/>
  <c r="DJ52" i="5" s="1"/>
  <c r="DN52" i="5" s="1"/>
  <c r="H53" i="5" s="1"/>
  <c r="T53" i="5" s="1"/>
  <c r="BJ58" i="5"/>
  <c r="DE53" i="5"/>
  <c r="DA26" i="4"/>
  <c r="CS28" i="4"/>
  <c r="J53" i="5"/>
  <c r="V53" i="5" s="1"/>
  <c r="J30" i="4"/>
  <c r="T29" i="4"/>
  <c r="J17" i="5"/>
  <c r="J32" i="5"/>
  <c r="CT28" i="4"/>
  <c r="CZ27" i="4" s="1"/>
  <c r="BP28" i="4"/>
  <c r="CY28" i="4"/>
  <c r="CW28" i="4"/>
  <c r="X28" i="4"/>
  <c r="K47" i="4" s="1"/>
  <c r="CV28" i="4"/>
  <c r="DL54" i="5"/>
  <c r="DZ54" i="5"/>
  <c r="CX54" i="5"/>
  <c r="CY51" i="5"/>
  <c r="CZ51" i="5"/>
  <c r="G52" i="5" s="1"/>
  <c r="S52" i="5" s="1"/>
  <c r="CZ50" i="5"/>
  <c r="G51" i="5" s="1"/>
  <c r="S51" i="5" s="1"/>
  <c r="N54" i="5"/>
  <c r="BK28" i="4"/>
  <c r="CD27" i="4" s="1"/>
  <c r="DD24" i="4"/>
  <c r="DH24" i="4" s="1"/>
  <c r="I43" i="4" s="1"/>
  <c r="DH23" i="4"/>
  <c r="I42" i="4" s="1"/>
  <c r="CP24" i="4"/>
  <c r="DB26" i="4"/>
  <c r="DC26" i="4" s="1"/>
  <c r="CO53" i="5"/>
  <c r="CW52" i="5" s="1"/>
  <c r="DC53" i="5"/>
  <c r="DK52" i="5" s="1"/>
  <c r="DM52" i="5" s="1"/>
  <c r="DQ53" i="5"/>
  <c r="DY52" i="5" s="1"/>
  <c r="EA52" i="5" s="1"/>
  <c r="DW50" i="5"/>
  <c r="DX50" i="5" s="1"/>
  <c r="DU51" i="5"/>
  <c r="DW51" i="5" s="1"/>
  <c r="DX51" i="5" s="1"/>
  <c r="DS52" i="5"/>
  <c r="B55" i="5"/>
  <c r="AA55" i="5"/>
  <c r="DV54" i="5"/>
  <c r="CT54" i="5"/>
  <c r="DT54" i="5"/>
  <c r="CR54" i="5"/>
  <c r="DH54" i="5"/>
  <c r="DF54" i="5"/>
  <c r="AB54" i="5"/>
  <c r="K55" i="5" s="1"/>
  <c r="W55" i="5" s="1"/>
  <c r="DG26" i="4"/>
  <c r="CQ23" i="4"/>
  <c r="G42" i="4" s="1"/>
  <c r="CN23" i="4"/>
  <c r="F42" i="4" s="1"/>
  <c r="CO25" i="4"/>
  <c r="CF24" i="4"/>
  <c r="CH24" i="4" s="1"/>
  <c r="BL27" i="4"/>
  <c r="BM27" i="4" s="1"/>
  <c r="BO27" i="4" s="1"/>
  <c r="BQ27" i="4" s="1"/>
  <c r="CX27" i="4"/>
  <c r="DF27" i="4" s="1"/>
  <c r="W29" i="4"/>
  <c r="C47" i="4"/>
  <c r="CU28" i="4"/>
  <c r="AE55" i="5" l="1"/>
  <c r="CE53" i="5"/>
  <c r="CG53" i="5" s="1"/>
  <c r="CH53" i="5" s="1"/>
  <c r="CL53" i="5" s="1"/>
  <c r="CB54" i="5"/>
  <c r="CC54" i="5" s="1"/>
  <c r="BC52" i="5"/>
  <c r="BG52" i="5" s="1"/>
  <c r="D53" i="5" s="1"/>
  <c r="P53" i="5" s="1"/>
  <c r="BF52" i="5"/>
  <c r="CF55" i="5"/>
  <c r="CD55" i="5"/>
  <c r="CJ55" i="5"/>
  <c r="BA55" i="5"/>
  <c r="AY55" i="5"/>
  <c r="BE55" i="5"/>
  <c r="AC29" i="4"/>
  <c r="AF54" i="5"/>
  <c r="AF55" i="5" s="1"/>
  <c r="CK53" i="5"/>
  <c r="CF54" i="5"/>
  <c r="CI54" i="5" s="1"/>
  <c r="CD54" i="5"/>
  <c r="CJ54" i="5"/>
  <c r="BE54" i="5"/>
  <c r="BA54" i="5"/>
  <c r="AY54" i="5"/>
  <c r="CA54" i="5"/>
  <c r="BZ54" i="5"/>
  <c r="AW54" i="5"/>
  <c r="AX54" i="5" s="1"/>
  <c r="AU54" i="5"/>
  <c r="BB54" i="5" s="1"/>
  <c r="AV54" i="5"/>
  <c r="AZ53" i="5"/>
  <c r="BQ54" i="5"/>
  <c r="BO54" i="5"/>
  <c r="AJ53" i="5"/>
  <c r="AN53" i="5" s="1"/>
  <c r="AP53" i="5" s="1"/>
  <c r="CN54" i="5"/>
  <c r="CN55" i="5" s="1"/>
  <c r="CP54" i="5"/>
  <c r="CP55" i="5" s="1"/>
  <c r="BN54" i="5"/>
  <c r="BK54" i="5"/>
  <c r="DP54" i="5"/>
  <c r="DP55" i="5" s="1"/>
  <c r="DR54" i="5"/>
  <c r="DR55" i="5" s="1"/>
  <c r="CS53" i="5"/>
  <c r="CU53" i="5" s="1"/>
  <c r="CV53" i="5" s="1"/>
  <c r="BQ55" i="5"/>
  <c r="BO55" i="5"/>
  <c r="BW51" i="5"/>
  <c r="E52" i="5" s="1"/>
  <c r="Q52" i="5" s="1"/>
  <c r="BL54" i="5"/>
  <c r="BT53" i="5" s="1"/>
  <c r="BP53" i="5"/>
  <c r="BR53" i="5" s="1"/>
  <c r="BS53" i="5" s="1"/>
  <c r="CS29" i="4"/>
  <c r="AL55" i="5"/>
  <c r="AV27" i="4"/>
  <c r="AX27" i="4" s="1"/>
  <c r="AY27" i="4" s="1"/>
  <c r="AZ27" i="4" s="1"/>
  <c r="BV52" i="5"/>
  <c r="BF26" i="4"/>
  <c r="F52" i="5"/>
  <c r="R52" i="5" s="1"/>
  <c r="J47" i="4"/>
  <c r="AG54" i="5"/>
  <c r="AH54" i="5" s="1"/>
  <c r="AJ54" i="5" s="1"/>
  <c r="AN54" i="5" s="1"/>
  <c r="AF29" i="4"/>
  <c r="BN29" i="4"/>
  <c r="Y29" i="4"/>
  <c r="AD29" i="4" s="1"/>
  <c r="AE28" i="4"/>
  <c r="AG28" i="4" s="1"/>
  <c r="BC26" i="4"/>
  <c r="BE27" i="4"/>
  <c r="BA27" i="4"/>
  <c r="BG25" i="4"/>
  <c r="E44" i="4" s="1"/>
  <c r="AA29" i="4"/>
  <c r="AT28" i="4" s="1"/>
  <c r="AB29" i="4"/>
  <c r="Z29" i="4"/>
  <c r="BJ29" i="4"/>
  <c r="BS52" i="5"/>
  <c r="BU55" i="5"/>
  <c r="AK55" i="5"/>
  <c r="AO55" i="5"/>
  <c r="AI55" i="5"/>
  <c r="BM54" i="5"/>
  <c r="CQ54" i="5"/>
  <c r="CS54" i="5" s="1"/>
  <c r="F53" i="5"/>
  <c r="R53" i="5" s="1"/>
  <c r="DG53" i="5"/>
  <c r="DI53" i="5" s="1"/>
  <c r="DJ53" i="5" s="1"/>
  <c r="DN53" i="5" s="1"/>
  <c r="H54" i="5" s="1"/>
  <c r="T54" i="5" s="1"/>
  <c r="AD58" i="5"/>
  <c r="AC59" i="5"/>
  <c r="BJ59" i="5"/>
  <c r="DE54" i="5"/>
  <c r="DA27" i="4"/>
  <c r="J18" i="5"/>
  <c r="J33" i="5"/>
  <c r="J54" i="5"/>
  <c r="V54" i="5" s="1"/>
  <c r="J31" i="4"/>
  <c r="T30" i="4"/>
  <c r="BP29" i="4"/>
  <c r="CY29" i="4"/>
  <c r="CW29" i="4"/>
  <c r="X29" i="4"/>
  <c r="K48" i="4" s="1"/>
  <c r="CT29" i="4"/>
  <c r="CZ28" i="4" s="1"/>
  <c r="CV29" i="4"/>
  <c r="DL55" i="5"/>
  <c r="DZ55" i="5"/>
  <c r="EB50" i="5"/>
  <c r="I51" i="5" s="1"/>
  <c r="U51" i="5" s="1"/>
  <c r="EB51" i="5"/>
  <c r="I52" i="5" s="1"/>
  <c r="U52" i="5" s="1"/>
  <c r="CX55" i="5"/>
  <c r="CY52" i="5"/>
  <c r="CZ52" i="5"/>
  <c r="G53" i="5" s="1"/>
  <c r="S53" i="5" s="1"/>
  <c r="N55" i="5"/>
  <c r="BK29" i="4"/>
  <c r="CD28" i="4" s="1"/>
  <c r="DE24" i="4"/>
  <c r="H43" i="4" s="1"/>
  <c r="DD25" i="4"/>
  <c r="DE25" i="4" s="1"/>
  <c r="H44" i="4" s="1"/>
  <c r="DG27" i="4"/>
  <c r="CO54" i="5"/>
  <c r="CW53" i="5" s="1"/>
  <c r="DC54" i="5"/>
  <c r="DK53" i="5" s="1"/>
  <c r="DM53" i="5" s="1"/>
  <c r="DQ54" i="5"/>
  <c r="DY53" i="5" s="1"/>
  <c r="EA53" i="5" s="1"/>
  <c r="DU52" i="5"/>
  <c r="DW52" i="5" s="1"/>
  <c r="DX52" i="5" s="1"/>
  <c r="DS53" i="5"/>
  <c r="DD55" i="5"/>
  <c r="DB55" i="5"/>
  <c r="B56" i="5"/>
  <c r="A45" i="5" s="1"/>
  <c r="DH55" i="5"/>
  <c r="DF55" i="5"/>
  <c r="AA56" i="5"/>
  <c r="DV55" i="5"/>
  <c r="CT55" i="5"/>
  <c r="CR55" i="5"/>
  <c r="DT55" i="5"/>
  <c r="AB55" i="5"/>
  <c r="DB27" i="4"/>
  <c r="DC27" i="4" s="1"/>
  <c r="CM24" i="4"/>
  <c r="BL28" i="4"/>
  <c r="BM28" i="4" s="1"/>
  <c r="BO28" i="4" s="1"/>
  <c r="BQ28" i="4" s="1"/>
  <c r="CO26" i="4"/>
  <c r="CU29" i="4"/>
  <c r="W30" i="4"/>
  <c r="C48" i="4"/>
  <c r="CX28" i="4"/>
  <c r="DF28" i="4" s="1"/>
  <c r="CE54" i="5" l="1"/>
  <c r="CG54" i="5" s="1"/>
  <c r="CH54" i="5" s="1"/>
  <c r="CL54" i="5" s="1"/>
  <c r="BZ55" i="5"/>
  <c r="BZ56" i="5" s="1"/>
  <c r="AV55" i="5"/>
  <c r="AV56" i="5" s="1"/>
  <c r="AC30" i="4"/>
  <c r="BD53" i="5"/>
  <c r="BF53" i="5" s="1"/>
  <c r="BC53" i="5"/>
  <c r="BG53" i="5" s="1"/>
  <c r="D54" i="5" s="1"/>
  <c r="P54" i="5" s="1"/>
  <c r="BK55" i="5"/>
  <c r="BK56" i="5" s="1"/>
  <c r="AW55" i="5"/>
  <c r="AX55" i="5" s="1"/>
  <c r="AZ55" i="5" s="1"/>
  <c r="BD55" i="5" s="1"/>
  <c r="AU55" i="5"/>
  <c r="BB55" i="5" s="1"/>
  <c r="BN55" i="5"/>
  <c r="AZ54" i="5"/>
  <c r="CF56" i="5"/>
  <c r="CI56" i="5" s="1"/>
  <c r="CJ56" i="5"/>
  <c r="BE56" i="5"/>
  <c r="BA56" i="5"/>
  <c r="AY56" i="5"/>
  <c r="CG56" i="5"/>
  <c r="AP54" i="5"/>
  <c r="CK54" i="5"/>
  <c r="CB55" i="5"/>
  <c r="CC55" i="5" s="1"/>
  <c r="CE55" i="5" s="1"/>
  <c r="CI55" i="5" s="1"/>
  <c r="CA55" i="5"/>
  <c r="CA56" i="5" s="1"/>
  <c r="CU54" i="5"/>
  <c r="CV54" i="5" s="1"/>
  <c r="BO56" i="5"/>
  <c r="K56" i="5"/>
  <c r="W56" i="5" s="1"/>
  <c r="CS30" i="4"/>
  <c r="BW53" i="5"/>
  <c r="E54" i="5" s="1"/>
  <c r="Q54" i="5" s="1"/>
  <c r="BW52" i="5"/>
  <c r="E53" i="5" s="1"/>
  <c r="Q53" i="5" s="1"/>
  <c r="BL55" i="5"/>
  <c r="BT54" i="5" s="1"/>
  <c r="BP54" i="5"/>
  <c r="BR54" i="5" s="1"/>
  <c r="BS54" i="5" s="1"/>
  <c r="BQ56" i="5"/>
  <c r="BV53" i="5"/>
  <c r="AV28" i="4"/>
  <c r="AX28" i="4" s="1"/>
  <c r="AY28" i="4" s="1"/>
  <c r="AZ28" i="4" s="1"/>
  <c r="J48" i="4"/>
  <c r="AE29" i="4"/>
  <c r="Z30" i="4"/>
  <c r="AG55" i="5"/>
  <c r="AH55" i="5" s="1"/>
  <c r="AJ55" i="5" s="1"/>
  <c r="AN55" i="5" s="1"/>
  <c r="AF30" i="4"/>
  <c r="BN30" i="4"/>
  <c r="Y30" i="4"/>
  <c r="AD30" i="4" s="1"/>
  <c r="BF27" i="4"/>
  <c r="BB27" i="4"/>
  <c r="BC27" i="4" s="1"/>
  <c r="BD27" i="4" s="1"/>
  <c r="D46" i="4" s="1"/>
  <c r="AB30" i="4"/>
  <c r="AA30" i="4"/>
  <c r="AT29" i="4" s="1"/>
  <c r="BD26" i="4"/>
  <c r="D45" i="4" s="1"/>
  <c r="BG26" i="4"/>
  <c r="E45" i="4" s="1"/>
  <c r="BE28" i="4"/>
  <c r="BA28" i="4"/>
  <c r="BJ30" i="4"/>
  <c r="BM55" i="5"/>
  <c r="AI56" i="5"/>
  <c r="BU56" i="5"/>
  <c r="AK56" i="5"/>
  <c r="AO56" i="5"/>
  <c r="CQ55" i="5"/>
  <c r="CS55" i="5" s="1"/>
  <c r="CQ56" i="5" s="1"/>
  <c r="DG54" i="5"/>
  <c r="DI54" i="5" s="1"/>
  <c r="DJ54" i="5" s="1"/>
  <c r="DN54" i="5" s="1"/>
  <c r="H55" i="5" s="1"/>
  <c r="T55" i="5" s="1"/>
  <c r="AD59" i="5"/>
  <c r="AC60" i="5"/>
  <c r="BJ60" i="5"/>
  <c r="DE55" i="5"/>
  <c r="DA28" i="4"/>
  <c r="J32" i="4"/>
  <c r="T31" i="4"/>
  <c r="J55" i="5"/>
  <c r="V55" i="5" s="1"/>
  <c r="J19" i="5"/>
  <c r="J34" i="5"/>
  <c r="CT30" i="4"/>
  <c r="CZ29" i="4" s="1"/>
  <c r="BP30" i="4"/>
  <c r="CY30" i="4"/>
  <c r="CW30" i="4"/>
  <c r="X30" i="4"/>
  <c r="K49" i="4" s="1"/>
  <c r="CV30" i="4"/>
  <c r="DL56" i="5"/>
  <c r="DZ56" i="5"/>
  <c r="EB52" i="5"/>
  <c r="I53" i="5" s="1"/>
  <c r="U53" i="5" s="1"/>
  <c r="CX56" i="5"/>
  <c r="CY53" i="5"/>
  <c r="CZ53" i="5"/>
  <c r="G54" i="5" s="1"/>
  <c r="S54" i="5" s="1"/>
  <c r="F54" i="5"/>
  <c r="R54" i="5" s="1"/>
  <c r="BK30" i="4"/>
  <c r="CD29" i="4" s="1"/>
  <c r="N56" i="5"/>
  <c r="DH25" i="4"/>
  <c r="I44" i="4" s="1"/>
  <c r="DD26" i="4"/>
  <c r="DH26" i="4" s="1"/>
  <c r="I45" i="4" s="1"/>
  <c r="CO55" i="5"/>
  <c r="CW54" i="5" s="1"/>
  <c r="DG28" i="4"/>
  <c r="DC55" i="5"/>
  <c r="DK54" i="5" s="1"/>
  <c r="DM54" i="5" s="1"/>
  <c r="DQ55" i="5"/>
  <c r="DY54" i="5" s="1"/>
  <c r="EA54" i="5" s="1"/>
  <c r="DS54" i="5"/>
  <c r="DU53" i="5"/>
  <c r="CN56" i="5"/>
  <c r="CP56" i="5"/>
  <c r="AA57" i="5"/>
  <c r="DV56" i="5"/>
  <c r="CT56" i="5"/>
  <c r="B57" i="5"/>
  <c r="DH56" i="5"/>
  <c r="BY56" i="5"/>
  <c r="CD56" i="5" s="1"/>
  <c r="AB56" i="5"/>
  <c r="K57" i="5" s="1"/>
  <c r="W57" i="5" s="1"/>
  <c r="DD56" i="5"/>
  <c r="DB56" i="5"/>
  <c r="DP56" i="5"/>
  <c r="DR56" i="5"/>
  <c r="DB28" i="4"/>
  <c r="DC28" i="4" s="1"/>
  <c r="CQ24" i="4"/>
  <c r="G43" i="4" s="1"/>
  <c r="CN24" i="4"/>
  <c r="F43" i="4" s="1"/>
  <c r="BL29" i="4"/>
  <c r="BM29" i="4" s="1"/>
  <c r="BO29" i="4" s="1"/>
  <c r="BQ29" i="4" s="1"/>
  <c r="CO27" i="4"/>
  <c r="CI24" i="4"/>
  <c r="CJ24" i="4" s="1"/>
  <c r="CK25" i="4" s="1"/>
  <c r="CL25" i="4" s="1"/>
  <c r="CX29" i="4"/>
  <c r="DF29" i="4" s="1"/>
  <c r="C49" i="4"/>
  <c r="W31" i="4"/>
  <c r="CU30" i="4"/>
  <c r="CA57" i="5" l="1"/>
  <c r="CS31" i="4"/>
  <c r="AP55" i="5"/>
  <c r="BC55" i="5"/>
  <c r="AW56" i="5"/>
  <c r="AX56" i="5" s="1"/>
  <c r="AZ56" i="5" s="1"/>
  <c r="AU56" i="5"/>
  <c r="BB56" i="5" s="1"/>
  <c r="BZ57" i="5"/>
  <c r="CG57" i="5" s="1"/>
  <c r="CB56" i="5"/>
  <c r="CC56" i="5" s="1"/>
  <c r="CE56" i="5" s="1"/>
  <c r="CH56" i="5" s="1"/>
  <c r="BD54" i="5"/>
  <c r="BF54" i="5" s="1"/>
  <c r="BC54" i="5"/>
  <c r="BG54" i="5" s="1"/>
  <c r="D55" i="5" s="1"/>
  <c r="P55" i="5" s="1"/>
  <c r="CJ57" i="5"/>
  <c r="CF57" i="5"/>
  <c r="CI57" i="5" s="1"/>
  <c r="AY57" i="5"/>
  <c r="BE57" i="5"/>
  <c r="BA57" i="5"/>
  <c r="CG55" i="5"/>
  <c r="CH55" i="5" s="1"/>
  <c r="CL55" i="5" s="1"/>
  <c r="CK55" i="5"/>
  <c r="AV57" i="5"/>
  <c r="BO57" i="5"/>
  <c r="BK57" i="5"/>
  <c r="AM55" i="5"/>
  <c r="AQ55" i="5" s="1"/>
  <c r="C56" i="5" s="1"/>
  <c r="O56" i="5" s="1"/>
  <c r="BL56" i="5"/>
  <c r="BT55" i="5" s="1"/>
  <c r="BW54" i="5"/>
  <c r="E55" i="5" s="1"/>
  <c r="Q55" i="5" s="1"/>
  <c r="BP55" i="5"/>
  <c r="AG29" i="4"/>
  <c r="BE29" i="4" s="1"/>
  <c r="BQ57" i="5"/>
  <c r="BV54" i="5"/>
  <c r="AV29" i="4"/>
  <c r="AX29" i="4" s="1"/>
  <c r="AY29" i="4" s="1"/>
  <c r="AZ29" i="4" s="1"/>
  <c r="BA29" i="4"/>
  <c r="J49" i="4"/>
  <c r="AE30" i="4"/>
  <c r="AC31" i="4" s="1"/>
  <c r="BG27" i="4"/>
  <c r="E46" i="4" s="1"/>
  <c r="BI31" i="4"/>
  <c r="AU31" i="4"/>
  <c r="CE31" i="4"/>
  <c r="AF31" i="4"/>
  <c r="Y31" i="4"/>
  <c r="AD31" i="4" s="1"/>
  <c r="AA31" i="4"/>
  <c r="AT30" i="4" s="1"/>
  <c r="AB31" i="4"/>
  <c r="BF28" i="4"/>
  <c r="BB28" i="4"/>
  <c r="BC28" i="4" s="1"/>
  <c r="BD28" i="4" s="1"/>
  <c r="D47" i="4" s="1"/>
  <c r="Z31" i="4"/>
  <c r="BM56" i="5"/>
  <c r="BU57" i="5"/>
  <c r="AK57" i="5"/>
  <c r="AO57" i="5"/>
  <c r="AI57" i="5"/>
  <c r="AD60" i="5"/>
  <c r="AC61" i="5"/>
  <c r="DG55" i="5"/>
  <c r="DE56" i="5" s="1"/>
  <c r="BJ61" i="5"/>
  <c r="DF56" i="5"/>
  <c r="DA29" i="4"/>
  <c r="N57" i="5"/>
  <c r="J20" i="5"/>
  <c r="J36" i="5" s="1"/>
  <c r="J35" i="5"/>
  <c r="J33" i="4"/>
  <c r="T33" i="4" s="1"/>
  <c r="T32" i="4"/>
  <c r="J56" i="5"/>
  <c r="V56" i="5" s="1"/>
  <c r="CY31" i="4"/>
  <c r="CS32" i="4" s="1"/>
  <c r="BP31" i="4"/>
  <c r="X31" i="4"/>
  <c r="K50" i="4" s="1"/>
  <c r="CT31" i="4"/>
  <c r="DL57" i="5"/>
  <c r="DZ57" i="5"/>
  <c r="CZ54" i="5"/>
  <c r="G55" i="5" s="1"/>
  <c r="S55" i="5" s="1"/>
  <c r="CY54" i="5"/>
  <c r="CX57" i="5"/>
  <c r="F55" i="5"/>
  <c r="R55" i="5" s="1"/>
  <c r="DD27" i="4"/>
  <c r="DH27" i="4" s="1"/>
  <c r="I46" i="4" s="1"/>
  <c r="DE26" i="4"/>
  <c r="H45" i="4" s="1"/>
  <c r="CO56" i="5"/>
  <c r="CW55" i="5" s="1"/>
  <c r="CP25" i="4"/>
  <c r="CM25" i="4"/>
  <c r="DG29" i="4"/>
  <c r="DC56" i="5"/>
  <c r="DK55" i="5" s="1"/>
  <c r="DM55" i="5" s="1"/>
  <c r="DQ56" i="5"/>
  <c r="DY55" i="5" s="1"/>
  <c r="EA55" i="5" s="1"/>
  <c r="CU55" i="5"/>
  <c r="CV55" i="5" s="1"/>
  <c r="DW53" i="5"/>
  <c r="DX53" i="5" s="1"/>
  <c r="DU54" i="5"/>
  <c r="DW54" i="5" s="1"/>
  <c r="DX54" i="5" s="1"/>
  <c r="DS55" i="5"/>
  <c r="DU55" i="5" s="1"/>
  <c r="DS56" i="5" s="1"/>
  <c r="DS57" i="5" s="1"/>
  <c r="CR56" i="5"/>
  <c r="CS56" i="5" s="1"/>
  <c r="DT56" i="5"/>
  <c r="DD57" i="5"/>
  <c r="DB57" i="5"/>
  <c r="CQ57" i="5"/>
  <c r="CN57" i="5"/>
  <c r="CP57" i="5"/>
  <c r="DP57" i="5"/>
  <c r="DR57" i="5"/>
  <c r="DV57" i="5"/>
  <c r="CT57" i="5"/>
  <c r="AB57" i="5"/>
  <c r="K58" i="5" s="1"/>
  <c r="W58" i="5" s="1"/>
  <c r="AA58" i="5"/>
  <c r="DH57" i="5"/>
  <c r="B58" i="5"/>
  <c r="BY57" i="5"/>
  <c r="CD57" i="5" s="1"/>
  <c r="DB29" i="4"/>
  <c r="DC29" i="4" s="1"/>
  <c r="CO29" i="4"/>
  <c r="BL30" i="4"/>
  <c r="BM30" i="4" s="1"/>
  <c r="BO30" i="4" s="1"/>
  <c r="CO28" i="4"/>
  <c r="CF25" i="4"/>
  <c r="CH25" i="4" s="1"/>
  <c r="CX30" i="4"/>
  <c r="DF30" i="4" s="1"/>
  <c r="W32" i="4"/>
  <c r="C50" i="4"/>
  <c r="B49" i="4" s="1"/>
  <c r="CU31" i="4"/>
  <c r="AV58" i="5" l="1"/>
  <c r="CK56" i="5"/>
  <c r="CK57" i="5" s="1"/>
  <c r="CL56" i="5"/>
  <c r="AW57" i="5"/>
  <c r="AX57" i="5" s="1"/>
  <c r="AZ57" i="5" s="1"/>
  <c r="AU57" i="5"/>
  <c r="BB57" i="5" s="1"/>
  <c r="BG55" i="5"/>
  <c r="D56" i="5" s="1"/>
  <c r="P56" i="5" s="1"/>
  <c r="BF55" i="5"/>
  <c r="BZ58" i="5"/>
  <c r="CG58" i="5" s="1"/>
  <c r="CJ58" i="5"/>
  <c r="CF58" i="5"/>
  <c r="CI58" i="5" s="1"/>
  <c r="BE58" i="5"/>
  <c r="BA58" i="5"/>
  <c r="AY58" i="5"/>
  <c r="CA58" i="5"/>
  <c r="CA59" i="5" s="1"/>
  <c r="BD56" i="5"/>
  <c r="BC56" i="5"/>
  <c r="CB57" i="5"/>
  <c r="CC57" i="5" s="1"/>
  <c r="CE57" i="5" s="1"/>
  <c r="CH57" i="5" s="1"/>
  <c r="BO58" i="5"/>
  <c r="AC32" i="4"/>
  <c r="BL57" i="5"/>
  <c r="BT56" i="5" s="1"/>
  <c r="BR55" i="5"/>
  <c r="BS55" i="5" s="1"/>
  <c r="BW55" i="5" s="1"/>
  <c r="E56" i="5" s="1"/>
  <c r="Q56" i="5" s="1"/>
  <c r="BN56" i="5"/>
  <c r="BN57" i="5" s="1"/>
  <c r="BN58" i="5" s="1"/>
  <c r="BF29" i="4"/>
  <c r="AG30" i="4"/>
  <c r="BE30" i="4" s="1"/>
  <c r="BQ58" i="5"/>
  <c r="BK58" i="5"/>
  <c r="BJ31" i="4"/>
  <c r="BJ32" i="4" s="1"/>
  <c r="BQ32" i="4" s="1"/>
  <c r="BQ30" i="4"/>
  <c r="BB29" i="4"/>
  <c r="BC29" i="4" s="1"/>
  <c r="BD29" i="4" s="1"/>
  <c r="D48" i="4" s="1"/>
  <c r="BA30" i="4"/>
  <c r="BV55" i="5"/>
  <c r="CW31" i="4"/>
  <c r="BN31" i="4"/>
  <c r="BI32" i="4"/>
  <c r="CE32" i="4"/>
  <c r="AF32" i="4"/>
  <c r="AU32" i="4"/>
  <c r="Y32" i="4"/>
  <c r="AD32" i="4" s="1"/>
  <c r="AE31" i="4"/>
  <c r="AG31" i="4" s="1"/>
  <c r="BG28" i="4"/>
  <c r="E47" i="4" s="1"/>
  <c r="Z32" i="4"/>
  <c r="AB32" i="4"/>
  <c r="AA32" i="4"/>
  <c r="AT31" i="4" s="1"/>
  <c r="BM57" i="5"/>
  <c r="AK58" i="5"/>
  <c r="AO58" i="5"/>
  <c r="BU58" i="5"/>
  <c r="AI58" i="5"/>
  <c r="DI55" i="5"/>
  <c r="DJ55" i="5" s="1"/>
  <c r="DN55" i="5" s="1"/>
  <c r="H56" i="5" s="1"/>
  <c r="T56" i="5" s="1"/>
  <c r="AD61" i="5"/>
  <c r="AC62" i="5"/>
  <c r="DG56" i="5"/>
  <c r="DI56" i="5" s="1"/>
  <c r="DJ56" i="5" s="1"/>
  <c r="DE57" i="5"/>
  <c r="DE58" i="5" s="1"/>
  <c r="BJ62" i="5"/>
  <c r="DF57" i="5"/>
  <c r="J57" i="5"/>
  <c r="V57" i="5" s="1"/>
  <c r="J50" i="4"/>
  <c r="CT32" i="4"/>
  <c r="CZ31" i="4" s="1"/>
  <c r="CY32" i="4"/>
  <c r="CS33" i="4" s="1"/>
  <c r="BP32" i="4"/>
  <c r="X32" i="4"/>
  <c r="K51" i="4" s="1"/>
  <c r="CZ30" i="4"/>
  <c r="DA30" i="4" s="1"/>
  <c r="DL58" i="5"/>
  <c r="DZ58" i="5"/>
  <c r="EB53" i="5"/>
  <c r="I54" i="5" s="1"/>
  <c r="U54" i="5" s="1"/>
  <c r="EB54" i="5"/>
  <c r="I55" i="5" s="1"/>
  <c r="U55" i="5" s="1"/>
  <c r="CX58" i="5"/>
  <c r="CZ55" i="5"/>
  <c r="G56" i="5" s="1"/>
  <c r="S56" i="5" s="1"/>
  <c r="CY55" i="5"/>
  <c r="F56" i="5"/>
  <c r="R56" i="5" s="1"/>
  <c r="N58" i="5"/>
  <c r="DD28" i="4"/>
  <c r="DH28" i="4" s="1"/>
  <c r="I47" i="4" s="1"/>
  <c r="DE27" i="4"/>
  <c r="H46" i="4" s="1"/>
  <c r="CO57" i="5"/>
  <c r="CW56" i="5" s="1"/>
  <c r="CV31" i="4"/>
  <c r="CV32" i="4" s="1"/>
  <c r="DG30" i="4"/>
  <c r="DC57" i="5"/>
  <c r="DK56" i="5" s="1"/>
  <c r="DM56" i="5" s="1"/>
  <c r="DQ57" i="5"/>
  <c r="DY56" i="5" s="1"/>
  <c r="EA56" i="5" s="1"/>
  <c r="DW55" i="5"/>
  <c r="DX55" i="5" s="1"/>
  <c r="DU56" i="5"/>
  <c r="DW56" i="5" s="1"/>
  <c r="DX56" i="5" s="1"/>
  <c r="CR57" i="5"/>
  <c r="CS57" i="5" s="1"/>
  <c r="DP58" i="5"/>
  <c r="DS58" i="5"/>
  <c r="DR58" i="5"/>
  <c r="DD58" i="5"/>
  <c r="DB58" i="5"/>
  <c r="DT57" i="5"/>
  <c r="DU57" i="5" s="1"/>
  <c r="CN58" i="5"/>
  <c r="CQ58" i="5"/>
  <c r="CP58" i="5"/>
  <c r="B59" i="5"/>
  <c r="DV58" i="5"/>
  <c r="CT58" i="5"/>
  <c r="AA59" i="5"/>
  <c r="DH58" i="5"/>
  <c r="BY58" i="5"/>
  <c r="CD58" i="5" s="1"/>
  <c r="AB58" i="5"/>
  <c r="K59" i="5" s="1"/>
  <c r="W59" i="5" s="1"/>
  <c r="CU56" i="5"/>
  <c r="CV56" i="5" s="1"/>
  <c r="DB30" i="4"/>
  <c r="DC30" i="4" s="1"/>
  <c r="CQ25" i="4"/>
  <c r="G44" i="4" s="1"/>
  <c r="CN25" i="4"/>
  <c r="F44" i="4" s="1"/>
  <c r="BL31" i="4"/>
  <c r="BM31" i="4" s="1"/>
  <c r="W33" i="4"/>
  <c r="C51" i="4"/>
  <c r="CU32" i="4"/>
  <c r="AW58" i="5" l="1"/>
  <c r="AX58" i="5" s="1"/>
  <c r="AZ58" i="5" s="1"/>
  <c r="BD58" i="5" s="1"/>
  <c r="BL58" i="5"/>
  <c r="BT57" i="5" s="1"/>
  <c r="BG56" i="5"/>
  <c r="CL57" i="5"/>
  <c r="AU58" i="5"/>
  <c r="BB58" i="5" s="1"/>
  <c r="BD57" i="5"/>
  <c r="BC57" i="5"/>
  <c r="CB58" i="5"/>
  <c r="CC58" i="5" s="1"/>
  <c r="CE58" i="5" s="1"/>
  <c r="CH58" i="5" s="1"/>
  <c r="CL58" i="5" s="1"/>
  <c r="AV59" i="5"/>
  <c r="BF56" i="5"/>
  <c r="CJ59" i="5"/>
  <c r="CF59" i="5"/>
  <c r="CI59" i="5" s="1"/>
  <c r="BA59" i="5"/>
  <c r="BE59" i="5"/>
  <c r="AY59" i="5"/>
  <c r="CK58" i="5"/>
  <c r="BZ59" i="5"/>
  <c r="CG59" i="5" s="1"/>
  <c r="BO59" i="5"/>
  <c r="AC33" i="4"/>
  <c r="BK59" i="5"/>
  <c r="BN59" i="5"/>
  <c r="BP56" i="5"/>
  <c r="BV56" i="5"/>
  <c r="BP57" i="5"/>
  <c r="BR57" i="5" s="1"/>
  <c r="BS57" i="5" s="1"/>
  <c r="BF30" i="4"/>
  <c r="BQ59" i="5"/>
  <c r="BK31" i="4"/>
  <c r="BQ31" i="4"/>
  <c r="E9" i="5"/>
  <c r="E25" i="5" s="1"/>
  <c r="BB30" i="4"/>
  <c r="BC30" i="4" s="1"/>
  <c r="BD30" i="4" s="1"/>
  <c r="BG29" i="4"/>
  <c r="E48" i="4" s="1"/>
  <c r="CW32" i="4"/>
  <c r="CX32" i="4" s="1"/>
  <c r="DF32" i="4" s="1"/>
  <c r="BN32" i="4"/>
  <c r="Z33" i="4"/>
  <c r="AA33" i="4"/>
  <c r="AT32" i="4" s="1"/>
  <c r="AB33" i="4"/>
  <c r="AE32" i="4"/>
  <c r="AG32" i="4" s="1"/>
  <c r="AU33" i="4"/>
  <c r="AF33" i="4"/>
  <c r="CE33" i="4"/>
  <c r="Y33" i="4"/>
  <c r="AD33" i="4" s="1"/>
  <c r="BM58" i="5"/>
  <c r="D57" i="5"/>
  <c r="P57" i="5" s="1"/>
  <c r="BU59" i="5"/>
  <c r="AK59" i="5"/>
  <c r="AO59" i="5"/>
  <c r="AI59" i="5"/>
  <c r="DG57" i="5"/>
  <c r="DI57" i="5" s="1"/>
  <c r="DJ57" i="5" s="1"/>
  <c r="DN57" i="5" s="1"/>
  <c r="BJ33" i="4"/>
  <c r="BQ33" i="4" s="1"/>
  <c r="AD62" i="5"/>
  <c r="AC63" i="5"/>
  <c r="BJ63" i="5"/>
  <c r="DT58" i="5"/>
  <c r="DU58" i="5" s="1"/>
  <c r="J51" i="4"/>
  <c r="DA31" i="4"/>
  <c r="J58" i="5"/>
  <c r="V58" i="5" s="1"/>
  <c r="CV33" i="4"/>
  <c r="BP33" i="4"/>
  <c r="CY33" i="4"/>
  <c r="CS34" i="4" s="1"/>
  <c r="BI33" i="4"/>
  <c r="CW33" i="4" s="1"/>
  <c r="X33" i="4"/>
  <c r="K52" i="4" s="1"/>
  <c r="CT33" i="4"/>
  <c r="CZ32" i="4" s="1"/>
  <c r="DL59" i="5"/>
  <c r="DZ59" i="5"/>
  <c r="EB55" i="5"/>
  <c r="I56" i="5" s="1"/>
  <c r="U56" i="5" s="1"/>
  <c r="EB56" i="5"/>
  <c r="I57" i="5" s="1"/>
  <c r="U57" i="5" s="1"/>
  <c r="DN56" i="5"/>
  <c r="H57" i="5" s="1"/>
  <c r="T57" i="5" s="1"/>
  <c r="CX59" i="5"/>
  <c r="CZ56" i="5"/>
  <c r="G57" i="5" s="1"/>
  <c r="S57" i="5" s="1"/>
  <c r="CY56" i="5"/>
  <c r="N59" i="5"/>
  <c r="DE28" i="4"/>
  <c r="H47" i="4" s="1"/>
  <c r="DD29" i="4"/>
  <c r="DH29" i="4" s="1"/>
  <c r="I48" i="4" s="1"/>
  <c r="CO58" i="5"/>
  <c r="CW57" i="5" s="1"/>
  <c r="DC58" i="5"/>
  <c r="DK57" i="5" s="1"/>
  <c r="DM57" i="5" s="1"/>
  <c r="DQ58" i="5"/>
  <c r="DY57" i="5" s="1"/>
  <c r="EA57" i="5" s="1"/>
  <c r="DF58" i="5"/>
  <c r="DG58" i="5" s="1"/>
  <c r="CR58" i="5"/>
  <c r="CS58" i="5" s="1"/>
  <c r="DW57" i="5"/>
  <c r="DX57" i="5" s="1"/>
  <c r="DE59" i="5"/>
  <c r="DD59" i="5"/>
  <c r="DB59" i="5"/>
  <c r="CQ59" i="5"/>
  <c r="CP59" i="5"/>
  <c r="CN59" i="5"/>
  <c r="CU57" i="5"/>
  <c r="CV57" i="5" s="1"/>
  <c r="DS59" i="5"/>
  <c r="DR59" i="5"/>
  <c r="DP59" i="5"/>
  <c r="B60" i="5"/>
  <c r="DH59" i="5"/>
  <c r="BY59" i="5"/>
  <c r="CD59" i="5" s="1"/>
  <c r="AA60" i="5"/>
  <c r="DV59" i="5"/>
  <c r="CT59" i="5"/>
  <c r="AB59" i="5"/>
  <c r="K60" i="5" s="1"/>
  <c r="W60" i="5" s="1"/>
  <c r="CX31" i="4"/>
  <c r="DF31" i="4" s="1"/>
  <c r="BL32" i="4"/>
  <c r="BM32" i="4" s="1"/>
  <c r="BO31" i="4"/>
  <c r="CO30" i="4"/>
  <c r="CI25" i="4"/>
  <c r="CJ25" i="4" s="1"/>
  <c r="CK26" i="4" s="1"/>
  <c r="CL26" i="4" s="1"/>
  <c r="CU33" i="4"/>
  <c r="W34" i="4"/>
  <c r="C52" i="4"/>
  <c r="BL59" i="5" l="1"/>
  <c r="BT58" i="5" s="1"/>
  <c r="AW59" i="5"/>
  <c r="AX59" i="5" s="1"/>
  <c r="BV57" i="5"/>
  <c r="CA60" i="5"/>
  <c r="BC58" i="5"/>
  <c r="AU59" i="5"/>
  <c r="BB59" i="5" s="1"/>
  <c r="CB59" i="5"/>
  <c r="CC59" i="5" s="1"/>
  <c r="CE59" i="5" s="1"/>
  <c r="CH59" i="5" s="1"/>
  <c r="CL59" i="5" s="1"/>
  <c r="AZ59" i="5"/>
  <c r="CF60" i="5"/>
  <c r="CI60" i="5" s="1"/>
  <c r="CJ60" i="5"/>
  <c r="BA60" i="5"/>
  <c r="BE60" i="5"/>
  <c r="AY60" i="5"/>
  <c r="BZ60" i="5"/>
  <c r="CG60" i="5" s="1"/>
  <c r="BG57" i="5"/>
  <c r="D58" i="5" s="1"/>
  <c r="P58" i="5" s="1"/>
  <c r="BF57" i="5"/>
  <c r="BF58" i="5" s="1"/>
  <c r="CK59" i="5"/>
  <c r="AV60" i="5"/>
  <c r="BO60" i="5"/>
  <c r="AC34" i="4"/>
  <c r="BN60" i="5"/>
  <c r="BR56" i="5"/>
  <c r="BS56" i="5" s="1"/>
  <c r="BW56" i="5" s="1"/>
  <c r="E57" i="5" s="1"/>
  <c r="Q57" i="5" s="1"/>
  <c r="BW57" i="5"/>
  <c r="E58" i="5" s="1"/>
  <c r="Q58" i="5" s="1"/>
  <c r="BP58" i="5"/>
  <c r="BR58" i="5" s="1"/>
  <c r="BS58" i="5" s="1"/>
  <c r="F57" i="5"/>
  <c r="R57" i="5" s="1"/>
  <c r="BQ60" i="5"/>
  <c r="BK60" i="5"/>
  <c r="CD30" i="4"/>
  <c r="BK32" i="4"/>
  <c r="D49" i="4"/>
  <c r="D22" i="4"/>
  <c r="N22" i="4" s="1"/>
  <c r="BG30" i="4"/>
  <c r="E49" i="4" s="1"/>
  <c r="BM59" i="5"/>
  <c r="Z34" i="4"/>
  <c r="AA34" i="4"/>
  <c r="AT33" i="4" s="1"/>
  <c r="AB34" i="4"/>
  <c r="BN33" i="4"/>
  <c r="AU34" i="4"/>
  <c r="AF34" i="4"/>
  <c r="CE34" i="4"/>
  <c r="Y34" i="4"/>
  <c r="AD34" i="4" s="1"/>
  <c r="AE33" i="4"/>
  <c r="AG33" i="4" s="1"/>
  <c r="BU60" i="5"/>
  <c r="AO60" i="5"/>
  <c r="AK60" i="5"/>
  <c r="AI60" i="5"/>
  <c r="BJ34" i="4"/>
  <c r="BQ34" i="4" s="1"/>
  <c r="AD63" i="5"/>
  <c r="AC64" i="5"/>
  <c r="BJ64" i="5"/>
  <c r="DF59" i="5"/>
  <c r="DG59" i="5" s="1"/>
  <c r="J52" i="4"/>
  <c r="DA32" i="4"/>
  <c r="J59" i="5"/>
  <c r="V59" i="5" s="1"/>
  <c r="BP34" i="4"/>
  <c r="CY34" i="4"/>
  <c r="CS35" i="4" s="1"/>
  <c r="X34" i="4"/>
  <c r="K53" i="4" s="1"/>
  <c r="BI34" i="4"/>
  <c r="CW34" i="4" s="1"/>
  <c r="CV34" i="4"/>
  <c r="CT34" i="4"/>
  <c r="CZ33" i="4" s="1"/>
  <c r="DL60" i="5"/>
  <c r="DZ60" i="5"/>
  <c r="EB57" i="5"/>
  <c r="I58" i="5" s="1"/>
  <c r="U58" i="5" s="1"/>
  <c r="H58" i="5"/>
  <c r="T58" i="5" s="1"/>
  <c r="CX60" i="5"/>
  <c r="CZ57" i="5"/>
  <c r="G58" i="5" s="1"/>
  <c r="S58" i="5" s="1"/>
  <c r="CY57" i="5"/>
  <c r="N60" i="5"/>
  <c r="DD30" i="4"/>
  <c r="DE30" i="4" s="1"/>
  <c r="H49" i="4" s="1"/>
  <c r="DE29" i="4"/>
  <c r="H48" i="4" s="1"/>
  <c r="CO59" i="5"/>
  <c r="CW58" i="5" s="1"/>
  <c r="CP26" i="4"/>
  <c r="CM26" i="4"/>
  <c r="DC59" i="5"/>
  <c r="DK58" i="5" s="1"/>
  <c r="DM58" i="5" s="1"/>
  <c r="DQ59" i="5"/>
  <c r="DY58" i="5" s="1"/>
  <c r="EA58" i="5" s="1"/>
  <c r="CR59" i="5"/>
  <c r="CS59" i="5" s="1"/>
  <c r="CU59" i="5" s="1"/>
  <c r="CV59" i="5" s="1"/>
  <c r="DV60" i="5"/>
  <c r="CT60" i="5"/>
  <c r="B61" i="5"/>
  <c r="AA61" i="5"/>
  <c r="DH60" i="5"/>
  <c r="BY60" i="5"/>
  <c r="CD60" i="5" s="1"/>
  <c r="AB60" i="5"/>
  <c r="K61" i="5" s="1"/>
  <c r="W61" i="5" s="1"/>
  <c r="DW58" i="5"/>
  <c r="DX58" i="5" s="1"/>
  <c r="EB58" i="5" s="1"/>
  <c r="CU58" i="5"/>
  <c r="CV58" i="5" s="1"/>
  <c r="DT59" i="5"/>
  <c r="DU59" i="5" s="1"/>
  <c r="DD60" i="5"/>
  <c r="DB60" i="5"/>
  <c r="DE60" i="5"/>
  <c r="CQ60" i="5"/>
  <c r="CN60" i="5"/>
  <c r="CP60" i="5"/>
  <c r="DP60" i="5"/>
  <c r="DS60" i="5"/>
  <c r="DR60" i="5"/>
  <c r="DI58" i="5"/>
  <c r="DJ58" i="5" s="1"/>
  <c r="DG31" i="4"/>
  <c r="DB31" i="4"/>
  <c r="DC31" i="4" s="1"/>
  <c r="DG32" i="4"/>
  <c r="DB32" i="4"/>
  <c r="DC32" i="4" s="1"/>
  <c r="BL33" i="4"/>
  <c r="BM33" i="4" s="1"/>
  <c r="BO32" i="4"/>
  <c r="CF26" i="4"/>
  <c r="CH26" i="4" s="1"/>
  <c r="CX33" i="4"/>
  <c r="DF33" i="4" s="1"/>
  <c r="W35" i="4"/>
  <c r="C53" i="4"/>
  <c r="CU34" i="4"/>
  <c r="AW60" i="5" l="1"/>
  <c r="AX60" i="5" s="1"/>
  <c r="BL60" i="5"/>
  <c r="BT59" i="5" s="1"/>
  <c r="BV58" i="5"/>
  <c r="BV59" i="5" s="1"/>
  <c r="AU60" i="5"/>
  <c r="BB60" i="5" s="1"/>
  <c r="AV61" i="5"/>
  <c r="CB60" i="5"/>
  <c r="CC60" i="5" s="1"/>
  <c r="CE60" i="5" s="1"/>
  <c r="CH60" i="5" s="1"/>
  <c r="CL60" i="5" s="1"/>
  <c r="BZ61" i="5"/>
  <c r="CG61" i="5" s="1"/>
  <c r="CF61" i="5"/>
  <c r="CI61" i="5" s="1"/>
  <c r="CJ61" i="5"/>
  <c r="BA61" i="5"/>
  <c r="AY61" i="5"/>
  <c r="BE61" i="5"/>
  <c r="BG58" i="5"/>
  <c r="D59" i="5" s="1"/>
  <c r="P59" i="5" s="1"/>
  <c r="AZ60" i="5"/>
  <c r="AW61" i="5"/>
  <c r="AX61" i="5" s="1"/>
  <c r="CA61" i="5"/>
  <c r="CA62" i="5" s="1"/>
  <c r="CK60" i="5"/>
  <c r="BD59" i="5"/>
  <c r="BF59" i="5" s="1"/>
  <c r="BC59" i="5"/>
  <c r="BG59" i="5" s="1"/>
  <c r="BO61" i="5"/>
  <c r="AC35" i="4"/>
  <c r="BK61" i="5"/>
  <c r="BL61" i="5"/>
  <c r="BT60" i="5" s="1"/>
  <c r="BN61" i="5"/>
  <c r="F58" i="5"/>
  <c r="R58" i="5" s="1"/>
  <c r="BW58" i="5"/>
  <c r="E59" i="5" s="1"/>
  <c r="Q59" i="5" s="1"/>
  <c r="BP59" i="5"/>
  <c r="BR59" i="5" s="1"/>
  <c r="BS59" i="5" s="1"/>
  <c r="BQ61" i="5"/>
  <c r="CD31" i="4"/>
  <c r="BK33" i="4"/>
  <c r="E22" i="4"/>
  <c r="O22" i="4" s="1"/>
  <c r="BM60" i="5"/>
  <c r="BN34" i="4"/>
  <c r="Z35" i="4"/>
  <c r="AA35" i="4"/>
  <c r="AT34" i="4" s="1"/>
  <c r="AB35" i="4"/>
  <c r="AF35" i="4"/>
  <c r="CE35" i="4"/>
  <c r="AU35" i="4"/>
  <c r="Y35" i="4"/>
  <c r="AD35" i="4" s="1"/>
  <c r="AE34" i="4"/>
  <c r="AG34" i="4" s="1"/>
  <c r="BJ35" i="4"/>
  <c r="BQ35" i="4" s="1"/>
  <c r="BU61" i="5"/>
  <c r="AK61" i="5"/>
  <c r="AO61" i="5"/>
  <c r="AI61" i="5"/>
  <c r="AD64" i="5"/>
  <c r="AC65" i="5"/>
  <c r="BJ65" i="5"/>
  <c r="DA33" i="4"/>
  <c r="J53" i="4"/>
  <c r="J60" i="5"/>
  <c r="V60" i="5" s="1"/>
  <c r="CV35" i="4"/>
  <c r="BP35" i="4"/>
  <c r="CY35" i="4"/>
  <c r="CS36" i="4" s="1"/>
  <c r="BI35" i="4"/>
  <c r="CW35" i="4" s="1"/>
  <c r="X35" i="4"/>
  <c r="K54" i="4" s="1"/>
  <c r="CT35" i="4"/>
  <c r="CZ34" i="4" s="1"/>
  <c r="DL61" i="5"/>
  <c r="DZ61" i="5"/>
  <c r="I59" i="5"/>
  <c r="U59" i="5" s="1"/>
  <c r="DN58" i="5"/>
  <c r="H59" i="5" s="1"/>
  <c r="T59" i="5" s="1"/>
  <c r="CX61" i="5"/>
  <c r="CZ58" i="5"/>
  <c r="G59" i="5" s="1"/>
  <c r="S59" i="5" s="1"/>
  <c r="CY58" i="5"/>
  <c r="DH30" i="4"/>
  <c r="I49" i="4" s="1"/>
  <c r="N61" i="5"/>
  <c r="CO60" i="5"/>
  <c r="CW59" i="5" s="1"/>
  <c r="DD31" i="4"/>
  <c r="DG33" i="4"/>
  <c r="DC60" i="5"/>
  <c r="DK59" i="5" s="1"/>
  <c r="DM59" i="5" s="1"/>
  <c r="DQ60" i="5"/>
  <c r="DY59" i="5" s="1"/>
  <c r="EA59" i="5" s="1"/>
  <c r="DF60" i="5"/>
  <c r="DG60" i="5" s="1"/>
  <c r="CR60" i="5"/>
  <c r="CS60" i="5" s="1"/>
  <c r="DI59" i="5"/>
  <c r="DJ59" i="5" s="1"/>
  <c r="DW59" i="5"/>
  <c r="DX59" i="5" s="1"/>
  <c r="EB59" i="5" s="1"/>
  <c r="DT60" i="5"/>
  <c r="DU60" i="5" s="1"/>
  <c r="DB61" i="5"/>
  <c r="DD61" i="5"/>
  <c r="DE61" i="5"/>
  <c r="CQ61" i="5"/>
  <c r="CP61" i="5"/>
  <c r="CN61" i="5"/>
  <c r="B62" i="5"/>
  <c r="AA62" i="5"/>
  <c r="DH61" i="5"/>
  <c r="BY61" i="5"/>
  <c r="CD61" i="5" s="1"/>
  <c r="DV61" i="5"/>
  <c r="CT61" i="5"/>
  <c r="AB61" i="5"/>
  <c r="K62" i="5" s="1"/>
  <c r="W62" i="5" s="1"/>
  <c r="DS61" i="5"/>
  <c r="DR61" i="5"/>
  <c r="DP61" i="5"/>
  <c r="DB33" i="4"/>
  <c r="DC33" i="4" s="1"/>
  <c r="CN26" i="4"/>
  <c r="F45" i="4" s="1"/>
  <c r="CQ26" i="4"/>
  <c r="G45" i="4" s="1"/>
  <c r="BL34" i="4"/>
  <c r="BM34" i="4" s="1"/>
  <c r="BO33" i="4"/>
  <c r="CX34" i="4"/>
  <c r="DF34" i="4" s="1"/>
  <c r="C54" i="4"/>
  <c r="W36" i="4"/>
  <c r="CU35" i="4"/>
  <c r="AU61" i="5" l="1"/>
  <c r="BB61" i="5" s="1"/>
  <c r="BL62" i="5"/>
  <c r="BT61" i="5" s="1"/>
  <c r="CB61" i="5"/>
  <c r="CC61" i="5" s="1"/>
  <c r="CE61" i="5" s="1"/>
  <c r="CH61" i="5" s="1"/>
  <c r="CL61" i="5" s="1"/>
  <c r="AW62" i="5"/>
  <c r="AX62" i="5" s="1"/>
  <c r="BD60" i="5"/>
  <c r="BF60" i="5" s="1"/>
  <c r="BC60" i="5"/>
  <c r="BG60" i="5" s="1"/>
  <c r="AV62" i="5"/>
  <c r="CK61" i="5"/>
  <c r="BZ62" i="5"/>
  <c r="CG62" i="5" s="1"/>
  <c r="CF62" i="5"/>
  <c r="CI62" i="5" s="1"/>
  <c r="BA62" i="5"/>
  <c r="BE62" i="5"/>
  <c r="AY62" i="5"/>
  <c r="CJ62" i="5"/>
  <c r="CA63" i="5"/>
  <c r="AC36" i="4"/>
  <c r="AZ61" i="5"/>
  <c r="BO62" i="5"/>
  <c r="BN62" i="5"/>
  <c r="F59" i="5"/>
  <c r="R59" i="5" s="1"/>
  <c r="BW59" i="5"/>
  <c r="E60" i="5" s="1"/>
  <c r="Q60" i="5" s="1"/>
  <c r="BP60" i="5"/>
  <c r="BR60" i="5" s="1"/>
  <c r="BS60" i="5" s="1"/>
  <c r="BQ62" i="5"/>
  <c r="BK62" i="5"/>
  <c r="CD32" i="4"/>
  <c r="BK34" i="4"/>
  <c r="BM61" i="5"/>
  <c r="BV60" i="5"/>
  <c r="AE35" i="4"/>
  <c r="AG35" i="4" s="1"/>
  <c r="BN35" i="4"/>
  <c r="Z36" i="4"/>
  <c r="AA36" i="4"/>
  <c r="AT35" i="4" s="1"/>
  <c r="AB36" i="4"/>
  <c r="AF36" i="4"/>
  <c r="AU36" i="4"/>
  <c r="CE36" i="4"/>
  <c r="Y36" i="4"/>
  <c r="AD36" i="4" s="1"/>
  <c r="BJ36" i="4"/>
  <c r="BQ36" i="4" s="1"/>
  <c r="D60" i="5"/>
  <c r="P60" i="5" s="1"/>
  <c r="BU62" i="5"/>
  <c r="AK62" i="5"/>
  <c r="AO62" i="5"/>
  <c r="AI62" i="5"/>
  <c r="AD65" i="5"/>
  <c r="AC66" i="5"/>
  <c r="BJ66" i="5"/>
  <c r="DT61" i="5"/>
  <c r="DU61" i="5" s="1"/>
  <c r="DA34" i="4"/>
  <c r="J54" i="4"/>
  <c r="J61" i="5"/>
  <c r="V61" i="5" s="1"/>
  <c r="BP36" i="4"/>
  <c r="CY36" i="4"/>
  <c r="CS37" i="4" s="1"/>
  <c r="BI36" i="4"/>
  <c r="CW36" i="4" s="1"/>
  <c r="X36" i="4"/>
  <c r="K55" i="4" s="1"/>
  <c r="CT36" i="4"/>
  <c r="CZ35" i="4" s="1"/>
  <c r="CV36" i="4"/>
  <c r="DL62" i="5"/>
  <c r="DZ62" i="5"/>
  <c r="I60" i="5"/>
  <c r="U60" i="5" s="1"/>
  <c r="DN59" i="5"/>
  <c r="H60" i="5" s="1"/>
  <c r="T60" i="5" s="1"/>
  <c r="CZ59" i="5"/>
  <c r="G60" i="5" s="1"/>
  <c r="S60" i="5" s="1"/>
  <c r="CY59" i="5"/>
  <c r="CX62" i="5"/>
  <c r="CO61" i="5"/>
  <c r="CW60" i="5" s="1"/>
  <c r="N62" i="5"/>
  <c r="DE31" i="4"/>
  <c r="H50" i="4" s="1"/>
  <c r="DD32" i="4"/>
  <c r="DH32" i="4" s="1"/>
  <c r="I51" i="4" s="1"/>
  <c r="DH31" i="4"/>
  <c r="I50" i="4" s="1"/>
  <c r="DC61" i="5"/>
  <c r="DK60" i="5" s="1"/>
  <c r="DM60" i="5" s="1"/>
  <c r="DQ61" i="5"/>
  <c r="DY60" i="5" s="1"/>
  <c r="EA60" i="5" s="1"/>
  <c r="CU60" i="5"/>
  <c r="CV60" i="5" s="1"/>
  <c r="DW60" i="5"/>
  <c r="DX60" i="5" s="1"/>
  <c r="DE62" i="5"/>
  <c r="DD62" i="5"/>
  <c r="DB62" i="5"/>
  <c r="B63" i="5"/>
  <c r="AA63" i="5"/>
  <c r="DH62" i="5"/>
  <c r="BY62" i="5"/>
  <c r="CD62" i="5" s="1"/>
  <c r="DV62" i="5"/>
  <c r="CT62" i="5"/>
  <c r="AB62" i="5"/>
  <c r="K63" i="5" s="1"/>
  <c r="W63" i="5" s="1"/>
  <c r="DF61" i="5"/>
  <c r="DG61" i="5" s="1"/>
  <c r="CQ62" i="5"/>
  <c r="CP62" i="5"/>
  <c r="CN62" i="5"/>
  <c r="CR61" i="5"/>
  <c r="CS61" i="5" s="1"/>
  <c r="DS62" i="5"/>
  <c r="DR62" i="5"/>
  <c r="DP62" i="5"/>
  <c r="DI60" i="5"/>
  <c r="DJ60" i="5" s="1"/>
  <c r="DG34" i="4"/>
  <c r="DB34" i="4"/>
  <c r="DC34" i="4" s="1"/>
  <c r="BO34" i="4"/>
  <c r="BL35" i="4"/>
  <c r="BM35" i="4" s="1"/>
  <c r="CI26" i="4"/>
  <c r="CJ26" i="4" s="1"/>
  <c r="CK27" i="4" s="1"/>
  <c r="CL27" i="4" s="1"/>
  <c r="CU36" i="4"/>
  <c r="CX35" i="4"/>
  <c r="DF35" i="4" s="1"/>
  <c r="W37" i="4"/>
  <c r="C55" i="4"/>
  <c r="BL63" i="5" l="1"/>
  <c r="BT62" i="5" s="1"/>
  <c r="CB62" i="5"/>
  <c r="CC62" i="5" s="1"/>
  <c r="CE62" i="5" s="1"/>
  <c r="CH62" i="5" s="1"/>
  <c r="CL62" i="5" s="1"/>
  <c r="AU62" i="5"/>
  <c r="BB62" i="5" s="1"/>
  <c r="AC37" i="4"/>
  <c r="AV63" i="5"/>
  <c r="BD61" i="5"/>
  <c r="BF61" i="5" s="1"/>
  <c r="BC61" i="5"/>
  <c r="BG61" i="5" s="1"/>
  <c r="AW63" i="5"/>
  <c r="AX63" i="5" s="1"/>
  <c r="CK62" i="5"/>
  <c r="BZ63" i="5"/>
  <c r="CG63" i="5" s="1"/>
  <c r="AZ62" i="5"/>
  <c r="CF63" i="5"/>
  <c r="CI63" i="5" s="1"/>
  <c r="CJ63" i="5"/>
  <c r="BA63" i="5"/>
  <c r="AY63" i="5"/>
  <c r="BE63" i="5"/>
  <c r="BO63" i="5"/>
  <c r="F60" i="5"/>
  <c r="R60" i="5" s="1"/>
  <c r="BK63" i="5"/>
  <c r="BN63" i="5"/>
  <c r="BW60" i="5"/>
  <c r="E61" i="5" s="1"/>
  <c r="Q61" i="5" s="1"/>
  <c r="BP61" i="5"/>
  <c r="BR61" i="5" s="1"/>
  <c r="BS61" i="5" s="1"/>
  <c r="BQ63" i="5"/>
  <c r="BL64" i="5" s="1"/>
  <c r="BT63" i="5" s="1"/>
  <c r="D61" i="5"/>
  <c r="P61" i="5" s="1"/>
  <c r="CD33" i="4"/>
  <c r="BK35" i="4"/>
  <c r="BM62" i="5"/>
  <c r="BV61" i="5"/>
  <c r="AF37" i="4"/>
  <c r="CE37" i="4"/>
  <c r="AU37" i="4"/>
  <c r="Y37" i="4"/>
  <c r="AD37" i="4" s="1"/>
  <c r="AE36" i="4"/>
  <c r="AG36" i="4" s="1"/>
  <c r="Z37" i="4"/>
  <c r="AB37" i="4"/>
  <c r="AA37" i="4"/>
  <c r="AT36" i="4" s="1"/>
  <c r="BN36" i="4"/>
  <c r="BJ37" i="4"/>
  <c r="BQ37" i="4" s="1"/>
  <c r="BU63" i="5"/>
  <c r="AO63" i="5"/>
  <c r="AK63" i="5"/>
  <c r="AI63" i="5"/>
  <c r="AD66" i="5"/>
  <c r="AC67" i="5"/>
  <c r="BJ67" i="5"/>
  <c r="DF62" i="5"/>
  <c r="DG62" i="5" s="1"/>
  <c r="DA35" i="4"/>
  <c r="J55" i="4"/>
  <c r="J62" i="5"/>
  <c r="V62" i="5" s="1"/>
  <c r="CT37" i="4"/>
  <c r="CZ36" i="4" s="1"/>
  <c r="BP37" i="4"/>
  <c r="CY37" i="4"/>
  <c r="CS38" i="4" s="1"/>
  <c r="BI37" i="4"/>
  <c r="CW37" i="4" s="1"/>
  <c r="X37" i="4"/>
  <c r="K56" i="4" s="1"/>
  <c r="CV37" i="4"/>
  <c r="DL63" i="5"/>
  <c r="DZ63" i="5"/>
  <c r="EB60" i="5"/>
  <c r="I61" i="5" s="1"/>
  <c r="U61" i="5" s="1"/>
  <c r="DN60" i="5"/>
  <c r="H61" i="5" s="1"/>
  <c r="T61" i="5" s="1"/>
  <c r="CX63" i="5"/>
  <c r="CZ60" i="5"/>
  <c r="G61" i="5" s="1"/>
  <c r="S61" i="5" s="1"/>
  <c r="CY60" i="5"/>
  <c r="CO62" i="5"/>
  <c r="CW61" i="5" s="1"/>
  <c r="N63" i="5"/>
  <c r="DE32" i="4"/>
  <c r="H51" i="4" s="1"/>
  <c r="DD33" i="4"/>
  <c r="DE33" i="4" s="1"/>
  <c r="H52" i="4" s="1"/>
  <c r="CP27" i="4"/>
  <c r="CM27" i="4"/>
  <c r="CN27" i="4" s="1"/>
  <c r="F46" i="4" s="1"/>
  <c r="DG35" i="4"/>
  <c r="DQ62" i="5"/>
  <c r="DY61" i="5" s="1"/>
  <c r="EA61" i="5" s="1"/>
  <c r="DC62" i="5"/>
  <c r="DK61" i="5" s="1"/>
  <c r="DM61" i="5" s="1"/>
  <c r="CR62" i="5"/>
  <c r="CS62" i="5" s="1"/>
  <c r="DT62" i="5"/>
  <c r="DU62" i="5" s="1"/>
  <c r="DW61" i="5"/>
  <c r="DX61" i="5" s="1"/>
  <c r="DI61" i="5"/>
  <c r="DJ61" i="5" s="1"/>
  <c r="CP63" i="5"/>
  <c r="CN63" i="5"/>
  <c r="CQ63" i="5"/>
  <c r="B64" i="5"/>
  <c r="DH63" i="5"/>
  <c r="BY63" i="5"/>
  <c r="CD63" i="5" s="1"/>
  <c r="CT63" i="5"/>
  <c r="AA64" i="5"/>
  <c r="DV63" i="5"/>
  <c r="AB63" i="5"/>
  <c r="K64" i="5" s="1"/>
  <c r="W64" i="5" s="1"/>
  <c r="CU61" i="5"/>
  <c r="CV61" i="5" s="1"/>
  <c r="DR63" i="5"/>
  <c r="DP63" i="5"/>
  <c r="DS63" i="5"/>
  <c r="DB63" i="5"/>
  <c r="DE63" i="5"/>
  <c r="DD63" i="5"/>
  <c r="BO35" i="4"/>
  <c r="DB35" i="4"/>
  <c r="DC35" i="4" s="1"/>
  <c r="BL36" i="4"/>
  <c r="BM36" i="4" s="1"/>
  <c r="CF27" i="4"/>
  <c r="CH27" i="4" s="1"/>
  <c r="CX36" i="4"/>
  <c r="DF36" i="4" s="1"/>
  <c r="W38" i="4"/>
  <c r="C56" i="4"/>
  <c r="CU37" i="4"/>
  <c r="CB63" i="5" l="1"/>
  <c r="CC63" i="5" s="1"/>
  <c r="AU63" i="5"/>
  <c r="BB63" i="5" s="1"/>
  <c r="AV64" i="5"/>
  <c r="AZ63" i="5"/>
  <c r="BD63" i="5" s="1"/>
  <c r="BZ64" i="5"/>
  <c r="CG64" i="5" s="1"/>
  <c r="CB64" i="5"/>
  <c r="CC64" i="5" s="1"/>
  <c r="BD62" i="5"/>
  <c r="BF62" i="5" s="1"/>
  <c r="BC62" i="5"/>
  <c r="BG62" i="5" s="1"/>
  <c r="AC38" i="4"/>
  <c r="CK63" i="5"/>
  <c r="CE63" i="5"/>
  <c r="CH63" i="5" s="1"/>
  <c r="CL63" i="5" s="1"/>
  <c r="CJ64" i="5"/>
  <c r="CF64" i="5"/>
  <c r="CI64" i="5" s="1"/>
  <c r="BE64" i="5"/>
  <c r="BA64" i="5"/>
  <c r="AY64" i="5"/>
  <c r="AW64" i="5"/>
  <c r="AX64" i="5" s="1"/>
  <c r="CA64" i="5"/>
  <c r="CA65" i="5" s="1"/>
  <c r="BO64" i="5"/>
  <c r="F61" i="5"/>
  <c r="R61" i="5" s="1"/>
  <c r="BN64" i="5"/>
  <c r="BW61" i="5"/>
  <c r="E62" i="5" s="1"/>
  <c r="Q62" i="5" s="1"/>
  <c r="BP62" i="5"/>
  <c r="BR62" i="5" s="1"/>
  <c r="BS62" i="5" s="1"/>
  <c r="BW62" i="5" s="1"/>
  <c r="BQ64" i="5"/>
  <c r="BL65" i="5" s="1"/>
  <c r="BT64" i="5" s="1"/>
  <c r="BK64" i="5"/>
  <c r="D62" i="5"/>
  <c r="P62" i="5" s="1"/>
  <c r="CD34" i="4"/>
  <c r="BK36" i="4"/>
  <c r="BV62" i="5"/>
  <c r="BM63" i="5"/>
  <c r="BN37" i="4"/>
  <c r="AF38" i="4"/>
  <c r="CE38" i="4"/>
  <c r="AU38" i="4"/>
  <c r="Y38" i="4"/>
  <c r="AD38" i="4" s="1"/>
  <c r="AE37" i="4"/>
  <c r="AG37" i="4" s="1"/>
  <c r="Z38" i="4"/>
  <c r="AA38" i="4"/>
  <c r="AT37" i="4" s="1"/>
  <c r="AB38" i="4"/>
  <c r="BJ38" i="4"/>
  <c r="BQ38" i="4" s="1"/>
  <c r="BU64" i="5"/>
  <c r="AK64" i="5"/>
  <c r="AO64" i="5"/>
  <c r="AI64" i="5"/>
  <c r="F62" i="5"/>
  <c r="R62" i="5" s="1"/>
  <c r="AD67" i="5"/>
  <c r="AC68" i="5"/>
  <c r="BJ68" i="5"/>
  <c r="CR63" i="5"/>
  <c r="CS63" i="5" s="1"/>
  <c r="J56" i="4"/>
  <c r="DA36" i="4"/>
  <c r="J63" i="5"/>
  <c r="V63" i="5" s="1"/>
  <c r="BP38" i="4"/>
  <c r="CY38" i="4"/>
  <c r="CS39" i="4" s="1"/>
  <c r="BI38" i="4"/>
  <c r="CW38" i="4" s="1"/>
  <c r="X38" i="4"/>
  <c r="K57" i="4" s="1"/>
  <c r="CT38" i="4"/>
  <c r="CZ37" i="4" s="1"/>
  <c r="CV38" i="4"/>
  <c r="DL64" i="5"/>
  <c r="DZ64" i="5"/>
  <c r="EB61" i="5"/>
  <c r="I62" i="5" s="1"/>
  <c r="U62" i="5" s="1"/>
  <c r="DN61" i="5"/>
  <c r="H62" i="5" s="1"/>
  <c r="T62" i="5" s="1"/>
  <c r="CZ61" i="5"/>
  <c r="G62" i="5" s="1"/>
  <c r="S62" i="5" s="1"/>
  <c r="CY61" i="5"/>
  <c r="CX64" i="5"/>
  <c r="CO63" i="5"/>
  <c r="CW62" i="5" s="1"/>
  <c r="N64" i="5"/>
  <c r="DH33" i="4"/>
  <c r="I52" i="4" s="1"/>
  <c r="DD34" i="4"/>
  <c r="DE34" i="4" s="1"/>
  <c r="H53" i="4" s="1"/>
  <c r="DB36" i="4"/>
  <c r="DC36" i="4" s="1"/>
  <c r="DC63" i="5"/>
  <c r="DK62" i="5" s="1"/>
  <c r="DM62" i="5" s="1"/>
  <c r="DQ63" i="5"/>
  <c r="DY62" i="5" s="1"/>
  <c r="EA62" i="5" s="1"/>
  <c r="DW62" i="5"/>
  <c r="DX62" i="5" s="1"/>
  <c r="CU62" i="5"/>
  <c r="CV62" i="5" s="1"/>
  <c r="B65" i="5"/>
  <c r="AA65" i="5"/>
  <c r="DV64" i="5"/>
  <c r="DH64" i="5"/>
  <c r="BY64" i="5"/>
  <c r="CD64" i="5" s="1"/>
  <c r="CT64" i="5"/>
  <c r="AB64" i="5"/>
  <c r="K65" i="5" s="1"/>
  <c r="W65" i="5" s="1"/>
  <c r="DT63" i="5"/>
  <c r="DU63" i="5" s="1"/>
  <c r="DI62" i="5"/>
  <c r="DJ62" i="5" s="1"/>
  <c r="DN62" i="5" s="1"/>
  <c r="CN64" i="5"/>
  <c r="CP64" i="5"/>
  <c r="CQ64" i="5"/>
  <c r="DF63" i="5"/>
  <c r="DG63" i="5" s="1"/>
  <c r="DB64" i="5"/>
  <c r="DE64" i="5"/>
  <c r="DD64" i="5"/>
  <c r="DP64" i="5"/>
  <c r="DR64" i="5"/>
  <c r="DS64" i="5"/>
  <c r="BO36" i="4"/>
  <c r="BL37" i="4"/>
  <c r="BM37" i="4" s="1"/>
  <c r="DG36" i="4"/>
  <c r="CQ27" i="4"/>
  <c r="G46" i="4" s="1"/>
  <c r="CX37" i="4"/>
  <c r="DF37" i="4" s="1"/>
  <c r="W39" i="4"/>
  <c r="C57" i="4"/>
  <c r="CU38" i="4"/>
  <c r="AU64" i="5" l="1"/>
  <c r="BB64" i="5" s="1"/>
  <c r="BC63" i="5"/>
  <c r="AV65" i="5"/>
  <c r="CK64" i="5"/>
  <c r="AZ64" i="5"/>
  <c r="BD64" i="5" s="1"/>
  <c r="BF63" i="5"/>
  <c r="BZ65" i="5"/>
  <c r="CG65" i="5" s="1"/>
  <c r="CB65" i="5"/>
  <c r="CC65" i="5" s="1"/>
  <c r="BG63" i="5"/>
  <c r="AC39" i="4"/>
  <c r="CE64" i="5"/>
  <c r="CH64" i="5" s="1"/>
  <c r="CL64" i="5" s="1"/>
  <c r="AU65" i="5"/>
  <c r="BB65" i="5" s="1"/>
  <c r="AW65" i="5"/>
  <c r="AX65" i="5" s="1"/>
  <c r="CJ65" i="5"/>
  <c r="CF65" i="5"/>
  <c r="CI65" i="5" s="1"/>
  <c r="BE65" i="5"/>
  <c r="BA65" i="5"/>
  <c r="AY65" i="5"/>
  <c r="BO65" i="5"/>
  <c r="BK65" i="5"/>
  <c r="BN65" i="5"/>
  <c r="E63" i="5"/>
  <c r="Q63" i="5" s="1"/>
  <c r="BP63" i="5"/>
  <c r="BR63" i="5" s="1"/>
  <c r="BS63" i="5" s="1"/>
  <c r="BQ65" i="5"/>
  <c r="BL66" i="5" s="1"/>
  <c r="BT65" i="5" s="1"/>
  <c r="CD35" i="4"/>
  <c r="BK37" i="4"/>
  <c r="BK38" i="4" s="1"/>
  <c r="CD37" i="4" s="1"/>
  <c r="BV63" i="5"/>
  <c r="BM64" i="5"/>
  <c r="D63" i="5"/>
  <c r="P63" i="5" s="1"/>
  <c r="J57" i="4"/>
  <c r="Z39" i="4"/>
  <c r="AB39" i="4"/>
  <c r="AA39" i="4"/>
  <c r="AT38" i="4" s="1"/>
  <c r="AE38" i="4"/>
  <c r="AG38" i="4" s="1"/>
  <c r="AU39" i="4"/>
  <c r="CE39" i="4"/>
  <c r="AF39" i="4"/>
  <c r="Y39" i="4"/>
  <c r="AD39" i="4" s="1"/>
  <c r="BN38" i="4"/>
  <c r="BJ39" i="4"/>
  <c r="BQ39" i="4" s="1"/>
  <c r="BU65" i="5"/>
  <c r="AK65" i="5"/>
  <c r="AO65" i="5"/>
  <c r="AI65" i="5"/>
  <c r="F63" i="5"/>
  <c r="R63" i="5" s="1"/>
  <c r="AD68" i="5"/>
  <c r="AC69" i="5"/>
  <c r="BJ69" i="5"/>
  <c r="DF64" i="5"/>
  <c r="DG64" i="5" s="1"/>
  <c r="DA37" i="4"/>
  <c r="J64" i="5"/>
  <c r="V64" i="5" s="1"/>
  <c r="CY39" i="4"/>
  <c r="CS40" i="4" s="1"/>
  <c r="BP39" i="4"/>
  <c r="X39" i="4"/>
  <c r="K58" i="4" s="1"/>
  <c r="BI39" i="4"/>
  <c r="CW39" i="4" s="1"/>
  <c r="CV39" i="4"/>
  <c r="CT39" i="4"/>
  <c r="CZ38" i="4" s="1"/>
  <c r="DL65" i="5"/>
  <c r="DZ65" i="5"/>
  <c r="EB62" i="5"/>
  <c r="I63" i="5" s="1"/>
  <c r="U63" i="5" s="1"/>
  <c r="H63" i="5"/>
  <c r="T63" i="5" s="1"/>
  <c r="CX65" i="5"/>
  <c r="CZ62" i="5"/>
  <c r="G63" i="5" s="1"/>
  <c r="S63" i="5" s="1"/>
  <c r="CY62" i="5"/>
  <c r="CO64" i="5"/>
  <c r="CW63" i="5" s="1"/>
  <c r="N65" i="5"/>
  <c r="DH34" i="4"/>
  <c r="I53" i="4" s="1"/>
  <c r="DD35" i="4"/>
  <c r="DE35" i="4" s="1"/>
  <c r="H54" i="4" s="1"/>
  <c r="DG37" i="4"/>
  <c r="DC64" i="5"/>
  <c r="DK63" i="5" s="1"/>
  <c r="DM63" i="5" s="1"/>
  <c r="DQ64" i="5"/>
  <c r="DY63" i="5" s="1"/>
  <c r="EA63" i="5" s="1"/>
  <c r="DI63" i="5"/>
  <c r="DJ63" i="5" s="1"/>
  <c r="B66" i="5"/>
  <c r="DV65" i="5"/>
  <c r="AA66" i="5"/>
  <c r="DH65" i="5"/>
  <c r="BY65" i="5"/>
  <c r="CD65" i="5" s="1"/>
  <c r="CT65" i="5"/>
  <c r="AB65" i="5"/>
  <c r="K66" i="5" s="1"/>
  <c r="W66" i="5" s="1"/>
  <c r="CR64" i="5"/>
  <c r="CS64" i="5" s="1"/>
  <c r="CQ65" i="5"/>
  <c r="CN65" i="5"/>
  <c r="CP65" i="5"/>
  <c r="DT64" i="5"/>
  <c r="DU64" i="5" s="1"/>
  <c r="CU63" i="5"/>
  <c r="CV63" i="5" s="1"/>
  <c r="DE65" i="5"/>
  <c r="DD65" i="5"/>
  <c r="DB65" i="5"/>
  <c r="DW63" i="5"/>
  <c r="DX63" i="5" s="1"/>
  <c r="EB63" i="5" s="1"/>
  <c r="DS65" i="5"/>
  <c r="DP65" i="5"/>
  <c r="DR65" i="5"/>
  <c r="BL38" i="4"/>
  <c r="BM38" i="4" s="1"/>
  <c r="BO37" i="4"/>
  <c r="DB37" i="4"/>
  <c r="DC37" i="4" s="1"/>
  <c r="CI27" i="4"/>
  <c r="CJ27" i="4" s="1"/>
  <c r="CK28" i="4" s="1"/>
  <c r="CL28" i="4" s="1"/>
  <c r="CX38" i="4"/>
  <c r="DF38" i="4" s="1"/>
  <c r="CU39" i="4"/>
  <c r="W40" i="4"/>
  <c r="C58" i="4"/>
  <c r="BF64" i="5" l="1"/>
  <c r="BC64" i="5"/>
  <c r="BG64" i="5" s="1"/>
  <c r="D65" i="5" s="1"/>
  <c r="P65" i="5" s="1"/>
  <c r="BZ66" i="5"/>
  <c r="CG66" i="5" s="1"/>
  <c r="CB66" i="5"/>
  <c r="CC66" i="5" s="1"/>
  <c r="CF66" i="5"/>
  <c r="CI66" i="5" s="1"/>
  <c r="CJ66" i="5"/>
  <c r="BE66" i="5"/>
  <c r="BA66" i="5"/>
  <c r="AY66" i="5"/>
  <c r="CE65" i="5"/>
  <c r="CH65" i="5" s="1"/>
  <c r="CL65" i="5" s="1"/>
  <c r="AZ65" i="5"/>
  <c r="CK65" i="5"/>
  <c r="CA66" i="5"/>
  <c r="CA67" i="5" s="1"/>
  <c r="AU66" i="5"/>
  <c r="BB66" i="5" s="1"/>
  <c r="AW66" i="5"/>
  <c r="AX66" i="5" s="1"/>
  <c r="AV66" i="5"/>
  <c r="AV67" i="5" s="1"/>
  <c r="AC40" i="4"/>
  <c r="BO66" i="5"/>
  <c r="BK66" i="5"/>
  <c r="BN66" i="5"/>
  <c r="BW63" i="5"/>
  <c r="E64" i="5" s="1"/>
  <c r="Q64" i="5" s="1"/>
  <c r="BP64" i="5"/>
  <c r="BR64" i="5" s="1"/>
  <c r="BS64" i="5" s="1"/>
  <c r="BW64" i="5" s="1"/>
  <c r="BQ66" i="5"/>
  <c r="BL67" i="5" s="1"/>
  <c r="BT66" i="5" s="1"/>
  <c r="CD36" i="4"/>
  <c r="BK39" i="4"/>
  <c r="CD38" i="4" s="1"/>
  <c r="BV64" i="5"/>
  <c r="BM65" i="5"/>
  <c r="BP65" i="5" s="1"/>
  <c r="D64" i="5"/>
  <c r="P64" i="5" s="1"/>
  <c r="J58" i="4"/>
  <c r="Z40" i="4"/>
  <c r="AA40" i="4"/>
  <c r="AT39" i="4" s="1"/>
  <c r="AB40" i="4"/>
  <c r="CE40" i="4"/>
  <c r="AU40" i="4"/>
  <c r="AF40" i="4"/>
  <c r="Y40" i="4"/>
  <c r="AD40" i="4" s="1"/>
  <c r="AE39" i="4"/>
  <c r="AG39" i="4" s="1"/>
  <c r="BN39" i="4"/>
  <c r="BJ40" i="4"/>
  <c r="BQ40" i="4" s="1"/>
  <c r="AK66" i="5"/>
  <c r="AO66" i="5"/>
  <c r="BU66" i="5"/>
  <c r="AI66" i="5"/>
  <c r="F64" i="5"/>
  <c r="R64" i="5" s="1"/>
  <c r="AD69" i="5"/>
  <c r="AC70" i="5"/>
  <c r="BJ70" i="5"/>
  <c r="DA38" i="4"/>
  <c r="J65" i="5"/>
  <c r="V65" i="5" s="1"/>
  <c r="CV40" i="4"/>
  <c r="BP40" i="4"/>
  <c r="CY40" i="4"/>
  <c r="CS41" i="4" s="1"/>
  <c r="BI40" i="4"/>
  <c r="CW40" i="4" s="1"/>
  <c r="X40" i="4"/>
  <c r="K59" i="4" s="1"/>
  <c r="CT40" i="4"/>
  <c r="CZ39" i="4" s="1"/>
  <c r="DL66" i="5"/>
  <c r="DZ66" i="5"/>
  <c r="I64" i="5"/>
  <c r="U64" i="5" s="1"/>
  <c r="DN63" i="5"/>
  <c r="H64" i="5" s="1"/>
  <c r="T64" i="5" s="1"/>
  <c r="CZ63" i="5"/>
  <c r="G64" i="5" s="1"/>
  <c r="S64" i="5" s="1"/>
  <c r="CY63" i="5"/>
  <c r="CX66" i="5"/>
  <c r="CO65" i="5"/>
  <c r="CW64" i="5" s="1"/>
  <c r="N66" i="5"/>
  <c r="DD36" i="4"/>
  <c r="DE36" i="4" s="1"/>
  <c r="H55" i="4" s="1"/>
  <c r="DH35" i="4"/>
  <c r="I54" i="4" s="1"/>
  <c r="CP28" i="4"/>
  <c r="CM28" i="4"/>
  <c r="DB38" i="4"/>
  <c r="DC38" i="4" s="1"/>
  <c r="DC65" i="5"/>
  <c r="DK64" i="5" s="1"/>
  <c r="DM64" i="5" s="1"/>
  <c r="DQ65" i="5"/>
  <c r="DY64" i="5" s="1"/>
  <c r="EA64" i="5" s="1"/>
  <c r="DF65" i="5"/>
  <c r="DG65" i="5" s="1"/>
  <c r="CU64" i="5"/>
  <c r="CV64" i="5" s="1"/>
  <c r="DW64" i="5"/>
  <c r="DX64" i="5" s="1"/>
  <c r="EB64" i="5" s="1"/>
  <c r="DI64" i="5"/>
  <c r="DJ64" i="5" s="1"/>
  <c r="DN64" i="5" s="1"/>
  <c r="CP66" i="5"/>
  <c r="CQ66" i="5"/>
  <c r="CN66" i="5"/>
  <c r="DT65" i="5"/>
  <c r="DU65" i="5" s="1"/>
  <c r="CR65" i="5"/>
  <c r="CS65" i="5" s="1"/>
  <c r="DD66" i="5"/>
  <c r="DB66" i="5"/>
  <c r="DE66" i="5"/>
  <c r="DR66" i="5"/>
  <c r="DS66" i="5"/>
  <c r="DP66" i="5"/>
  <c r="B67" i="5"/>
  <c r="DV66" i="5"/>
  <c r="CT66" i="5"/>
  <c r="AA67" i="5"/>
  <c r="DH66" i="5"/>
  <c r="BY66" i="5"/>
  <c r="CD66" i="5" s="1"/>
  <c r="AB66" i="5"/>
  <c r="K67" i="5" s="1"/>
  <c r="W67" i="5" s="1"/>
  <c r="BO38" i="4"/>
  <c r="BL39" i="4"/>
  <c r="BM39" i="4" s="1"/>
  <c r="DG38" i="4"/>
  <c r="CF28" i="4"/>
  <c r="CH28" i="4" s="1"/>
  <c r="CX39" i="4"/>
  <c r="DF39" i="4" s="1"/>
  <c r="CU40" i="4"/>
  <c r="W41" i="4"/>
  <c r="C59" i="4"/>
  <c r="AZ66" i="5" l="1"/>
  <c r="BC66" i="5" s="1"/>
  <c r="AC41" i="4"/>
  <c r="CF67" i="5"/>
  <c r="CJ67" i="5"/>
  <c r="BA67" i="5"/>
  <c r="BE67" i="5"/>
  <c r="AY67" i="5"/>
  <c r="BB67" i="5"/>
  <c r="BD65" i="5"/>
  <c r="BF65" i="5" s="1"/>
  <c r="BC65" i="5"/>
  <c r="BG65" i="5" s="1"/>
  <c r="D66" i="5" s="1"/>
  <c r="P66" i="5" s="1"/>
  <c r="CK66" i="5"/>
  <c r="BZ67" i="5"/>
  <c r="CG67" i="5" s="1"/>
  <c r="CB67" i="5"/>
  <c r="CC67" i="5" s="1"/>
  <c r="CE66" i="5"/>
  <c r="CH66" i="5" s="1"/>
  <c r="CL66" i="5" s="1"/>
  <c r="BD66" i="5"/>
  <c r="AU67" i="5"/>
  <c r="AW67" i="5"/>
  <c r="AX67" i="5" s="1"/>
  <c r="BQ67" i="5"/>
  <c r="BL68" i="5" s="1"/>
  <c r="BT67" i="5" s="1"/>
  <c r="BO67" i="5"/>
  <c r="BN67" i="5"/>
  <c r="E65" i="5"/>
  <c r="Q65" i="5" s="1"/>
  <c r="BK67" i="5"/>
  <c r="BK40" i="4"/>
  <c r="CD39" i="4" s="1"/>
  <c r="AL67" i="5"/>
  <c r="BV65" i="5"/>
  <c r="BM66" i="5"/>
  <c r="BP66" i="5" s="1"/>
  <c r="J59" i="4"/>
  <c r="AE40" i="4"/>
  <c r="AG40" i="4" s="1"/>
  <c r="BN40" i="4"/>
  <c r="AU41" i="4"/>
  <c r="AF41" i="4"/>
  <c r="CE41" i="4"/>
  <c r="Y41" i="4"/>
  <c r="AD41" i="4" s="1"/>
  <c r="Z41" i="4"/>
  <c r="AB41" i="4"/>
  <c r="AA41" i="4"/>
  <c r="AT40" i="4" s="1"/>
  <c r="BJ41" i="4"/>
  <c r="BQ41" i="4" s="1"/>
  <c r="BU67" i="5"/>
  <c r="AO67" i="5"/>
  <c r="AK67" i="5"/>
  <c r="AI67" i="5"/>
  <c r="F65" i="5"/>
  <c r="R65" i="5" s="1"/>
  <c r="AD70" i="5"/>
  <c r="AC71" i="5"/>
  <c r="BJ71" i="5"/>
  <c r="DT66" i="5"/>
  <c r="DU66" i="5" s="1"/>
  <c r="DA39" i="4"/>
  <c r="J66" i="5"/>
  <c r="V66" i="5" s="1"/>
  <c r="BP41" i="4"/>
  <c r="CY41" i="4"/>
  <c r="CS42" i="4" s="1"/>
  <c r="X41" i="4"/>
  <c r="K60" i="4" s="1"/>
  <c r="BI41" i="4"/>
  <c r="CW41" i="4" s="1"/>
  <c r="CT41" i="4"/>
  <c r="CV41" i="4"/>
  <c r="DL67" i="5"/>
  <c r="DZ67" i="5"/>
  <c r="I65" i="5"/>
  <c r="U65" i="5" s="1"/>
  <c r="H65" i="5"/>
  <c r="T65" i="5" s="1"/>
  <c r="CY64" i="5"/>
  <c r="CZ64" i="5"/>
  <c r="G65" i="5" s="1"/>
  <c r="S65" i="5" s="1"/>
  <c r="CX67" i="5"/>
  <c r="CO66" i="5"/>
  <c r="CW65" i="5" s="1"/>
  <c r="N67" i="5"/>
  <c r="DH36" i="4"/>
  <c r="I55" i="4" s="1"/>
  <c r="DD37" i="4"/>
  <c r="DH37" i="4" s="1"/>
  <c r="I56" i="4" s="1"/>
  <c r="DG39" i="4"/>
  <c r="DC66" i="5"/>
  <c r="DK65" i="5" s="1"/>
  <c r="DM65" i="5" s="1"/>
  <c r="DQ66" i="5"/>
  <c r="DY65" i="5" s="1"/>
  <c r="EA65" i="5" s="1"/>
  <c r="DI65" i="5"/>
  <c r="DJ65" i="5" s="1"/>
  <c r="CR66" i="5"/>
  <c r="CS66" i="5" s="1"/>
  <c r="DW65" i="5"/>
  <c r="DX65" i="5" s="1"/>
  <c r="DS67" i="5"/>
  <c r="DR67" i="5"/>
  <c r="DP67" i="5"/>
  <c r="DF66" i="5"/>
  <c r="DG66" i="5" s="1"/>
  <c r="DE67" i="5"/>
  <c r="DD67" i="5"/>
  <c r="DB67" i="5"/>
  <c r="DV67" i="5"/>
  <c r="AA68" i="5"/>
  <c r="DH67" i="5"/>
  <c r="BY67" i="5"/>
  <c r="CD67" i="5" s="1"/>
  <c r="CT67" i="5"/>
  <c r="B68" i="5"/>
  <c r="A57" i="5" s="1"/>
  <c r="AB67" i="5"/>
  <c r="K68" i="5" s="1"/>
  <c r="W68" i="5" s="1"/>
  <c r="CU65" i="5"/>
  <c r="CV65" i="5" s="1"/>
  <c r="CN67" i="5"/>
  <c r="CQ67" i="5"/>
  <c r="CP67" i="5"/>
  <c r="BL40" i="4"/>
  <c r="BM40" i="4" s="1"/>
  <c r="BO39" i="4"/>
  <c r="DB39" i="4"/>
  <c r="DC39" i="4" s="1"/>
  <c r="CN28" i="4"/>
  <c r="F47" i="4" s="1"/>
  <c r="CQ28" i="4"/>
  <c r="G47" i="4" s="1"/>
  <c r="CX40" i="4"/>
  <c r="DF40" i="4" s="1"/>
  <c r="W42" i="4"/>
  <c r="C60" i="4"/>
  <c r="CU41" i="4"/>
  <c r="BF66" i="5" l="1"/>
  <c r="BG66" i="5"/>
  <c r="AZ67" i="5"/>
  <c r="BC67" i="5" s="1"/>
  <c r="CE67" i="5"/>
  <c r="CI67" i="5" s="1"/>
  <c r="BO68" i="5"/>
  <c r="CF68" i="5"/>
  <c r="CI68" i="5" s="1"/>
  <c r="BA68" i="5"/>
  <c r="CJ68" i="5"/>
  <c r="AY68" i="5"/>
  <c r="BE68" i="5"/>
  <c r="AC42" i="4"/>
  <c r="BZ68" i="5"/>
  <c r="CG68" i="5" s="1"/>
  <c r="CB68" i="5"/>
  <c r="CC68" i="5" s="1"/>
  <c r="CA68" i="5"/>
  <c r="CA69" i="5" s="1"/>
  <c r="BK68" i="5"/>
  <c r="BR65" i="5"/>
  <c r="BS65" i="5" s="1"/>
  <c r="BQ68" i="5"/>
  <c r="BL69" i="5" s="1"/>
  <c r="BT68" i="5" s="1"/>
  <c r="BK41" i="4"/>
  <c r="CD40" i="4" s="1"/>
  <c r="J60" i="4"/>
  <c r="BM67" i="5"/>
  <c r="BP67" i="5" s="1"/>
  <c r="BN68" i="5" s="1"/>
  <c r="BV66" i="5"/>
  <c r="D67" i="5"/>
  <c r="P67" i="5" s="1"/>
  <c r="AE41" i="4"/>
  <c r="AG41" i="4" s="1"/>
  <c r="Z42" i="4"/>
  <c r="AB42" i="4"/>
  <c r="AA42" i="4"/>
  <c r="AT41" i="4" s="1"/>
  <c r="AF42" i="4"/>
  <c r="Y42" i="4"/>
  <c r="AD42" i="4" s="1"/>
  <c r="BN41" i="4"/>
  <c r="BJ42" i="4"/>
  <c r="BQ42" i="4" s="1"/>
  <c r="BU68" i="5"/>
  <c r="AI68" i="5"/>
  <c r="AO68" i="5"/>
  <c r="AK68" i="5"/>
  <c r="F66" i="5"/>
  <c r="R66" i="5" s="1"/>
  <c r="AD71" i="5"/>
  <c r="AC72" i="5"/>
  <c r="BJ72" i="5"/>
  <c r="CR67" i="5"/>
  <c r="CS67" i="5" s="1"/>
  <c r="J67" i="5"/>
  <c r="V67" i="5" s="1"/>
  <c r="CT42" i="4"/>
  <c r="CZ41" i="4" s="1"/>
  <c r="CZ40" i="4"/>
  <c r="DA40" i="4" s="1"/>
  <c r="BP42" i="4"/>
  <c r="CY42" i="4"/>
  <c r="CS43" i="4" s="1"/>
  <c r="BI42" i="4"/>
  <c r="CW42" i="4" s="1"/>
  <c r="X42" i="4"/>
  <c r="K61" i="4" s="1"/>
  <c r="CV42" i="4"/>
  <c r="DL68" i="5"/>
  <c r="DZ68" i="5"/>
  <c r="EB65" i="5"/>
  <c r="I66" i="5" s="1"/>
  <c r="U66" i="5" s="1"/>
  <c r="DN65" i="5"/>
  <c r="H66" i="5" s="1"/>
  <c r="T66" i="5" s="1"/>
  <c r="CY65" i="5"/>
  <c r="CZ65" i="5"/>
  <c r="G66" i="5" s="1"/>
  <c r="S66" i="5" s="1"/>
  <c r="CX68" i="5"/>
  <c r="CO67" i="5"/>
  <c r="CW66" i="5" s="1"/>
  <c r="N68" i="5"/>
  <c r="DD38" i="4"/>
  <c r="DE38" i="4" s="1"/>
  <c r="H57" i="4" s="1"/>
  <c r="DE37" i="4"/>
  <c r="H56" i="4" s="1"/>
  <c r="DG40" i="4"/>
  <c r="DC67" i="5"/>
  <c r="DK66" i="5" s="1"/>
  <c r="DM66" i="5" s="1"/>
  <c r="DQ67" i="5"/>
  <c r="DY66" i="5" s="1"/>
  <c r="EA66" i="5" s="1"/>
  <c r="DF67" i="5"/>
  <c r="DG67" i="5" s="1"/>
  <c r="DE68" i="5" s="1"/>
  <c r="DT67" i="5"/>
  <c r="DU67" i="5" s="1"/>
  <c r="DI66" i="5"/>
  <c r="DJ66" i="5" s="1"/>
  <c r="DN66" i="5" s="1"/>
  <c r="DB68" i="5"/>
  <c r="DD68" i="5"/>
  <c r="CU66" i="5"/>
  <c r="CV66" i="5" s="1"/>
  <c r="B69" i="5"/>
  <c r="DV68" i="5"/>
  <c r="DH68" i="5"/>
  <c r="BY68" i="5"/>
  <c r="CD68" i="5" s="1"/>
  <c r="CT68" i="5"/>
  <c r="AA69" i="5"/>
  <c r="AB68" i="5"/>
  <c r="K69" i="5" s="1"/>
  <c r="W69" i="5" s="1"/>
  <c r="CN68" i="5"/>
  <c r="CP68" i="5"/>
  <c r="DP68" i="5"/>
  <c r="DR68" i="5"/>
  <c r="DW66" i="5"/>
  <c r="DX66" i="5" s="1"/>
  <c r="EB66" i="5" s="1"/>
  <c r="BO40" i="4"/>
  <c r="BL41" i="4"/>
  <c r="BM41" i="4" s="1"/>
  <c r="DB40" i="4"/>
  <c r="DC40" i="4" s="1"/>
  <c r="CI28" i="4"/>
  <c r="CJ28" i="4" s="1"/>
  <c r="CK29" i="4" s="1"/>
  <c r="CL29" i="4" s="1"/>
  <c r="CX41" i="4"/>
  <c r="DF41" i="4" s="1"/>
  <c r="CU42" i="4"/>
  <c r="W43" i="4"/>
  <c r="C61" i="4"/>
  <c r="BD67" i="5" l="1"/>
  <c r="BF67" i="5" s="1"/>
  <c r="BG67" i="5"/>
  <c r="D68" i="5" s="1"/>
  <c r="P68" i="5" s="1"/>
  <c r="CE68" i="5"/>
  <c r="CH68" i="5" s="1"/>
  <c r="BZ69" i="5"/>
  <c r="CG69" i="5" s="1"/>
  <c r="CB69" i="5"/>
  <c r="CC69" i="5" s="1"/>
  <c r="BO69" i="5"/>
  <c r="CF69" i="5"/>
  <c r="CJ69" i="5"/>
  <c r="AY69" i="5"/>
  <c r="BE69" i="5"/>
  <c r="BA69" i="5"/>
  <c r="CK67" i="5"/>
  <c r="CH67" i="5"/>
  <c r="CL67" i="5" s="1"/>
  <c r="BN69" i="5"/>
  <c r="BK69" i="5"/>
  <c r="BW65" i="5"/>
  <c r="E66" i="5" s="1"/>
  <c r="Q66" i="5" s="1"/>
  <c r="BR66" i="5"/>
  <c r="BS66" i="5" s="1"/>
  <c r="BV67" i="5"/>
  <c r="BR67" i="5"/>
  <c r="BS67" i="5" s="1"/>
  <c r="BW67" i="5" s="1"/>
  <c r="BQ69" i="5"/>
  <c r="BL70" i="5" s="1"/>
  <c r="BT69" i="5" s="1"/>
  <c r="BK42" i="4"/>
  <c r="CD41" i="4" s="1"/>
  <c r="J61" i="4"/>
  <c r="BM68" i="5"/>
  <c r="BP68" i="5" s="1"/>
  <c r="AE42" i="4"/>
  <c r="Z43" i="4"/>
  <c r="AA43" i="4"/>
  <c r="AT42" i="4" s="1"/>
  <c r="AB43" i="4"/>
  <c r="AW41" i="4"/>
  <c r="BN42" i="4"/>
  <c r="AF43" i="4"/>
  <c r="AU43" i="4"/>
  <c r="CE43" i="4"/>
  <c r="Y43" i="4"/>
  <c r="BU69" i="5"/>
  <c r="AK69" i="5"/>
  <c r="AO69" i="5"/>
  <c r="AI69" i="5"/>
  <c r="F67" i="5"/>
  <c r="R67" i="5" s="1"/>
  <c r="AD72" i="5"/>
  <c r="AC73" i="5"/>
  <c r="BJ73" i="5"/>
  <c r="CR68" i="5"/>
  <c r="N69" i="5"/>
  <c r="J68" i="5"/>
  <c r="V68" i="5" s="1"/>
  <c r="DA41" i="4"/>
  <c r="BP43" i="4"/>
  <c r="CY43" i="4"/>
  <c r="CS44" i="4" s="1"/>
  <c r="BI43" i="4"/>
  <c r="BN43" i="4" s="1"/>
  <c r="X43" i="4"/>
  <c r="K62" i="4" s="1"/>
  <c r="CT43" i="4"/>
  <c r="DL69" i="5"/>
  <c r="DZ69" i="5"/>
  <c r="I67" i="5"/>
  <c r="U67" i="5" s="1"/>
  <c r="H67" i="5"/>
  <c r="T67" i="5" s="1"/>
  <c r="CZ66" i="5"/>
  <c r="G67" i="5" s="1"/>
  <c r="S67" i="5" s="1"/>
  <c r="CY66" i="5"/>
  <c r="CX69" i="5"/>
  <c r="CO68" i="5"/>
  <c r="CW67" i="5" s="1"/>
  <c r="DH38" i="4"/>
  <c r="I57" i="4" s="1"/>
  <c r="DD39" i="4"/>
  <c r="DH39" i="4" s="1"/>
  <c r="I58" i="4" s="1"/>
  <c r="CP29" i="4"/>
  <c r="CM29" i="4"/>
  <c r="CN29" i="4" s="1"/>
  <c r="F48" i="4" s="1"/>
  <c r="DG41" i="4"/>
  <c r="DC68" i="5"/>
  <c r="DK67" i="5" s="1"/>
  <c r="DM67" i="5" s="1"/>
  <c r="DQ68" i="5"/>
  <c r="DY67" i="5" s="1"/>
  <c r="EA67" i="5" s="1"/>
  <c r="DT68" i="5"/>
  <c r="DS68" i="5"/>
  <c r="DS69" i="5" s="1"/>
  <c r="DW67" i="5"/>
  <c r="DX67" i="5" s="1"/>
  <c r="CU67" i="5"/>
  <c r="CV67" i="5" s="1"/>
  <c r="DB69" i="5"/>
  <c r="DE69" i="5"/>
  <c r="DD69" i="5"/>
  <c r="B70" i="5"/>
  <c r="AA70" i="5"/>
  <c r="BY69" i="5"/>
  <c r="CD69" i="5" s="1"/>
  <c r="DV69" i="5"/>
  <c r="DH69" i="5"/>
  <c r="CT69" i="5"/>
  <c r="AB69" i="5"/>
  <c r="K70" i="5" s="1"/>
  <c r="W70" i="5" s="1"/>
  <c r="DI67" i="5"/>
  <c r="DJ67" i="5" s="1"/>
  <c r="DR69" i="5"/>
  <c r="DP69" i="5"/>
  <c r="CQ68" i="5"/>
  <c r="CN69" i="5"/>
  <c r="CP69" i="5"/>
  <c r="DF68" i="5"/>
  <c r="DG68" i="5" s="1"/>
  <c r="BO41" i="4"/>
  <c r="BL42" i="4"/>
  <c r="BM42" i="4" s="1"/>
  <c r="DB41" i="4"/>
  <c r="DC41" i="4" s="1"/>
  <c r="CF29" i="4"/>
  <c r="CH29" i="4" s="1"/>
  <c r="CX42" i="4"/>
  <c r="DF42" i="4" s="1"/>
  <c r="CU43" i="4"/>
  <c r="W44" i="4"/>
  <c r="C62" i="4"/>
  <c r="B61" i="4" s="1"/>
  <c r="AV68" i="5" l="1"/>
  <c r="AV69" i="5" s="1"/>
  <c r="AV70" i="5" s="1"/>
  <c r="AV71" i="5" s="1"/>
  <c r="AU68" i="5"/>
  <c r="AW68" i="5" s="1"/>
  <c r="CA70" i="5"/>
  <c r="CI69" i="5"/>
  <c r="CK68" i="5"/>
  <c r="CL68" i="5"/>
  <c r="CE69" i="5"/>
  <c r="CH69" i="5" s="1"/>
  <c r="BO70" i="5"/>
  <c r="CF70" i="5"/>
  <c r="CI70" i="5" s="1"/>
  <c r="BA70" i="5"/>
  <c r="BE70" i="5"/>
  <c r="AY70" i="5"/>
  <c r="CJ70" i="5"/>
  <c r="BZ70" i="5"/>
  <c r="CG70" i="5" s="1"/>
  <c r="CB70" i="5"/>
  <c r="CC70" i="5" s="1"/>
  <c r="BN70" i="5"/>
  <c r="BW66" i="5"/>
  <c r="E67" i="5" s="1"/>
  <c r="Q67" i="5" s="1"/>
  <c r="AG42" i="4"/>
  <c r="AC43" i="4"/>
  <c r="AC44" i="4" s="1"/>
  <c r="BQ70" i="5"/>
  <c r="BL71" i="5" s="1"/>
  <c r="BT70" i="5" s="1"/>
  <c r="BK70" i="5"/>
  <c r="AQ43" i="4"/>
  <c r="AD43" i="4"/>
  <c r="BM69" i="5"/>
  <c r="BP69" i="5" s="1"/>
  <c r="Z44" i="4"/>
  <c r="AA44" i="4"/>
  <c r="AT43" i="4" s="1"/>
  <c r="AB44" i="4"/>
  <c r="AU44" i="4"/>
  <c r="AF44" i="4"/>
  <c r="CE44" i="4"/>
  <c r="Y44" i="4"/>
  <c r="E68" i="5"/>
  <c r="Q68" i="5" s="1"/>
  <c r="E10" i="5"/>
  <c r="E26" i="5" s="1"/>
  <c r="BV68" i="5"/>
  <c r="BU70" i="5"/>
  <c r="AK70" i="5"/>
  <c r="AO70" i="5"/>
  <c r="AI70" i="5"/>
  <c r="AD73" i="5"/>
  <c r="AC74" i="5"/>
  <c r="BJ74" i="5"/>
  <c r="CS68" i="5"/>
  <c r="CU68" i="5" s="1"/>
  <c r="CV68" i="5" s="1"/>
  <c r="DF69" i="5"/>
  <c r="DG69" i="5" s="1"/>
  <c r="J69" i="5"/>
  <c r="V69" i="5" s="1"/>
  <c r="J62" i="4"/>
  <c r="CT44" i="4"/>
  <c r="CZ43" i="4" s="1"/>
  <c r="CZ42" i="4"/>
  <c r="DA42" i="4" s="1"/>
  <c r="CW43" i="4"/>
  <c r="CA43" i="4"/>
  <c r="BP44" i="4"/>
  <c r="CY44" i="4"/>
  <c r="CS45" i="4" s="1"/>
  <c r="BI44" i="4"/>
  <c r="CA44" i="4" s="1"/>
  <c r="X44" i="4"/>
  <c r="K63" i="4" s="1"/>
  <c r="CO69" i="5"/>
  <c r="CW68" i="5" s="1"/>
  <c r="DL70" i="5"/>
  <c r="DZ70" i="5"/>
  <c r="EB67" i="5"/>
  <c r="I68" i="5" s="1"/>
  <c r="U68" i="5" s="1"/>
  <c r="DN67" i="5"/>
  <c r="H68" i="5" s="1"/>
  <c r="T68" i="5" s="1"/>
  <c r="CZ67" i="5"/>
  <c r="G68" i="5" s="1"/>
  <c r="S68" i="5" s="1"/>
  <c r="CY67" i="5"/>
  <c r="CX70" i="5"/>
  <c r="N70" i="5"/>
  <c r="DD40" i="4"/>
  <c r="DH40" i="4" s="1"/>
  <c r="I59" i="4" s="1"/>
  <c r="DE39" i="4"/>
  <c r="H58" i="4" s="1"/>
  <c r="CV43" i="4"/>
  <c r="CV44" i="4" s="1"/>
  <c r="DG42" i="4"/>
  <c r="DC69" i="5"/>
  <c r="DK68" i="5" s="1"/>
  <c r="DM68" i="5" s="1"/>
  <c r="DQ69" i="5"/>
  <c r="DY68" i="5" s="1"/>
  <c r="EA68" i="5" s="1"/>
  <c r="DU68" i="5"/>
  <c r="DW68" i="5" s="1"/>
  <c r="DX68" i="5" s="1"/>
  <c r="EB68" i="5" s="1"/>
  <c r="DI68" i="5"/>
  <c r="DJ68" i="5" s="1"/>
  <c r="CP70" i="5"/>
  <c r="CN70" i="5"/>
  <c r="DS70" i="5"/>
  <c r="DR70" i="5"/>
  <c r="DP70" i="5"/>
  <c r="CR69" i="5"/>
  <c r="DD70" i="5"/>
  <c r="DB70" i="5"/>
  <c r="DE70" i="5"/>
  <c r="DT69" i="5"/>
  <c r="DU69" i="5" s="1"/>
  <c r="CQ69" i="5"/>
  <c r="B71" i="5"/>
  <c r="AA71" i="5"/>
  <c r="DH70" i="5"/>
  <c r="BY70" i="5"/>
  <c r="CD70" i="5" s="1"/>
  <c r="DV70" i="5"/>
  <c r="CT70" i="5"/>
  <c r="AB70" i="5"/>
  <c r="K71" i="5" s="1"/>
  <c r="W71" i="5" s="1"/>
  <c r="BO42" i="4"/>
  <c r="DB42" i="4"/>
  <c r="DC42" i="4" s="1"/>
  <c r="CQ29" i="4"/>
  <c r="G48" i="4" s="1"/>
  <c r="CI29" i="4"/>
  <c r="CJ29" i="4" s="1"/>
  <c r="CK30" i="4" s="1"/>
  <c r="CL30" i="4" s="1"/>
  <c r="W45" i="4"/>
  <c r="C63" i="4"/>
  <c r="CU44" i="4"/>
  <c r="AU69" i="5" l="1"/>
  <c r="BB69" i="5" s="1"/>
  <c r="CK69" i="5"/>
  <c r="CK70" i="5" s="1"/>
  <c r="CL69" i="5"/>
  <c r="BZ71" i="5"/>
  <c r="CG71" i="5" s="1"/>
  <c r="CB71" i="5"/>
  <c r="CC71" i="5" s="1"/>
  <c r="AX68" i="5"/>
  <c r="AZ68" i="5" s="1"/>
  <c r="AW69" i="5"/>
  <c r="CE70" i="5"/>
  <c r="CH70" i="5" s="1"/>
  <c r="AU70" i="5"/>
  <c r="BB70" i="5" s="1"/>
  <c r="BO71" i="5"/>
  <c r="CJ71" i="5"/>
  <c r="CF71" i="5"/>
  <c r="CI71" i="5" s="1"/>
  <c r="AY71" i="5"/>
  <c r="BE71" i="5"/>
  <c r="BA71" i="5"/>
  <c r="AV72" i="5" s="1"/>
  <c r="CA71" i="5"/>
  <c r="CA72" i="5" s="1"/>
  <c r="AE43" i="4"/>
  <c r="AG43" i="4" s="1"/>
  <c r="BK71" i="5"/>
  <c r="AC45" i="4"/>
  <c r="BN71" i="5"/>
  <c r="BR68" i="5"/>
  <c r="BS68" i="5" s="1"/>
  <c r="BQ71" i="5"/>
  <c r="BL72" i="5" s="1"/>
  <c r="BT71" i="5" s="1"/>
  <c r="AQ44" i="4"/>
  <c r="AD44" i="4"/>
  <c r="AE44" i="4" s="1"/>
  <c r="AG44" i="4" s="1"/>
  <c r="BM70" i="5"/>
  <c r="BP70" i="5" s="1"/>
  <c r="Z45" i="4"/>
  <c r="AA45" i="4"/>
  <c r="AT44" i="4" s="1"/>
  <c r="AB45" i="4"/>
  <c r="AF45" i="4"/>
  <c r="AU45" i="4"/>
  <c r="CE45" i="4"/>
  <c r="Y45" i="4"/>
  <c r="BN44" i="4"/>
  <c r="AW43" i="4"/>
  <c r="BV69" i="5"/>
  <c r="BU71" i="5"/>
  <c r="AK71" i="5"/>
  <c r="AO71" i="5"/>
  <c r="AI71" i="5"/>
  <c r="F68" i="5"/>
  <c r="R68" i="5" s="1"/>
  <c r="BJ43" i="4"/>
  <c r="BQ43" i="4" s="1"/>
  <c r="AD74" i="5"/>
  <c r="AC75" i="5"/>
  <c r="BJ75" i="5"/>
  <c r="DT70" i="5"/>
  <c r="DU70" i="5" s="1"/>
  <c r="J70" i="5"/>
  <c r="V70" i="5" s="1"/>
  <c r="J63" i="4"/>
  <c r="DA43" i="4"/>
  <c r="CV45" i="4"/>
  <c r="BP45" i="4"/>
  <c r="CY45" i="4"/>
  <c r="CS46" i="4" s="1"/>
  <c r="BI45" i="4"/>
  <c r="BN45" i="4" s="1"/>
  <c r="X45" i="4"/>
  <c r="K64" i="4" s="1"/>
  <c r="CT45" i="4"/>
  <c r="CZ44" i="4" s="1"/>
  <c r="CW44" i="4"/>
  <c r="CO70" i="5"/>
  <c r="CW69" i="5" s="1"/>
  <c r="DL71" i="5"/>
  <c r="DZ71" i="5"/>
  <c r="I69" i="5"/>
  <c r="U69" i="5" s="1"/>
  <c r="DN68" i="5"/>
  <c r="H69" i="5" s="1"/>
  <c r="T69" i="5" s="1"/>
  <c r="CY68" i="5"/>
  <c r="CZ68" i="5"/>
  <c r="G69" i="5" s="1"/>
  <c r="S69" i="5" s="1"/>
  <c r="CX71" i="5"/>
  <c r="N71" i="5"/>
  <c r="DD41" i="4"/>
  <c r="DH41" i="4" s="1"/>
  <c r="I60" i="4" s="1"/>
  <c r="DE40" i="4"/>
  <c r="H59" i="4" s="1"/>
  <c r="CP30" i="4"/>
  <c r="DC70" i="5"/>
  <c r="DK69" i="5" s="1"/>
  <c r="DM69" i="5" s="1"/>
  <c r="DQ70" i="5"/>
  <c r="DY69" i="5" s="1"/>
  <c r="EA69" i="5" s="1"/>
  <c r="DF70" i="5"/>
  <c r="DG70" i="5" s="1"/>
  <c r="DI70" i="5" s="1"/>
  <c r="DJ70" i="5" s="1"/>
  <c r="CR70" i="5"/>
  <c r="DW69" i="5"/>
  <c r="DX69" i="5" s="1"/>
  <c r="DR71" i="5"/>
  <c r="DP71" i="5"/>
  <c r="DS71" i="5"/>
  <c r="CS69" i="5"/>
  <c r="CQ70" i="5"/>
  <c r="CP71" i="5"/>
  <c r="CN71" i="5"/>
  <c r="DE71" i="5"/>
  <c r="DD71" i="5"/>
  <c r="DB71" i="5"/>
  <c r="DH71" i="5"/>
  <c r="BY71" i="5"/>
  <c r="CD71" i="5" s="1"/>
  <c r="B72" i="5"/>
  <c r="AA72" i="5"/>
  <c r="DV71" i="5"/>
  <c r="CT71" i="5"/>
  <c r="AB71" i="5"/>
  <c r="K72" i="5" s="1"/>
  <c r="W72" i="5" s="1"/>
  <c r="DI69" i="5"/>
  <c r="DJ69" i="5" s="1"/>
  <c r="DN69" i="5" s="1"/>
  <c r="CF30" i="4"/>
  <c r="CX43" i="4"/>
  <c r="DF43" i="4" s="1"/>
  <c r="W46" i="4"/>
  <c r="C64" i="4"/>
  <c r="CU45" i="4"/>
  <c r="CL70" i="5" l="1"/>
  <c r="BZ72" i="5"/>
  <c r="CB72" i="5"/>
  <c r="CC72" i="5" s="1"/>
  <c r="AX69" i="5"/>
  <c r="AZ69" i="5" s="1"/>
  <c r="AW70" i="5"/>
  <c r="BB68" i="5"/>
  <c r="BC68" i="5" s="1"/>
  <c r="BG68" i="5" s="1"/>
  <c r="D69" i="5" s="1"/>
  <c r="P69" i="5" s="1"/>
  <c r="BD68" i="5"/>
  <c r="BF68" i="5" s="1"/>
  <c r="CK71" i="5"/>
  <c r="CE71" i="5"/>
  <c r="CH71" i="5" s="1"/>
  <c r="CL71" i="5" s="1"/>
  <c r="BO72" i="5"/>
  <c r="CF72" i="5"/>
  <c r="CI72" i="5" s="1"/>
  <c r="CJ72" i="5"/>
  <c r="BA72" i="5"/>
  <c r="BE72" i="5"/>
  <c r="AY72" i="5"/>
  <c r="CG72" i="5"/>
  <c r="AU71" i="5"/>
  <c r="BB71" i="5" s="1"/>
  <c r="BN72" i="5"/>
  <c r="AC46" i="4"/>
  <c r="BW68" i="5"/>
  <c r="E69" i="5" s="1"/>
  <c r="Q69" i="5" s="1"/>
  <c r="BR69" i="5"/>
  <c r="BS69" i="5" s="1"/>
  <c r="BQ72" i="5"/>
  <c r="BL73" i="5" s="1"/>
  <c r="BT72" i="5" s="1"/>
  <c r="BK72" i="5"/>
  <c r="AQ45" i="4"/>
  <c r="AD45" i="4"/>
  <c r="AE45" i="4" s="1"/>
  <c r="AG45" i="4" s="1"/>
  <c r="BM71" i="5"/>
  <c r="BP71" i="5" s="1"/>
  <c r="BV70" i="5"/>
  <c r="AU46" i="4"/>
  <c r="CE46" i="4"/>
  <c r="AF46" i="4"/>
  <c r="Y46" i="4"/>
  <c r="AW44" i="4"/>
  <c r="Z46" i="4"/>
  <c r="AA46" i="4"/>
  <c r="AT45" i="4" s="1"/>
  <c r="AB46" i="4"/>
  <c r="AK72" i="5"/>
  <c r="AO72" i="5"/>
  <c r="BU72" i="5"/>
  <c r="AI72" i="5"/>
  <c r="BK43" i="4"/>
  <c r="CD42" i="4" s="1"/>
  <c r="BJ44" i="4"/>
  <c r="BL43" i="4"/>
  <c r="AD75" i="5"/>
  <c r="AC76" i="5"/>
  <c r="BJ76" i="5"/>
  <c r="DF71" i="5"/>
  <c r="DG71" i="5" s="1"/>
  <c r="J64" i="4"/>
  <c r="J71" i="5"/>
  <c r="V71" i="5" s="1"/>
  <c r="CT46" i="4"/>
  <c r="CZ45" i="4" s="1"/>
  <c r="DA44" i="4"/>
  <c r="CO71" i="5"/>
  <c r="CW70" i="5" s="1"/>
  <c r="CW45" i="4"/>
  <c r="CA45" i="4"/>
  <c r="BP46" i="4"/>
  <c r="CY46" i="4"/>
  <c r="CS47" i="4" s="1"/>
  <c r="BI46" i="4"/>
  <c r="BN46" i="4" s="1"/>
  <c r="X46" i="4"/>
  <c r="K65" i="4" s="1"/>
  <c r="CV46" i="4"/>
  <c r="DL72" i="5"/>
  <c r="DZ72" i="5"/>
  <c r="EB69" i="5"/>
  <c r="I70" i="5" s="1"/>
  <c r="U70" i="5" s="1"/>
  <c r="DN70" i="5"/>
  <c r="H71" i="5" s="1"/>
  <c r="T71" i="5" s="1"/>
  <c r="H70" i="5"/>
  <c r="T70" i="5" s="1"/>
  <c r="CX72" i="5"/>
  <c r="CY69" i="5"/>
  <c r="N72" i="5"/>
  <c r="DE41" i="4"/>
  <c r="H60" i="4" s="1"/>
  <c r="DD42" i="4"/>
  <c r="DH42" i="4" s="1"/>
  <c r="I61" i="4" s="1"/>
  <c r="CG30" i="4"/>
  <c r="CH30" i="4" s="1"/>
  <c r="CI30" i="4" s="1"/>
  <c r="CJ30" i="4" s="1"/>
  <c r="DC71" i="5"/>
  <c r="DK70" i="5" s="1"/>
  <c r="DM70" i="5" s="1"/>
  <c r="DQ71" i="5"/>
  <c r="DY70" i="5" s="1"/>
  <c r="EA70" i="5" s="1"/>
  <c r="CS70" i="5"/>
  <c r="CU70" i="5" s="1"/>
  <c r="CV70" i="5" s="1"/>
  <c r="CU69" i="5"/>
  <c r="CV69" i="5" s="1"/>
  <c r="CZ69" i="5" s="1"/>
  <c r="DS72" i="5"/>
  <c r="DR72" i="5"/>
  <c r="DP72" i="5"/>
  <c r="DD72" i="5"/>
  <c r="DE72" i="5"/>
  <c r="DB72" i="5"/>
  <c r="DW70" i="5"/>
  <c r="DX70" i="5" s="1"/>
  <c r="DT71" i="5"/>
  <c r="DU71" i="5" s="1"/>
  <c r="CP72" i="5"/>
  <c r="CN72" i="5"/>
  <c r="CQ71" i="5"/>
  <c r="CR71" i="5"/>
  <c r="DH72" i="5"/>
  <c r="BY72" i="5"/>
  <c r="CD72" i="5" s="1"/>
  <c r="AA73" i="5"/>
  <c r="DV72" i="5"/>
  <c r="CT72" i="5"/>
  <c r="B73" i="5"/>
  <c r="AB72" i="5"/>
  <c r="K73" i="5" s="1"/>
  <c r="W73" i="5" s="1"/>
  <c r="DG43" i="4"/>
  <c r="DB43" i="4"/>
  <c r="DC43" i="4" s="1"/>
  <c r="CM30" i="4"/>
  <c r="CX44" i="4"/>
  <c r="DF44" i="4" s="1"/>
  <c r="C65" i="4"/>
  <c r="W47" i="4"/>
  <c r="CU46" i="4"/>
  <c r="AU72" i="5" l="1"/>
  <c r="BB72" i="5" s="1"/>
  <c r="BZ73" i="5"/>
  <c r="CG73" i="5" s="1"/>
  <c r="CB73" i="5"/>
  <c r="CC73" i="5" s="1"/>
  <c r="CA73" i="5"/>
  <c r="CK72" i="5"/>
  <c r="AX70" i="5"/>
  <c r="AZ70" i="5" s="1"/>
  <c r="AW71" i="5"/>
  <c r="BD69" i="5"/>
  <c r="BF69" i="5" s="1"/>
  <c r="BC69" i="5"/>
  <c r="BG69" i="5" s="1"/>
  <c r="D70" i="5" s="1"/>
  <c r="P70" i="5" s="1"/>
  <c r="CE72" i="5"/>
  <c r="CH72" i="5" s="1"/>
  <c r="CL72" i="5" s="1"/>
  <c r="BO73" i="5"/>
  <c r="CF73" i="5"/>
  <c r="CI73" i="5" s="1"/>
  <c r="CJ73" i="5"/>
  <c r="BE73" i="5"/>
  <c r="AY73" i="5"/>
  <c r="BA73" i="5"/>
  <c r="AV73" i="5"/>
  <c r="BK73" i="5"/>
  <c r="BN73" i="5"/>
  <c r="AC47" i="4"/>
  <c r="BW69" i="5"/>
  <c r="E70" i="5" s="1"/>
  <c r="Q70" i="5" s="1"/>
  <c r="BR70" i="5"/>
  <c r="BS70" i="5" s="1"/>
  <c r="BQ73" i="5"/>
  <c r="BL74" i="5" s="1"/>
  <c r="BT73" i="5" s="1"/>
  <c r="BJ45" i="4"/>
  <c r="BQ44" i="4"/>
  <c r="AQ46" i="4"/>
  <c r="AD46" i="4"/>
  <c r="AE46" i="4" s="1"/>
  <c r="AG46" i="4" s="1"/>
  <c r="BM72" i="5"/>
  <c r="BP72" i="5" s="1"/>
  <c r="BV71" i="5"/>
  <c r="AW45" i="4"/>
  <c r="Z47" i="4"/>
  <c r="AB47" i="4"/>
  <c r="AA47" i="4"/>
  <c r="AT46" i="4" s="1"/>
  <c r="AF47" i="4"/>
  <c r="AU47" i="4"/>
  <c r="CE47" i="4"/>
  <c r="Y47" i="4"/>
  <c r="BU73" i="5"/>
  <c r="AK73" i="5"/>
  <c r="AO73" i="5"/>
  <c r="AI73" i="5"/>
  <c r="F69" i="5"/>
  <c r="R69" i="5" s="1"/>
  <c r="BM43" i="4"/>
  <c r="BO43" i="4" s="1"/>
  <c r="BL44" i="4"/>
  <c r="BK44" i="4"/>
  <c r="CD43" i="4" s="1"/>
  <c r="AD76" i="5"/>
  <c r="AC77" i="5"/>
  <c r="BJ77" i="5"/>
  <c r="DF72" i="5"/>
  <c r="DG72" i="5" s="1"/>
  <c r="J65" i="4"/>
  <c r="J72" i="5"/>
  <c r="V72" i="5" s="1"/>
  <c r="DA45" i="4"/>
  <c r="CO72" i="5"/>
  <c r="CW71" i="5" s="1"/>
  <c r="CW46" i="4"/>
  <c r="CX46" i="4" s="1"/>
  <c r="DF46" i="4" s="1"/>
  <c r="CA46" i="4"/>
  <c r="CT47" i="4"/>
  <c r="CZ46" i="4" s="1"/>
  <c r="CV47" i="4"/>
  <c r="CY47" i="4"/>
  <c r="CS48" i="4" s="1"/>
  <c r="BP47" i="4"/>
  <c r="BI47" i="4"/>
  <c r="X47" i="4"/>
  <c r="K66" i="4" s="1"/>
  <c r="DL73" i="5"/>
  <c r="DZ73" i="5"/>
  <c r="EB70" i="5"/>
  <c r="I71" i="5" s="1"/>
  <c r="U71" i="5" s="1"/>
  <c r="CY70" i="5"/>
  <c r="CZ70" i="5"/>
  <c r="G71" i="5" s="1"/>
  <c r="S71" i="5" s="1"/>
  <c r="CX73" i="5"/>
  <c r="G70" i="5"/>
  <c r="S70" i="5" s="1"/>
  <c r="N73" i="5"/>
  <c r="DE42" i="4"/>
  <c r="H61" i="4" s="1"/>
  <c r="DD43" i="4"/>
  <c r="DC72" i="5"/>
  <c r="DK71" i="5" s="1"/>
  <c r="DM71" i="5" s="1"/>
  <c r="DQ72" i="5"/>
  <c r="DY71" i="5" s="1"/>
  <c r="EA71" i="5" s="1"/>
  <c r="DT72" i="5"/>
  <c r="DU72" i="5" s="1"/>
  <c r="CR72" i="5"/>
  <c r="DW71" i="5"/>
  <c r="DX71" i="5" s="1"/>
  <c r="CP73" i="5"/>
  <c r="CN73" i="5"/>
  <c r="DS73" i="5"/>
  <c r="DR73" i="5"/>
  <c r="DP73" i="5"/>
  <c r="B74" i="5"/>
  <c r="DH73" i="5"/>
  <c r="BY73" i="5"/>
  <c r="CD73" i="5" s="1"/>
  <c r="DV73" i="5"/>
  <c r="CT73" i="5"/>
  <c r="AA74" i="5"/>
  <c r="AB73" i="5"/>
  <c r="K74" i="5" s="1"/>
  <c r="W74" i="5" s="1"/>
  <c r="DD73" i="5"/>
  <c r="DE73" i="5"/>
  <c r="DB73" i="5"/>
  <c r="CS71" i="5"/>
  <c r="CQ72" i="5"/>
  <c r="DI71" i="5"/>
  <c r="DJ71" i="5" s="1"/>
  <c r="DG44" i="4"/>
  <c r="DB44" i="4"/>
  <c r="DC44" i="4" s="1"/>
  <c r="CQ30" i="4"/>
  <c r="G49" i="4" s="1"/>
  <c r="CN30" i="4"/>
  <c r="F49" i="4" s="1"/>
  <c r="BR31" i="4"/>
  <c r="BS43" i="4" s="1"/>
  <c r="BT55" i="4" s="1"/>
  <c r="BU67" i="4" s="1"/>
  <c r="CF31" i="4"/>
  <c r="CG31" i="4" s="1"/>
  <c r="CX45" i="4"/>
  <c r="DF45" i="4" s="1"/>
  <c r="W48" i="4"/>
  <c r="C66" i="4"/>
  <c r="CU47" i="4"/>
  <c r="AU73" i="5" l="1"/>
  <c r="BB73" i="5" s="1"/>
  <c r="AV74" i="5"/>
  <c r="CK73" i="5"/>
  <c r="BZ74" i="5"/>
  <c r="CG74" i="5" s="1"/>
  <c r="CB74" i="5"/>
  <c r="CC74" i="5" s="1"/>
  <c r="AX71" i="5"/>
  <c r="AZ71" i="5" s="1"/>
  <c r="AW72" i="5"/>
  <c r="BO74" i="5"/>
  <c r="CJ74" i="5"/>
  <c r="CF74" i="5"/>
  <c r="CI74" i="5" s="1"/>
  <c r="BA74" i="5"/>
  <c r="BE74" i="5"/>
  <c r="AY74" i="5"/>
  <c r="BD70" i="5"/>
  <c r="BF70" i="5" s="1"/>
  <c r="BC70" i="5"/>
  <c r="BG70" i="5" s="1"/>
  <c r="D71" i="5" s="1"/>
  <c r="P71" i="5" s="1"/>
  <c r="AU74" i="5"/>
  <c r="BB74" i="5" s="1"/>
  <c r="CA74" i="5"/>
  <c r="CE73" i="5"/>
  <c r="CH73" i="5" s="1"/>
  <c r="CL73" i="5" s="1"/>
  <c r="AC48" i="4"/>
  <c r="BN74" i="5"/>
  <c r="BW70" i="5"/>
  <c r="E71" i="5" s="1"/>
  <c r="Q71" i="5" s="1"/>
  <c r="BR71" i="5"/>
  <c r="BS71" i="5" s="1"/>
  <c r="BQ74" i="5"/>
  <c r="BL75" i="5" s="1"/>
  <c r="BT74" i="5" s="1"/>
  <c r="BK74" i="5"/>
  <c r="AQ47" i="4"/>
  <c r="AD47" i="4"/>
  <c r="AE47" i="4" s="1"/>
  <c r="AG47" i="4" s="1"/>
  <c r="BJ46" i="4"/>
  <c r="BQ45" i="4"/>
  <c r="BM73" i="5"/>
  <c r="BP73" i="5" s="1"/>
  <c r="BV72" i="5"/>
  <c r="BN47" i="4"/>
  <c r="AW46" i="4"/>
  <c r="AU48" i="4"/>
  <c r="AF48" i="4"/>
  <c r="CE48" i="4"/>
  <c r="Y48" i="4"/>
  <c r="Z48" i="4"/>
  <c r="AA48" i="4"/>
  <c r="AT47" i="4" s="1"/>
  <c r="AB48" i="4"/>
  <c r="AK74" i="5"/>
  <c r="AO74" i="5"/>
  <c r="BU74" i="5"/>
  <c r="AI74" i="5"/>
  <c r="F70" i="5"/>
  <c r="R70" i="5" s="1"/>
  <c r="BK45" i="4"/>
  <c r="CD44" i="4" s="1"/>
  <c r="BM44" i="4"/>
  <c r="BO44" i="4" s="1"/>
  <c r="BL45" i="4"/>
  <c r="AD77" i="5"/>
  <c r="AC78" i="5"/>
  <c r="BJ78" i="5"/>
  <c r="DF73" i="5"/>
  <c r="DG73" i="5" s="1"/>
  <c r="J66" i="4"/>
  <c r="DA46" i="4"/>
  <c r="J73" i="5"/>
  <c r="V73" i="5" s="1"/>
  <c r="CO73" i="5"/>
  <c r="CW72" i="5" s="1"/>
  <c r="CV48" i="4"/>
  <c r="CT48" i="4"/>
  <c r="CZ47" i="4" s="1"/>
  <c r="CY48" i="4"/>
  <c r="CS49" i="4" s="1"/>
  <c r="BP48" i="4"/>
  <c r="BI48" i="4"/>
  <c r="CA48" i="4" s="1"/>
  <c r="X48" i="4"/>
  <c r="K67" i="4" s="1"/>
  <c r="CW47" i="4"/>
  <c r="CX47" i="4" s="1"/>
  <c r="DF47" i="4" s="1"/>
  <c r="CA47" i="4"/>
  <c r="DL74" i="5"/>
  <c r="DZ74" i="5"/>
  <c r="EB71" i="5"/>
  <c r="I72" i="5" s="1"/>
  <c r="U72" i="5" s="1"/>
  <c r="DN71" i="5"/>
  <c r="H72" i="5" s="1"/>
  <c r="T72" i="5" s="1"/>
  <c r="CX74" i="5"/>
  <c r="CY71" i="5"/>
  <c r="N74" i="5"/>
  <c r="CH31" i="4"/>
  <c r="CI31" i="4" s="1"/>
  <c r="CJ31" i="4" s="1"/>
  <c r="CF32" i="4" s="1"/>
  <c r="DE43" i="4"/>
  <c r="H62" i="4" s="1"/>
  <c r="DH43" i="4"/>
  <c r="I62" i="4" s="1"/>
  <c r="DD44" i="4"/>
  <c r="DB46" i="4"/>
  <c r="DC46" i="4" s="1"/>
  <c r="DC73" i="5"/>
  <c r="DK72" i="5" s="1"/>
  <c r="DM72" i="5" s="1"/>
  <c r="DQ73" i="5"/>
  <c r="DY72" i="5" s="1"/>
  <c r="EA72" i="5" s="1"/>
  <c r="CS72" i="5"/>
  <c r="CU72" i="5" s="1"/>
  <c r="CV72" i="5" s="1"/>
  <c r="DT73" i="5"/>
  <c r="DU73" i="5" s="1"/>
  <c r="CR73" i="5"/>
  <c r="DW72" i="5"/>
  <c r="DX72" i="5" s="1"/>
  <c r="DS74" i="5"/>
  <c r="DR74" i="5"/>
  <c r="DP74" i="5"/>
  <c r="CP74" i="5"/>
  <c r="CN74" i="5"/>
  <c r="DI72" i="5"/>
  <c r="DJ72" i="5" s="1"/>
  <c r="DN72" i="5" s="1"/>
  <c r="CU71" i="5"/>
  <c r="CV71" i="5" s="1"/>
  <c r="DB74" i="5"/>
  <c r="DE74" i="5"/>
  <c r="DD74" i="5"/>
  <c r="CQ73" i="5"/>
  <c r="B75" i="5"/>
  <c r="DH74" i="5"/>
  <c r="BY74" i="5"/>
  <c r="CD74" i="5" s="1"/>
  <c r="CT74" i="5"/>
  <c r="AA75" i="5"/>
  <c r="DV74" i="5"/>
  <c r="AB74" i="5"/>
  <c r="K75" i="5" s="1"/>
  <c r="W75" i="5" s="1"/>
  <c r="DG46" i="4"/>
  <c r="DG45" i="4"/>
  <c r="DB45" i="4"/>
  <c r="DC45" i="4" s="1"/>
  <c r="BV31" i="4"/>
  <c r="BX31" i="4" s="1"/>
  <c r="CK31" i="4" s="1"/>
  <c r="CL31" i="4" s="1"/>
  <c r="CC43" i="4"/>
  <c r="C67" i="4"/>
  <c r="W49" i="4"/>
  <c r="CU48" i="4"/>
  <c r="CA75" i="5" l="1"/>
  <c r="CK74" i="5"/>
  <c r="BO75" i="5"/>
  <c r="CJ75" i="5"/>
  <c r="CF75" i="5"/>
  <c r="CI75" i="5" s="1"/>
  <c r="AY75" i="5"/>
  <c r="BE75" i="5"/>
  <c r="BA75" i="5"/>
  <c r="AX72" i="5"/>
  <c r="AZ72" i="5" s="1"/>
  <c r="AW73" i="5"/>
  <c r="BD71" i="5"/>
  <c r="BF71" i="5" s="1"/>
  <c r="BC71" i="5"/>
  <c r="BG71" i="5" s="1"/>
  <c r="D72" i="5" s="1"/>
  <c r="P72" i="5" s="1"/>
  <c r="CE74" i="5"/>
  <c r="CH74" i="5" s="1"/>
  <c r="CL74" i="5" s="1"/>
  <c r="AU75" i="5"/>
  <c r="BB75" i="5" s="1"/>
  <c r="BZ75" i="5"/>
  <c r="CG75" i="5" s="1"/>
  <c r="CB75" i="5"/>
  <c r="CC75" i="5" s="1"/>
  <c r="AV75" i="5"/>
  <c r="BK75" i="5"/>
  <c r="BN75" i="5"/>
  <c r="AC49" i="4"/>
  <c r="BW71" i="5"/>
  <c r="E72" i="5" s="1"/>
  <c r="Q72" i="5" s="1"/>
  <c r="BR72" i="5"/>
  <c r="BS72" i="5" s="1"/>
  <c r="BQ75" i="5"/>
  <c r="BL76" i="5" s="1"/>
  <c r="BT75" i="5" s="1"/>
  <c r="BQ46" i="4"/>
  <c r="BJ47" i="4"/>
  <c r="AQ48" i="4"/>
  <c r="AD48" i="4"/>
  <c r="AE48" i="4" s="1"/>
  <c r="AG48" i="4" s="1"/>
  <c r="BM74" i="5"/>
  <c r="BP74" i="5" s="1"/>
  <c r="AW47" i="4"/>
  <c r="Z49" i="4"/>
  <c r="AA49" i="4"/>
  <c r="AT48" i="4" s="1"/>
  <c r="AB49" i="4"/>
  <c r="AF49" i="4"/>
  <c r="CE49" i="4"/>
  <c r="AU49" i="4"/>
  <c r="Y49" i="4"/>
  <c r="BN48" i="4"/>
  <c r="J67" i="4"/>
  <c r="BU75" i="5"/>
  <c r="AK75" i="5"/>
  <c r="AO75" i="5"/>
  <c r="AI75" i="5"/>
  <c r="F71" i="5"/>
  <c r="R71" i="5" s="1"/>
  <c r="BK46" i="4"/>
  <c r="CD45" i="4" s="1"/>
  <c r="CG32" i="4"/>
  <c r="CH32" i="4" s="1"/>
  <c r="CI32" i="4" s="1"/>
  <c r="BR32" i="4"/>
  <c r="BS44" i="4" s="1"/>
  <c r="BT56" i="4" s="1"/>
  <c r="BU68" i="4" s="1"/>
  <c r="BM45" i="4"/>
  <c r="BO45" i="4" s="1"/>
  <c r="BL46" i="4"/>
  <c r="AD78" i="5"/>
  <c r="AC79" i="5"/>
  <c r="BJ79" i="5"/>
  <c r="CR74" i="5"/>
  <c r="DA47" i="4"/>
  <c r="CO74" i="5"/>
  <c r="CW73" i="5" s="1"/>
  <c r="J74" i="5"/>
  <c r="V74" i="5" s="1"/>
  <c r="CW48" i="4"/>
  <c r="CX48" i="4" s="1"/>
  <c r="DF48" i="4" s="1"/>
  <c r="CT49" i="4"/>
  <c r="CZ48" i="4" s="1"/>
  <c r="BP49" i="4"/>
  <c r="CY49" i="4"/>
  <c r="CS50" i="4" s="1"/>
  <c r="BI49" i="4"/>
  <c r="X49" i="4"/>
  <c r="K68" i="4" s="1"/>
  <c r="CV49" i="4"/>
  <c r="DL75" i="5"/>
  <c r="DZ75" i="5"/>
  <c r="EB72" i="5"/>
  <c r="I73" i="5" s="1"/>
  <c r="U73" i="5" s="1"/>
  <c r="H73" i="5"/>
  <c r="T73" i="5" s="1"/>
  <c r="CZ71" i="5"/>
  <c r="G72" i="5" s="1"/>
  <c r="S72" i="5" s="1"/>
  <c r="CY72" i="5"/>
  <c r="CZ72" i="5"/>
  <c r="G73" i="5" s="1"/>
  <c r="S73" i="5" s="1"/>
  <c r="CX75" i="5"/>
  <c r="N75" i="5"/>
  <c r="DE44" i="4"/>
  <c r="H63" i="4" s="1"/>
  <c r="DH44" i="4"/>
  <c r="I63" i="4" s="1"/>
  <c r="DD45" i="4"/>
  <c r="BY31" i="4"/>
  <c r="CO31" i="4" s="1"/>
  <c r="CP31" i="4" s="1"/>
  <c r="DG47" i="4"/>
  <c r="DC74" i="5"/>
  <c r="DK73" i="5" s="1"/>
  <c r="DM73" i="5" s="1"/>
  <c r="DQ74" i="5"/>
  <c r="DY73" i="5" s="1"/>
  <c r="EA73" i="5" s="1"/>
  <c r="CS73" i="5"/>
  <c r="CU73" i="5" s="1"/>
  <c r="CV73" i="5" s="1"/>
  <c r="DT74" i="5"/>
  <c r="DU74" i="5" s="1"/>
  <c r="DS75" i="5"/>
  <c r="DP75" i="5"/>
  <c r="DR75" i="5"/>
  <c r="DB75" i="5"/>
  <c r="DE75" i="5"/>
  <c r="DD75" i="5"/>
  <c r="DF74" i="5"/>
  <c r="DG74" i="5" s="1"/>
  <c r="AA76" i="5"/>
  <c r="DH75" i="5"/>
  <c r="BY75" i="5"/>
  <c r="CD75" i="5" s="1"/>
  <c r="B76" i="5"/>
  <c r="DV75" i="5"/>
  <c r="CT75" i="5"/>
  <c r="AB75" i="5"/>
  <c r="K76" i="5" s="1"/>
  <c r="W76" i="5" s="1"/>
  <c r="CN75" i="5"/>
  <c r="CP75" i="5"/>
  <c r="DW73" i="5"/>
  <c r="DX73" i="5" s="1"/>
  <c r="EB73" i="5" s="1"/>
  <c r="DI73" i="5"/>
  <c r="DJ73" i="5" s="1"/>
  <c r="CQ74" i="5"/>
  <c r="DB47" i="4"/>
  <c r="DC47" i="4" s="1"/>
  <c r="BZ43" i="4"/>
  <c r="CB43" i="4" s="1"/>
  <c r="CU49" i="4"/>
  <c r="W50" i="4"/>
  <c r="C68" i="4"/>
  <c r="CA76" i="5" l="1"/>
  <c r="AV76" i="5"/>
  <c r="CE75" i="5"/>
  <c r="CH75" i="5" s="1"/>
  <c r="CL75" i="5" s="1"/>
  <c r="AX73" i="5"/>
  <c r="AZ73" i="5" s="1"/>
  <c r="AW74" i="5"/>
  <c r="BZ76" i="5"/>
  <c r="CG76" i="5" s="1"/>
  <c r="CB76" i="5"/>
  <c r="CC76" i="5" s="1"/>
  <c r="BD72" i="5"/>
  <c r="BF72" i="5" s="1"/>
  <c r="BC72" i="5"/>
  <c r="BG72" i="5" s="1"/>
  <c r="D73" i="5" s="1"/>
  <c r="P73" i="5" s="1"/>
  <c r="CK75" i="5"/>
  <c r="BO76" i="5"/>
  <c r="CF76" i="5"/>
  <c r="CI76" i="5" s="1"/>
  <c r="BA76" i="5"/>
  <c r="CJ76" i="5"/>
  <c r="AY76" i="5"/>
  <c r="BE76" i="5"/>
  <c r="AU76" i="5"/>
  <c r="BB76" i="5" s="1"/>
  <c r="AC50" i="4"/>
  <c r="BN76" i="5"/>
  <c r="BW72" i="5"/>
  <c r="E73" i="5" s="1"/>
  <c r="Q73" i="5" s="1"/>
  <c r="BV73" i="5"/>
  <c r="BV74" i="5" s="1"/>
  <c r="BR73" i="5"/>
  <c r="BS73" i="5" s="1"/>
  <c r="BQ76" i="5"/>
  <c r="BL77" i="5" s="1"/>
  <c r="BT76" i="5" s="1"/>
  <c r="BK76" i="5"/>
  <c r="AQ49" i="4"/>
  <c r="AD49" i="4"/>
  <c r="AE49" i="4" s="1"/>
  <c r="AG49" i="4" s="1"/>
  <c r="BQ47" i="4"/>
  <c r="BJ48" i="4"/>
  <c r="BM75" i="5"/>
  <c r="BP75" i="5" s="1"/>
  <c r="BN49" i="4"/>
  <c r="AU50" i="4"/>
  <c r="AF50" i="4"/>
  <c r="CE50" i="4"/>
  <c r="Y50" i="4"/>
  <c r="Z50" i="4"/>
  <c r="AA50" i="4"/>
  <c r="AT49" i="4" s="1"/>
  <c r="AB50" i="4"/>
  <c r="J68" i="4"/>
  <c r="BU76" i="5"/>
  <c r="AK76" i="5"/>
  <c r="AO76" i="5"/>
  <c r="AI76" i="5"/>
  <c r="BV32" i="4"/>
  <c r="BX32" i="4" s="1"/>
  <c r="CK32" i="4" s="1"/>
  <c r="CL32" i="4" s="1"/>
  <c r="CJ32" i="4"/>
  <c r="CF33" i="4" s="1"/>
  <c r="BR33" i="4"/>
  <c r="BS45" i="4" s="1"/>
  <c r="BT57" i="4" s="1"/>
  <c r="BU69" i="4" s="1"/>
  <c r="F72" i="5"/>
  <c r="R72" i="5" s="1"/>
  <c r="BM46" i="4"/>
  <c r="BO46" i="4" s="1"/>
  <c r="BL47" i="4"/>
  <c r="BK47" i="4"/>
  <c r="CD46" i="4" s="1"/>
  <c r="AD79" i="5"/>
  <c r="AC80" i="5"/>
  <c r="BJ80" i="5"/>
  <c r="CS74" i="5"/>
  <c r="CU74" i="5" s="1"/>
  <c r="CV74" i="5" s="1"/>
  <c r="DF75" i="5"/>
  <c r="DG75" i="5" s="1"/>
  <c r="CO75" i="5"/>
  <c r="CW74" i="5" s="1"/>
  <c r="DA48" i="4"/>
  <c r="J75" i="5"/>
  <c r="V75" i="5" s="1"/>
  <c r="BP50" i="4"/>
  <c r="CY50" i="4"/>
  <c r="CS51" i="4" s="1"/>
  <c r="BI50" i="4"/>
  <c r="BN50" i="4" s="1"/>
  <c r="X50" i="4"/>
  <c r="K69" i="4" s="1"/>
  <c r="CT50" i="4"/>
  <c r="CZ49" i="4" s="1"/>
  <c r="CV50" i="4"/>
  <c r="CW49" i="4"/>
  <c r="CX49" i="4" s="1"/>
  <c r="DF49" i="4" s="1"/>
  <c r="CA49" i="4"/>
  <c r="DL76" i="5"/>
  <c r="DZ76" i="5"/>
  <c r="I74" i="5"/>
  <c r="U74" i="5" s="1"/>
  <c r="DN73" i="5"/>
  <c r="H74" i="5" s="1"/>
  <c r="T74" i="5" s="1"/>
  <c r="CX76" i="5"/>
  <c r="CZ73" i="5"/>
  <c r="G74" i="5" s="1"/>
  <c r="S74" i="5" s="1"/>
  <c r="CY73" i="5"/>
  <c r="N76" i="5"/>
  <c r="DE45" i="4"/>
  <c r="H64" i="4" s="1"/>
  <c r="DD46" i="4"/>
  <c r="DE46" i="4" s="1"/>
  <c r="H65" i="4" s="1"/>
  <c r="DH45" i="4"/>
  <c r="I64" i="4" s="1"/>
  <c r="DG48" i="4"/>
  <c r="DC75" i="5"/>
  <c r="DK74" i="5" s="1"/>
  <c r="DM74" i="5" s="1"/>
  <c r="DQ75" i="5"/>
  <c r="DY74" i="5" s="1"/>
  <c r="EA74" i="5" s="1"/>
  <c r="DI74" i="5"/>
  <c r="DJ74" i="5" s="1"/>
  <c r="DN74" i="5" s="1"/>
  <c r="DP76" i="5"/>
  <c r="DR76" i="5"/>
  <c r="DS76" i="5"/>
  <c r="AA77" i="5"/>
  <c r="CT76" i="5"/>
  <c r="DV76" i="5"/>
  <c r="DH76" i="5"/>
  <c r="BY76" i="5"/>
  <c r="CD76" i="5" s="1"/>
  <c r="B77" i="5"/>
  <c r="AB76" i="5"/>
  <c r="K77" i="5" s="1"/>
  <c r="W77" i="5" s="1"/>
  <c r="CR75" i="5"/>
  <c r="CQ75" i="5"/>
  <c r="DT75" i="5"/>
  <c r="DU75" i="5" s="1"/>
  <c r="DD76" i="5"/>
  <c r="DB76" i="5"/>
  <c r="DE76" i="5"/>
  <c r="CP76" i="5"/>
  <c r="CN76" i="5"/>
  <c r="DW74" i="5"/>
  <c r="DX74" i="5" s="1"/>
  <c r="DB48" i="4"/>
  <c r="DC48" i="4" s="1"/>
  <c r="CM31" i="4"/>
  <c r="CN31" i="4" s="1"/>
  <c r="F50" i="4" s="1"/>
  <c r="W51" i="4"/>
  <c r="C69" i="4"/>
  <c r="CU50" i="4"/>
  <c r="AV77" i="5" l="1"/>
  <c r="BZ77" i="5"/>
  <c r="CB77" i="5"/>
  <c r="CC77" i="5" s="1"/>
  <c r="AX74" i="5"/>
  <c r="AZ74" i="5" s="1"/>
  <c r="AW75" i="5"/>
  <c r="CK76" i="5"/>
  <c r="BD73" i="5"/>
  <c r="BF73" i="5" s="1"/>
  <c r="BC73" i="5"/>
  <c r="BG73" i="5" s="1"/>
  <c r="D74" i="5" s="1"/>
  <c r="P74" i="5" s="1"/>
  <c r="BO77" i="5"/>
  <c r="CF77" i="5"/>
  <c r="CI77" i="5" s="1"/>
  <c r="CJ77" i="5"/>
  <c r="BE77" i="5"/>
  <c r="AY77" i="5"/>
  <c r="BA77" i="5"/>
  <c r="CG77" i="5"/>
  <c r="CA77" i="5"/>
  <c r="CA78" i="5" s="1"/>
  <c r="AU77" i="5"/>
  <c r="BB77" i="5" s="1"/>
  <c r="CE76" i="5"/>
  <c r="CH76" i="5" s="1"/>
  <c r="CL76" i="5" s="1"/>
  <c r="BK77" i="5"/>
  <c r="BN77" i="5"/>
  <c r="AC51" i="4"/>
  <c r="BW73" i="5"/>
  <c r="E74" i="5" s="1"/>
  <c r="Q74" i="5" s="1"/>
  <c r="BR74" i="5"/>
  <c r="BS74" i="5" s="1"/>
  <c r="BQ77" i="5"/>
  <c r="BL78" i="5" s="1"/>
  <c r="BT77" i="5" s="1"/>
  <c r="AQ50" i="4"/>
  <c r="AD50" i="4"/>
  <c r="AE50" i="4" s="1"/>
  <c r="AG50" i="4" s="1"/>
  <c r="BQ48" i="4"/>
  <c r="BJ49" i="4"/>
  <c r="BM76" i="5"/>
  <c r="BP76" i="5" s="1"/>
  <c r="BV75" i="5"/>
  <c r="J69" i="4"/>
  <c r="AF51" i="4"/>
  <c r="AU51" i="4"/>
  <c r="CE51" i="4"/>
  <c r="Y51" i="4"/>
  <c r="AW49" i="4"/>
  <c r="Z51" i="4"/>
  <c r="AB51" i="4"/>
  <c r="AA51" i="4"/>
  <c r="AT50" i="4" s="1"/>
  <c r="CC44" i="4"/>
  <c r="BZ44" i="4"/>
  <c r="CB44" i="4" s="1"/>
  <c r="BV33" i="4"/>
  <c r="BX33" i="4" s="1"/>
  <c r="CK33" i="4" s="1"/>
  <c r="CL33" i="4" s="1"/>
  <c r="BU77" i="5"/>
  <c r="AK77" i="5"/>
  <c r="AO77" i="5"/>
  <c r="AI77" i="5"/>
  <c r="BY32" i="4"/>
  <c r="CO32" i="4" s="1"/>
  <c r="CP32" i="4" s="1"/>
  <c r="F73" i="5"/>
  <c r="R73" i="5" s="1"/>
  <c r="BM47" i="4"/>
  <c r="BO47" i="4" s="1"/>
  <c r="BL48" i="4"/>
  <c r="BK48" i="4"/>
  <c r="CD47" i="4" s="1"/>
  <c r="CG33" i="4"/>
  <c r="CH33" i="4" s="1"/>
  <c r="CI33" i="4" s="1"/>
  <c r="CJ33" i="4" s="1"/>
  <c r="CF34" i="4" s="1"/>
  <c r="AD80" i="5"/>
  <c r="AC81" i="5"/>
  <c r="BJ81" i="5"/>
  <c r="DT76" i="5"/>
  <c r="DU76" i="5" s="1"/>
  <c r="DW76" i="5" s="1"/>
  <c r="DX76" i="5" s="1"/>
  <c r="CO76" i="5"/>
  <c r="CW75" i="5" s="1"/>
  <c r="DA49" i="4"/>
  <c r="J76" i="5"/>
  <c r="V76" i="5" s="1"/>
  <c r="CW50" i="4"/>
  <c r="CX50" i="4" s="1"/>
  <c r="DF50" i="4" s="1"/>
  <c r="CA50" i="4"/>
  <c r="CV51" i="4"/>
  <c r="CT51" i="4"/>
  <c r="BP51" i="4"/>
  <c r="CY51" i="4"/>
  <c r="CS52" i="4" s="1"/>
  <c r="BI51" i="4"/>
  <c r="BN51" i="4" s="1"/>
  <c r="X51" i="4"/>
  <c r="K70" i="4" s="1"/>
  <c r="DL77" i="5"/>
  <c r="DZ77" i="5"/>
  <c r="EB74" i="5"/>
  <c r="I75" i="5" s="1"/>
  <c r="U75" i="5" s="1"/>
  <c r="H75" i="5"/>
  <c r="T75" i="5" s="1"/>
  <c r="CX77" i="5"/>
  <c r="CY74" i="5"/>
  <c r="CZ74" i="5"/>
  <c r="G75" i="5" s="1"/>
  <c r="S75" i="5" s="1"/>
  <c r="N77" i="5"/>
  <c r="DD47" i="4"/>
  <c r="DH47" i="4" s="1"/>
  <c r="I66" i="4" s="1"/>
  <c r="DH46" i="4"/>
  <c r="I65" i="4" s="1"/>
  <c r="DG49" i="4"/>
  <c r="DC76" i="5"/>
  <c r="DK75" i="5" s="1"/>
  <c r="DM75" i="5" s="1"/>
  <c r="DQ76" i="5"/>
  <c r="DY75" i="5" s="1"/>
  <c r="EA75" i="5" s="1"/>
  <c r="DF76" i="5"/>
  <c r="DG76" i="5" s="1"/>
  <c r="DI76" i="5" s="1"/>
  <c r="DJ76" i="5" s="1"/>
  <c r="CS75" i="5"/>
  <c r="CU75" i="5" s="1"/>
  <c r="CV75" i="5" s="1"/>
  <c r="CR76" i="5"/>
  <c r="DS77" i="5"/>
  <c r="DR77" i="5"/>
  <c r="DP77" i="5"/>
  <c r="CP77" i="5"/>
  <c r="CN77" i="5"/>
  <c r="DI75" i="5"/>
  <c r="DJ75" i="5" s="1"/>
  <c r="DW75" i="5"/>
  <c r="DX75" i="5" s="1"/>
  <c r="CQ76" i="5"/>
  <c r="B78" i="5"/>
  <c r="AA78" i="5"/>
  <c r="BY77" i="5"/>
  <c r="CD77" i="5" s="1"/>
  <c r="CT77" i="5"/>
  <c r="DH77" i="5"/>
  <c r="DV77" i="5"/>
  <c r="AB77" i="5"/>
  <c r="K78" i="5" s="1"/>
  <c r="W78" i="5" s="1"/>
  <c r="DE77" i="5"/>
  <c r="DD77" i="5"/>
  <c r="DB77" i="5"/>
  <c r="DB49" i="4"/>
  <c r="DC49" i="4" s="1"/>
  <c r="CQ31" i="4"/>
  <c r="G50" i="4" s="1"/>
  <c r="CM32" i="4"/>
  <c r="CN32" i="4" s="1"/>
  <c r="F51" i="4" s="1"/>
  <c r="BZ45" i="4"/>
  <c r="CB45" i="4" s="1"/>
  <c r="CU51" i="4"/>
  <c r="W52" i="4"/>
  <c r="C70" i="4"/>
  <c r="BD74" i="5" l="1"/>
  <c r="BF74" i="5" s="1"/>
  <c r="BC74" i="5"/>
  <c r="BG74" i="5" s="1"/>
  <c r="D75" i="5" s="1"/>
  <c r="P75" i="5" s="1"/>
  <c r="AX75" i="5"/>
  <c r="AZ75" i="5" s="1"/>
  <c r="AW76" i="5"/>
  <c r="BZ78" i="5"/>
  <c r="CG78" i="5" s="1"/>
  <c r="CB78" i="5"/>
  <c r="CC78" i="5" s="1"/>
  <c r="CE77" i="5"/>
  <c r="CH77" i="5" s="1"/>
  <c r="CL77" i="5" s="1"/>
  <c r="BO78" i="5"/>
  <c r="CF78" i="5"/>
  <c r="CI78" i="5" s="1"/>
  <c r="BA78" i="5"/>
  <c r="AY78" i="5"/>
  <c r="CJ78" i="5"/>
  <c r="BE78" i="5"/>
  <c r="CK77" i="5"/>
  <c r="AU78" i="5"/>
  <c r="BB78" i="5" s="1"/>
  <c r="AV78" i="5"/>
  <c r="AC52" i="4"/>
  <c r="BN78" i="5"/>
  <c r="BW74" i="5"/>
  <c r="E75" i="5" s="1"/>
  <c r="Q75" i="5" s="1"/>
  <c r="BR75" i="5"/>
  <c r="BS75" i="5" s="1"/>
  <c r="BQ78" i="5"/>
  <c r="BL79" i="5" s="1"/>
  <c r="BT78" i="5" s="1"/>
  <c r="BK78" i="5"/>
  <c r="AQ51" i="4"/>
  <c r="AD51" i="4"/>
  <c r="AE51" i="4" s="1"/>
  <c r="AG51" i="4" s="1"/>
  <c r="BQ49" i="4"/>
  <c r="BJ50" i="4"/>
  <c r="BM77" i="5"/>
  <c r="BP77" i="5" s="1"/>
  <c r="BV76" i="5"/>
  <c r="J70" i="4"/>
  <c r="AW50" i="4"/>
  <c r="CE52" i="4"/>
  <c r="AF52" i="4"/>
  <c r="AU52" i="4"/>
  <c r="Y52" i="4"/>
  <c r="Z52" i="4"/>
  <c r="AA52" i="4"/>
  <c r="AT51" i="4" s="1"/>
  <c r="AB52" i="4"/>
  <c r="CC45" i="4"/>
  <c r="BY33" i="4"/>
  <c r="CO33" i="4" s="1"/>
  <c r="CP33" i="4" s="1"/>
  <c r="BU78" i="5"/>
  <c r="AK78" i="5"/>
  <c r="AO78" i="5"/>
  <c r="AI78" i="5"/>
  <c r="CG34" i="4"/>
  <c r="BM48" i="4"/>
  <c r="BO48" i="4" s="1"/>
  <c r="BL49" i="4"/>
  <c r="F74" i="5"/>
  <c r="R74" i="5" s="1"/>
  <c r="BR34" i="4"/>
  <c r="BS46" i="4" s="1"/>
  <c r="BT58" i="4" s="1"/>
  <c r="BU70" i="4" s="1"/>
  <c r="BK49" i="4"/>
  <c r="AD81" i="5"/>
  <c r="AC82" i="5"/>
  <c r="BJ82" i="5"/>
  <c r="DT77" i="5"/>
  <c r="DU77" i="5" s="1"/>
  <c r="CO77" i="5"/>
  <c r="CW76" i="5" s="1"/>
  <c r="DE47" i="4"/>
  <c r="H66" i="4" s="1"/>
  <c r="J77" i="5"/>
  <c r="V77" i="5" s="1"/>
  <c r="CT52" i="4"/>
  <c r="CZ51" i="4" s="1"/>
  <c r="BP52" i="4"/>
  <c r="CY52" i="4"/>
  <c r="CS53" i="4" s="1"/>
  <c r="BI52" i="4"/>
  <c r="CW52" i="4" s="1"/>
  <c r="X52" i="4"/>
  <c r="K71" i="4" s="1"/>
  <c r="CV52" i="4"/>
  <c r="CZ50" i="4"/>
  <c r="DA50" i="4" s="1"/>
  <c r="CW51" i="4"/>
  <c r="CX51" i="4" s="1"/>
  <c r="DF51" i="4" s="1"/>
  <c r="CA51" i="4"/>
  <c r="DL78" i="5"/>
  <c r="DZ78" i="5"/>
  <c r="EB76" i="5"/>
  <c r="I77" i="5" s="1"/>
  <c r="U77" i="5" s="1"/>
  <c r="EB75" i="5"/>
  <c r="I76" i="5" s="1"/>
  <c r="U76" i="5" s="1"/>
  <c r="DN76" i="5"/>
  <c r="H77" i="5" s="1"/>
  <c r="T77" i="5" s="1"/>
  <c r="DN75" i="5"/>
  <c r="H76" i="5" s="1"/>
  <c r="T76" i="5" s="1"/>
  <c r="CX78" i="5"/>
  <c r="CY75" i="5"/>
  <c r="CZ75" i="5"/>
  <c r="G76" i="5" s="1"/>
  <c r="S76" i="5" s="1"/>
  <c r="N78" i="5"/>
  <c r="DD48" i="4"/>
  <c r="DH48" i="4" s="1"/>
  <c r="I67" i="4" s="1"/>
  <c r="DC77" i="5"/>
  <c r="DK76" i="5" s="1"/>
  <c r="DM76" i="5" s="1"/>
  <c r="DQ77" i="5"/>
  <c r="DY76" i="5" s="1"/>
  <c r="EA76" i="5" s="1"/>
  <c r="CS76" i="5"/>
  <c r="CU76" i="5" s="1"/>
  <c r="CV76" i="5" s="1"/>
  <c r="CR77" i="5"/>
  <c r="DR78" i="5"/>
  <c r="DP78" i="5"/>
  <c r="DS78" i="5"/>
  <c r="CP78" i="5"/>
  <c r="CN78" i="5"/>
  <c r="DF77" i="5"/>
  <c r="DG77" i="5" s="1"/>
  <c r="B79" i="5"/>
  <c r="DH78" i="5"/>
  <c r="BY78" i="5"/>
  <c r="CD78" i="5" s="1"/>
  <c r="AA79" i="5"/>
  <c r="CT78" i="5"/>
  <c r="DV78" i="5"/>
  <c r="AB78" i="5"/>
  <c r="K79" i="5" s="1"/>
  <c r="W79" i="5" s="1"/>
  <c r="DB78" i="5"/>
  <c r="DE78" i="5"/>
  <c r="DD78" i="5"/>
  <c r="CQ77" i="5"/>
  <c r="DG50" i="4"/>
  <c r="DB50" i="4"/>
  <c r="DC50" i="4" s="1"/>
  <c r="CQ32" i="4"/>
  <c r="G51" i="4" s="1"/>
  <c r="CM33" i="4"/>
  <c r="CN33" i="4" s="1"/>
  <c r="F52" i="4" s="1"/>
  <c r="W53" i="4"/>
  <c r="C71" i="4"/>
  <c r="CU52" i="4"/>
  <c r="AV79" i="5" l="1"/>
  <c r="CA79" i="5"/>
  <c r="BD75" i="5"/>
  <c r="BF75" i="5" s="1"/>
  <c r="BC75" i="5"/>
  <c r="BG75" i="5" s="1"/>
  <c r="D76" i="5" s="1"/>
  <c r="P76" i="5" s="1"/>
  <c r="AX76" i="5"/>
  <c r="AZ76" i="5" s="1"/>
  <c r="AW77" i="5"/>
  <c r="CK78" i="5"/>
  <c r="BZ79" i="5"/>
  <c r="CG79" i="5" s="1"/>
  <c r="CB79" i="5"/>
  <c r="CC79" i="5" s="1"/>
  <c r="CF79" i="5"/>
  <c r="CJ79" i="5"/>
  <c r="AY79" i="5"/>
  <c r="BA79" i="5"/>
  <c r="BE79" i="5"/>
  <c r="AU79" i="5"/>
  <c r="BB79" i="5" s="1"/>
  <c r="CE78" i="5"/>
  <c r="CH78" i="5" s="1"/>
  <c r="CL78" i="5" s="1"/>
  <c r="BK79" i="5"/>
  <c r="BQ79" i="5"/>
  <c r="BO79" i="5"/>
  <c r="BN79" i="5"/>
  <c r="AC53" i="4"/>
  <c r="BW75" i="5"/>
  <c r="E76" i="5" s="1"/>
  <c r="Q76" i="5" s="1"/>
  <c r="BR76" i="5"/>
  <c r="BS76" i="5" s="1"/>
  <c r="AL79" i="5"/>
  <c r="BR79" i="5"/>
  <c r="BQ50" i="4"/>
  <c r="BJ51" i="4"/>
  <c r="AQ52" i="4"/>
  <c r="AD52" i="4"/>
  <c r="AE52" i="4" s="1"/>
  <c r="AG52" i="4" s="1"/>
  <c r="BM78" i="5"/>
  <c r="BP78" i="5" s="1"/>
  <c r="BV77" i="5"/>
  <c r="J71" i="4"/>
  <c r="BN52" i="4"/>
  <c r="Z53" i="4"/>
  <c r="AA53" i="4"/>
  <c r="AT52" i="4" s="1"/>
  <c r="AB53" i="4"/>
  <c r="AF53" i="4"/>
  <c r="AU53" i="4"/>
  <c r="CE53" i="4"/>
  <c r="Y53" i="4"/>
  <c r="AW51" i="4"/>
  <c r="CD48" i="4"/>
  <c r="BU79" i="5"/>
  <c r="AK79" i="5"/>
  <c r="AO79" i="5"/>
  <c r="AI79" i="5"/>
  <c r="BM49" i="4"/>
  <c r="BO49" i="4" s="1"/>
  <c r="BL50" i="4"/>
  <c r="BK50" i="4"/>
  <c r="CD49" i="4" s="1"/>
  <c r="F75" i="5"/>
  <c r="R75" i="5" s="1"/>
  <c r="CH34" i="4"/>
  <c r="CI34" i="4" s="1"/>
  <c r="CJ34" i="4" s="1"/>
  <c r="CF35" i="4" s="1"/>
  <c r="BV34" i="4"/>
  <c r="BX34" i="4" s="1"/>
  <c r="AD82" i="5"/>
  <c r="AC83" i="5"/>
  <c r="BJ83" i="5"/>
  <c r="DT78" i="5"/>
  <c r="DU78" i="5" s="1"/>
  <c r="CO78" i="5"/>
  <c r="CW77" i="5" s="1"/>
  <c r="J78" i="5"/>
  <c r="V78" i="5" s="1"/>
  <c r="DA51" i="4"/>
  <c r="CA52" i="4"/>
  <c r="CT53" i="4"/>
  <c r="CZ52" i="4" s="1"/>
  <c r="BP53" i="4"/>
  <c r="CY53" i="4"/>
  <c r="CS54" i="4" s="1"/>
  <c r="BI53" i="4"/>
  <c r="BN53" i="4" s="1"/>
  <c r="X53" i="4"/>
  <c r="K72" i="4" s="1"/>
  <c r="CV53" i="4"/>
  <c r="DL79" i="5"/>
  <c r="DZ79" i="5"/>
  <c r="CY76" i="5"/>
  <c r="CZ76" i="5"/>
  <c r="G77" i="5" s="1"/>
  <c r="S77" i="5" s="1"/>
  <c r="CX79" i="5"/>
  <c r="N79" i="5"/>
  <c r="DE48" i="4"/>
  <c r="H67" i="4" s="1"/>
  <c r="DD49" i="4"/>
  <c r="DH49" i="4" s="1"/>
  <c r="I68" i="4" s="1"/>
  <c r="DG51" i="4"/>
  <c r="DC78" i="5"/>
  <c r="DK77" i="5" s="1"/>
  <c r="DM77" i="5" s="1"/>
  <c r="DQ78" i="5"/>
  <c r="DY77" i="5" s="1"/>
  <c r="EA77" i="5" s="1"/>
  <c r="CS77" i="5"/>
  <c r="CU77" i="5" s="1"/>
  <c r="CV77" i="5" s="1"/>
  <c r="DF78" i="5"/>
  <c r="DG78" i="5" s="1"/>
  <c r="CR78" i="5"/>
  <c r="DI77" i="5"/>
  <c r="DJ77" i="5" s="1"/>
  <c r="DN77" i="5" s="1"/>
  <c r="DS79" i="5"/>
  <c r="DP79" i="5"/>
  <c r="DR79" i="5"/>
  <c r="B80" i="5"/>
  <c r="A69" i="5" s="1"/>
  <c r="BY79" i="5"/>
  <c r="CD79" i="5" s="1"/>
  <c r="AA80" i="5"/>
  <c r="DV79" i="5"/>
  <c r="DH79" i="5"/>
  <c r="CT79" i="5"/>
  <c r="AB79" i="5"/>
  <c r="K80" i="5" s="1"/>
  <c r="W80" i="5" s="1"/>
  <c r="DW77" i="5"/>
  <c r="DX77" i="5" s="1"/>
  <c r="DB79" i="5"/>
  <c r="DE79" i="5"/>
  <c r="DD79" i="5"/>
  <c r="CP79" i="5"/>
  <c r="CN79" i="5"/>
  <c r="CQ78" i="5"/>
  <c r="DB51" i="4"/>
  <c r="DC51" i="4" s="1"/>
  <c r="CQ33" i="4"/>
  <c r="G52" i="4" s="1"/>
  <c r="CX52" i="4"/>
  <c r="DF52" i="4" s="1"/>
  <c r="CU53" i="4"/>
  <c r="W54" i="4"/>
  <c r="AG54" i="4" s="1"/>
  <c r="C72" i="4"/>
  <c r="AU80" i="5" l="1"/>
  <c r="AX77" i="5"/>
  <c r="AZ77" i="5" s="1"/>
  <c r="AW78" i="5"/>
  <c r="BD76" i="5"/>
  <c r="BF76" i="5" s="1"/>
  <c r="BC76" i="5"/>
  <c r="BG76" i="5" s="1"/>
  <c r="D77" i="5" s="1"/>
  <c r="P77" i="5" s="1"/>
  <c r="BO80" i="5"/>
  <c r="CJ80" i="5"/>
  <c r="CF80" i="5"/>
  <c r="CI80" i="5" s="1"/>
  <c r="BA80" i="5"/>
  <c r="BE80" i="5"/>
  <c r="AY80" i="5"/>
  <c r="BB80" i="5"/>
  <c r="BZ80" i="5"/>
  <c r="CG80" i="5" s="1"/>
  <c r="CB80" i="5"/>
  <c r="CC80" i="5" s="1"/>
  <c r="CA80" i="5"/>
  <c r="AV80" i="5"/>
  <c r="AV81" i="5" s="1"/>
  <c r="CE79" i="5"/>
  <c r="CI79" i="5" s="1"/>
  <c r="AC54" i="4"/>
  <c r="BW76" i="5"/>
  <c r="E77" i="5" s="1"/>
  <c r="Q77" i="5" s="1"/>
  <c r="BR77" i="5"/>
  <c r="BS77" i="5" s="1"/>
  <c r="BQ80" i="5"/>
  <c r="BM79" i="5"/>
  <c r="BP79" i="5" s="1"/>
  <c r="BV78" i="5"/>
  <c r="AQ53" i="4"/>
  <c r="AD53" i="4"/>
  <c r="AE53" i="4" s="1"/>
  <c r="AG53" i="4" s="1"/>
  <c r="BQ51" i="4"/>
  <c r="BJ52" i="4"/>
  <c r="J72" i="4"/>
  <c r="AW52" i="4"/>
  <c r="AF54" i="4"/>
  <c r="Y54" i="4"/>
  <c r="Z54" i="4"/>
  <c r="AA54" i="4"/>
  <c r="AT53" i="4" s="1"/>
  <c r="AB54" i="4"/>
  <c r="AI80" i="5"/>
  <c r="BU80" i="5"/>
  <c r="AK80" i="5"/>
  <c r="AO80" i="5"/>
  <c r="BK51" i="4"/>
  <c r="CD50" i="4" s="1"/>
  <c r="CG35" i="4"/>
  <c r="BR35" i="4"/>
  <c r="BS47" i="4" s="1"/>
  <c r="BT59" i="4" s="1"/>
  <c r="BU71" i="4" s="1"/>
  <c r="CC46" i="4"/>
  <c r="BZ46" i="4"/>
  <c r="CB46" i="4" s="1"/>
  <c r="F76" i="5"/>
  <c r="R76" i="5" s="1"/>
  <c r="CK34" i="4"/>
  <c r="BY34" i="4"/>
  <c r="CO34" i="4" s="1"/>
  <c r="BM50" i="4"/>
  <c r="BO50" i="4" s="1"/>
  <c r="BL51" i="4"/>
  <c r="AD83" i="5"/>
  <c r="AC84" i="5"/>
  <c r="BJ84" i="5"/>
  <c r="CO79" i="5"/>
  <c r="CW78" i="5" s="1"/>
  <c r="DA52" i="4"/>
  <c r="J79" i="5"/>
  <c r="V79" i="5" s="1"/>
  <c r="CT54" i="4"/>
  <c r="CZ53" i="4" s="1"/>
  <c r="CV54" i="4"/>
  <c r="BP54" i="4"/>
  <c r="CY54" i="4"/>
  <c r="CS55" i="4" s="1"/>
  <c r="BI54" i="4"/>
  <c r="BN54" i="4" s="1"/>
  <c r="X54" i="4"/>
  <c r="K73" i="4" s="1"/>
  <c r="CW53" i="4"/>
  <c r="CX53" i="4" s="1"/>
  <c r="DF53" i="4" s="1"/>
  <c r="CA53" i="4"/>
  <c r="DL80" i="5"/>
  <c r="DZ80" i="5"/>
  <c r="EB77" i="5"/>
  <c r="I78" i="5" s="1"/>
  <c r="U78" i="5" s="1"/>
  <c r="H78" i="5"/>
  <c r="T78" i="5" s="1"/>
  <c r="CX80" i="5"/>
  <c r="CY77" i="5"/>
  <c r="CZ77" i="5"/>
  <c r="G78" i="5" s="1"/>
  <c r="S78" i="5" s="1"/>
  <c r="N80" i="5"/>
  <c r="DD50" i="4"/>
  <c r="DE50" i="4" s="1"/>
  <c r="H69" i="4" s="1"/>
  <c r="DE49" i="4"/>
  <c r="H68" i="4" s="1"/>
  <c r="DC79" i="5"/>
  <c r="DK78" i="5" s="1"/>
  <c r="DM78" i="5" s="1"/>
  <c r="DQ79" i="5"/>
  <c r="DY78" i="5" s="1"/>
  <c r="EA78" i="5" s="1"/>
  <c r="CS78" i="5"/>
  <c r="CU78" i="5" s="1"/>
  <c r="CV78" i="5" s="1"/>
  <c r="DT79" i="5"/>
  <c r="DU79" i="5" s="1"/>
  <c r="CR79" i="5"/>
  <c r="DF79" i="5"/>
  <c r="DG79" i="5" s="1"/>
  <c r="CP80" i="5"/>
  <c r="CN80" i="5"/>
  <c r="DR80" i="5"/>
  <c r="DP80" i="5"/>
  <c r="DV80" i="5"/>
  <c r="CT80" i="5"/>
  <c r="DH80" i="5"/>
  <c r="BY80" i="5"/>
  <c r="DT80" i="5" s="1"/>
  <c r="AA81" i="5"/>
  <c r="B81" i="5"/>
  <c r="AB80" i="5"/>
  <c r="K81" i="5" s="1"/>
  <c r="W81" i="5" s="1"/>
  <c r="DW78" i="5"/>
  <c r="DX78" i="5" s="1"/>
  <c r="DI78" i="5"/>
  <c r="DJ78" i="5" s="1"/>
  <c r="CQ79" i="5"/>
  <c r="DD80" i="5"/>
  <c r="DB80" i="5"/>
  <c r="DG52" i="4"/>
  <c r="DB52" i="4"/>
  <c r="DC52" i="4" s="1"/>
  <c r="CU54" i="4"/>
  <c r="W55" i="4"/>
  <c r="AD55" i="4" s="1"/>
  <c r="C73" i="4"/>
  <c r="CA81" i="5" l="1"/>
  <c r="CK79" i="5"/>
  <c r="CH79" i="5"/>
  <c r="CL79" i="5" s="1"/>
  <c r="AU81" i="5"/>
  <c r="BB81" i="5" s="1"/>
  <c r="AX78" i="5"/>
  <c r="AZ78" i="5" s="1"/>
  <c r="AW79" i="5"/>
  <c r="BZ81" i="5"/>
  <c r="CG81" i="5" s="1"/>
  <c r="CB81" i="5"/>
  <c r="CC81" i="5" s="1"/>
  <c r="BD77" i="5"/>
  <c r="BF77" i="5" s="1"/>
  <c r="BC77" i="5"/>
  <c r="BG77" i="5" s="1"/>
  <c r="D78" i="5" s="1"/>
  <c r="P78" i="5" s="1"/>
  <c r="BO81" i="5"/>
  <c r="CJ81" i="5"/>
  <c r="CF81" i="5"/>
  <c r="CI81" i="5" s="1"/>
  <c r="AY81" i="5"/>
  <c r="BE81" i="5"/>
  <c r="BA81" i="5"/>
  <c r="CD80" i="5"/>
  <c r="CE80" i="5" s="1"/>
  <c r="CH80" i="5" s="1"/>
  <c r="BW77" i="5"/>
  <c r="E78" i="5" s="1"/>
  <c r="Q78" i="5" s="1"/>
  <c r="BR78" i="5"/>
  <c r="BS78" i="5" s="1"/>
  <c r="BQ81" i="5"/>
  <c r="J73" i="4"/>
  <c r="BQ52" i="4"/>
  <c r="BJ53" i="4"/>
  <c r="AQ54" i="4"/>
  <c r="AD54" i="4"/>
  <c r="AE54" i="4" s="1"/>
  <c r="AF55" i="4"/>
  <c r="CE55" i="4"/>
  <c r="AU55" i="4"/>
  <c r="Y55" i="4"/>
  <c r="AQ55" i="4" s="1"/>
  <c r="AW53" i="4"/>
  <c r="CL34" i="4"/>
  <c r="CM34" i="4" s="1"/>
  <c r="CN34" i="4" s="1"/>
  <c r="F53" i="4" s="1"/>
  <c r="BS79" i="5"/>
  <c r="BK80" i="5" s="1"/>
  <c r="BU81" i="5"/>
  <c r="AK81" i="5"/>
  <c r="AO81" i="5"/>
  <c r="AI81" i="5"/>
  <c r="CP34" i="4"/>
  <c r="BV35" i="4"/>
  <c r="BX35" i="4" s="1"/>
  <c r="CK35" i="4" s="1"/>
  <c r="BK52" i="4"/>
  <c r="CD51" i="4" s="1"/>
  <c r="F77" i="5"/>
  <c r="R77" i="5" s="1"/>
  <c r="CH35" i="4"/>
  <c r="CI35" i="4" s="1"/>
  <c r="CJ35" i="4" s="1"/>
  <c r="CF36" i="4" s="1"/>
  <c r="BM51" i="4"/>
  <c r="BO51" i="4" s="1"/>
  <c r="BL52" i="4"/>
  <c r="AD84" i="5"/>
  <c r="AC85" i="5"/>
  <c r="BJ85" i="5"/>
  <c r="CO80" i="5"/>
  <c r="CW79" i="5" s="1"/>
  <c r="DA53" i="4"/>
  <c r="N81" i="5"/>
  <c r="J80" i="5"/>
  <c r="V80" i="5" s="1"/>
  <c r="CW54" i="4"/>
  <c r="CX54" i="4" s="1"/>
  <c r="DF54" i="4" s="1"/>
  <c r="CA54" i="4"/>
  <c r="CY55" i="4"/>
  <c r="CS56" i="4" s="1"/>
  <c r="BP55" i="4"/>
  <c r="BI55" i="4"/>
  <c r="BN55" i="4" s="1"/>
  <c r="X55" i="4"/>
  <c r="K74" i="4" s="1"/>
  <c r="CT55" i="4"/>
  <c r="CZ54" i="4" s="1"/>
  <c r="DL81" i="5"/>
  <c r="DZ81" i="5"/>
  <c r="EB78" i="5"/>
  <c r="I79" i="5" s="1"/>
  <c r="U79" i="5" s="1"/>
  <c r="DN78" i="5"/>
  <c r="H79" i="5" s="1"/>
  <c r="T79" i="5" s="1"/>
  <c r="CX81" i="5"/>
  <c r="CY78" i="5"/>
  <c r="CZ78" i="5"/>
  <c r="G79" i="5" s="1"/>
  <c r="S79" i="5" s="1"/>
  <c r="DD51" i="4"/>
  <c r="DH51" i="4" s="1"/>
  <c r="I70" i="4" s="1"/>
  <c r="DH50" i="4"/>
  <c r="I69" i="4" s="1"/>
  <c r="DG53" i="4"/>
  <c r="DC80" i="5"/>
  <c r="DK79" i="5" s="1"/>
  <c r="DM79" i="5" s="1"/>
  <c r="DQ80" i="5"/>
  <c r="DY79" i="5" s="1"/>
  <c r="EA79" i="5" s="1"/>
  <c r="CS79" i="5"/>
  <c r="CQ80" i="5" s="1"/>
  <c r="CQ81" i="5" s="1"/>
  <c r="DE80" i="5"/>
  <c r="DI79" i="5"/>
  <c r="DJ79" i="5" s="1"/>
  <c r="DR81" i="5"/>
  <c r="DP81" i="5"/>
  <c r="B82" i="5"/>
  <c r="BY81" i="5"/>
  <c r="DT81" i="5" s="1"/>
  <c r="DH81" i="5"/>
  <c r="CT81" i="5"/>
  <c r="AA82" i="5"/>
  <c r="DV81" i="5"/>
  <c r="AB81" i="5"/>
  <c r="K82" i="5" s="1"/>
  <c r="W82" i="5" s="1"/>
  <c r="DW79" i="5"/>
  <c r="DX79" i="5" s="1"/>
  <c r="DS80" i="5"/>
  <c r="DU80" i="5" s="1"/>
  <c r="DF80" i="5"/>
  <c r="DD81" i="5"/>
  <c r="DB81" i="5"/>
  <c r="CN81" i="5"/>
  <c r="CP81" i="5"/>
  <c r="CR80" i="5"/>
  <c r="DB53" i="4"/>
  <c r="DC53" i="4" s="1"/>
  <c r="CU55" i="4"/>
  <c r="W56" i="4"/>
  <c r="AD56" i="4" s="1"/>
  <c r="C74" i="4"/>
  <c r="B73" i="4" s="1"/>
  <c r="CL80" i="5" l="1"/>
  <c r="BZ82" i="5"/>
  <c r="CG82" i="5" s="1"/>
  <c r="CB82" i="5"/>
  <c r="CC82" i="5" s="1"/>
  <c r="AX79" i="5"/>
  <c r="AZ79" i="5" s="1"/>
  <c r="AW80" i="5"/>
  <c r="BD78" i="5"/>
  <c r="BF78" i="5" s="1"/>
  <c r="BC78" i="5"/>
  <c r="BG78" i="5" s="1"/>
  <c r="D79" i="5" s="1"/>
  <c r="P79" i="5" s="1"/>
  <c r="AU82" i="5"/>
  <c r="BB82" i="5" s="1"/>
  <c r="AV82" i="5"/>
  <c r="CK80" i="5"/>
  <c r="BO82" i="5"/>
  <c r="CF82" i="5"/>
  <c r="CI82" i="5" s="1"/>
  <c r="CJ82" i="5"/>
  <c r="BA82" i="5"/>
  <c r="BE82" i="5"/>
  <c r="AY82" i="5"/>
  <c r="CD81" i="5"/>
  <c r="CE81" i="5" s="1"/>
  <c r="CH81" i="5" s="1"/>
  <c r="CA82" i="5"/>
  <c r="BW78" i="5"/>
  <c r="E79" i="5" s="1"/>
  <c r="Q79" i="5" s="1"/>
  <c r="BW79" i="5"/>
  <c r="E80" i="5" s="1"/>
  <c r="Q80" i="5" s="1"/>
  <c r="BQ82" i="5"/>
  <c r="BL80" i="5"/>
  <c r="BT79" i="5" s="1"/>
  <c r="BK81" i="5"/>
  <c r="BK82" i="5" s="1"/>
  <c r="BQ53" i="4"/>
  <c r="BJ54" i="4"/>
  <c r="BQ54" i="4" s="1"/>
  <c r="Z55" i="4"/>
  <c r="Z56" i="4" s="1"/>
  <c r="CE56" i="4"/>
  <c r="AU56" i="4"/>
  <c r="AF56" i="4"/>
  <c r="Y56" i="4"/>
  <c r="AQ56" i="4" s="1"/>
  <c r="CQ34" i="4"/>
  <c r="G53" i="4" s="1"/>
  <c r="CL35" i="4"/>
  <c r="CM35" i="4" s="1"/>
  <c r="CN35" i="4" s="1"/>
  <c r="F54" i="4" s="1"/>
  <c r="BU82" i="5"/>
  <c r="AK82" i="5"/>
  <c r="AO82" i="5"/>
  <c r="AI82" i="5"/>
  <c r="BR36" i="4"/>
  <c r="BS48" i="4" s="1"/>
  <c r="BT60" i="4" s="1"/>
  <c r="BU72" i="4" s="1"/>
  <c r="CC47" i="4"/>
  <c r="BZ47" i="4"/>
  <c r="CB47" i="4" s="1"/>
  <c r="BM52" i="4"/>
  <c r="BO52" i="4" s="1"/>
  <c r="BL53" i="4"/>
  <c r="F78" i="5"/>
  <c r="R78" i="5" s="1"/>
  <c r="CG36" i="4"/>
  <c r="CH36" i="4" s="1"/>
  <c r="CI36" i="4" s="1"/>
  <c r="CJ36" i="4" s="1"/>
  <c r="CF37" i="4" s="1"/>
  <c r="BK53" i="4"/>
  <c r="CD52" i="4" s="1"/>
  <c r="BY35" i="4"/>
  <c r="CO35" i="4" s="1"/>
  <c r="DE81" i="5"/>
  <c r="DE82" i="5" s="1"/>
  <c r="AD85" i="5"/>
  <c r="AC86" i="5"/>
  <c r="BJ86" i="5"/>
  <c r="CO81" i="5"/>
  <c r="CW80" i="5" s="1"/>
  <c r="DA54" i="4"/>
  <c r="J81" i="5"/>
  <c r="V81" i="5" s="1"/>
  <c r="J74" i="4"/>
  <c r="CW55" i="4"/>
  <c r="CA55" i="4"/>
  <c r="CY56" i="4"/>
  <c r="CS57" i="4" s="1"/>
  <c r="BP56" i="4"/>
  <c r="BI56" i="4"/>
  <c r="CA56" i="4" s="1"/>
  <c r="X56" i="4"/>
  <c r="K75" i="4" s="1"/>
  <c r="CT56" i="4"/>
  <c r="CZ55" i="4" s="1"/>
  <c r="DL82" i="5"/>
  <c r="DZ82" i="5"/>
  <c r="EB79" i="5"/>
  <c r="I80" i="5" s="1"/>
  <c r="U80" i="5" s="1"/>
  <c r="DN79" i="5"/>
  <c r="H80" i="5" s="1"/>
  <c r="T80" i="5" s="1"/>
  <c r="CY79" i="5"/>
  <c r="CX82" i="5"/>
  <c r="N82" i="5"/>
  <c r="DD52" i="4"/>
  <c r="DE52" i="4" s="1"/>
  <c r="H71" i="4" s="1"/>
  <c r="DE51" i="4"/>
  <c r="H70" i="4" s="1"/>
  <c r="CV55" i="4"/>
  <c r="CV56" i="4" s="1"/>
  <c r="DG54" i="4"/>
  <c r="DC81" i="5"/>
  <c r="DK80" i="5" s="1"/>
  <c r="DM80" i="5" s="1"/>
  <c r="DG80" i="5"/>
  <c r="DI80" i="5" s="1"/>
  <c r="DJ80" i="5" s="1"/>
  <c r="DN80" i="5" s="1"/>
  <c r="DQ81" i="5"/>
  <c r="DY80" i="5" s="1"/>
  <c r="EA80" i="5" s="1"/>
  <c r="CU79" i="5"/>
  <c r="CV79" i="5" s="1"/>
  <c r="CS80" i="5"/>
  <c r="CU80" i="5" s="1"/>
  <c r="CV80" i="5" s="1"/>
  <c r="DF81" i="5"/>
  <c r="CR81" i="5"/>
  <c r="CS81" i="5" s="1"/>
  <c r="B83" i="5"/>
  <c r="AA83" i="5"/>
  <c r="DV82" i="5"/>
  <c r="CT82" i="5"/>
  <c r="BY82" i="5"/>
  <c r="DT82" i="5" s="1"/>
  <c r="DH82" i="5"/>
  <c r="AB82" i="5"/>
  <c r="K83" i="5" s="1"/>
  <c r="W83" i="5" s="1"/>
  <c r="DW80" i="5"/>
  <c r="DX80" i="5" s="1"/>
  <c r="CN82" i="5"/>
  <c r="CP82" i="5"/>
  <c r="CQ82" i="5"/>
  <c r="DS81" i="5"/>
  <c r="DU81" i="5" s="1"/>
  <c r="DD82" i="5"/>
  <c r="DB82" i="5"/>
  <c r="DP82" i="5"/>
  <c r="DR82" i="5"/>
  <c r="DB54" i="4"/>
  <c r="DC54" i="4" s="1"/>
  <c r="W57" i="4"/>
  <c r="AD57" i="4" s="1"/>
  <c r="C75" i="4"/>
  <c r="CU56" i="4"/>
  <c r="CL81" i="5" l="1"/>
  <c r="BZ83" i="5"/>
  <c r="CB83" i="5"/>
  <c r="CC83" i="5" s="1"/>
  <c r="CK81" i="5"/>
  <c r="AX80" i="5"/>
  <c r="AZ80" i="5" s="1"/>
  <c r="AW81" i="5"/>
  <c r="BD79" i="5"/>
  <c r="BF79" i="5" s="1"/>
  <c r="BC79" i="5"/>
  <c r="BG79" i="5" s="1"/>
  <c r="D80" i="5" s="1"/>
  <c r="P80" i="5" s="1"/>
  <c r="BO83" i="5"/>
  <c r="CF83" i="5"/>
  <c r="CI83" i="5" s="1"/>
  <c r="CJ83" i="5"/>
  <c r="AY83" i="5"/>
  <c r="BE83" i="5"/>
  <c r="BA83" i="5"/>
  <c r="CG83" i="5"/>
  <c r="AV83" i="5"/>
  <c r="AU83" i="5"/>
  <c r="BB83" i="5" s="1"/>
  <c r="CA83" i="5"/>
  <c r="CD82" i="5"/>
  <c r="CE82" i="5" s="1"/>
  <c r="CH82" i="5" s="1"/>
  <c r="BK83" i="5"/>
  <c r="BQ83" i="5"/>
  <c r="BL81" i="5"/>
  <c r="BT80" i="5" s="1"/>
  <c r="E11" i="5"/>
  <c r="E27" i="5" s="1"/>
  <c r="Z57" i="4"/>
  <c r="AU57" i="4"/>
  <c r="AF57" i="4"/>
  <c r="CE57" i="4"/>
  <c r="Y57" i="4"/>
  <c r="AQ57" i="4" s="1"/>
  <c r="BN56" i="4"/>
  <c r="AB55" i="4"/>
  <c r="AC55" i="4" s="1"/>
  <c r="AC56" i="4" s="1"/>
  <c r="AC57" i="4" s="1"/>
  <c r="AA55" i="4"/>
  <c r="AT54" i="4" s="1"/>
  <c r="BM80" i="5"/>
  <c r="BN80" i="5" s="1"/>
  <c r="BN81" i="5" s="1"/>
  <c r="BN82" i="5" s="1"/>
  <c r="BN83" i="5" s="1"/>
  <c r="BU83" i="5"/>
  <c r="AO83" i="5"/>
  <c r="AK83" i="5"/>
  <c r="AI83" i="5"/>
  <c r="BV36" i="4"/>
  <c r="BX36" i="4" s="1"/>
  <c r="CK36" i="4" s="1"/>
  <c r="F79" i="5"/>
  <c r="R79" i="5" s="1"/>
  <c r="BM53" i="4"/>
  <c r="BO53" i="4" s="1"/>
  <c r="BL54" i="4"/>
  <c r="BM54" i="4" s="1"/>
  <c r="BO54" i="4" s="1"/>
  <c r="CC48" i="4"/>
  <c r="BZ48" i="4"/>
  <c r="CB48" i="4" s="1"/>
  <c r="BK54" i="4"/>
  <c r="CD53" i="4" s="1"/>
  <c r="CP35" i="4"/>
  <c r="CQ35" i="4" s="1"/>
  <c r="G54" i="4" s="1"/>
  <c r="BR37" i="4"/>
  <c r="BS49" i="4" s="1"/>
  <c r="BT61" i="4" s="1"/>
  <c r="BU73" i="4" s="1"/>
  <c r="CG37" i="4"/>
  <c r="DG81" i="5"/>
  <c r="DI81" i="5" s="1"/>
  <c r="DJ81" i="5" s="1"/>
  <c r="DN81" i="5" s="1"/>
  <c r="H82" i="5" s="1"/>
  <c r="T82" i="5" s="1"/>
  <c r="AD86" i="5"/>
  <c r="AC87" i="5"/>
  <c r="BJ87" i="5"/>
  <c r="CO82" i="5"/>
  <c r="CW81" i="5" s="1"/>
  <c r="DA55" i="4"/>
  <c r="J75" i="4"/>
  <c r="J82" i="5"/>
  <c r="V82" i="5" s="1"/>
  <c r="CW56" i="4"/>
  <c r="CV57" i="4"/>
  <c r="CT57" i="4"/>
  <c r="CZ56" i="4" s="1"/>
  <c r="BP57" i="4"/>
  <c r="CY57" i="4"/>
  <c r="CS58" i="4" s="1"/>
  <c r="BI57" i="4"/>
  <c r="BN57" i="4" s="1"/>
  <c r="X57" i="4"/>
  <c r="K76" i="4" s="1"/>
  <c r="DL83" i="5"/>
  <c r="DZ83" i="5"/>
  <c r="EB80" i="5"/>
  <c r="I81" i="5" s="1"/>
  <c r="U81" i="5" s="1"/>
  <c r="H81" i="5"/>
  <c r="T81" i="5" s="1"/>
  <c r="CZ79" i="5"/>
  <c r="G80" i="5" s="1"/>
  <c r="S80" i="5" s="1"/>
  <c r="CZ80" i="5"/>
  <c r="G81" i="5" s="1"/>
  <c r="S81" i="5" s="1"/>
  <c r="CY80" i="5"/>
  <c r="CX83" i="5"/>
  <c r="N83" i="5"/>
  <c r="DH52" i="4"/>
  <c r="I71" i="4" s="1"/>
  <c r="DD53" i="4"/>
  <c r="DH53" i="4" s="1"/>
  <c r="I72" i="4" s="1"/>
  <c r="DC82" i="5"/>
  <c r="DK81" i="5" s="1"/>
  <c r="DM81" i="5" s="1"/>
  <c r="DQ82" i="5"/>
  <c r="DY81" i="5" s="1"/>
  <c r="EA81" i="5" s="1"/>
  <c r="DS82" i="5"/>
  <c r="DS83" i="5" s="1"/>
  <c r="DF82" i="5"/>
  <c r="DG82" i="5" s="1"/>
  <c r="DI82" i="5" s="1"/>
  <c r="DJ82" i="5" s="1"/>
  <c r="CU81" i="5"/>
  <c r="CV81" i="5" s="1"/>
  <c r="CQ83" i="5"/>
  <c r="CP83" i="5"/>
  <c r="CN83" i="5"/>
  <c r="DR83" i="5"/>
  <c r="DP83" i="5"/>
  <c r="B84" i="5"/>
  <c r="AA84" i="5"/>
  <c r="CT83" i="5"/>
  <c r="DH83" i="5"/>
  <c r="BY83" i="5"/>
  <c r="DT83" i="5" s="1"/>
  <c r="DV83" i="5"/>
  <c r="AB83" i="5"/>
  <c r="K84" i="5" s="1"/>
  <c r="W84" i="5" s="1"/>
  <c r="DW81" i="5"/>
  <c r="DX81" i="5" s="1"/>
  <c r="EB81" i="5" s="1"/>
  <c r="CR82" i="5"/>
  <c r="CS82" i="5" s="1"/>
  <c r="DE83" i="5"/>
  <c r="DD83" i="5"/>
  <c r="DB83" i="5"/>
  <c r="CX55" i="4"/>
  <c r="DF55" i="4" s="1"/>
  <c r="CU57" i="4"/>
  <c r="C76" i="4"/>
  <c r="W58" i="4"/>
  <c r="AD58" i="4" s="1"/>
  <c r="BK84" i="5" l="1"/>
  <c r="AV84" i="5"/>
  <c r="CK82" i="5"/>
  <c r="CK83" i="5" s="1"/>
  <c r="CL82" i="5"/>
  <c r="AX81" i="5"/>
  <c r="AZ81" i="5" s="1"/>
  <c r="AW82" i="5"/>
  <c r="CD83" i="5"/>
  <c r="CE83" i="5" s="1"/>
  <c r="CH83" i="5" s="1"/>
  <c r="BD80" i="5"/>
  <c r="BF80" i="5" s="1"/>
  <c r="BC80" i="5"/>
  <c r="BG80" i="5" s="1"/>
  <c r="D81" i="5" s="1"/>
  <c r="P81" i="5" s="1"/>
  <c r="BO84" i="5"/>
  <c r="CF84" i="5"/>
  <c r="CI84" i="5" s="1"/>
  <c r="CJ84" i="5"/>
  <c r="BA84" i="5"/>
  <c r="AY84" i="5"/>
  <c r="BE84" i="5"/>
  <c r="BZ84" i="5"/>
  <c r="CG84" i="5" s="1"/>
  <c r="CB84" i="5"/>
  <c r="CC84" i="5" s="1"/>
  <c r="CA84" i="5"/>
  <c r="CA85" i="5" s="1"/>
  <c r="AU84" i="5"/>
  <c r="BB84" i="5" s="1"/>
  <c r="BN84" i="5"/>
  <c r="AC58" i="4"/>
  <c r="BQ84" i="5"/>
  <c r="BK85" i="5" s="1"/>
  <c r="BL82" i="5"/>
  <c r="BT81" i="5" s="1"/>
  <c r="Z58" i="4"/>
  <c r="CE58" i="4"/>
  <c r="AU58" i="4"/>
  <c r="AF58" i="4"/>
  <c r="Y58" i="4"/>
  <c r="AQ58" i="4" s="1"/>
  <c r="AA56" i="4"/>
  <c r="AT55" i="4" s="1"/>
  <c r="AE55" i="4"/>
  <c r="AG55" i="4" s="1"/>
  <c r="AB56" i="4"/>
  <c r="BP80" i="5"/>
  <c r="BM81" i="5"/>
  <c r="BV79" i="5"/>
  <c r="CL36" i="4"/>
  <c r="CM36" i="4" s="1"/>
  <c r="CN36" i="4" s="1"/>
  <c r="F55" i="4" s="1"/>
  <c r="BU84" i="5"/>
  <c r="AK84" i="5"/>
  <c r="AO84" i="5"/>
  <c r="AI84" i="5"/>
  <c r="BY36" i="4"/>
  <c r="CO36" i="4" s="1"/>
  <c r="CP36" i="4" s="1"/>
  <c r="F80" i="5"/>
  <c r="R80" i="5" s="1"/>
  <c r="BJ55" i="4"/>
  <c r="BQ55" i="4" s="1"/>
  <c r="CH37" i="4"/>
  <c r="CI37" i="4" s="1"/>
  <c r="CJ37" i="4" s="1"/>
  <c r="CF38" i="4" s="1"/>
  <c r="BV37" i="4"/>
  <c r="BX37" i="4" s="1"/>
  <c r="CK37" i="4" s="1"/>
  <c r="CL37" i="4" s="1"/>
  <c r="AD87" i="5"/>
  <c r="AC88" i="5"/>
  <c r="BJ88" i="5"/>
  <c r="CO83" i="5"/>
  <c r="CW82" i="5" s="1"/>
  <c r="DA56" i="4"/>
  <c r="J76" i="4"/>
  <c r="J83" i="5"/>
  <c r="V83" i="5" s="1"/>
  <c r="CT58" i="4"/>
  <c r="CZ57" i="4" s="1"/>
  <c r="CV58" i="4"/>
  <c r="BP58" i="4"/>
  <c r="CY58" i="4"/>
  <c r="CS59" i="4" s="1"/>
  <c r="BI58" i="4"/>
  <c r="BN58" i="4" s="1"/>
  <c r="X58" i="4"/>
  <c r="K77" i="4" s="1"/>
  <c r="CW57" i="4"/>
  <c r="CA57" i="4"/>
  <c r="DL84" i="5"/>
  <c r="DZ84" i="5"/>
  <c r="I82" i="5"/>
  <c r="U82" i="5" s="1"/>
  <c r="DN82" i="5"/>
  <c r="H83" i="5" s="1"/>
  <c r="T83" i="5" s="1"/>
  <c r="CZ81" i="5"/>
  <c r="G82" i="5" s="1"/>
  <c r="S82" i="5" s="1"/>
  <c r="CY81" i="5"/>
  <c r="CX84" i="5"/>
  <c r="N84" i="5"/>
  <c r="DE53" i="4"/>
  <c r="H72" i="4" s="1"/>
  <c r="DD54" i="4"/>
  <c r="DC83" i="5"/>
  <c r="DK82" i="5" s="1"/>
  <c r="DM82" i="5" s="1"/>
  <c r="DQ83" i="5"/>
  <c r="DY82" i="5" s="1"/>
  <c r="EA82" i="5" s="1"/>
  <c r="DU82" i="5"/>
  <c r="DW82" i="5" s="1"/>
  <c r="DX82" i="5" s="1"/>
  <c r="CR83" i="5"/>
  <c r="CS83" i="5" s="1"/>
  <c r="DU83" i="5"/>
  <c r="DF83" i="5"/>
  <c r="DG83" i="5" s="1"/>
  <c r="DD84" i="5"/>
  <c r="DE84" i="5"/>
  <c r="DB84" i="5"/>
  <c r="CP84" i="5"/>
  <c r="CN84" i="5"/>
  <c r="CQ84" i="5"/>
  <c r="CU82" i="5"/>
  <c r="CV82" i="5" s="1"/>
  <c r="DR84" i="5"/>
  <c r="DP84" i="5"/>
  <c r="DS84" i="5"/>
  <c r="B85" i="5"/>
  <c r="DH84" i="5"/>
  <c r="BY84" i="5"/>
  <c r="DF84" i="5" s="1"/>
  <c r="AA85" i="5"/>
  <c r="DV84" i="5"/>
  <c r="CT84" i="5"/>
  <c r="AB84" i="5"/>
  <c r="K85" i="5" s="1"/>
  <c r="W85" i="5" s="1"/>
  <c r="DG55" i="4"/>
  <c r="DB55" i="4"/>
  <c r="DC55" i="4" s="1"/>
  <c r="CX56" i="4"/>
  <c r="DF56" i="4" s="1"/>
  <c r="CU58" i="4"/>
  <c r="W59" i="4"/>
  <c r="AD59" i="4" s="1"/>
  <c r="C77" i="4"/>
  <c r="CL83" i="5" l="1"/>
  <c r="CK84" i="5"/>
  <c r="AU85" i="5"/>
  <c r="AV85" i="5"/>
  <c r="CD84" i="5"/>
  <c r="CE84" i="5" s="1"/>
  <c r="CH84" i="5" s="1"/>
  <c r="CL84" i="5" s="1"/>
  <c r="BZ85" i="5"/>
  <c r="CG85" i="5" s="1"/>
  <c r="CB85" i="5"/>
  <c r="CC85" i="5" s="1"/>
  <c r="AX82" i="5"/>
  <c r="AZ82" i="5" s="1"/>
  <c r="AW83" i="5"/>
  <c r="BO85" i="5"/>
  <c r="CF85" i="5"/>
  <c r="CI85" i="5" s="1"/>
  <c r="CJ85" i="5"/>
  <c r="BE85" i="5"/>
  <c r="AY85" i="5"/>
  <c r="BA85" i="5"/>
  <c r="BB85" i="5"/>
  <c r="BD81" i="5"/>
  <c r="BF81" i="5" s="1"/>
  <c r="BC81" i="5"/>
  <c r="BG81" i="5" s="1"/>
  <c r="D82" i="5" s="1"/>
  <c r="P82" i="5" s="1"/>
  <c r="AC59" i="4"/>
  <c r="BN85" i="5"/>
  <c r="BQ85" i="5"/>
  <c r="BK86" i="5" s="1"/>
  <c r="BR80" i="5"/>
  <c r="BS80" i="5" s="1"/>
  <c r="BL83" i="5"/>
  <c r="BT82" i="5" s="1"/>
  <c r="AE56" i="4"/>
  <c r="AG56" i="4" s="1"/>
  <c r="AB57" i="4"/>
  <c r="AA57" i="4"/>
  <c r="AT56" i="4" s="1"/>
  <c r="Z59" i="4"/>
  <c r="AF59" i="4"/>
  <c r="AU59" i="4"/>
  <c r="CE59" i="4"/>
  <c r="Y59" i="4"/>
  <c r="AQ59" i="4" s="1"/>
  <c r="BV80" i="5"/>
  <c r="BM82" i="5"/>
  <c r="BP81" i="5"/>
  <c r="CQ36" i="4"/>
  <c r="G55" i="4" s="1"/>
  <c r="BU85" i="5"/>
  <c r="AK85" i="5"/>
  <c r="AO85" i="5"/>
  <c r="AI85" i="5"/>
  <c r="BY37" i="4"/>
  <c r="CO37" i="4" s="1"/>
  <c r="CP37" i="4" s="1"/>
  <c r="BR38" i="4"/>
  <c r="BS50" i="4" s="1"/>
  <c r="BT62" i="4" s="1"/>
  <c r="BU74" i="4" s="1"/>
  <c r="BK55" i="4"/>
  <c r="CD54" i="4" s="1"/>
  <c r="BL55" i="4"/>
  <c r="BJ56" i="4"/>
  <c r="BQ56" i="4" s="1"/>
  <c r="CG38" i="4"/>
  <c r="CC49" i="4"/>
  <c r="BZ49" i="4"/>
  <c r="CB49" i="4" s="1"/>
  <c r="CM37" i="4"/>
  <c r="CN37" i="4" s="1"/>
  <c r="F56" i="4" s="1"/>
  <c r="AD88" i="5"/>
  <c r="AC89" i="5"/>
  <c r="BJ89" i="5"/>
  <c r="J77" i="4"/>
  <c r="CO84" i="5"/>
  <c r="CW83" i="5" s="1"/>
  <c r="DA57" i="4"/>
  <c r="J84" i="5"/>
  <c r="V84" i="5" s="1"/>
  <c r="CV59" i="4"/>
  <c r="CT59" i="4"/>
  <c r="CZ58" i="4" s="1"/>
  <c r="BP59" i="4"/>
  <c r="CY59" i="4"/>
  <c r="CS60" i="4" s="1"/>
  <c r="BI59" i="4"/>
  <c r="BN59" i="4" s="1"/>
  <c r="X59" i="4"/>
  <c r="K78" i="4" s="1"/>
  <c r="CW58" i="4"/>
  <c r="CX58" i="4" s="1"/>
  <c r="DF58" i="4" s="1"/>
  <c r="CA58" i="4"/>
  <c r="DL85" i="5"/>
  <c r="DZ85" i="5"/>
  <c r="EB82" i="5"/>
  <c r="I83" i="5" s="1"/>
  <c r="U83" i="5" s="1"/>
  <c r="CY82" i="5"/>
  <c r="CZ82" i="5"/>
  <c r="G83" i="5" s="1"/>
  <c r="S83" i="5" s="1"/>
  <c r="CX85" i="5"/>
  <c r="N85" i="5"/>
  <c r="DE54" i="4"/>
  <c r="H73" i="4" s="1"/>
  <c r="DH54" i="4"/>
  <c r="I73" i="4" s="1"/>
  <c r="DD55" i="4"/>
  <c r="DC84" i="5"/>
  <c r="DK83" i="5" s="1"/>
  <c r="DM83" i="5" s="1"/>
  <c r="DQ84" i="5"/>
  <c r="DY83" i="5" s="1"/>
  <c r="EA83" i="5" s="1"/>
  <c r="DI83" i="5"/>
  <c r="DJ83" i="5" s="1"/>
  <c r="DT84" i="5"/>
  <c r="DU84" i="5" s="1"/>
  <c r="CU83" i="5"/>
  <c r="CV83" i="5" s="1"/>
  <c r="CR84" i="5"/>
  <c r="CS84" i="5" s="1"/>
  <c r="DB85" i="5"/>
  <c r="DD85" i="5"/>
  <c r="DE85" i="5"/>
  <c r="CN85" i="5"/>
  <c r="CQ85" i="5"/>
  <c r="CP85" i="5"/>
  <c r="DP85" i="5"/>
  <c r="DS85" i="5"/>
  <c r="DR85" i="5"/>
  <c r="DG84" i="5"/>
  <c r="DW83" i="5"/>
  <c r="DX83" i="5" s="1"/>
  <c r="B86" i="5"/>
  <c r="AA86" i="5"/>
  <c r="DV85" i="5"/>
  <c r="CT85" i="5"/>
  <c r="DH85" i="5"/>
  <c r="BY85" i="5"/>
  <c r="DF85" i="5" s="1"/>
  <c r="AB85" i="5"/>
  <c r="K86" i="5" s="1"/>
  <c r="W86" i="5" s="1"/>
  <c r="DG56" i="4"/>
  <c r="DB56" i="4"/>
  <c r="DC56" i="4" s="1"/>
  <c r="CU59" i="4"/>
  <c r="W60" i="4"/>
  <c r="AD60" i="4" s="1"/>
  <c r="C78" i="4"/>
  <c r="CX57" i="4"/>
  <c r="DF57" i="4" s="1"/>
  <c r="CD85" i="5" l="1"/>
  <c r="CE85" i="5" s="1"/>
  <c r="CH85" i="5" s="1"/>
  <c r="CL85" i="5" s="1"/>
  <c r="BZ86" i="5"/>
  <c r="CG86" i="5" s="1"/>
  <c r="CB86" i="5"/>
  <c r="CC86" i="5" s="1"/>
  <c r="CK85" i="5"/>
  <c r="AV86" i="5"/>
  <c r="AU86" i="5"/>
  <c r="BB86" i="5" s="1"/>
  <c r="AX83" i="5"/>
  <c r="AZ83" i="5" s="1"/>
  <c r="AW84" i="5"/>
  <c r="BD82" i="5"/>
  <c r="BF82" i="5" s="1"/>
  <c r="BC82" i="5"/>
  <c r="BG82" i="5" s="1"/>
  <c r="D83" i="5" s="1"/>
  <c r="P83" i="5" s="1"/>
  <c r="CA86" i="5"/>
  <c r="BO86" i="5"/>
  <c r="CF86" i="5"/>
  <c r="CI86" i="5" s="1"/>
  <c r="BE86" i="5"/>
  <c r="CJ86" i="5"/>
  <c r="BA86" i="5"/>
  <c r="AY86" i="5"/>
  <c r="BN86" i="5"/>
  <c r="AC60" i="4"/>
  <c r="BW80" i="5"/>
  <c r="E81" i="5" s="1"/>
  <c r="Q81" i="5" s="1"/>
  <c r="BQ86" i="5"/>
  <c r="BK87" i="5" s="1"/>
  <c r="BR81" i="5"/>
  <c r="BS81" i="5" s="1"/>
  <c r="BL84" i="5"/>
  <c r="BT83" i="5" s="1"/>
  <c r="AU60" i="4"/>
  <c r="AF60" i="4"/>
  <c r="CE60" i="4"/>
  <c r="Y60" i="4"/>
  <c r="AQ60" i="4" s="1"/>
  <c r="AE57" i="4"/>
  <c r="AG57" i="4" s="1"/>
  <c r="AB58" i="4"/>
  <c r="Z60" i="4"/>
  <c r="AA58" i="4"/>
  <c r="AT57" i="4" s="1"/>
  <c r="AW55" i="4"/>
  <c r="BM83" i="5"/>
  <c r="BP82" i="5"/>
  <c r="BV81" i="5"/>
  <c r="J78" i="4"/>
  <c r="BU86" i="5"/>
  <c r="AK86" i="5"/>
  <c r="AO86" i="5"/>
  <c r="AI86" i="5"/>
  <c r="CQ37" i="4"/>
  <c r="G56" i="4" s="1"/>
  <c r="CH38" i="4"/>
  <c r="CI38" i="4" s="1"/>
  <c r="CJ38" i="4" s="1"/>
  <c r="CF39" i="4" s="1"/>
  <c r="F81" i="5"/>
  <c r="R81" i="5" s="1"/>
  <c r="BJ57" i="4"/>
  <c r="BV38" i="4"/>
  <c r="BX38" i="4" s="1"/>
  <c r="CK38" i="4" s="1"/>
  <c r="CL38" i="4" s="1"/>
  <c r="BM55" i="4"/>
  <c r="BO55" i="4" s="1"/>
  <c r="BL56" i="4"/>
  <c r="BK56" i="4"/>
  <c r="CD55" i="4" s="1"/>
  <c r="AD89" i="5"/>
  <c r="AC90" i="5"/>
  <c r="BJ90" i="5"/>
  <c r="DA58" i="4"/>
  <c r="CO85" i="5"/>
  <c r="CW84" i="5" s="1"/>
  <c r="J85" i="5"/>
  <c r="V85" i="5" s="1"/>
  <c r="CT60" i="4"/>
  <c r="CZ59" i="4" s="1"/>
  <c r="BP60" i="4"/>
  <c r="CY60" i="4"/>
  <c r="CS61" i="4" s="1"/>
  <c r="BI60" i="4"/>
  <c r="CA60" i="4" s="1"/>
  <c r="X60" i="4"/>
  <c r="K79" i="4" s="1"/>
  <c r="CV60" i="4"/>
  <c r="CW59" i="4"/>
  <c r="CX59" i="4" s="1"/>
  <c r="DF59" i="4" s="1"/>
  <c r="CA59" i="4"/>
  <c r="DL86" i="5"/>
  <c r="DZ86" i="5"/>
  <c r="EB83" i="5"/>
  <c r="I84" i="5" s="1"/>
  <c r="U84" i="5" s="1"/>
  <c r="DN83" i="5"/>
  <c r="H84" i="5" s="1"/>
  <c r="T84" i="5" s="1"/>
  <c r="CX86" i="5"/>
  <c r="CY83" i="5"/>
  <c r="CZ83" i="5"/>
  <c r="G84" i="5" s="1"/>
  <c r="S84" i="5" s="1"/>
  <c r="N86" i="5"/>
  <c r="DE55" i="4"/>
  <c r="H74" i="4" s="1"/>
  <c r="DH55" i="4"/>
  <c r="I74" i="4" s="1"/>
  <c r="DB58" i="4"/>
  <c r="DC58" i="4" s="1"/>
  <c r="DC85" i="5"/>
  <c r="DK84" i="5" s="1"/>
  <c r="DM84" i="5" s="1"/>
  <c r="DQ85" i="5"/>
  <c r="DY84" i="5" s="1"/>
  <c r="EA84" i="5" s="1"/>
  <c r="CU84" i="5"/>
  <c r="CV84" i="5" s="1"/>
  <c r="DR86" i="5"/>
  <c r="DS86" i="5"/>
  <c r="DP86" i="5"/>
  <c r="DG85" i="5"/>
  <c r="CR85" i="5"/>
  <c r="CS85" i="5" s="1"/>
  <c r="DE86" i="5"/>
  <c r="DD86" i="5"/>
  <c r="DB86" i="5"/>
  <c r="DT85" i="5"/>
  <c r="DU85" i="5" s="1"/>
  <c r="DW84" i="5"/>
  <c r="DX84" i="5" s="1"/>
  <c r="B87" i="5"/>
  <c r="DH86" i="5"/>
  <c r="BY86" i="5"/>
  <c r="CD86" i="5" s="1"/>
  <c r="AA87" i="5"/>
  <c r="DV86" i="5"/>
  <c r="CT86" i="5"/>
  <c r="AB86" i="5"/>
  <c r="K87" i="5" s="1"/>
  <c r="W87" i="5" s="1"/>
  <c r="DI84" i="5"/>
  <c r="DJ84" i="5" s="1"/>
  <c r="CN86" i="5"/>
  <c r="CQ86" i="5"/>
  <c r="CP86" i="5"/>
  <c r="DG58" i="4"/>
  <c r="DD56" i="4"/>
  <c r="DH56" i="4" s="1"/>
  <c r="I75" i="4" s="1"/>
  <c r="DG57" i="4"/>
  <c r="DB57" i="4"/>
  <c r="DC57" i="4" s="1"/>
  <c r="CU60" i="4"/>
  <c r="W61" i="4"/>
  <c r="C79" i="4"/>
  <c r="CK86" i="5" l="1"/>
  <c r="BZ87" i="5"/>
  <c r="CG87" i="5" s="1"/>
  <c r="CB87" i="5"/>
  <c r="CC87" i="5" s="1"/>
  <c r="AV87" i="5"/>
  <c r="CA87" i="5"/>
  <c r="AU87" i="5"/>
  <c r="BB87" i="5" s="1"/>
  <c r="CE86" i="5"/>
  <c r="CH86" i="5" s="1"/>
  <c r="CL86" i="5" s="1"/>
  <c r="AX84" i="5"/>
  <c r="AZ84" i="5" s="1"/>
  <c r="AW85" i="5"/>
  <c r="BO87" i="5"/>
  <c r="CJ87" i="5"/>
  <c r="CF87" i="5"/>
  <c r="CI87" i="5" s="1"/>
  <c r="AY87" i="5"/>
  <c r="BA87" i="5"/>
  <c r="BE87" i="5"/>
  <c r="BD83" i="5"/>
  <c r="BF83" i="5" s="1"/>
  <c r="BC83" i="5"/>
  <c r="BG83" i="5" s="1"/>
  <c r="D84" i="5" s="1"/>
  <c r="P84" i="5" s="1"/>
  <c r="AC61" i="4"/>
  <c r="BN87" i="5"/>
  <c r="BW81" i="5"/>
  <c r="E82" i="5" s="1"/>
  <c r="Q82" i="5" s="1"/>
  <c r="BQ87" i="5"/>
  <c r="BK88" i="5" s="1"/>
  <c r="BL85" i="5"/>
  <c r="BT84" i="5" s="1"/>
  <c r="BJ58" i="4"/>
  <c r="BQ57" i="4"/>
  <c r="Z61" i="4"/>
  <c r="AA59" i="4"/>
  <c r="AT58" i="4" s="1"/>
  <c r="AE58" i="4"/>
  <c r="AG58" i="4" s="1"/>
  <c r="AB59" i="4"/>
  <c r="J79" i="4"/>
  <c r="AF61" i="4"/>
  <c r="AU61" i="4"/>
  <c r="CE61" i="4"/>
  <c r="Y61" i="4"/>
  <c r="AW56" i="4"/>
  <c r="BN60" i="4"/>
  <c r="BV82" i="5"/>
  <c r="BP83" i="5"/>
  <c r="BM84" i="5"/>
  <c r="BU87" i="5"/>
  <c r="AK87" i="5"/>
  <c r="AO87" i="5"/>
  <c r="AI87" i="5"/>
  <c r="BY38" i="4"/>
  <c r="CO38" i="4" s="1"/>
  <c r="CP38" i="4" s="1"/>
  <c r="BM56" i="4"/>
  <c r="BO56" i="4" s="1"/>
  <c r="BL57" i="4"/>
  <c r="F82" i="5"/>
  <c r="R82" i="5" s="1"/>
  <c r="CG39" i="4"/>
  <c r="CC50" i="4"/>
  <c r="BZ50" i="4"/>
  <c r="CB50" i="4" s="1"/>
  <c r="CM38" i="4"/>
  <c r="CN38" i="4" s="1"/>
  <c r="F57" i="4" s="1"/>
  <c r="BR39" i="4"/>
  <c r="BS51" i="4" s="1"/>
  <c r="BT63" i="4" s="1"/>
  <c r="BU75" i="4" s="1"/>
  <c r="BK57" i="4"/>
  <c r="CD56" i="4" s="1"/>
  <c r="AD90" i="5"/>
  <c r="AC91" i="5"/>
  <c r="BJ91" i="5"/>
  <c r="DT86" i="5"/>
  <c r="DU86" i="5" s="1"/>
  <c r="DA59" i="4"/>
  <c r="CO86" i="5"/>
  <c r="CW85" i="5" s="1"/>
  <c r="J86" i="5"/>
  <c r="V86" i="5" s="1"/>
  <c r="BP61" i="4"/>
  <c r="CY61" i="4"/>
  <c r="CS62" i="4" s="1"/>
  <c r="BI61" i="4"/>
  <c r="X61" i="4"/>
  <c r="K80" i="4" s="1"/>
  <c r="CV61" i="4"/>
  <c r="CT61" i="4"/>
  <c r="CZ60" i="4" s="1"/>
  <c r="CW60" i="4"/>
  <c r="CX60" i="4" s="1"/>
  <c r="DF60" i="4" s="1"/>
  <c r="DL87" i="5"/>
  <c r="DZ87" i="5"/>
  <c r="EB84" i="5"/>
  <c r="I85" i="5" s="1"/>
  <c r="U85" i="5" s="1"/>
  <c r="DN84" i="5"/>
  <c r="H85" i="5" s="1"/>
  <c r="T85" i="5" s="1"/>
  <c r="CY84" i="5"/>
  <c r="CZ84" i="5"/>
  <c r="G85" i="5" s="1"/>
  <c r="S85" i="5" s="1"/>
  <c r="CX87" i="5"/>
  <c r="N87" i="5"/>
  <c r="DG59" i="4"/>
  <c r="DC86" i="5"/>
  <c r="DK85" i="5" s="1"/>
  <c r="DM85" i="5" s="1"/>
  <c r="DQ86" i="5"/>
  <c r="DY85" i="5" s="1"/>
  <c r="EA85" i="5" s="1"/>
  <c r="DF86" i="5"/>
  <c r="DG86" i="5" s="1"/>
  <c r="DW85" i="5"/>
  <c r="DX85" i="5" s="1"/>
  <c r="CU85" i="5"/>
  <c r="CV85" i="5" s="1"/>
  <c r="DH87" i="5"/>
  <c r="BY87" i="5"/>
  <c r="CD87" i="5" s="1"/>
  <c r="B88" i="5"/>
  <c r="DV87" i="5"/>
  <c r="CT87" i="5"/>
  <c r="AA88" i="5"/>
  <c r="AB87" i="5"/>
  <c r="K88" i="5" s="1"/>
  <c r="W88" i="5" s="1"/>
  <c r="CR86" i="5"/>
  <c r="CS86" i="5" s="1"/>
  <c r="CP87" i="5"/>
  <c r="CN87" i="5"/>
  <c r="CQ87" i="5"/>
  <c r="DD87" i="5"/>
  <c r="DB87" i="5"/>
  <c r="DE87" i="5"/>
  <c r="DR87" i="5"/>
  <c r="DS87" i="5"/>
  <c r="DP87" i="5"/>
  <c r="DI85" i="5"/>
  <c r="DJ85" i="5" s="1"/>
  <c r="DD57" i="4"/>
  <c r="DD58" i="4" s="1"/>
  <c r="DE56" i="4"/>
  <c r="H75" i="4" s="1"/>
  <c r="DB59" i="4"/>
  <c r="DC59" i="4" s="1"/>
  <c r="C80" i="4"/>
  <c r="W62" i="4"/>
  <c r="CU61" i="4"/>
  <c r="BZ88" i="5" l="1"/>
  <c r="CB88" i="5"/>
  <c r="CC88" i="5" s="1"/>
  <c r="CA88" i="5"/>
  <c r="BO88" i="5"/>
  <c r="CF88" i="5"/>
  <c r="CI88" i="5" s="1"/>
  <c r="CJ88" i="5"/>
  <c r="BA88" i="5"/>
  <c r="BE88" i="5"/>
  <c r="AY88" i="5"/>
  <c r="CG88" i="5"/>
  <c r="AC62" i="4"/>
  <c r="CK87" i="5"/>
  <c r="AV88" i="5"/>
  <c r="CE87" i="5"/>
  <c r="CH87" i="5" s="1"/>
  <c r="CL87" i="5" s="1"/>
  <c r="AX85" i="5"/>
  <c r="AZ85" i="5" s="1"/>
  <c r="AW86" i="5"/>
  <c r="AU88" i="5"/>
  <c r="BB88" i="5" s="1"/>
  <c r="BD84" i="5"/>
  <c r="BF84" i="5" s="1"/>
  <c r="BC84" i="5"/>
  <c r="BG84" i="5" s="1"/>
  <c r="D85" i="5" s="1"/>
  <c r="P85" i="5" s="1"/>
  <c r="BN88" i="5"/>
  <c r="BQ88" i="5"/>
  <c r="BK89" i="5" s="1"/>
  <c r="BR82" i="5"/>
  <c r="BS82" i="5" s="1"/>
  <c r="BL86" i="5"/>
  <c r="BT85" i="5" s="1"/>
  <c r="AQ61" i="4"/>
  <c r="AD61" i="4"/>
  <c r="BJ59" i="4"/>
  <c r="BQ58" i="4"/>
  <c r="J80" i="4"/>
  <c r="Z62" i="4"/>
  <c r="BN61" i="4"/>
  <c r="AE59" i="4"/>
  <c r="AG59" i="4" s="1"/>
  <c r="AB60" i="4"/>
  <c r="AA60" i="4"/>
  <c r="AT59" i="4" s="1"/>
  <c r="AU62" i="4"/>
  <c r="AF62" i="4"/>
  <c r="CE62" i="4"/>
  <c r="Y62" i="4"/>
  <c r="AW57" i="4"/>
  <c r="BV83" i="5"/>
  <c r="BP84" i="5"/>
  <c r="BM85" i="5"/>
  <c r="AK88" i="5"/>
  <c r="AO88" i="5"/>
  <c r="BU88" i="5"/>
  <c r="AI88" i="5"/>
  <c r="F83" i="5"/>
  <c r="R83" i="5" s="1"/>
  <c r="BK58" i="4"/>
  <c r="CD57" i="4" s="1"/>
  <c r="CQ38" i="4"/>
  <c r="G57" i="4" s="1"/>
  <c r="BM57" i="4"/>
  <c r="BO57" i="4" s="1"/>
  <c r="BL58" i="4"/>
  <c r="BV39" i="4"/>
  <c r="BX39" i="4" s="1"/>
  <c r="CK39" i="4" s="1"/>
  <c r="CL39" i="4" s="1"/>
  <c r="CH39" i="4"/>
  <c r="CI39" i="4" s="1"/>
  <c r="CJ39" i="4" s="1"/>
  <c r="CF40" i="4" s="1"/>
  <c r="AD91" i="5"/>
  <c r="AC92" i="5"/>
  <c r="BJ92" i="5"/>
  <c r="DF87" i="5"/>
  <c r="DG87" i="5" s="1"/>
  <c r="DA60" i="4"/>
  <c r="CO87" i="5"/>
  <c r="CW86" i="5" s="1"/>
  <c r="J87" i="5"/>
  <c r="V87" i="5" s="1"/>
  <c r="CW61" i="4"/>
  <c r="CX61" i="4" s="1"/>
  <c r="DF61" i="4" s="1"/>
  <c r="CA61" i="4"/>
  <c r="CT62" i="4"/>
  <c r="CV62" i="4"/>
  <c r="BP62" i="4"/>
  <c r="CY62" i="4"/>
  <c r="CS63" i="4" s="1"/>
  <c r="BI62" i="4"/>
  <c r="BN62" i="4" s="1"/>
  <c r="X62" i="4"/>
  <c r="K81" i="4" s="1"/>
  <c r="DL88" i="5"/>
  <c r="DZ88" i="5"/>
  <c r="EB85" i="5"/>
  <c r="I86" i="5" s="1"/>
  <c r="U86" i="5" s="1"/>
  <c r="DN85" i="5"/>
  <c r="H86" i="5" s="1"/>
  <c r="T86" i="5" s="1"/>
  <c r="CX88" i="5"/>
  <c r="CY85" i="5"/>
  <c r="CZ85" i="5"/>
  <c r="G86" i="5" s="1"/>
  <c r="S86" i="5" s="1"/>
  <c r="N88" i="5"/>
  <c r="DC87" i="5"/>
  <c r="DK86" i="5" s="1"/>
  <c r="DM86" i="5" s="1"/>
  <c r="DQ87" i="5"/>
  <c r="DY86" i="5" s="1"/>
  <c r="EA86" i="5" s="1"/>
  <c r="DT87" i="5"/>
  <c r="DU87" i="5" s="1"/>
  <c r="CR87" i="5"/>
  <c r="CS87" i="5" s="1"/>
  <c r="B89" i="5"/>
  <c r="DV88" i="5"/>
  <c r="CT88" i="5"/>
  <c r="BY88" i="5"/>
  <c r="CD88" i="5" s="1"/>
  <c r="DH88" i="5"/>
  <c r="AA89" i="5"/>
  <c r="AB88" i="5"/>
  <c r="K89" i="5" s="1"/>
  <c r="W89" i="5" s="1"/>
  <c r="DE88" i="5"/>
  <c r="DB88" i="5"/>
  <c r="DD88" i="5"/>
  <c r="DI86" i="5"/>
  <c r="DJ86" i="5" s="1"/>
  <c r="CU86" i="5"/>
  <c r="CV86" i="5" s="1"/>
  <c r="DW86" i="5"/>
  <c r="DX86" i="5" s="1"/>
  <c r="CQ88" i="5"/>
  <c r="CN88" i="5"/>
  <c r="CP88" i="5"/>
  <c r="DS88" i="5"/>
  <c r="DR88" i="5"/>
  <c r="DP88" i="5"/>
  <c r="DE58" i="4"/>
  <c r="H77" i="4" s="1"/>
  <c r="DH58" i="4"/>
  <c r="I77" i="4" s="1"/>
  <c r="DD59" i="4"/>
  <c r="DE59" i="4" s="1"/>
  <c r="H78" i="4" s="1"/>
  <c r="DE57" i="4"/>
  <c r="H76" i="4" s="1"/>
  <c r="DH57" i="4"/>
  <c r="I76" i="4" s="1"/>
  <c r="DG60" i="4"/>
  <c r="DB60" i="4"/>
  <c r="DC60" i="4" s="1"/>
  <c r="CU62" i="4"/>
  <c r="W63" i="4"/>
  <c r="C81" i="4"/>
  <c r="AV89" i="5" l="1"/>
  <c r="BZ89" i="5"/>
  <c r="CG89" i="5" s="1"/>
  <c r="CB89" i="5"/>
  <c r="CC89" i="5" s="1"/>
  <c r="CK88" i="5"/>
  <c r="AX86" i="5"/>
  <c r="AZ86" i="5" s="1"/>
  <c r="AW87" i="5"/>
  <c r="CA89" i="5"/>
  <c r="CA90" i="5" s="1"/>
  <c r="BO89" i="5"/>
  <c r="CF89" i="5"/>
  <c r="CI89" i="5" s="1"/>
  <c r="CJ89" i="5"/>
  <c r="AY89" i="5"/>
  <c r="BE89" i="5"/>
  <c r="BA89" i="5"/>
  <c r="BD85" i="5"/>
  <c r="BF85" i="5" s="1"/>
  <c r="BC85" i="5"/>
  <c r="BG85" i="5" s="1"/>
  <c r="D86" i="5" s="1"/>
  <c r="P86" i="5" s="1"/>
  <c r="CE88" i="5"/>
  <c r="CH88" i="5" s="1"/>
  <c r="CL88" i="5" s="1"/>
  <c r="AU89" i="5"/>
  <c r="BB89" i="5" s="1"/>
  <c r="AC63" i="4"/>
  <c r="BN89" i="5"/>
  <c r="BW82" i="5"/>
  <c r="E83" i="5" s="1"/>
  <c r="Q83" i="5" s="1"/>
  <c r="BQ89" i="5"/>
  <c r="BK90" i="5" s="1"/>
  <c r="BL87" i="5"/>
  <c r="BT86" i="5" s="1"/>
  <c r="BR83" i="5"/>
  <c r="BS83" i="5" s="1"/>
  <c r="J81" i="4"/>
  <c r="AQ62" i="4"/>
  <c r="AD62" i="4"/>
  <c r="BJ60" i="4"/>
  <c r="BQ59" i="4"/>
  <c r="AE60" i="4"/>
  <c r="AG60" i="4" s="1"/>
  <c r="AB61" i="4"/>
  <c r="AF63" i="4"/>
  <c r="CE63" i="4"/>
  <c r="AU63" i="4"/>
  <c r="Y63" i="4"/>
  <c r="AA61" i="4"/>
  <c r="AW58" i="4"/>
  <c r="Z63" i="4"/>
  <c r="BV84" i="5"/>
  <c r="BP85" i="5"/>
  <c r="BM86" i="5"/>
  <c r="BU89" i="5"/>
  <c r="AO89" i="5"/>
  <c r="AK89" i="5"/>
  <c r="AI89" i="5"/>
  <c r="BY39" i="4"/>
  <c r="CO39" i="4" s="1"/>
  <c r="CP39" i="4" s="1"/>
  <c r="BR40" i="4"/>
  <c r="BS52" i="4" s="1"/>
  <c r="BT64" i="4" s="1"/>
  <c r="BU76" i="4" s="1"/>
  <c r="CM39" i="4"/>
  <c r="CN39" i="4" s="1"/>
  <c r="F58" i="4" s="1"/>
  <c r="CG40" i="4"/>
  <c r="CC51" i="4"/>
  <c r="BZ51" i="4"/>
  <c r="CB51" i="4" s="1"/>
  <c r="BM58" i="4"/>
  <c r="BO58" i="4" s="1"/>
  <c r="BL59" i="4"/>
  <c r="BK59" i="4"/>
  <c r="CD58" i="4" s="1"/>
  <c r="F84" i="5"/>
  <c r="R84" i="5" s="1"/>
  <c r="AD92" i="5"/>
  <c r="AC93" i="5"/>
  <c r="BJ93" i="5"/>
  <c r="DT88" i="5"/>
  <c r="DU88" i="5" s="1"/>
  <c r="CO88" i="5"/>
  <c r="CW87" i="5" s="1"/>
  <c r="CT63" i="4"/>
  <c r="CZ62" i="4" s="1"/>
  <c r="J88" i="5"/>
  <c r="V88" i="5" s="1"/>
  <c r="CV63" i="4"/>
  <c r="CW62" i="4"/>
  <c r="CX62" i="4" s="1"/>
  <c r="DF62" i="4" s="1"/>
  <c r="CA62" i="4"/>
  <c r="CY63" i="4"/>
  <c r="CS64" i="4" s="1"/>
  <c r="BP63" i="4"/>
  <c r="BI63" i="4"/>
  <c r="BN63" i="4" s="1"/>
  <c r="X63" i="4"/>
  <c r="K82" i="4" s="1"/>
  <c r="CZ61" i="4"/>
  <c r="DA61" i="4" s="1"/>
  <c r="DL89" i="5"/>
  <c r="DZ89" i="5"/>
  <c r="EB86" i="5"/>
  <c r="I87" i="5" s="1"/>
  <c r="U87" i="5" s="1"/>
  <c r="DN86" i="5"/>
  <c r="H87" i="5" s="1"/>
  <c r="T87" i="5" s="1"/>
  <c r="CX89" i="5"/>
  <c r="CY86" i="5"/>
  <c r="CZ86" i="5"/>
  <c r="G87" i="5" s="1"/>
  <c r="S87" i="5" s="1"/>
  <c r="N89" i="5"/>
  <c r="DG61" i="4"/>
  <c r="DC88" i="5"/>
  <c r="DK87" i="5" s="1"/>
  <c r="DM87" i="5" s="1"/>
  <c r="DQ88" i="5"/>
  <c r="DY87" i="5" s="1"/>
  <c r="EA87" i="5" s="1"/>
  <c r="CU87" i="5"/>
  <c r="CV87" i="5" s="1"/>
  <c r="DW87" i="5"/>
  <c r="DX87" i="5" s="1"/>
  <c r="EB87" i="5" s="1"/>
  <c r="B90" i="5"/>
  <c r="AA90" i="5"/>
  <c r="DH89" i="5"/>
  <c r="BY89" i="5"/>
  <c r="CD89" i="5" s="1"/>
  <c r="DV89" i="5"/>
  <c r="CT89" i="5"/>
  <c r="AB89" i="5"/>
  <c r="K90" i="5" s="1"/>
  <c r="W90" i="5" s="1"/>
  <c r="DI87" i="5"/>
  <c r="DJ87" i="5" s="1"/>
  <c r="DN87" i="5" s="1"/>
  <c r="DB89" i="5"/>
  <c r="DE89" i="5"/>
  <c r="DD89" i="5"/>
  <c r="DF88" i="5"/>
  <c r="DG88" i="5" s="1"/>
  <c r="CN89" i="5"/>
  <c r="CP89" i="5"/>
  <c r="CQ89" i="5"/>
  <c r="CR88" i="5"/>
  <c r="CS88" i="5" s="1"/>
  <c r="DP89" i="5"/>
  <c r="DS89" i="5"/>
  <c r="DR89" i="5"/>
  <c r="DH59" i="4"/>
  <c r="I78" i="4" s="1"/>
  <c r="DD60" i="4"/>
  <c r="DE60" i="4" s="1"/>
  <c r="H79" i="4" s="1"/>
  <c r="DB61" i="4"/>
  <c r="DC61" i="4" s="1"/>
  <c r="CU63" i="4"/>
  <c r="W64" i="4"/>
  <c r="C82" i="4"/>
  <c r="CK89" i="5" l="1"/>
  <c r="AC64" i="4"/>
  <c r="AU90" i="5"/>
  <c r="BB90" i="5" s="1"/>
  <c r="AX87" i="5"/>
  <c r="AZ87" i="5" s="1"/>
  <c r="AW88" i="5"/>
  <c r="BD86" i="5"/>
  <c r="BF86" i="5" s="1"/>
  <c r="BC86" i="5"/>
  <c r="BG86" i="5" s="1"/>
  <c r="D87" i="5" s="1"/>
  <c r="P87" i="5" s="1"/>
  <c r="BO90" i="5"/>
  <c r="CJ90" i="5"/>
  <c r="CF90" i="5"/>
  <c r="CI90" i="5" s="1"/>
  <c r="BA90" i="5"/>
  <c r="BE90" i="5"/>
  <c r="AY90" i="5"/>
  <c r="CE89" i="5"/>
  <c r="CH89" i="5" s="1"/>
  <c r="CL89" i="5" s="1"/>
  <c r="BZ90" i="5"/>
  <c r="CG90" i="5" s="1"/>
  <c r="CB90" i="5"/>
  <c r="CC90" i="5" s="1"/>
  <c r="AV90" i="5"/>
  <c r="BN90" i="5"/>
  <c r="BW83" i="5"/>
  <c r="E84" i="5" s="1"/>
  <c r="Q84" i="5" s="1"/>
  <c r="AA62" i="4"/>
  <c r="AT61" i="4" s="1"/>
  <c r="AW61" i="4" s="1"/>
  <c r="AT60" i="4"/>
  <c r="BQ90" i="5"/>
  <c r="BK91" i="5" s="1"/>
  <c r="BR84" i="5"/>
  <c r="BS84" i="5" s="1"/>
  <c r="BV85" i="5"/>
  <c r="BL88" i="5"/>
  <c r="BT87" i="5" s="1"/>
  <c r="J82" i="4"/>
  <c r="AQ63" i="4"/>
  <c r="AD63" i="4"/>
  <c r="BQ60" i="4"/>
  <c r="BJ61" i="4"/>
  <c r="Z64" i="4"/>
  <c r="AW59" i="4"/>
  <c r="AE61" i="4"/>
  <c r="AG61" i="4" s="1"/>
  <c r="AB62" i="4"/>
  <c r="AF64" i="4"/>
  <c r="AU64" i="4"/>
  <c r="CE64" i="4"/>
  <c r="Y64" i="4"/>
  <c r="BM87" i="5"/>
  <c r="BV40" i="4"/>
  <c r="BX40" i="4" s="1"/>
  <c r="CK40" i="4" s="1"/>
  <c r="CL40" i="4" s="1"/>
  <c r="CM40" i="4" s="1"/>
  <c r="CN40" i="4" s="1"/>
  <c r="F59" i="4" s="1"/>
  <c r="AK90" i="5"/>
  <c r="AO90" i="5"/>
  <c r="BU90" i="5"/>
  <c r="AI90" i="5"/>
  <c r="BK60" i="4"/>
  <c r="CD59" i="4" s="1"/>
  <c r="BM59" i="4"/>
  <c r="BO59" i="4" s="1"/>
  <c r="BL60" i="4"/>
  <c r="CH40" i="4"/>
  <c r="CI40" i="4" s="1"/>
  <c r="CJ40" i="4" s="1"/>
  <c r="CF41" i="4" s="1"/>
  <c r="F85" i="5"/>
  <c r="R85" i="5" s="1"/>
  <c r="CQ39" i="4"/>
  <c r="G58" i="4" s="1"/>
  <c r="CO89" i="5"/>
  <c r="CW88" i="5" s="1"/>
  <c r="AD93" i="5"/>
  <c r="AC94" i="5"/>
  <c r="BJ94" i="5"/>
  <c r="DT89" i="5"/>
  <c r="DU89" i="5" s="1"/>
  <c r="DA62" i="4"/>
  <c r="J89" i="5"/>
  <c r="V89" i="5" s="1"/>
  <c r="BP64" i="4"/>
  <c r="CY64" i="4"/>
  <c r="CS65" i="4" s="1"/>
  <c r="BI64" i="4"/>
  <c r="CA64" i="4" s="1"/>
  <c r="X64" i="4"/>
  <c r="K83" i="4" s="1"/>
  <c r="CV64" i="4"/>
  <c r="CT64" i="4"/>
  <c r="CZ63" i="4" s="1"/>
  <c r="CW63" i="4"/>
  <c r="CX63" i="4" s="1"/>
  <c r="DF63" i="4" s="1"/>
  <c r="CA63" i="4"/>
  <c r="DL90" i="5"/>
  <c r="DZ90" i="5"/>
  <c r="I88" i="5"/>
  <c r="U88" i="5" s="1"/>
  <c r="H88" i="5"/>
  <c r="T88" i="5" s="1"/>
  <c r="CY87" i="5"/>
  <c r="CZ87" i="5"/>
  <c r="G88" i="5" s="1"/>
  <c r="S88" i="5" s="1"/>
  <c r="CX90" i="5"/>
  <c r="N90" i="5"/>
  <c r="DC89" i="5"/>
  <c r="DK88" i="5" s="1"/>
  <c r="DM88" i="5" s="1"/>
  <c r="DQ89" i="5"/>
  <c r="DY88" i="5" s="1"/>
  <c r="EA88" i="5" s="1"/>
  <c r="CU88" i="5"/>
  <c r="CV88" i="5" s="1"/>
  <c r="CQ90" i="5"/>
  <c r="CN90" i="5"/>
  <c r="CP90" i="5"/>
  <c r="DD90" i="5"/>
  <c r="DE90" i="5"/>
  <c r="DB90" i="5"/>
  <c r="DF89" i="5"/>
  <c r="DG89" i="5" s="1"/>
  <c r="DP90" i="5"/>
  <c r="DS90" i="5"/>
  <c r="DR90" i="5"/>
  <c r="B91" i="5"/>
  <c r="DV90" i="5"/>
  <c r="BY90" i="5"/>
  <c r="CD90" i="5" s="1"/>
  <c r="DH90" i="5"/>
  <c r="AA91" i="5"/>
  <c r="CT90" i="5"/>
  <c r="AB90" i="5"/>
  <c r="K91" i="5" s="1"/>
  <c r="W91" i="5" s="1"/>
  <c r="DI88" i="5"/>
  <c r="DJ88" i="5" s="1"/>
  <c r="CR89" i="5"/>
  <c r="CS89" i="5" s="1"/>
  <c r="DW88" i="5"/>
  <c r="DX88" i="5" s="1"/>
  <c r="DH60" i="4"/>
  <c r="I79" i="4" s="1"/>
  <c r="DD61" i="4"/>
  <c r="DE61" i="4" s="1"/>
  <c r="H80" i="4" s="1"/>
  <c r="DG62" i="4"/>
  <c r="DB62" i="4"/>
  <c r="DC62" i="4" s="1"/>
  <c r="CU64" i="4"/>
  <c r="W65" i="4"/>
  <c r="C83" i="4"/>
  <c r="AV91" i="5" l="1"/>
  <c r="AX88" i="5"/>
  <c r="AZ88" i="5" s="1"/>
  <c r="AW89" i="5"/>
  <c r="BD87" i="5"/>
  <c r="BF87" i="5" s="1"/>
  <c r="BC87" i="5"/>
  <c r="BG87" i="5" s="1"/>
  <c r="D88" i="5" s="1"/>
  <c r="P88" i="5" s="1"/>
  <c r="BZ91" i="5"/>
  <c r="CB91" i="5"/>
  <c r="CC91" i="5" s="1"/>
  <c r="CE90" i="5"/>
  <c r="CH90" i="5" s="1"/>
  <c r="CL90" i="5" s="1"/>
  <c r="AC65" i="4"/>
  <c r="CA91" i="5"/>
  <c r="AU91" i="5"/>
  <c r="CJ91" i="5"/>
  <c r="CG91" i="5"/>
  <c r="AY91" i="5"/>
  <c r="BE91" i="5"/>
  <c r="BA91" i="5"/>
  <c r="BB91" i="5"/>
  <c r="CK90" i="5"/>
  <c r="AA63" i="4"/>
  <c r="AT62" i="4" s="1"/>
  <c r="AW62" i="4" s="1"/>
  <c r="BQ91" i="5"/>
  <c r="BK92" i="5" s="1"/>
  <c r="BO91" i="5"/>
  <c r="BN91" i="5"/>
  <c r="BW84" i="5"/>
  <c r="E85" i="5" s="1"/>
  <c r="Q85" i="5" s="1"/>
  <c r="BP86" i="5"/>
  <c r="BR86" i="5" s="1"/>
  <c r="BS86" i="5" s="1"/>
  <c r="BL89" i="5"/>
  <c r="BT88" i="5" s="1"/>
  <c r="BR85" i="5"/>
  <c r="BS85" i="5" s="1"/>
  <c r="J83" i="4"/>
  <c r="AL91" i="5"/>
  <c r="BQ61" i="4"/>
  <c r="BJ62" i="4"/>
  <c r="AQ64" i="4"/>
  <c r="AD64" i="4"/>
  <c r="AE62" i="4"/>
  <c r="AG62" i="4" s="1"/>
  <c r="AB63" i="4"/>
  <c r="Z65" i="4"/>
  <c r="BN64" i="4"/>
  <c r="AU65" i="4"/>
  <c r="AF65" i="4"/>
  <c r="CE65" i="4"/>
  <c r="Y65" i="4"/>
  <c r="BV86" i="5"/>
  <c r="BM88" i="5"/>
  <c r="BY40" i="4"/>
  <c r="CO40" i="4" s="1"/>
  <c r="CP40" i="4" s="1"/>
  <c r="BZ52" i="4"/>
  <c r="CB52" i="4" s="1"/>
  <c r="BU91" i="5"/>
  <c r="AK91" i="5"/>
  <c r="AO91" i="5"/>
  <c r="AI91" i="5"/>
  <c r="CC52" i="4"/>
  <c r="CO90" i="5"/>
  <c r="CW89" i="5" s="1"/>
  <c r="BR41" i="4"/>
  <c r="BS53" i="4" s="1"/>
  <c r="BT65" i="4" s="1"/>
  <c r="BU77" i="4" s="1"/>
  <c r="F86" i="5"/>
  <c r="R86" i="5" s="1"/>
  <c r="BK61" i="4"/>
  <c r="BM60" i="4"/>
  <c r="BO60" i="4" s="1"/>
  <c r="BL61" i="4"/>
  <c r="CG41" i="4"/>
  <c r="CH41" i="4" s="1"/>
  <c r="CI41" i="4" s="1"/>
  <c r="CJ41" i="4" s="1"/>
  <c r="AD94" i="5"/>
  <c r="AC95" i="5"/>
  <c r="BJ95" i="5"/>
  <c r="DA63" i="4"/>
  <c r="J90" i="5"/>
  <c r="V90" i="5" s="1"/>
  <c r="CT65" i="4"/>
  <c r="CZ64" i="4" s="1"/>
  <c r="CV65" i="4"/>
  <c r="CW64" i="4"/>
  <c r="CX64" i="4" s="1"/>
  <c r="DF64" i="4" s="1"/>
  <c r="BP65" i="4"/>
  <c r="CY65" i="4"/>
  <c r="CS66" i="4" s="1"/>
  <c r="BI65" i="4"/>
  <c r="X65" i="4"/>
  <c r="K84" i="4" s="1"/>
  <c r="DL91" i="5"/>
  <c r="DZ91" i="5"/>
  <c r="EB88" i="5"/>
  <c r="I89" i="5" s="1"/>
  <c r="U89" i="5" s="1"/>
  <c r="DN88" i="5"/>
  <c r="H89" i="5" s="1"/>
  <c r="T89" i="5" s="1"/>
  <c r="CX91" i="5"/>
  <c r="CZ88" i="5"/>
  <c r="G89" i="5" s="1"/>
  <c r="S89" i="5" s="1"/>
  <c r="CY88" i="5"/>
  <c r="N91" i="5"/>
  <c r="DG63" i="4"/>
  <c r="DC90" i="5"/>
  <c r="DK89" i="5" s="1"/>
  <c r="DM89" i="5" s="1"/>
  <c r="DQ90" i="5"/>
  <c r="DY89" i="5" s="1"/>
  <c r="EA89" i="5" s="1"/>
  <c r="CU89" i="5"/>
  <c r="CV89" i="5" s="1"/>
  <c r="DI89" i="5"/>
  <c r="DJ89" i="5" s="1"/>
  <c r="DF90" i="5"/>
  <c r="DG90" i="5" s="1"/>
  <c r="CP91" i="5"/>
  <c r="CQ91" i="5"/>
  <c r="CN91" i="5"/>
  <c r="DD91" i="5"/>
  <c r="DB91" i="5"/>
  <c r="DE91" i="5"/>
  <c r="DW89" i="5"/>
  <c r="DX89" i="5" s="1"/>
  <c r="DV91" i="5"/>
  <c r="CT91" i="5"/>
  <c r="DH91" i="5"/>
  <c r="BY91" i="5"/>
  <c r="CD91" i="5" s="1"/>
  <c r="B92" i="5"/>
  <c r="A81" i="5" s="1"/>
  <c r="AA92" i="5"/>
  <c r="AB91" i="5"/>
  <c r="K92" i="5" s="1"/>
  <c r="W92" i="5" s="1"/>
  <c r="DR91" i="5"/>
  <c r="DS91" i="5"/>
  <c r="DP91" i="5"/>
  <c r="CR90" i="5"/>
  <c r="CS90" i="5" s="1"/>
  <c r="DT90" i="5"/>
  <c r="DU90" i="5" s="1"/>
  <c r="DD62" i="4"/>
  <c r="DE62" i="4" s="1"/>
  <c r="H81" i="4" s="1"/>
  <c r="DH61" i="4"/>
  <c r="I80" i="4" s="1"/>
  <c r="DB63" i="4"/>
  <c r="DC63" i="4" s="1"/>
  <c r="CU65" i="4"/>
  <c r="W66" i="4"/>
  <c r="BQ66" i="4" s="1"/>
  <c r="C84" i="4"/>
  <c r="AA64" i="4" l="1"/>
  <c r="AA65" i="4" s="1"/>
  <c r="BO92" i="5"/>
  <c r="CF92" i="5"/>
  <c r="CI92" i="5" s="1"/>
  <c r="CD92" i="5"/>
  <c r="CJ92" i="5"/>
  <c r="BA92" i="5"/>
  <c r="AY92" i="5"/>
  <c r="BE92" i="5"/>
  <c r="AC66" i="4"/>
  <c r="AX89" i="5"/>
  <c r="AZ89" i="5" s="1"/>
  <c r="AW90" i="5"/>
  <c r="BD88" i="5"/>
  <c r="BF88" i="5" s="1"/>
  <c r="BC88" i="5"/>
  <c r="BG88" i="5" s="1"/>
  <c r="D89" i="5" s="1"/>
  <c r="P89" i="5" s="1"/>
  <c r="CE91" i="5"/>
  <c r="BW85" i="5"/>
  <c r="E86" i="5" s="1"/>
  <c r="Q86" i="5" s="1"/>
  <c r="BW86" i="5"/>
  <c r="E87" i="5" s="1"/>
  <c r="Q87" i="5" s="1"/>
  <c r="BP87" i="5"/>
  <c r="BR87" i="5" s="1"/>
  <c r="BS87" i="5" s="1"/>
  <c r="BQ92" i="5"/>
  <c r="BK93" i="5" s="1"/>
  <c r="BL90" i="5"/>
  <c r="BT89" i="5" s="1"/>
  <c r="J84" i="4"/>
  <c r="AQ65" i="4"/>
  <c r="AD65" i="4"/>
  <c r="BQ62" i="4"/>
  <c r="BJ63" i="4"/>
  <c r="BN65" i="4"/>
  <c r="AF66" i="4"/>
  <c r="Y66" i="4"/>
  <c r="AE63" i="4"/>
  <c r="AG63" i="4" s="1"/>
  <c r="AB64" i="4"/>
  <c r="Z66" i="4"/>
  <c r="CQ40" i="4"/>
  <c r="G59" i="4" s="1"/>
  <c r="CD60" i="4"/>
  <c r="BM89" i="5"/>
  <c r="BV87" i="5"/>
  <c r="BV41" i="4"/>
  <c r="BX41" i="4" s="1"/>
  <c r="CK41" i="4" s="1"/>
  <c r="CL41" i="4" s="1"/>
  <c r="CM41" i="4" s="1"/>
  <c r="CN41" i="4" s="1"/>
  <c r="F60" i="4" s="1"/>
  <c r="AI92" i="5"/>
  <c r="BU92" i="5"/>
  <c r="AK92" i="5"/>
  <c r="AO92" i="5"/>
  <c r="CO91" i="5"/>
  <c r="CW90" i="5" s="1"/>
  <c r="BK62" i="4"/>
  <c r="CD61" i="4" s="1"/>
  <c r="BM61" i="4"/>
  <c r="BO61" i="4" s="1"/>
  <c r="BL62" i="4"/>
  <c r="F87" i="5"/>
  <c r="R87" i="5" s="1"/>
  <c r="BR42" i="4"/>
  <c r="BS54" i="4" s="1"/>
  <c r="BT66" i="4" s="1"/>
  <c r="BU78" i="4" s="1"/>
  <c r="AD95" i="5"/>
  <c r="AC96" i="5"/>
  <c r="BJ96" i="5"/>
  <c r="DT91" i="5"/>
  <c r="DU91" i="5" s="1"/>
  <c r="DS92" i="5" s="1"/>
  <c r="DA64" i="4"/>
  <c r="CV66" i="4"/>
  <c r="J91" i="5"/>
  <c r="V91" i="5" s="1"/>
  <c r="CT66" i="4"/>
  <c r="CZ65" i="4" s="1"/>
  <c r="BP66" i="4"/>
  <c r="CY66" i="4"/>
  <c r="CS67" i="4" s="1"/>
  <c r="BI66" i="4"/>
  <c r="X66" i="4"/>
  <c r="K85" i="4" s="1"/>
  <c r="CW65" i="4"/>
  <c r="CX65" i="4" s="1"/>
  <c r="DF65" i="4" s="1"/>
  <c r="CA65" i="4"/>
  <c r="DL92" i="5"/>
  <c r="DZ92" i="5"/>
  <c r="EB89" i="5"/>
  <c r="I90" i="5" s="1"/>
  <c r="U90" i="5" s="1"/>
  <c r="DN89" i="5"/>
  <c r="H90" i="5" s="1"/>
  <c r="T90" i="5" s="1"/>
  <c r="CZ89" i="5"/>
  <c r="G90" i="5" s="1"/>
  <c r="S90" i="5" s="1"/>
  <c r="CY89" i="5"/>
  <c r="CX92" i="5"/>
  <c r="N92" i="5"/>
  <c r="DC91" i="5"/>
  <c r="DK90" i="5" s="1"/>
  <c r="DM90" i="5" s="1"/>
  <c r="DQ91" i="5"/>
  <c r="DY90" i="5" s="1"/>
  <c r="EA90" i="5" s="1"/>
  <c r="CR91" i="5"/>
  <c r="CS91" i="5" s="1"/>
  <c r="DI90" i="5"/>
  <c r="DJ90" i="5" s="1"/>
  <c r="DN90" i="5" s="1"/>
  <c r="CU90" i="5"/>
  <c r="CV90" i="5" s="1"/>
  <c r="DW90" i="5"/>
  <c r="DX90" i="5" s="1"/>
  <c r="DV92" i="5"/>
  <c r="CT92" i="5"/>
  <c r="B93" i="5"/>
  <c r="BY92" i="5"/>
  <c r="AA93" i="5"/>
  <c r="DH92" i="5"/>
  <c r="AB92" i="5"/>
  <c r="K93" i="5" s="1"/>
  <c r="W93" i="5" s="1"/>
  <c r="DD92" i="5"/>
  <c r="DB92" i="5"/>
  <c r="DF91" i="5"/>
  <c r="DG91" i="5" s="1"/>
  <c r="CP92" i="5"/>
  <c r="CN92" i="5"/>
  <c r="DR92" i="5"/>
  <c r="DP92" i="5"/>
  <c r="DH62" i="4"/>
  <c r="I81" i="4" s="1"/>
  <c r="DD63" i="4"/>
  <c r="DH63" i="4" s="1"/>
  <c r="I82" i="4" s="1"/>
  <c r="DG64" i="4"/>
  <c r="DB64" i="4"/>
  <c r="DC64" i="4" s="1"/>
  <c r="CU66" i="4"/>
  <c r="W67" i="4"/>
  <c r="C85" i="4"/>
  <c r="AT63" i="4" l="1"/>
  <c r="AW63" i="4" s="1"/>
  <c r="CH91" i="5"/>
  <c r="CI91" i="5" s="1"/>
  <c r="BO93" i="5"/>
  <c r="CF93" i="5"/>
  <c r="CI93" i="5" s="1"/>
  <c r="CD93" i="5"/>
  <c r="CJ93" i="5"/>
  <c r="BA93" i="5"/>
  <c r="BE93" i="5"/>
  <c r="AY93" i="5"/>
  <c r="AX90" i="5"/>
  <c r="AZ90" i="5" s="1"/>
  <c r="AW91" i="5"/>
  <c r="AX91" i="5" s="1"/>
  <c r="AZ91" i="5" s="1"/>
  <c r="BD89" i="5"/>
  <c r="BF89" i="5" s="1"/>
  <c r="BC89" i="5"/>
  <c r="BG89" i="5" s="1"/>
  <c r="D90" i="5" s="1"/>
  <c r="P90" i="5" s="1"/>
  <c r="J85" i="4"/>
  <c r="BW87" i="5"/>
  <c r="E88" i="5" s="1"/>
  <c r="Q88" i="5" s="1"/>
  <c r="AT64" i="4"/>
  <c r="AW64" i="4" s="1"/>
  <c r="BP88" i="5"/>
  <c r="BR88" i="5" s="1"/>
  <c r="BS88" i="5" s="1"/>
  <c r="BW88" i="5" s="1"/>
  <c r="E89" i="5" s="1"/>
  <c r="Q89" i="5" s="1"/>
  <c r="BQ93" i="5"/>
  <c r="BK94" i="5" s="1"/>
  <c r="BL91" i="5"/>
  <c r="BT90" i="5" s="1"/>
  <c r="BQ63" i="4"/>
  <c r="BJ64" i="4"/>
  <c r="AQ66" i="4"/>
  <c r="AD66" i="4"/>
  <c r="AA66" i="4"/>
  <c r="BN66" i="4"/>
  <c r="AE64" i="4"/>
  <c r="AG64" i="4" s="1"/>
  <c r="AB65" i="4"/>
  <c r="Z67" i="4"/>
  <c r="AF67" i="4"/>
  <c r="CE67" i="4"/>
  <c r="AU67" i="4"/>
  <c r="Y67" i="4"/>
  <c r="BN67" i="4"/>
  <c r="BY41" i="4"/>
  <c r="CO41" i="4" s="1"/>
  <c r="CP41" i="4" s="1"/>
  <c r="CQ41" i="4" s="1"/>
  <c r="G60" i="4" s="1"/>
  <c r="BV88" i="5"/>
  <c r="BM90" i="5"/>
  <c r="CC53" i="4"/>
  <c r="BU93" i="5"/>
  <c r="AK93" i="5"/>
  <c r="AO93" i="5"/>
  <c r="AI93" i="5"/>
  <c r="BZ53" i="4"/>
  <c r="CB53" i="4" s="1"/>
  <c r="CO92" i="5"/>
  <c r="CW91" i="5" s="1"/>
  <c r="BM62" i="4"/>
  <c r="BO62" i="4" s="1"/>
  <c r="BL63" i="4"/>
  <c r="F88" i="5"/>
  <c r="R88" i="5" s="1"/>
  <c r="BK63" i="4"/>
  <c r="CD62" i="4" s="1"/>
  <c r="BV42" i="4"/>
  <c r="BX42" i="4" s="1"/>
  <c r="AD96" i="5"/>
  <c r="AC97" i="5"/>
  <c r="BJ97" i="5"/>
  <c r="DT92" i="5"/>
  <c r="DU92" i="5" s="1"/>
  <c r="DA65" i="4"/>
  <c r="N93" i="5"/>
  <c r="J92" i="5"/>
  <c r="V92" i="5" s="1"/>
  <c r="CT67" i="4"/>
  <c r="CZ66" i="4" s="1"/>
  <c r="BP67" i="4"/>
  <c r="CY67" i="4"/>
  <c r="CS68" i="4" s="1"/>
  <c r="BI67" i="4"/>
  <c r="X67" i="4"/>
  <c r="K86" i="4" s="1"/>
  <c r="CW66" i="4"/>
  <c r="CX66" i="4" s="1"/>
  <c r="DF66" i="4" s="1"/>
  <c r="CA66" i="4"/>
  <c r="DL93" i="5"/>
  <c r="DZ93" i="5"/>
  <c r="EB90" i="5"/>
  <c r="I91" i="5" s="1"/>
  <c r="U91" i="5" s="1"/>
  <c r="H91" i="5"/>
  <c r="T91" i="5" s="1"/>
  <c r="CY90" i="5"/>
  <c r="CZ90" i="5"/>
  <c r="G91" i="5" s="1"/>
  <c r="S91" i="5" s="1"/>
  <c r="CX93" i="5"/>
  <c r="DB65" i="4"/>
  <c r="DC65" i="4" s="1"/>
  <c r="DC92" i="5"/>
  <c r="DK91" i="5" s="1"/>
  <c r="DM91" i="5" s="1"/>
  <c r="DQ92" i="5"/>
  <c r="DY91" i="5" s="1"/>
  <c r="EA91" i="5" s="1"/>
  <c r="DI91" i="5"/>
  <c r="DJ91" i="5" s="1"/>
  <c r="DE92" i="5"/>
  <c r="DF92" i="5"/>
  <c r="CR92" i="5"/>
  <c r="CU91" i="5"/>
  <c r="CV91" i="5" s="1"/>
  <c r="DB93" i="5"/>
  <c r="DD93" i="5"/>
  <c r="B94" i="5"/>
  <c r="AA94" i="5"/>
  <c r="DV93" i="5"/>
  <c r="DH93" i="5"/>
  <c r="CT93" i="5"/>
  <c r="BY93" i="5"/>
  <c r="AB93" i="5"/>
  <c r="K94" i="5" s="1"/>
  <c r="W94" i="5" s="1"/>
  <c r="CN93" i="5"/>
  <c r="CP93" i="5"/>
  <c r="DP93" i="5"/>
  <c r="DS93" i="5"/>
  <c r="DR93" i="5"/>
  <c r="CQ92" i="5"/>
  <c r="CQ93" i="5" s="1"/>
  <c r="DW91" i="5"/>
  <c r="DX91" i="5" s="1"/>
  <c r="DD64" i="4"/>
  <c r="DE64" i="4" s="1"/>
  <c r="H83" i="4" s="1"/>
  <c r="DE63" i="4"/>
  <c r="H82" i="4" s="1"/>
  <c r="DG65" i="4"/>
  <c r="CU67" i="4"/>
  <c r="W68" i="4"/>
  <c r="C86" i="4"/>
  <c r="B85" i="4" s="1"/>
  <c r="CK91" i="5" l="1"/>
  <c r="BZ92" i="5" s="1"/>
  <c r="CL91" i="5"/>
  <c r="BD90" i="5"/>
  <c r="BF90" i="5" s="1"/>
  <c r="BC90" i="5"/>
  <c r="BG90" i="5" s="1"/>
  <c r="D91" i="5" s="1"/>
  <c r="P91" i="5" s="1"/>
  <c r="BD91" i="5"/>
  <c r="BC91" i="5"/>
  <c r="BO94" i="5"/>
  <c r="CF94" i="5"/>
  <c r="CI94" i="5" s="1"/>
  <c r="CD94" i="5"/>
  <c r="BA94" i="5"/>
  <c r="AY94" i="5"/>
  <c r="BE94" i="5"/>
  <c r="CJ94" i="5"/>
  <c r="CA92" i="5"/>
  <c r="CA93" i="5" s="1"/>
  <c r="CA94" i="5" s="1"/>
  <c r="AT65" i="4"/>
  <c r="AW65" i="4" s="1"/>
  <c r="BP89" i="5"/>
  <c r="BR89" i="5" s="1"/>
  <c r="BS89" i="5" s="1"/>
  <c r="BW89" i="5" s="1"/>
  <c r="E90" i="5" s="1"/>
  <c r="Q90" i="5" s="1"/>
  <c r="BQ94" i="5"/>
  <c r="BK95" i="5" s="1"/>
  <c r="BL92" i="5"/>
  <c r="BT91" i="5" s="1"/>
  <c r="AQ67" i="4"/>
  <c r="AD67" i="4"/>
  <c r="BQ64" i="4"/>
  <c r="BJ65" i="4"/>
  <c r="AA67" i="4"/>
  <c r="Z68" i="4"/>
  <c r="AE65" i="4"/>
  <c r="AG65" i="4" s="1"/>
  <c r="AB66" i="4"/>
  <c r="AU68" i="4"/>
  <c r="AF68" i="4"/>
  <c r="CE68" i="4"/>
  <c r="BN68" i="4"/>
  <c r="Y68" i="4"/>
  <c r="BV89" i="5"/>
  <c r="BM91" i="5"/>
  <c r="BY42" i="4"/>
  <c r="CO42" i="4" s="1"/>
  <c r="CE42" i="4"/>
  <c r="CF42" i="4" s="1"/>
  <c r="CG42" i="4" s="1"/>
  <c r="CH42" i="4" s="1"/>
  <c r="CO93" i="5"/>
  <c r="CW92" i="5" s="1"/>
  <c r="BU94" i="5"/>
  <c r="AK94" i="5"/>
  <c r="AO94" i="5"/>
  <c r="AI94" i="5"/>
  <c r="CC54" i="4"/>
  <c r="BZ54" i="4"/>
  <c r="CB54" i="4" s="1"/>
  <c r="BM63" i="4"/>
  <c r="BO63" i="4" s="1"/>
  <c r="BL64" i="4"/>
  <c r="CK42" i="4"/>
  <c r="F89" i="5"/>
  <c r="R89" i="5" s="1"/>
  <c r="BK64" i="4"/>
  <c r="CD63" i="4" s="1"/>
  <c r="DE93" i="5"/>
  <c r="AD97" i="5"/>
  <c r="AC98" i="5"/>
  <c r="BJ98" i="5"/>
  <c r="CR93" i="5"/>
  <c r="CS93" i="5" s="1"/>
  <c r="DA66" i="4"/>
  <c r="J93" i="5"/>
  <c r="V93" i="5" s="1"/>
  <c r="J86" i="4"/>
  <c r="CW67" i="4"/>
  <c r="CA67" i="4"/>
  <c r="CY68" i="4"/>
  <c r="CS69" i="4" s="1"/>
  <c r="BP68" i="4"/>
  <c r="BI68" i="4"/>
  <c r="X68" i="4"/>
  <c r="K87" i="4" s="1"/>
  <c r="CT68" i="4"/>
  <c r="CZ67" i="4" s="1"/>
  <c r="DL94" i="5"/>
  <c r="DZ94" i="5"/>
  <c r="EB91" i="5"/>
  <c r="I92" i="5" s="1"/>
  <c r="U92" i="5" s="1"/>
  <c r="DN91" i="5"/>
  <c r="H92" i="5" s="1"/>
  <c r="T92" i="5" s="1"/>
  <c r="CX94" i="5"/>
  <c r="CY91" i="5"/>
  <c r="CZ91" i="5"/>
  <c r="G92" i="5" s="1"/>
  <c r="S92" i="5" s="1"/>
  <c r="N94" i="5"/>
  <c r="CV67" i="4"/>
  <c r="CV68" i="4" s="1"/>
  <c r="DG66" i="4"/>
  <c r="DC93" i="5"/>
  <c r="DK92" i="5" s="1"/>
  <c r="DM92" i="5" s="1"/>
  <c r="DQ93" i="5"/>
  <c r="DY92" i="5" s="1"/>
  <c r="EA92" i="5" s="1"/>
  <c r="DD65" i="4"/>
  <c r="DH65" i="4" s="1"/>
  <c r="I84" i="4" s="1"/>
  <c r="DH64" i="4"/>
  <c r="I83" i="4" s="1"/>
  <c r="CS92" i="5"/>
  <c r="CU92" i="5" s="1"/>
  <c r="CV92" i="5" s="1"/>
  <c r="DT93" i="5"/>
  <c r="DU93" i="5" s="1"/>
  <c r="CQ94" i="5"/>
  <c r="CN94" i="5"/>
  <c r="CP94" i="5"/>
  <c r="DG92" i="5"/>
  <c r="DB94" i="5"/>
  <c r="DD94" i="5"/>
  <c r="DF93" i="5"/>
  <c r="DR94" i="5"/>
  <c r="DS94" i="5"/>
  <c r="DP94" i="5"/>
  <c r="B95" i="5"/>
  <c r="DV94" i="5"/>
  <c r="BY94" i="5"/>
  <c r="DH94" i="5"/>
  <c r="CT94" i="5"/>
  <c r="AA95" i="5"/>
  <c r="AB94" i="5"/>
  <c r="K95" i="5" s="1"/>
  <c r="W95" i="5" s="1"/>
  <c r="DW92" i="5"/>
  <c r="DX92" i="5" s="1"/>
  <c r="DB66" i="4"/>
  <c r="DC66" i="4" s="1"/>
  <c r="W69" i="4"/>
  <c r="C87" i="4"/>
  <c r="CU68" i="4"/>
  <c r="CA95" i="5" l="1"/>
  <c r="CK92" i="5"/>
  <c r="CK93" i="5" s="1"/>
  <c r="CK94" i="5" s="1"/>
  <c r="BF91" i="5"/>
  <c r="AU92" i="5" s="1"/>
  <c r="BG91" i="5"/>
  <c r="D92" i="5" s="1"/>
  <c r="P92" i="5" s="1"/>
  <c r="BO95" i="5"/>
  <c r="CF95" i="5"/>
  <c r="CI95" i="5" s="1"/>
  <c r="CD95" i="5"/>
  <c r="CJ95" i="5"/>
  <c r="BE95" i="5"/>
  <c r="AY95" i="5"/>
  <c r="BA95" i="5"/>
  <c r="BZ93" i="5"/>
  <c r="BZ94" i="5" s="1"/>
  <c r="BZ95" i="5" s="1"/>
  <c r="CB92" i="5"/>
  <c r="AA68" i="4"/>
  <c r="AT67" i="4" s="1"/>
  <c r="AW67" i="4" s="1"/>
  <c r="AT66" i="4"/>
  <c r="BP90" i="5"/>
  <c r="BR90" i="5" s="1"/>
  <c r="BS90" i="5" s="1"/>
  <c r="BW90" i="5" s="1"/>
  <c r="E91" i="5" s="1"/>
  <c r="Q91" i="5" s="1"/>
  <c r="BP91" i="5"/>
  <c r="BQ95" i="5"/>
  <c r="BK96" i="5" s="1"/>
  <c r="BL93" i="5"/>
  <c r="BT92" i="5" s="1"/>
  <c r="AQ68" i="4"/>
  <c r="AD68" i="4"/>
  <c r="BQ65" i="4"/>
  <c r="BJ66" i="4"/>
  <c r="CO94" i="5"/>
  <c r="CW93" i="5" s="1"/>
  <c r="AF69" i="4"/>
  <c r="AU69" i="4"/>
  <c r="CE69" i="4"/>
  <c r="BN69" i="4"/>
  <c r="Y69" i="4"/>
  <c r="AE66" i="4"/>
  <c r="AB67" i="4"/>
  <c r="Z69" i="4"/>
  <c r="BV90" i="5"/>
  <c r="CP42" i="4"/>
  <c r="CL42" i="4"/>
  <c r="CM42" i="4" s="1"/>
  <c r="BU95" i="5"/>
  <c r="AO95" i="5"/>
  <c r="AK95" i="5"/>
  <c r="AI95" i="5"/>
  <c r="F90" i="5"/>
  <c r="R90" i="5" s="1"/>
  <c r="BM64" i="4"/>
  <c r="BO64" i="4" s="1"/>
  <c r="BL65" i="4"/>
  <c r="BK65" i="4"/>
  <c r="CD64" i="4" s="1"/>
  <c r="CI42" i="4"/>
  <c r="BR43" i="4" s="1"/>
  <c r="BS55" i="4" s="1"/>
  <c r="BT67" i="4" s="1"/>
  <c r="BU79" i="4" s="1"/>
  <c r="DE94" i="5"/>
  <c r="DE95" i="5" s="1"/>
  <c r="AD98" i="5"/>
  <c r="AC99" i="5"/>
  <c r="DG93" i="5"/>
  <c r="DI93" i="5" s="1"/>
  <c r="DJ93" i="5" s="1"/>
  <c r="BJ99" i="5"/>
  <c r="CR94" i="5"/>
  <c r="CS94" i="5" s="1"/>
  <c r="DA67" i="4"/>
  <c r="J87" i="4"/>
  <c r="J17" i="4" s="1"/>
  <c r="J94" i="5"/>
  <c r="V94" i="5" s="1"/>
  <c r="CV69" i="4"/>
  <c r="CW68" i="4"/>
  <c r="CA68" i="4"/>
  <c r="CY69" i="4"/>
  <c r="CS70" i="4" s="1"/>
  <c r="BP69" i="4"/>
  <c r="BI69" i="4"/>
  <c r="X69" i="4"/>
  <c r="K88" i="4" s="1"/>
  <c r="CT69" i="4"/>
  <c r="CZ68" i="4" s="1"/>
  <c r="DL95" i="5"/>
  <c r="DZ95" i="5"/>
  <c r="EB92" i="5"/>
  <c r="I93" i="5" s="1"/>
  <c r="U93" i="5" s="1"/>
  <c r="CY92" i="5"/>
  <c r="CZ92" i="5"/>
  <c r="G93" i="5" s="1"/>
  <c r="S93" i="5" s="1"/>
  <c r="CX95" i="5"/>
  <c r="DC94" i="5"/>
  <c r="DK93" i="5" s="1"/>
  <c r="DM93" i="5" s="1"/>
  <c r="N95" i="5"/>
  <c r="DE65" i="4"/>
  <c r="H84" i="4" s="1"/>
  <c r="DD66" i="4"/>
  <c r="DE66" i="4" s="1"/>
  <c r="H85" i="4" s="1"/>
  <c r="DQ94" i="5"/>
  <c r="DY93" i="5" s="1"/>
  <c r="EA93" i="5" s="1"/>
  <c r="DF94" i="5"/>
  <c r="DT94" i="5"/>
  <c r="DU94" i="5" s="1"/>
  <c r="B96" i="5"/>
  <c r="DV95" i="5"/>
  <c r="CT95" i="5"/>
  <c r="DH95" i="5"/>
  <c r="BY95" i="5"/>
  <c r="AA96" i="5"/>
  <c r="AB95" i="5"/>
  <c r="K96" i="5" s="1"/>
  <c r="W96" i="5" s="1"/>
  <c r="DW93" i="5"/>
  <c r="DX93" i="5" s="1"/>
  <c r="CP95" i="5"/>
  <c r="CN95" i="5"/>
  <c r="CQ95" i="5"/>
  <c r="DI92" i="5"/>
  <c r="DJ92" i="5" s="1"/>
  <c r="CU93" i="5"/>
  <c r="CV93" i="5" s="1"/>
  <c r="DD95" i="5"/>
  <c r="DB95" i="5"/>
  <c r="DR95" i="5"/>
  <c r="DS95" i="5"/>
  <c r="DP95" i="5"/>
  <c r="CX67" i="4"/>
  <c r="DF67" i="4" s="1"/>
  <c r="CU69" i="4"/>
  <c r="C88" i="4"/>
  <c r="W70" i="4"/>
  <c r="BZ96" i="5" l="1"/>
  <c r="CK95" i="5"/>
  <c r="BO96" i="5"/>
  <c r="CJ96" i="5"/>
  <c r="CF96" i="5"/>
  <c r="CI96" i="5" s="1"/>
  <c r="CD96" i="5"/>
  <c r="BA96" i="5"/>
  <c r="AY96" i="5"/>
  <c r="BE96" i="5"/>
  <c r="CC92" i="5"/>
  <c r="CE92" i="5" s="1"/>
  <c r="CB93" i="5"/>
  <c r="AU93" i="5"/>
  <c r="AW92" i="5"/>
  <c r="CA96" i="5"/>
  <c r="CA97" i="5" s="1"/>
  <c r="BZ97" i="5"/>
  <c r="AV92" i="5"/>
  <c r="AV93" i="5" s="1"/>
  <c r="AV94" i="5" s="1"/>
  <c r="AV95" i="5" s="1"/>
  <c r="AV96" i="5" s="1"/>
  <c r="AA69" i="4"/>
  <c r="AT68" i="4" s="1"/>
  <c r="AW68" i="4" s="1"/>
  <c r="BR91" i="5"/>
  <c r="BS91" i="5" s="1"/>
  <c r="BW91" i="5" s="1"/>
  <c r="E92" i="5" s="1"/>
  <c r="Q92" i="5" s="1"/>
  <c r="BN92" i="5"/>
  <c r="BN93" i="5" s="1"/>
  <c r="BN94" i="5" s="1"/>
  <c r="BN95" i="5" s="1"/>
  <c r="BN96" i="5" s="1"/>
  <c r="AG66" i="4"/>
  <c r="AC67" i="4"/>
  <c r="AC68" i="4" s="1"/>
  <c r="AC69" i="4" s="1"/>
  <c r="AC70" i="4" s="1"/>
  <c r="BQ96" i="5"/>
  <c r="BK97" i="5" s="1"/>
  <c r="BL94" i="5"/>
  <c r="BT93" i="5" s="1"/>
  <c r="AQ69" i="4"/>
  <c r="AD69" i="4"/>
  <c r="Z70" i="4"/>
  <c r="CO95" i="5"/>
  <c r="CW94" i="5" s="1"/>
  <c r="CQ42" i="4"/>
  <c r="G61" i="4" s="1"/>
  <c r="AB68" i="4"/>
  <c r="AF70" i="4"/>
  <c r="CE70" i="4"/>
  <c r="AU70" i="4"/>
  <c r="BN70" i="4"/>
  <c r="Y70" i="4"/>
  <c r="BU96" i="5"/>
  <c r="AK96" i="5"/>
  <c r="AO96" i="5"/>
  <c r="AI96" i="5"/>
  <c r="CJ42" i="4"/>
  <c r="CF43" i="4" s="1"/>
  <c r="BV43" i="4"/>
  <c r="BX43" i="4" s="1"/>
  <c r="F91" i="5"/>
  <c r="R91" i="5" s="1"/>
  <c r="BM65" i="4"/>
  <c r="BO65" i="4" s="1"/>
  <c r="BL66" i="4"/>
  <c r="BM66" i="4" s="1"/>
  <c r="BO66" i="4" s="1"/>
  <c r="CN42" i="4"/>
  <c r="F61" i="4" s="1"/>
  <c r="BK66" i="4"/>
  <c r="CD65" i="4" s="1"/>
  <c r="DG94" i="5"/>
  <c r="DI94" i="5" s="1"/>
  <c r="DJ94" i="5" s="1"/>
  <c r="AD99" i="5"/>
  <c r="AC100" i="5"/>
  <c r="BJ100" i="5"/>
  <c r="DF95" i="5"/>
  <c r="DG95" i="5" s="1"/>
  <c r="DI95" i="5" s="1"/>
  <c r="DJ95" i="5" s="1"/>
  <c r="DA68" i="4"/>
  <c r="J88" i="4"/>
  <c r="J95" i="5"/>
  <c r="V95" i="5" s="1"/>
  <c r="CV70" i="4"/>
  <c r="CT70" i="4"/>
  <c r="CZ69" i="4" s="1"/>
  <c r="CW69" i="4"/>
  <c r="CA69" i="4"/>
  <c r="CY70" i="4"/>
  <c r="CS71" i="4" s="1"/>
  <c r="BP70" i="4"/>
  <c r="BI70" i="4"/>
  <c r="X70" i="4"/>
  <c r="K89" i="4" s="1"/>
  <c r="DL96" i="5"/>
  <c r="DZ96" i="5"/>
  <c r="EB93" i="5"/>
  <c r="I94" i="5" s="1"/>
  <c r="U94" i="5" s="1"/>
  <c r="DN92" i="5"/>
  <c r="H93" i="5" s="1"/>
  <c r="T93" i="5" s="1"/>
  <c r="DN93" i="5"/>
  <c r="H94" i="5" s="1"/>
  <c r="T94" i="5" s="1"/>
  <c r="CX96" i="5"/>
  <c r="CY93" i="5"/>
  <c r="CZ93" i="5"/>
  <c r="G94" i="5" s="1"/>
  <c r="S94" i="5" s="1"/>
  <c r="DC95" i="5"/>
  <c r="DK94" i="5" s="1"/>
  <c r="DM94" i="5" s="1"/>
  <c r="N96" i="5"/>
  <c r="DH66" i="4"/>
  <c r="I85" i="4" s="1"/>
  <c r="DQ95" i="5"/>
  <c r="DY94" i="5" s="1"/>
  <c r="EA94" i="5" s="1"/>
  <c r="DT95" i="5"/>
  <c r="DU95" i="5" s="1"/>
  <c r="DW95" i="5" s="1"/>
  <c r="DX95" i="5" s="1"/>
  <c r="CR95" i="5"/>
  <c r="CS95" i="5" s="1"/>
  <c r="DE96" i="5"/>
  <c r="DB96" i="5"/>
  <c r="DD96" i="5"/>
  <c r="CQ96" i="5"/>
  <c r="CN96" i="5"/>
  <c r="CP96" i="5"/>
  <c r="DS96" i="5"/>
  <c r="DR96" i="5"/>
  <c r="DP96" i="5"/>
  <c r="B97" i="5"/>
  <c r="AA97" i="5"/>
  <c r="CT96" i="5"/>
  <c r="DV96" i="5"/>
  <c r="DH96" i="5"/>
  <c r="BY96" i="5"/>
  <c r="AB96" i="5"/>
  <c r="K97" i="5" s="1"/>
  <c r="W97" i="5" s="1"/>
  <c r="DW94" i="5"/>
  <c r="DX94" i="5" s="1"/>
  <c r="CU94" i="5"/>
  <c r="CV94" i="5" s="1"/>
  <c r="DG67" i="4"/>
  <c r="DB67" i="4"/>
  <c r="DC67" i="4" s="1"/>
  <c r="CX68" i="4"/>
  <c r="DF68" i="4" s="1"/>
  <c r="CU70" i="4"/>
  <c r="W71" i="4"/>
  <c r="C89" i="4"/>
  <c r="BB93" i="5" l="1"/>
  <c r="AU94" i="5"/>
  <c r="BO97" i="5"/>
  <c r="CF97" i="5"/>
  <c r="CI97" i="5" s="1"/>
  <c r="CJ97" i="5"/>
  <c r="CD97" i="5"/>
  <c r="BA97" i="5"/>
  <c r="BE97" i="5"/>
  <c r="AY97" i="5"/>
  <c r="AA70" i="4"/>
  <c r="AT69" i="4" s="1"/>
  <c r="AW69" i="4" s="1"/>
  <c r="AV97" i="5"/>
  <c r="CC93" i="5"/>
  <c r="CE93" i="5" s="1"/>
  <c r="CB94" i="5"/>
  <c r="CK96" i="5"/>
  <c r="CG92" i="5"/>
  <c r="CH92" i="5" s="1"/>
  <c r="CL92" i="5" s="1"/>
  <c r="CA98" i="5"/>
  <c r="AX92" i="5"/>
  <c r="AZ92" i="5" s="1"/>
  <c r="AW93" i="5"/>
  <c r="BN97" i="5"/>
  <c r="AC71" i="4"/>
  <c r="AE67" i="4"/>
  <c r="AG67" i="4" s="1"/>
  <c r="BQ97" i="5"/>
  <c r="BK98" i="5" s="1"/>
  <c r="BL95" i="5"/>
  <c r="BT94" i="5" s="1"/>
  <c r="CO96" i="5"/>
  <c r="CW95" i="5" s="1"/>
  <c r="AQ70" i="4"/>
  <c r="AD70" i="4"/>
  <c r="E12" i="5"/>
  <c r="E28" i="5" s="1"/>
  <c r="AE68" i="4"/>
  <c r="AG68" i="4" s="1"/>
  <c r="AB69" i="4"/>
  <c r="AF71" i="4"/>
  <c r="AU71" i="4"/>
  <c r="CE71" i="4"/>
  <c r="BN71" i="4"/>
  <c r="Y71" i="4"/>
  <c r="Z71" i="4"/>
  <c r="BM92" i="5"/>
  <c r="CK43" i="4"/>
  <c r="CL43" i="4" s="1"/>
  <c r="CM43" i="4" s="1"/>
  <c r="BU97" i="5"/>
  <c r="AK97" i="5"/>
  <c r="AO97" i="5"/>
  <c r="AI97" i="5"/>
  <c r="BY43" i="4"/>
  <c r="CO43" i="4" s="1"/>
  <c r="F92" i="5"/>
  <c r="R92" i="5" s="1"/>
  <c r="CC55" i="4"/>
  <c r="BZ55" i="4"/>
  <c r="CB55" i="4" s="1"/>
  <c r="CG43" i="4"/>
  <c r="BJ67" i="4"/>
  <c r="AD100" i="5"/>
  <c r="AC101" i="5"/>
  <c r="BJ101" i="5"/>
  <c r="DF96" i="5"/>
  <c r="DG96" i="5" s="1"/>
  <c r="DA69" i="4"/>
  <c r="J89" i="4"/>
  <c r="J96" i="5"/>
  <c r="V96" i="5" s="1"/>
  <c r="CT71" i="4"/>
  <c r="CZ70" i="4" s="1"/>
  <c r="CW70" i="4"/>
  <c r="CA70" i="4"/>
  <c r="CV71" i="4"/>
  <c r="CY71" i="4"/>
  <c r="CS72" i="4" s="1"/>
  <c r="BP71" i="4"/>
  <c r="BI71" i="4"/>
  <c r="X71" i="4"/>
  <c r="K90" i="4" s="1"/>
  <c r="DL97" i="5"/>
  <c r="DZ97" i="5"/>
  <c r="EB95" i="5"/>
  <c r="I96" i="5" s="1"/>
  <c r="U96" i="5" s="1"/>
  <c r="EB94" i="5"/>
  <c r="I95" i="5" s="1"/>
  <c r="U95" i="5" s="1"/>
  <c r="DN95" i="5"/>
  <c r="H96" i="5" s="1"/>
  <c r="T96" i="5" s="1"/>
  <c r="DN94" i="5"/>
  <c r="H95" i="5" s="1"/>
  <c r="T95" i="5" s="1"/>
  <c r="CY94" i="5"/>
  <c r="CZ94" i="5"/>
  <c r="G95" i="5" s="1"/>
  <c r="S95" i="5" s="1"/>
  <c r="CX97" i="5"/>
  <c r="DC96" i="5"/>
  <c r="DK95" i="5" s="1"/>
  <c r="DM95" i="5" s="1"/>
  <c r="N97" i="5"/>
  <c r="DD67" i="4"/>
  <c r="DQ96" i="5"/>
  <c r="DY95" i="5" s="1"/>
  <c r="EA95" i="5" s="1"/>
  <c r="CU95" i="5"/>
  <c r="CV95" i="5" s="1"/>
  <c r="DS97" i="5"/>
  <c r="DR97" i="5"/>
  <c r="DP97" i="5"/>
  <c r="CQ97" i="5"/>
  <c r="CN97" i="5"/>
  <c r="CP97" i="5"/>
  <c r="DT96" i="5"/>
  <c r="DU96" i="5" s="1"/>
  <c r="CR96" i="5"/>
  <c r="CS96" i="5" s="1"/>
  <c r="B98" i="5"/>
  <c r="CT97" i="5"/>
  <c r="DH97" i="5"/>
  <c r="AA98" i="5"/>
  <c r="DV97" i="5"/>
  <c r="BY97" i="5"/>
  <c r="AB97" i="5"/>
  <c r="K98" i="5" s="1"/>
  <c r="W98" i="5" s="1"/>
  <c r="DE97" i="5"/>
  <c r="DB97" i="5"/>
  <c r="DD97" i="5"/>
  <c r="DG68" i="4"/>
  <c r="DB68" i="4"/>
  <c r="DC68" i="4" s="1"/>
  <c r="CX69" i="4"/>
  <c r="DF69" i="4" s="1"/>
  <c r="W72" i="4"/>
  <c r="C90" i="4"/>
  <c r="CU71" i="4"/>
  <c r="AA71" i="4" l="1"/>
  <c r="AT70" i="4" s="1"/>
  <c r="BZ98" i="5"/>
  <c r="CK97" i="5"/>
  <c r="BB94" i="5"/>
  <c r="AU95" i="5"/>
  <c r="BO98" i="5"/>
  <c r="CF98" i="5"/>
  <c r="CD98" i="5"/>
  <c r="CJ98" i="5"/>
  <c r="BA98" i="5"/>
  <c r="AY98" i="5"/>
  <c r="BE98" i="5"/>
  <c r="CC94" i="5"/>
  <c r="CE94" i="5" s="1"/>
  <c r="CB95" i="5"/>
  <c r="AX93" i="5"/>
  <c r="AZ93" i="5" s="1"/>
  <c r="AW94" i="5"/>
  <c r="CG93" i="5"/>
  <c r="CH93" i="5" s="1"/>
  <c r="CL93" i="5" s="1"/>
  <c r="BB92" i="5"/>
  <c r="BC92" i="5" s="1"/>
  <c r="BG92" i="5" s="1"/>
  <c r="D93" i="5" s="1"/>
  <c r="P93" i="5" s="1"/>
  <c r="BD92" i="5"/>
  <c r="BF92" i="5" s="1"/>
  <c r="AV98" i="5"/>
  <c r="AV99" i="5" s="1"/>
  <c r="AC72" i="4"/>
  <c r="BN98" i="5"/>
  <c r="BQ98" i="5"/>
  <c r="BK99" i="5" s="1"/>
  <c r="BL96" i="5"/>
  <c r="BT95" i="5" s="1"/>
  <c r="CO97" i="5"/>
  <c r="CW96" i="5" s="1"/>
  <c r="AQ71" i="4"/>
  <c r="AD71" i="4"/>
  <c r="AW70" i="4"/>
  <c r="Z72" i="4"/>
  <c r="AE69" i="4"/>
  <c r="AG69" i="4" s="1"/>
  <c r="AB70" i="4"/>
  <c r="AA72" i="4"/>
  <c r="AT71" i="4" s="1"/>
  <c r="CE72" i="4"/>
  <c r="AU72" i="4"/>
  <c r="AF72" i="4"/>
  <c r="BN72" i="4"/>
  <c r="Y72" i="4"/>
  <c r="BM93" i="5"/>
  <c r="BV91" i="5"/>
  <c r="J90" i="4"/>
  <c r="CP43" i="4"/>
  <c r="CQ43" i="4" s="1"/>
  <c r="G62" i="4" s="1"/>
  <c r="AK98" i="5"/>
  <c r="AO98" i="5"/>
  <c r="BU98" i="5"/>
  <c r="AI98" i="5"/>
  <c r="CH43" i="4"/>
  <c r="CI43" i="4" s="1"/>
  <c r="CJ43" i="4" s="1"/>
  <c r="CF44" i="4" s="1"/>
  <c r="BK67" i="4"/>
  <c r="CD66" i="4" s="1"/>
  <c r="BJ68" i="4"/>
  <c r="BJ69" i="4" s="1"/>
  <c r="BJ70" i="4" s="1"/>
  <c r="BJ71" i="4" s="1"/>
  <c r="BJ72" i="4" s="1"/>
  <c r="CN43" i="4"/>
  <c r="F62" i="4" s="1"/>
  <c r="AD101" i="5"/>
  <c r="AC102" i="5"/>
  <c r="BJ102" i="5"/>
  <c r="DT97" i="5"/>
  <c r="DU97" i="5" s="1"/>
  <c r="DA70" i="4"/>
  <c r="J97" i="5"/>
  <c r="V97" i="5" s="1"/>
  <c r="CV72" i="4"/>
  <c r="CW71" i="4"/>
  <c r="CA71" i="4"/>
  <c r="CT72" i="4"/>
  <c r="CZ71" i="4" s="1"/>
  <c r="CY72" i="4"/>
  <c r="CS73" i="4" s="1"/>
  <c r="BP72" i="4"/>
  <c r="BI72" i="4"/>
  <c r="X72" i="4"/>
  <c r="K91" i="4" s="1"/>
  <c r="DL98" i="5"/>
  <c r="DZ98" i="5"/>
  <c r="CY95" i="5"/>
  <c r="CZ95" i="5"/>
  <c r="G96" i="5" s="1"/>
  <c r="S96" i="5" s="1"/>
  <c r="CX98" i="5"/>
  <c r="DC97" i="5"/>
  <c r="DK96" i="5" s="1"/>
  <c r="DM96" i="5" s="1"/>
  <c r="N98" i="5"/>
  <c r="DE67" i="4"/>
  <c r="H86" i="4" s="1"/>
  <c r="DH67" i="4"/>
  <c r="I86" i="4" s="1"/>
  <c r="DD68" i="4"/>
  <c r="DQ97" i="5"/>
  <c r="DY96" i="5" s="1"/>
  <c r="EA96" i="5" s="1"/>
  <c r="DF97" i="5"/>
  <c r="DG97" i="5" s="1"/>
  <c r="CR97" i="5"/>
  <c r="CS97" i="5" s="1"/>
  <c r="DW96" i="5"/>
  <c r="DX96" i="5" s="1"/>
  <c r="EB96" i="5" s="1"/>
  <c r="CU96" i="5"/>
  <c r="CV96" i="5" s="1"/>
  <c r="DP98" i="5"/>
  <c r="DR98" i="5"/>
  <c r="DS98" i="5"/>
  <c r="B99" i="5"/>
  <c r="AA99" i="5"/>
  <c r="DH98" i="5"/>
  <c r="BY98" i="5"/>
  <c r="CT98" i="5"/>
  <c r="DV98" i="5"/>
  <c r="AB98" i="5"/>
  <c r="K99" i="5" s="1"/>
  <c r="W99" i="5" s="1"/>
  <c r="DI96" i="5"/>
  <c r="DJ96" i="5" s="1"/>
  <c r="DB98" i="5"/>
  <c r="DE98" i="5"/>
  <c r="DD98" i="5"/>
  <c r="CN98" i="5"/>
  <c r="CP98" i="5"/>
  <c r="CQ98" i="5"/>
  <c r="DG69" i="4"/>
  <c r="DB69" i="4"/>
  <c r="DC69" i="4" s="1"/>
  <c r="CX70" i="4"/>
  <c r="DF70" i="4" s="1"/>
  <c r="CU72" i="4"/>
  <c r="W73" i="4"/>
  <c r="C91" i="4"/>
  <c r="CA99" i="5" l="1"/>
  <c r="CI98" i="5"/>
  <c r="CK98" i="5" s="1"/>
  <c r="BB95" i="5"/>
  <c r="AU96" i="5"/>
  <c r="AX94" i="5"/>
  <c r="AZ94" i="5" s="1"/>
  <c r="AW95" i="5"/>
  <c r="BZ99" i="5"/>
  <c r="BD93" i="5"/>
  <c r="BF93" i="5" s="1"/>
  <c r="BC93" i="5"/>
  <c r="BG93" i="5" s="1"/>
  <c r="D94" i="5" s="1"/>
  <c r="P94" i="5" s="1"/>
  <c r="BO99" i="5"/>
  <c r="CD99" i="5"/>
  <c r="CJ99" i="5"/>
  <c r="CF99" i="5"/>
  <c r="CI99" i="5" s="1"/>
  <c r="BE99" i="5"/>
  <c r="AY99" i="5"/>
  <c r="BA99" i="5"/>
  <c r="CC95" i="5"/>
  <c r="CE95" i="5" s="1"/>
  <c r="CB96" i="5"/>
  <c r="CG94" i="5"/>
  <c r="CH94" i="5" s="1"/>
  <c r="CL94" i="5" s="1"/>
  <c r="BN99" i="5"/>
  <c r="AC73" i="4"/>
  <c r="BP92" i="5"/>
  <c r="BR92" i="5" s="1"/>
  <c r="BS92" i="5" s="1"/>
  <c r="BW92" i="5" s="1"/>
  <c r="E93" i="5" s="1"/>
  <c r="Q93" i="5" s="1"/>
  <c r="CO98" i="5"/>
  <c r="CW97" i="5" s="1"/>
  <c r="BQ99" i="5"/>
  <c r="BK100" i="5" s="1"/>
  <c r="BL97" i="5"/>
  <c r="BT96" i="5" s="1"/>
  <c r="AQ72" i="4"/>
  <c r="AD72" i="4"/>
  <c r="AW71" i="4"/>
  <c r="AF73" i="4"/>
  <c r="CE73" i="4"/>
  <c r="AU73" i="4"/>
  <c r="BN73" i="4"/>
  <c r="Y73" i="4"/>
  <c r="AA73" i="4"/>
  <c r="AT72" i="4" s="1"/>
  <c r="AE70" i="4"/>
  <c r="AG70" i="4" s="1"/>
  <c r="AB71" i="4"/>
  <c r="J91" i="4"/>
  <c r="Z73" i="4"/>
  <c r="BV92" i="5"/>
  <c r="BM94" i="5"/>
  <c r="BU99" i="5"/>
  <c r="AO99" i="5"/>
  <c r="AK99" i="5"/>
  <c r="AI99" i="5"/>
  <c r="BR44" i="4"/>
  <c r="BS56" i="4" s="1"/>
  <c r="BT68" i="4" s="1"/>
  <c r="BU80" i="4" s="1"/>
  <c r="BK68" i="4"/>
  <c r="F93" i="5"/>
  <c r="R93" i="5" s="1"/>
  <c r="CG44" i="4"/>
  <c r="CH44" i="4" s="1"/>
  <c r="CI44" i="4" s="1"/>
  <c r="CJ44" i="4" s="1"/>
  <c r="CF45" i="4" s="1"/>
  <c r="AD102" i="5"/>
  <c r="AC103" i="5"/>
  <c r="BJ103" i="5"/>
  <c r="DT98" i="5"/>
  <c r="DU98" i="5" s="1"/>
  <c r="DA71" i="4"/>
  <c r="J98" i="5"/>
  <c r="V98" i="5" s="1"/>
  <c r="BJ73" i="4"/>
  <c r="CT73" i="4"/>
  <c r="BP73" i="4"/>
  <c r="CY73" i="4"/>
  <c r="CS74" i="4" s="1"/>
  <c r="BI73" i="4"/>
  <c r="X73" i="4"/>
  <c r="K92" i="4" s="1"/>
  <c r="CW72" i="4"/>
  <c r="CA72" i="4"/>
  <c r="CV73" i="4"/>
  <c r="DL99" i="5"/>
  <c r="DZ99" i="5"/>
  <c r="I97" i="5"/>
  <c r="U97" i="5" s="1"/>
  <c r="DN96" i="5"/>
  <c r="H97" i="5" s="1"/>
  <c r="T97" i="5" s="1"/>
  <c r="CX99" i="5"/>
  <c r="CY96" i="5"/>
  <c r="CZ96" i="5"/>
  <c r="G97" i="5" s="1"/>
  <c r="S97" i="5" s="1"/>
  <c r="DC98" i="5"/>
  <c r="DK97" i="5" s="1"/>
  <c r="DM97" i="5" s="1"/>
  <c r="N99" i="5"/>
  <c r="DH68" i="4"/>
  <c r="DE68" i="4"/>
  <c r="H87" i="4" s="1"/>
  <c r="DD69" i="4"/>
  <c r="DQ98" i="5"/>
  <c r="DY97" i="5" s="1"/>
  <c r="EA97" i="5" s="1"/>
  <c r="CQ99" i="5"/>
  <c r="CP99" i="5"/>
  <c r="CN99" i="5"/>
  <c r="DF98" i="5"/>
  <c r="DG98" i="5" s="1"/>
  <c r="B100" i="5"/>
  <c r="DV99" i="5"/>
  <c r="AA100" i="5"/>
  <c r="BY99" i="5"/>
  <c r="DH99" i="5"/>
  <c r="CT99" i="5"/>
  <c r="AB99" i="5"/>
  <c r="K100" i="5" s="1"/>
  <c r="W100" i="5" s="1"/>
  <c r="DI97" i="5"/>
  <c r="DJ97" i="5" s="1"/>
  <c r="CU97" i="5"/>
  <c r="CV97" i="5" s="1"/>
  <c r="DD99" i="5"/>
  <c r="DB99" i="5"/>
  <c r="DE99" i="5"/>
  <c r="DW97" i="5"/>
  <c r="DX97" i="5" s="1"/>
  <c r="DP99" i="5"/>
  <c r="DR99" i="5"/>
  <c r="DS99" i="5"/>
  <c r="CR98" i="5"/>
  <c r="CS98" i="5" s="1"/>
  <c r="DG70" i="4"/>
  <c r="DB70" i="4"/>
  <c r="DC70" i="4" s="1"/>
  <c r="CX71" i="4"/>
  <c r="DF71" i="4" s="1"/>
  <c r="W74" i="4"/>
  <c r="C92" i="4"/>
  <c r="CU73" i="4"/>
  <c r="I87" i="4" l="1"/>
  <c r="I17" i="4"/>
  <c r="CK99" i="5"/>
  <c r="CC96" i="5"/>
  <c r="CE96" i="5" s="1"/>
  <c r="CB97" i="5"/>
  <c r="CG95" i="5"/>
  <c r="CH95" i="5" s="1"/>
  <c r="CL95" i="5" s="1"/>
  <c r="AX95" i="5"/>
  <c r="AZ95" i="5" s="1"/>
  <c r="AW96" i="5"/>
  <c r="BD94" i="5"/>
  <c r="BF94" i="5" s="1"/>
  <c r="BC94" i="5"/>
  <c r="BG94" i="5" s="1"/>
  <c r="D95" i="5" s="1"/>
  <c r="P95" i="5" s="1"/>
  <c r="BO100" i="5"/>
  <c r="CF100" i="5"/>
  <c r="CI100" i="5" s="1"/>
  <c r="CD100" i="5"/>
  <c r="BA100" i="5"/>
  <c r="AY100" i="5"/>
  <c r="CJ100" i="5"/>
  <c r="BE100" i="5"/>
  <c r="BB96" i="5"/>
  <c r="AU97" i="5"/>
  <c r="AV100" i="5"/>
  <c r="BZ100" i="5"/>
  <c r="BZ101" i="5" s="1"/>
  <c r="CA100" i="5"/>
  <c r="CA101" i="5" s="1"/>
  <c r="CO99" i="5"/>
  <c r="CW98" i="5" s="1"/>
  <c r="AC74" i="4"/>
  <c r="BN100" i="5"/>
  <c r="BP93" i="5"/>
  <c r="BR93" i="5" s="1"/>
  <c r="BS93" i="5" s="1"/>
  <c r="BW93" i="5" s="1"/>
  <c r="E94" i="5" s="1"/>
  <c r="Q94" i="5" s="1"/>
  <c r="BQ100" i="5"/>
  <c r="BK101" i="5" s="1"/>
  <c r="BL98" i="5"/>
  <c r="BT97" i="5" s="1"/>
  <c r="AQ73" i="4"/>
  <c r="AD73" i="4"/>
  <c r="Z74" i="4"/>
  <c r="J92" i="4"/>
  <c r="AU74" i="4"/>
  <c r="CE74" i="4"/>
  <c r="AF74" i="4"/>
  <c r="BN74" i="4"/>
  <c r="Y74" i="4"/>
  <c r="AA74" i="4"/>
  <c r="AT73" i="4" s="1"/>
  <c r="AE71" i="4"/>
  <c r="AG71" i="4" s="1"/>
  <c r="AB72" i="4"/>
  <c r="BM95" i="5"/>
  <c r="BV93" i="5"/>
  <c r="BK69" i="4"/>
  <c r="CD67" i="4"/>
  <c r="BV44" i="4"/>
  <c r="BX44" i="4" s="1"/>
  <c r="BY44" i="4" s="1"/>
  <c r="CO44" i="4" s="1"/>
  <c r="BU100" i="5"/>
  <c r="AK100" i="5"/>
  <c r="AO100" i="5"/>
  <c r="AI100" i="5"/>
  <c r="CC56" i="4"/>
  <c r="CG45" i="4"/>
  <c r="CH45" i="4" s="1"/>
  <c r="CI45" i="4" s="1"/>
  <c r="CJ45" i="4" s="1"/>
  <c r="CF46" i="4" s="1"/>
  <c r="F94" i="5"/>
  <c r="R94" i="5" s="1"/>
  <c r="BR45" i="4"/>
  <c r="BS57" i="4" s="1"/>
  <c r="BT69" i="4" s="1"/>
  <c r="BU81" i="4" s="1"/>
  <c r="AD103" i="5"/>
  <c r="AC104" i="5"/>
  <c r="BJ104" i="5"/>
  <c r="DF99" i="5"/>
  <c r="DG99" i="5" s="1"/>
  <c r="BJ74" i="4"/>
  <c r="J99" i="5"/>
  <c r="V99" i="5" s="1"/>
  <c r="CT74" i="4"/>
  <c r="CZ73" i="4" s="1"/>
  <c r="BP74" i="4"/>
  <c r="CY74" i="4"/>
  <c r="CS75" i="4" s="1"/>
  <c r="BI74" i="4"/>
  <c r="X74" i="4"/>
  <c r="K93" i="4" s="1"/>
  <c r="CW73" i="4"/>
  <c r="CX73" i="4" s="1"/>
  <c r="DF73" i="4" s="1"/>
  <c r="CA73" i="4"/>
  <c r="CZ72" i="4"/>
  <c r="DA72" i="4" s="1"/>
  <c r="CV74" i="4"/>
  <c r="DL100" i="5"/>
  <c r="DZ100" i="5"/>
  <c r="EB97" i="5"/>
  <c r="I98" i="5" s="1"/>
  <c r="U98" i="5" s="1"/>
  <c r="DC99" i="5"/>
  <c r="DK98" i="5" s="1"/>
  <c r="DM98" i="5" s="1"/>
  <c r="DN97" i="5"/>
  <c r="H98" i="5" s="1"/>
  <c r="T98" i="5" s="1"/>
  <c r="CX100" i="5"/>
  <c r="CZ97" i="5"/>
  <c r="G98" i="5" s="1"/>
  <c r="S98" i="5" s="1"/>
  <c r="CY97" i="5"/>
  <c r="N100" i="5"/>
  <c r="DE69" i="4"/>
  <c r="H88" i="4" s="1"/>
  <c r="DH69" i="4"/>
  <c r="I88" i="4" s="1"/>
  <c r="DQ99" i="5"/>
  <c r="DY98" i="5" s="1"/>
  <c r="EA98" i="5" s="1"/>
  <c r="CU98" i="5"/>
  <c r="CV98" i="5" s="1"/>
  <c r="CR99" i="5"/>
  <c r="CS99" i="5" s="1"/>
  <c r="DW98" i="5"/>
  <c r="DX98" i="5" s="1"/>
  <c r="CQ100" i="5"/>
  <c r="CP100" i="5"/>
  <c r="CN100" i="5"/>
  <c r="DT99" i="5"/>
  <c r="DU99" i="5" s="1"/>
  <c r="DH100" i="5"/>
  <c r="BY100" i="5"/>
  <c r="DV100" i="5"/>
  <c r="CT100" i="5"/>
  <c r="AA101" i="5"/>
  <c r="B101" i="5"/>
  <c r="AB100" i="5"/>
  <c r="K101" i="5" s="1"/>
  <c r="W101" i="5" s="1"/>
  <c r="DI98" i="5"/>
  <c r="DJ98" i="5" s="1"/>
  <c r="DD100" i="5"/>
  <c r="DE100" i="5"/>
  <c r="DB100" i="5"/>
  <c r="DS100" i="5"/>
  <c r="DR100" i="5"/>
  <c r="DP100" i="5"/>
  <c r="DG71" i="4"/>
  <c r="DB71" i="4"/>
  <c r="DC71" i="4" s="1"/>
  <c r="DD70" i="4"/>
  <c r="DH70" i="4" s="1"/>
  <c r="I89" i="4" s="1"/>
  <c r="CX72" i="4"/>
  <c r="DF72" i="4" s="1"/>
  <c r="W75" i="4"/>
  <c r="C93" i="4"/>
  <c r="CU74" i="4"/>
  <c r="AV101" i="5" l="1"/>
  <c r="CK100" i="5"/>
  <c r="CO100" i="5"/>
  <c r="CW99" i="5" s="1"/>
  <c r="AX96" i="5"/>
  <c r="AZ96" i="5" s="1"/>
  <c r="AW97" i="5"/>
  <c r="BB97" i="5"/>
  <c r="AU98" i="5"/>
  <c r="BD95" i="5"/>
  <c r="BF95" i="5" s="1"/>
  <c r="BC95" i="5"/>
  <c r="BG95" i="5" s="1"/>
  <c r="D96" i="5" s="1"/>
  <c r="P96" i="5" s="1"/>
  <c r="BO101" i="5"/>
  <c r="CF101" i="5"/>
  <c r="CI101" i="5" s="1"/>
  <c r="CD101" i="5"/>
  <c r="CJ101" i="5"/>
  <c r="BE101" i="5"/>
  <c r="BA101" i="5"/>
  <c r="AY101" i="5"/>
  <c r="CC97" i="5"/>
  <c r="CE97" i="5" s="1"/>
  <c r="CB98" i="5"/>
  <c r="CG96" i="5"/>
  <c r="CH96" i="5" s="1"/>
  <c r="CL96" i="5" s="1"/>
  <c r="BN101" i="5"/>
  <c r="AC75" i="4"/>
  <c r="BP94" i="5"/>
  <c r="BR94" i="5" s="1"/>
  <c r="BQ101" i="5"/>
  <c r="BK102" i="5" s="1"/>
  <c r="BL99" i="5"/>
  <c r="BT98" i="5" s="1"/>
  <c r="AQ74" i="4"/>
  <c r="AD74" i="4"/>
  <c r="Z75" i="4"/>
  <c r="J93" i="4"/>
  <c r="AE72" i="4"/>
  <c r="AG72" i="4" s="1"/>
  <c r="AB73" i="4"/>
  <c r="AW73" i="4"/>
  <c r="AA75" i="4"/>
  <c r="AT74" i="4" s="1"/>
  <c r="AF75" i="4"/>
  <c r="CE75" i="4"/>
  <c r="AU75" i="4"/>
  <c r="Y75" i="4"/>
  <c r="BN75" i="4"/>
  <c r="CK44" i="4"/>
  <c r="CL44" i="4" s="1"/>
  <c r="CM44" i="4" s="1"/>
  <c r="CN44" i="4" s="1"/>
  <c r="F63" i="4" s="1"/>
  <c r="BV94" i="5"/>
  <c r="BM96" i="5"/>
  <c r="BK70" i="4"/>
  <c r="CD68" i="4"/>
  <c r="BZ56" i="4"/>
  <c r="CB56" i="4" s="1"/>
  <c r="BU101" i="5"/>
  <c r="AK101" i="5"/>
  <c r="AO101" i="5"/>
  <c r="AI101" i="5"/>
  <c r="CG46" i="4"/>
  <c r="F95" i="5"/>
  <c r="R95" i="5" s="1"/>
  <c r="BR46" i="4"/>
  <c r="BS58" i="4" s="1"/>
  <c r="BT70" i="4" s="1"/>
  <c r="BU82" i="4" s="1"/>
  <c r="BV45" i="4"/>
  <c r="BX45" i="4" s="1"/>
  <c r="AD104" i="5"/>
  <c r="AC105" i="5"/>
  <c r="BJ105" i="5"/>
  <c r="DT100" i="5"/>
  <c r="DU100" i="5" s="1"/>
  <c r="DW100" i="5" s="1"/>
  <c r="DX100" i="5" s="1"/>
  <c r="BJ75" i="4"/>
  <c r="DA73" i="4"/>
  <c r="J100" i="5"/>
  <c r="V100" i="5" s="1"/>
  <c r="CT75" i="4"/>
  <c r="CZ74" i="4" s="1"/>
  <c r="BP75" i="4"/>
  <c r="CY75" i="4"/>
  <c r="CS76" i="4" s="1"/>
  <c r="BI75" i="4"/>
  <c r="X75" i="4"/>
  <c r="K94" i="4" s="1"/>
  <c r="CW74" i="4"/>
  <c r="CX74" i="4" s="1"/>
  <c r="DF74" i="4" s="1"/>
  <c r="CA74" i="4"/>
  <c r="CV75" i="4"/>
  <c r="DC100" i="5"/>
  <c r="DK99" i="5" s="1"/>
  <c r="DM99" i="5" s="1"/>
  <c r="DL101" i="5"/>
  <c r="DZ101" i="5"/>
  <c r="EB98" i="5"/>
  <c r="I99" i="5" s="1"/>
  <c r="U99" i="5" s="1"/>
  <c r="DN98" i="5"/>
  <c r="H99" i="5" s="1"/>
  <c r="T99" i="5" s="1"/>
  <c r="CY98" i="5"/>
  <c r="CZ98" i="5"/>
  <c r="G99" i="5" s="1"/>
  <c r="S99" i="5" s="1"/>
  <c r="CX101" i="5"/>
  <c r="N101" i="5"/>
  <c r="DQ100" i="5"/>
  <c r="DY99" i="5" s="1"/>
  <c r="EA99" i="5" s="1"/>
  <c r="DF100" i="5"/>
  <c r="DG100" i="5" s="1"/>
  <c r="CR100" i="5"/>
  <c r="CS100" i="5" s="1"/>
  <c r="DW99" i="5"/>
  <c r="DX99" i="5" s="1"/>
  <c r="DB101" i="5"/>
  <c r="DE101" i="5"/>
  <c r="DD101" i="5"/>
  <c r="B102" i="5"/>
  <c r="AA102" i="5"/>
  <c r="DV101" i="5"/>
  <c r="BY101" i="5"/>
  <c r="DH101" i="5"/>
  <c r="CT101" i="5"/>
  <c r="AB101" i="5"/>
  <c r="K102" i="5" s="1"/>
  <c r="W102" i="5" s="1"/>
  <c r="DI99" i="5"/>
  <c r="DJ99" i="5" s="1"/>
  <c r="DN99" i="5" s="1"/>
  <c r="CQ101" i="5"/>
  <c r="CP101" i="5"/>
  <c r="CN101" i="5"/>
  <c r="DS101" i="5"/>
  <c r="DP101" i="5"/>
  <c r="DR101" i="5"/>
  <c r="CU99" i="5"/>
  <c r="CV99" i="5" s="1"/>
  <c r="DE70" i="4"/>
  <c r="H89" i="4" s="1"/>
  <c r="DG73" i="4"/>
  <c r="DG72" i="4"/>
  <c r="DB72" i="4"/>
  <c r="DC72" i="4" s="1"/>
  <c r="DD71" i="4"/>
  <c r="DE71" i="4" s="1"/>
  <c r="H90" i="4" s="1"/>
  <c r="DB73" i="4"/>
  <c r="DC73" i="4" s="1"/>
  <c r="W76" i="4"/>
  <c r="C94" i="4"/>
  <c r="CU75" i="4"/>
  <c r="CO101" i="5" l="1"/>
  <c r="CW100" i="5" s="1"/>
  <c r="CC98" i="5"/>
  <c r="CE98" i="5" s="1"/>
  <c r="CB99" i="5"/>
  <c r="CG97" i="5"/>
  <c r="CH97" i="5" s="1"/>
  <c r="CL97" i="5" s="1"/>
  <c r="CA102" i="5"/>
  <c r="CK101" i="5"/>
  <c r="BB98" i="5"/>
  <c r="AU99" i="5"/>
  <c r="BO102" i="5"/>
  <c r="CF102" i="5"/>
  <c r="CI102" i="5" s="1"/>
  <c r="CD102" i="5"/>
  <c r="BA102" i="5"/>
  <c r="CJ102" i="5"/>
  <c r="AY102" i="5"/>
  <c r="BE102" i="5"/>
  <c r="AX97" i="5"/>
  <c r="AZ97" i="5" s="1"/>
  <c r="AW98" i="5"/>
  <c r="BD96" i="5"/>
  <c r="BF96" i="5" s="1"/>
  <c r="BC96" i="5"/>
  <c r="BG96" i="5" s="1"/>
  <c r="D97" i="5" s="1"/>
  <c r="P97" i="5" s="1"/>
  <c r="AV102" i="5"/>
  <c r="AV103" i="5" s="1"/>
  <c r="BZ102" i="5"/>
  <c r="AC76" i="4"/>
  <c r="BN102" i="5"/>
  <c r="BP95" i="5"/>
  <c r="BR95" i="5" s="1"/>
  <c r="BS94" i="5"/>
  <c r="BW94" i="5" s="1"/>
  <c r="E95" i="5" s="1"/>
  <c r="Q95" i="5" s="1"/>
  <c r="BQ102" i="5"/>
  <c r="BK103" i="5" s="1"/>
  <c r="BL100" i="5"/>
  <c r="BT99" i="5" s="1"/>
  <c r="AQ75" i="4"/>
  <c r="AD75" i="4"/>
  <c r="J94" i="4"/>
  <c r="AW74" i="4"/>
  <c r="AA76" i="4"/>
  <c r="AT75" i="4" s="1"/>
  <c r="AE73" i="4"/>
  <c r="AG73" i="4" s="1"/>
  <c r="AB74" i="4"/>
  <c r="CP44" i="4"/>
  <c r="CQ44" i="4" s="1"/>
  <c r="G63" i="4" s="1"/>
  <c r="AU76" i="4"/>
  <c r="AF76" i="4"/>
  <c r="CE76" i="4"/>
  <c r="BN76" i="4"/>
  <c r="Y76" i="4"/>
  <c r="Z76" i="4"/>
  <c r="BM97" i="5"/>
  <c r="BV95" i="5"/>
  <c r="BK71" i="4"/>
  <c r="CD69" i="4"/>
  <c r="BU102" i="5"/>
  <c r="AK102" i="5"/>
  <c r="AO102" i="5"/>
  <c r="AI102" i="5"/>
  <c r="CH46" i="4"/>
  <c r="CI46" i="4" s="1"/>
  <c r="CJ46" i="4" s="1"/>
  <c r="CF47" i="4" s="1"/>
  <c r="BY45" i="4"/>
  <c r="CO45" i="4" s="1"/>
  <c r="CK45" i="4"/>
  <c r="CL45" i="4" s="1"/>
  <c r="CC57" i="4"/>
  <c r="BZ57" i="4"/>
  <c r="CB57" i="4" s="1"/>
  <c r="BV46" i="4"/>
  <c r="BX46" i="4" s="1"/>
  <c r="F96" i="5"/>
  <c r="R96" i="5" s="1"/>
  <c r="AD105" i="5"/>
  <c r="AC106" i="5"/>
  <c r="BJ106" i="5"/>
  <c r="CR101" i="5"/>
  <c r="CS101" i="5" s="1"/>
  <c r="DA74" i="4"/>
  <c r="BJ76" i="4"/>
  <c r="J101" i="5"/>
  <c r="V101" i="5" s="1"/>
  <c r="DC101" i="5"/>
  <c r="DK100" i="5" s="1"/>
  <c r="DM100" i="5" s="1"/>
  <c r="CW75" i="4"/>
  <c r="CX75" i="4" s="1"/>
  <c r="DF75" i="4" s="1"/>
  <c r="CA75" i="4"/>
  <c r="CY76" i="4"/>
  <c r="CS77" i="4" s="1"/>
  <c r="BP76" i="4"/>
  <c r="BI76" i="4"/>
  <c r="X76" i="4"/>
  <c r="K95" i="4" s="1"/>
  <c r="CV76" i="4"/>
  <c r="CT76" i="4"/>
  <c r="CZ75" i="4" s="1"/>
  <c r="DL102" i="5"/>
  <c r="DZ102" i="5"/>
  <c r="EB100" i="5"/>
  <c r="I101" i="5" s="1"/>
  <c r="U101" i="5" s="1"/>
  <c r="EB99" i="5"/>
  <c r="I100" i="5" s="1"/>
  <c r="U100" i="5" s="1"/>
  <c r="H100" i="5"/>
  <c r="T100" i="5" s="1"/>
  <c r="CY99" i="5"/>
  <c r="CZ99" i="5"/>
  <c r="G100" i="5" s="1"/>
  <c r="S100" i="5" s="1"/>
  <c r="CX102" i="5"/>
  <c r="N102" i="5"/>
  <c r="DG74" i="4"/>
  <c r="DQ101" i="5"/>
  <c r="DY100" i="5" s="1"/>
  <c r="EA100" i="5" s="1"/>
  <c r="DT101" i="5"/>
  <c r="DU101" i="5" s="1"/>
  <c r="CN102" i="5"/>
  <c r="CO102" i="5"/>
  <c r="CW101" i="5" s="1"/>
  <c r="CQ102" i="5"/>
  <c r="CP102" i="5"/>
  <c r="B103" i="5"/>
  <c r="AA103" i="5"/>
  <c r="BY102" i="5"/>
  <c r="DH102" i="5"/>
  <c r="CT102" i="5"/>
  <c r="DV102" i="5"/>
  <c r="AB102" i="5"/>
  <c r="K103" i="5" s="1"/>
  <c r="W103" i="5" s="1"/>
  <c r="DB102" i="5"/>
  <c r="DD102" i="5"/>
  <c r="DE102" i="5"/>
  <c r="DI100" i="5"/>
  <c r="DJ100" i="5" s="1"/>
  <c r="DN100" i="5" s="1"/>
  <c r="CU100" i="5"/>
  <c r="CV100" i="5" s="1"/>
  <c r="DF101" i="5"/>
  <c r="DG101" i="5" s="1"/>
  <c r="DP102" i="5"/>
  <c r="DR102" i="5"/>
  <c r="DS102" i="5"/>
  <c r="DH71" i="4"/>
  <c r="I90" i="4" s="1"/>
  <c r="DD72" i="4"/>
  <c r="DH72" i="4" s="1"/>
  <c r="I91" i="4" s="1"/>
  <c r="DB74" i="4"/>
  <c r="DC74" i="4" s="1"/>
  <c r="CU76" i="4"/>
  <c r="W77" i="4"/>
  <c r="C95" i="4"/>
  <c r="CF103" i="5" l="1"/>
  <c r="CD103" i="5"/>
  <c r="CJ103" i="5"/>
  <c r="AY103" i="5"/>
  <c r="BE103" i="5"/>
  <c r="BA103" i="5"/>
  <c r="CA103" i="5"/>
  <c r="CA104" i="5" s="1"/>
  <c r="AX98" i="5"/>
  <c r="AZ98" i="5" s="1"/>
  <c r="AW99" i="5"/>
  <c r="CK102" i="5"/>
  <c r="BZ103" i="5"/>
  <c r="BZ104" i="5" s="1"/>
  <c r="BD97" i="5"/>
  <c r="BF97" i="5" s="1"/>
  <c r="BC97" i="5"/>
  <c r="BG97" i="5" s="1"/>
  <c r="D98" i="5" s="1"/>
  <c r="P98" i="5" s="1"/>
  <c r="CC99" i="5"/>
  <c r="CE99" i="5" s="1"/>
  <c r="CB100" i="5"/>
  <c r="AV104" i="5"/>
  <c r="BB99" i="5"/>
  <c r="AU100" i="5"/>
  <c r="CG98" i="5"/>
  <c r="CH98" i="5" s="1"/>
  <c r="CL98" i="5" s="1"/>
  <c r="BQ103" i="5"/>
  <c r="BK104" i="5" s="1"/>
  <c r="BO103" i="5"/>
  <c r="BN103" i="5"/>
  <c r="AC77" i="4"/>
  <c r="BP96" i="5"/>
  <c r="BR96" i="5" s="1"/>
  <c r="BS95" i="5"/>
  <c r="BW95" i="5" s="1"/>
  <c r="E96" i="5" s="1"/>
  <c r="Q96" i="5" s="1"/>
  <c r="BL101" i="5"/>
  <c r="BT100" i="5" s="1"/>
  <c r="J95" i="4"/>
  <c r="AL103" i="5"/>
  <c r="AQ76" i="4"/>
  <c r="AD76" i="4"/>
  <c r="Z77" i="4"/>
  <c r="AW75" i="4"/>
  <c r="AF77" i="4"/>
  <c r="AU77" i="4"/>
  <c r="CE77" i="4"/>
  <c r="BN77" i="4"/>
  <c r="Y77" i="4"/>
  <c r="AA77" i="4"/>
  <c r="AT76" i="4" s="1"/>
  <c r="AE74" i="4"/>
  <c r="AG74" i="4" s="1"/>
  <c r="AB75" i="4"/>
  <c r="BV96" i="5"/>
  <c r="BP97" i="5"/>
  <c r="BM98" i="5"/>
  <c r="BJ77" i="4"/>
  <c r="BK72" i="4"/>
  <c r="CD70" i="4"/>
  <c r="BU103" i="5"/>
  <c r="AO103" i="5"/>
  <c r="AK103" i="5"/>
  <c r="AI103" i="5"/>
  <c r="CC58" i="4"/>
  <c r="BZ58" i="4"/>
  <c r="CB58" i="4" s="1"/>
  <c r="CG47" i="4"/>
  <c r="F97" i="5"/>
  <c r="R97" i="5" s="1"/>
  <c r="BY46" i="4"/>
  <c r="CO46" i="4" s="1"/>
  <c r="CK46" i="4"/>
  <c r="CL46" i="4" s="1"/>
  <c r="BR47" i="4"/>
  <c r="BS59" i="4" s="1"/>
  <c r="BT71" i="4" s="1"/>
  <c r="BU83" i="4" s="1"/>
  <c r="CM45" i="4"/>
  <c r="CN45" i="4" s="1"/>
  <c r="F64" i="4" s="1"/>
  <c r="CP45" i="4"/>
  <c r="AD106" i="5"/>
  <c r="AC107" i="5"/>
  <c r="BJ107" i="5"/>
  <c r="DT102" i="5"/>
  <c r="DU102" i="5" s="1"/>
  <c r="DA75" i="4"/>
  <c r="J102" i="5"/>
  <c r="V102" i="5" s="1"/>
  <c r="DC102" i="5"/>
  <c r="DK101" i="5" s="1"/>
  <c r="DM101" i="5" s="1"/>
  <c r="CW76" i="4"/>
  <c r="CX76" i="4" s="1"/>
  <c r="DF76" i="4" s="1"/>
  <c r="CA76" i="4"/>
  <c r="CY77" i="4"/>
  <c r="CS78" i="4" s="1"/>
  <c r="BP77" i="4"/>
  <c r="BI77" i="4"/>
  <c r="X77" i="4"/>
  <c r="K96" i="4" s="1"/>
  <c r="CT77" i="4"/>
  <c r="CZ76" i="4" s="1"/>
  <c r="CV77" i="4"/>
  <c r="DL103" i="5"/>
  <c r="DZ103" i="5"/>
  <c r="H101" i="5"/>
  <c r="T101" i="5" s="1"/>
  <c r="CX103" i="5"/>
  <c r="CY100" i="5"/>
  <c r="CZ100" i="5"/>
  <c r="G101" i="5" s="1"/>
  <c r="S101" i="5" s="1"/>
  <c r="N103" i="5"/>
  <c r="DB75" i="4"/>
  <c r="DC75" i="4" s="1"/>
  <c r="DQ102" i="5"/>
  <c r="DY101" i="5" s="1"/>
  <c r="EA101" i="5" s="1"/>
  <c r="DI101" i="5"/>
  <c r="DJ101" i="5" s="1"/>
  <c r="DF102" i="5"/>
  <c r="DG102" i="5" s="1"/>
  <c r="CU101" i="5"/>
  <c r="CV101" i="5" s="1"/>
  <c r="B104" i="5"/>
  <c r="A93" i="5" s="1"/>
  <c r="DV103" i="5"/>
  <c r="CT103" i="5"/>
  <c r="BY103" i="5"/>
  <c r="AA104" i="5"/>
  <c r="DH103" i="5"/>
  <c r="AB103" i="5"/>
  <c r="K104" i="5" s="1"/>
  <c r="W104" i="5" s="1"/>
  <c r="DS103" i="5"/>
  <c r="DR103" i="5"/>
  <c r="DP103" i="5"/>
  <c r="CO103" i="5"/>
  <c r="CW102" i="5" s="1"/>
  <c r="CP103" i="5"/>
  <c r="CN103" i="5"/>
  <c r="CQ103" i="5"/>
  <c r="CR102" i="5"/>
  <c r="CS102" i="5" s="1"/>
  <c r="DW101" i="5"/>
  <c r="DX101" i="5" s="1"/>
  <c r="EB101" i="5" s="1"/>
  <c r="DD103" i="5"/>
  <c r="DE103" i="5"/>
  <c r="DB103" i="5"/>
  <c r="DE72" i="4"/>
  <c r="H91" i="4" s="1"/>
  <c r="DG75" i="4"/>
  <c r="DD73" i="4"/>
  <c r="CU77" i="4"/>
  <c r="W78" i="4"/>
  <c r="C96" i="4"/>
  <c r="AX99" i="5" l="1"/>
  <c r="AZ99" i="5" s="1"/>
  <c r="AW100" i="5"/>
  <c r="CC100" i="5"/>
  <c r="CE100" i="5" s="1"/>
  <c r="CB101" i="5"/>
  <c r="BD98" i="5"/>
  <c r="BF98" i="5" s="1"/>
  <c r="BC98" i="5"/>
  <c r="BG98" i="5" s="1"/>
  <c r="D99" i="5" s="1"/>
  <c r="P99" i="5" s="1"/>
  <c r="BO104" i="5"/>
  <c r="CF104" i="5"/>
  <c r="CI104" i="5" s="1"/>
  <c r="CJ104" i="5"/>
  <c r="AY104" i="5"/>
  <c r="BA104" i="5"/>
  <c r="AV105" i="5" s="1"/>
  <c r="BE104" i="5"/>
  <c r="CG104" i="5"/>
  <c r="CG99" i="5"/>
  <c r="CH99" i="5" s="1"/>
  <c r="CL99" i="5" s="1"/>
  <c r="CA105" i="5"/>
  <c r="BB100" i="5"/>
  <c r="AU101" i="5"/>
  <c r="AC78" i="4"/>
  <c r="BS96" i="5"/>
  <c r="BW96" i="5" s="1"/>
  <c r="E97" i="5" s="1"/>
  <c r="Q97" i="5" s="1"/>
  <c r="BR97" i="5"/>
  <c r="BS97" i="5" s="1"/>
  <c r="BW97" i="5" s="1"/>
  <c r="E98" i="5" s="1"/>
  <c r="Q98" i="5" s="1"/>
  <c r="BQ104" i="5"/>
  <c r="BK105" i="5" s="1"/>
  <c r="BL102" i="5"/>
  <c r="BT101" i="5" s="1"/>
  <c r="J96" i="4"/>
  <c r="AQ77" i="4"/>
  <c r="AD77" i="4"/>
  <c r="AF78" i="4"/>
  <c r="BN78" i="4"/>
  <c r="Y78" i="4"/>
  <c r="AA78" i="4"/>
  <c r="AT77" i="4" s="1"/>
  <c r="Z78" i="4"/>
  <c r="AE75" i="4"/>
  <c r="AG75" i="4" s="1"/>
  <c r="AB76" i="4"/>
  <c r="AW76" i="4"/>
  <c r="BM99" i="5"/>
  <c r="BV97" i="5"/>
  <c r="BK73" i="4"/>
  <c r="CD71" i="4"/>
  <c r="BJ78" i="4"/>
  <c r="AI104" i="5"/>
  <c r="BU104" i="5"/>
  <c r="AK104" i="5"/>
  <c r="AO104" i="5"/>
  <c r="CQ45" i="4"/>
  <c r="G64" i="4" s="1"/>
  <c r="CH47" i="4"/>
  <c r="CI47" i="4" s="1"/>
  <c r="CJ47" i="4" s="1"/>
  <c r="CF48" i="4" s="1"/>
  <c r="CM46" i="4"/>
  <c r="CP46" i="4"/>
  <c r="BV47" i="4"/>
  <c r="BX47" i="4" s="1"/>
  <c r="F98" i="5"/>
  <c r="R98" i="5" s="1"/>
  <c r="AD107" i="5"/>
  <c r="AC108" i="5"/>
  <c r="BJ108" i="5"/>
  <c r="DT103" i="5"/>
  <c r="DU103" i="5" s="1"/>
  <c r="DA76" i="4"/>
  <c r="J103" i="5"/>
  <c r="V103" i="5" s="1"/>
  <c r="CV78" i="4"/>
  <c r="DC103" i="5"/>
  <c r="DK102" i="5" s="1"/>
  <c r="DM102" i="5" s="1"/>
  <c r="CW77" i="4"/>
  <c r="CX77" i="4" s="1"/>
  <c r="DF77" i="4" s="1"/>
  <c r="CA77" i="4"/>
  <c r="CY78" i="4"/>
  <c r="CS79" i="4" s="1"/>
  <c r="BP78" i="4"/>
  <c r="BI78" i="4"/>
  <c r="X78" i="4"/>
  <c r="K97" i="4" s="1"/>
  <c r="CT78" i="4"/>
  <c r="CZ77" i="4" s="1"/>
  <c r="DL104" i="5"/>
  <c r="DZ104" i="5"/>
  <c r="I102" i="5"/>
  <c r="U102" i="5" s="1"/>
  <c r="DN101" i="5"/>
  <c r="H102" i="5" s="1"/>
  <c r="T102" i="5" s="1"/>
  <c r="CY101" i="5"/>
  <c r="CZ101" i="5"/>
  <c r="G102" i="5" s="1"/>
  <c r="S102" i="5" s="1"/>
  <c r="CX104" i="5"/>
  <c r="N104" i="5"/>
  <c r="DB76" i="4"/>
  <c r="DC76" i="4" s="1"/>
  <c r="DQ103" i="5"/>
  <c r="DY102" i="5" s="1"/>
  <c r="EA102" i="5" s="1"/>
  <c r="CR103" i="5"/>
  <c r="CS103" i="5" s="1"/>
  <c r="DF103" i="5"/>
  <c r="DG103" i="5" s="1"/>
  <c r="CP104" i="5"/>
  <c r="CO104" i="5"/>
  <c r="CW103" i="5" s="1"/>
  <c r="CN104" i="5"/>
  <c r="CU102" i="5"/>
  <c r="CV102" i="5" s="1"/>
  <c r="DR104" i="5"/>
  <c r="DP104" i="5"/>
  <c r="DW102" i="5"/>
  <c r="DX102" i="5" s="1"/>
  <c r="B105" i="5"/>
  <c r="DV104" i="5"/>
  <c r="CT104" i="5"/>
  <c r="DH104" i="5"/>
  <c r="BY104" i="5"/>
  <c r="CD104" i="5" s="1"/>
  <c r="AA105" i="5"/>
  <c r="AB104" i="5"/>
  <c r="K105" i="5" s="1"/>
  <c r="W105" i="5" s="1"/>
  <c r="DI102" i="5"/>
  <c r="DJ102" i="5" s="1"/>
  <c r="DN102" i="5" s="1"/>
  <c r="DD104" i="5"/>
  <c r="DB104" i="5"/>
  <c r="DE73" i="4"/>
  <c r="H92" i="4" s="1"/>
  <c r="DH73" i="4"/>
  <c r="I92" i="4" s="1"/>
  <c r="DG76" i="4"/>
  <c r="DD74" i="4"/>
  <c r="C97" i="4"/>
  <c r="W79" i="4"/>
  <c r="CU78" i="4"/>
  <c r="CC101" i="5" l="1"/>
  <c r="CE101" i="5" s="1"/>
  <c r="CB102" i="5"/>
  <c r="BZ105" i="5"/>
  <c r="CG105" i="5" s="1"/>
  <c r="CG100" i="5"/>
  <c r="CH100" i="5" s="1"/>
  <c r="CL100" i="5" s="1"/>
  <c r="AX100" i="5"/>
  <c r="AZ100" i="5" s="1"/>
  <c r="AW101" i="5"/>
  <c r="BD99" i="5"/>
  <c r="BF99" i="5" s="1"/>
  <c r="BC99" i="5"/>
  <c r="BG99" i="5" s="1"/>
  <c r="D100" i="5" s="1"/>
  <c r="P100" i="5" s="1"/>
  <c r="BO105" i="5"/>
  <c r="CJ105" i="5"/>
  <c r="BA105" i="5"/>
  <c r="AY105" i="5"/>
  <c r="CF105" i="5"/>
  <c r="CI105" i="5" s="1"/>
  <c r="BE105" i="5"/>
  <c r="BB101" i="5"/>
  <c r="AU102" i="5"/>
  <c r="J97" i="4"/>
  <c r="BP98" i="5"/>
  <c r="BR98" i="5" s="1"/>
  <c r="BS98" i="5" s="1"/>
  <c r="BW98" i="5" s="1"/>
  <c r="E99" i="5" s="1"/>
  <c r="Q99" i="5" s="1"/>
  <c r="BQ105" i="5"/>
  <c r="BK106" i="5" s="1"/>
  <c r="BL103" i="5"/>
  <c r="BT102" i="5" s="1"/>
  <c r="AQ78" i="4"/>
  <c r="AD78" i="4"/>
  <c r="AW77" i="4"/>
  <c r="Z79" i="4"/>
  <c r="AA79" i="4"/>
  <c r="AT78" i="4" s="1"/>
  <c r="AE76" i="4"/>
  <c r="AG76" i="4" s="1"/>
  <c r="AB77" i="4"/>
  <c r="AF79" i="4"/>
  <c r="AU79" i="4"/>
  <c r="CE79" i="4"/>
  <c r="Y79" i="4"/>
  <c r="BV98" i="5"/>
  <c r="BM100" i="5"/>
  <c r="BK74" i="4"/>
  <c r="BU105" i="5"/>
  <c r="AO105" i="5"/>
  <c r="AK105" i="5"/>
  <c r="AI105" i="5"/>
  <c r="CQ46" i="4"/>
  <c r="G65" i="4" s="1"/>
  <c r="CC59" i="4"/>
  <c r="BZ59" i="4"/>
  <c r="CB59" i="4" s="1"/>
  <c r="F99" i="5"/>
  <c r="R99" i="5" s="1"/>
  <c r="CG48" i="4"/>
  <c r="CH48" i="4" s="1"/>
  <c r="CI48" i="4" s="1"/>
  <c r="CJ48" i="4" s="1"/>
  <c r="CF49" i="4" s="1"/>
  <c r="CN46" i="4"/>
  <c r="F65" i="4" s="1"/>
  <c r="BY47" i="4"/>
  <c r="CO47" i="4" s="1"/>
  <c r="CK47" i="4"/>
  <c r="CL47" i="4" s="1"/>
  <c r="BR48" i="4"/>
  <c r="BS60" i="4" s="1"/>
  <c r="BT72" i="4" s="1"/>
  <c r="BU84" i="4" s="1"/>
  <c r="AD108" i="5"/>
  <c r="AC109" i="5"/>
  <c r="BJ109" i="5"/>
  <c r="DF104" i="5"/>
  <c r="DA77" i="4"/>
  <c r="J104" i="5"/>
  <c r="V104" i="5" s="1"/>
  <c r="N105" i="5"/>
  <c r="DC104" i="5"/>
  <c r="DK103" i="5" s="1"/>
  <c r="DM103" i="5" s="1"/>
  <c r="CW78" i="4"/>
  <c r="CX78" i="4" s="1"/>
  <c r="DF78" i="4" s="1"/>
  <c r="CA78" i="4"/>
  <c r="CY79" i="4"/>
  <c r="CS80" i="4" s="1"/>
  <c r="BP79" i="4"/>
  <c r="BI79" i="4"/>
  <c r="BN79" i="4" s="1"/>
  <c r="X79" i="4"/>
  <c r="K98" i="4" s="1"/>
  <c r="CT79" i="4"/>
  <c r="CZ78" i="4" s="1"/>
  <c r="DL105" i="5"/>
  <c r="DZ105" i="5"/>
  <c r="EB102" i="5"/>
  <c r="I103" i="5" s="1"/>
  <c r="U103" i="5" s="1"/>
  <c r="H103" i="5"/>
  <c r="T103" i="5" s="1"/>
  <c r="CZ102" i="5"/>
  <c r="G103" i="5" s="1"/>
  <c r="S103" i="5" s="1"/>
  <c r="CY102" i="5"/>
  <c r="CX105" i="5"/>
  <c r="DQ104" i="5"/>
  <c r="DY103" i="5" s="1"/>
  <c r="EA103" i="5" s="1"/>
  <c r="DE104" i="5"/>
  <c r="DI103" i="5"/>
  <c r="DJ103" i="5" s="1"/>
  <c r="DT104" i="5"/>
  <c r="DW103" i="5"/>
  <c r="DX103" i="5" s="1"/>
  <c r="CU103" i="5"/>
  <c r="CV103" i="5" s="1"/>
  <c r="CR104" i="5"/>
  <c r="DD105" i="5"/>
  <c r="DB105" i="5"/>
  <c r="DS104" i="5"/>
  <c r="B106" i="5"/>
  <c r="DV105" i="5"/>
  <c r="AA106" i="5"/>
  <c r="DH105" i="5"/>
  <c r="CT105" i="5"/>
  <c r="BY105" i="5"/>
  <c r="CD105" i="5" s="1"/>
  <c r="AB105" i="5"/>
  <c r="K106" i="5" s="1"/>
  <c r="W106" i="5" s="1"/>
  <c r="CN105" i="5"/>
  <c r="CP105" i="5"/>
  <c r="CO105" i="5"/>
  <c r="CW104" i="5" s="1"/>
  <c r="DR105" i="5"/>
  <c r="DP105" i="5"/>
  <c r="CQ104" i="5"/>
  <c r="DG77" i="4"/>
  <c r="DH74" i="4"/>
  <c r="I93" i="4" s="1"/>
  <c r="DE74" i="4"/>
  <c r="H93" i="4" s="1"/>
  <c r="DB77" i="4"/>
  <c r="DC77" i="4" s="1"/>
  <c r="DD75" i="4"/>
  <c r="DD76" i="4" s="1"/>
  <c r="CU79" i="4"/>
  <c r="W80" i="4"/>
  <c r="C98" i="4"/>
  <c r="B97" i="4" s="1"/>
  <c r="BO106" i="5" l="1"/>
  <c r="CJ106" i="5"/>
  <c r="BA106" i="5"/>
  <c r="CF106" i="5"/>
  <c r="CI106" i="5" s="1"/>
  <c r="AY106" i="5"/>
  <c r="BE106" i="5"/>
  <c r="CC102" i="5"/>
  <c r="CE102" i="5" s="1"/>
  <c r="CB103" i="5"/>
  <c r="BZ106" i="5"/>
  <c r="CG106" i="5" s="1"/>
  <c r="AX101" i="5"/>
  <c r="AZ101" i="5" s="1"/>
  <c r="AW102" i="5"/>
  <c r="CG101" i="5"/>
  <c r="CH101" i="5" s="1"/>
  <c r="CL101" i="5" s="1"/>
  <c r="BD100" i="5"/>
  <c r="BF100" i="5" s="1"/>
  <c r="BC100" i="5"/>
  <c r="BG100" i="5" s="1"/>
  <c r="D101" i="5" s="1"/>
  <c r="P101" i="5" s="1"/>
  <c r="CA106" i="5"/>
  <c r="CA107" i="5" s="1"/>
  <c r="BB102" i="5"/>
  <c r="AU103" i="5"/>
  <c r="AV106" i="5"/>
  <c r="AV107" i="5" s="1"/>
  <c r="BP99" i="5"/>
  <c r="BR99" i="5" s="1"/>
  <c r="BS99" i="5" s="1"/>
  <c r="BW99" i="5" s="1"/>
  <c r="E100" i="5" s="1"/>
  <c r="Q100" i="5" s="1"/>
  <c r="BQ106" i="5"/>
  <c r="BK107" i="5" s="1"/>
  <c r="BL104" i="5"/>
  <c r="BT103" i="5" s="1"/>
  <c r="AQ79" i="4"/>
  <c r="AD79" i="4"/>
  <c r="Z80" i="4"/>
  <c r="AA80" i="4"/>
  <c r="AT79" i="4" s="1"/>
  <c r="AU80" i="4"/>
  <c r="AF80" i="4"/>
  <c r="CE80" i="4"/>
  <c r="Y80" i="4"/>
  <c r="AE77" i="4"/>
  <c r="AG77" i="4" s="1"/>
  <c r="AB78" i="4"/>
  <c r="BM101" i="5"/>
  <c r="BV99" i="5"/>
  <c r="CD73" i="4"/>
  <c r="BK75" i="4"/>
  <c r="BU106" i="5"/>
  <c r="AK106" i="5"/>
  <c r="AO106" i="5"/>
  <c r="AI106" i="5"/>
  <c r="CG49" i="4"/>
  <c r="CM47" i="4"/>
  <c r="CN47" i="4" s="1"/>
  <c r="F66" i="4" s="1"/>
  <c r="CP47" i="4"/>
  <c r="BR49" i="4"/>
  <c r="BS61" i="4" s="1"/>
  <c r="BT73" i="4" s="1"/>
  <c r="BU85" i="4" s="1"/>
  <c r="BV48" i="4"/>
  <c r="BX48" i="4" s="1"/>
  <c r="F100" i="5"/>
  <c r="R100" i="5" s="1"/>
  <c r="AD109" i="5"/>
  <c r="AC110" i="5"/>
  <c r="BJ110" i="5"/>
  <c r="DG104" i="5"/>
  <c r="DI104" i="5" s="1"/>
  <c r="DJ104" i="5" s="1"/>
  <c r="DN104" i="5" s="1"/>
  <c r="DA78" i="4"/>
  <c r="J105" i="5"/>
  <c r="V105" i="5" s="1"/>
  <c r="J98" i="4"/>
  <c r="DC105" i="5"/>
  <c r="DK104" i="5" s="1"/>
  <c r="DM104" i="5" s="1"/>
  <c r="CW79" i="4"/>
  <c r="CA79" i="4"/>
  <c r="CT80" i="4"/>
  <c r="CZ79" i="4" s="1"/>
  <c r="BP80" i="4"/>
  <c r="CY80" i="4"/>
  <c r="CS81" i="4" s="1"/>
  <c r="BI80" i="4"/>
  <c r="CA80" i="4" s="1"/>
  <c r="X80" i="4"/>
  <c r="K99" i="4" s="1"/>
  <c r="DL106" i="5"/>
  <c r="DZ106" i="5"/>
  <c r="EB103" i="5"/>
  <c r="I104" i="5" s="1"/>
  <c r="U104" i="5" s="1"/>
  <c r="DN103" i="5"/>
  <c r="H104" i="5" s="1"/>
  <c r="T104" i="5" s="1"/>
  <c r="CX106" i="5"/>
  <c r="CY103" i="5"/>
  <c r="CZ103" i="5"/>
  <c r="G104" i="5" s="1"/>
  <c r="S104" i="5" s="1"/>
  <c r="N106" i="5"/>
  <c r="CV79" i="4"/>
  <c r="CV80" i="4" s="1"/>
  <c r="DG78" i="4"/>
  <c r="DQ105" i="5"/>
  <c r="DY104" i="5" s="1"/>
  <c r="EA104" i="5" s="1"/>
  <c r="DE105" i="5"/>
  <c r="DU104" i="5"/>
  <c r="DW104" i="5" s="1"/>
  <c r="DX104" i="5" s="1"/>
  <c r="DS105" i="5"/>
  <c r="DS106" i="5" s="1"/>
  <c r="CS104" i="5"/>
  <c r="CU104" i="5" s="1"/>
  <c r="CV104" i="5" s="1"/>
  <c r="DF105" i="5"/>
  <c r="CR105" i="5"/>
  <c r="DT105" i="5"/>
  <c r="DD106" i="5"/>
  <c r="DB106" i="5"/>
  <c r="B107" i="5"/>
  <c r="AA107" i="5"/>
  <c r="DV106" i="5"/>
  <c r="CT106" i="5"/>
  <c r="DH106" i="5"/>
  <c r="BY106" i="5"/>
  <c r="CD106" i="5" s="1"/>
  <c r="AB106" i="5"/>
  <c r="K107" i="5" s="1"/>
  <c r="W107" i="5" s="1"/>
  <c r="CQ105" i="5"/>
  <c r="DP106" i="5"/>
  <c r="DR106" i="5"/>
  <c r="CN106" i="5"/>
  <c r="CP106" i="5"/>
  <c r="CO106" i="5"/>
  <c r="CW105" i="5" s="1"/>
  <c r="DD77" i="4"/>
  <c r="DE77" i="4" s="1"/>
  <c r="H96" i="4" s="1"/>
  <c r="DE76" i="4"/>
  <c r="H95" i="4" s="1"/>
  <c r="DH76" i="4"/>
  <c r="I95" i="4" s="1"/>
  <c r="DB78" i="4"/>
  <c r="DC78" i="4" s="1"/>
  <c r="DE75" i="4"/>
  <c r="H94" i="4" s="1"/>
  <c r="DH75" i="4"/>
  <c r="I94" i="4" s="1"/>
  <c r="W81" i="4"/>
  <c r="C99" i="4"/>
  <c r="CU80" i="4"/>
  <c r="BB103" i="5" l="1"/>
  <c r="AU104" i="5"/>
  <c r="BD101" i="5"/>
  <c r="BF101" i="5" s="1"/>
  <c r="BC101" i="5"/>
  <c r="BG101" i="5" s="1"/>
  <c r="D102" i="5" s="1"/>
  <c r="P102" i="5" s="1"/>
  <c r="CC103" i="5"/>
  <c r="CE103" i="5" s="1"/>
  <c r="CI103" i="5" s="1"/>
  <c r="CB104" i="5"/>
  <c r="BZ107" i="5"/>
  <c r="CG107" i="5" s="1"/>
  <c r="CG102" i="5"/>
  <c r="CH102" i="5" s="1"/>
  <c r="CL102" i="5" s="1"/>
  <c r="BO107" i="5"/>
  <c r="CJ107" i="5"/>
  <c r="CF107" i="5"/>
  <c r="BE107" i="5"/>
  <c r="BA107" i="5"/>
  <c r="AV108" i="5" s="1"/>
  <c r="AY107" i="5"/>
  <c r="AX102" i="5"/>
  <c r="AZ102" i="5" s="1"/>
  <c r="AW103" i="5"/>
  <c r="BP100" i="5"/>
  <c r="BR100" i="5" s="1"/>
  <c r="BS100" i="5" s="1"/>
  <c r="BW100" i="5" s="1"/>
  <c r="E101" i="5" s="1"/>
  <c r="Q101" i="5" s="1"/>
  <c r="BQ107" i="5"/>
  <c r="BK108" i="5" s="1"/>
  <c r="BL105" i="5"/>
  <c r="BT104" i="5" s="1"/>
  <c r="AQ80" i="4"/>
  <c r="AD80" i="4"/>
  <c r="AE78" i="4"/>
  <c r="AB79" i="4"/>
  <c r="Z81" i="4"/>
  <c r="AA81" i="4"/>
  <c r="AT80" i="4" s="1"/>
  <c r="AF81" i="4"/>
  <c r="CE81" i="4"/>
  <c r="AU81" i="4"/>
  <c r="Y81" i="4"/>
  <c r="AW79" i="4"/>
  <c r="BN80" i="4"/>
  <c r="BV100" i="5"/>
  <c r="BM102" i="5"/>
  <c r="CD74" i="4"/>
  <c r="BK76" i="4"/>
  <c r="DA79" i="4"/>
  <c r="BU107" i="5"/>
  <c r="AO107" i="5"/>
  <c r="AK107" i="5"/>
  <c r="AI107" i="5"/>
  <c r="CC60" i="4"/>
  <c r="BZ60" i="4"/>
  <c r="CB60" i="4" s="1"/>
  <c r="CH49" i="4"/>
  <c r="CI49" i="4" s="1"/>
  <c r="CJ49" i="4" s="1"/>
  <c r="CF50" i="4" s="1"/>
  <c r="F101" i="5"/>
  <c r="R101" i="5" s="1"/>
  <c r="BV49" i="4"/>
  <c r="BX49" i="4" s="1"/>
  <c r="BY48" i="4"/>
  <c r="CO48" i="4" s="1"/>
  <c r="CK48" i="4"/>
  <c r="CL48" i="4" s="1"/>
  <c r="CQ47" i="4"/>
  <c r="G66" i="4" s="1"/>
  <c r="DE106" i="5"/>
  <c r="DE107" i="5" s="1"/>
  <c r="AD110" i="5"/>
  <c r="AC111" i="5"/>
  <c r="BJ111" i="5"/>
  <c r="CR106" i="5"/>
  <c r="J99" i="4"/>
  <c r="J106" i="5"/>
  <c r="V106" i="5" s="1"/>
  <c r="DC106" i="5"/>
  <c r="DK105" i="5" s="1"/>
  <c r="DM105" i="5" s="1"/>
  <c r="CT81" i="4"/>
  <c r="CZ80" i="4" s="1"/>
  <c r="CV81" i="4"/>
  <c r="BP81" i="4"/>
  <c r="CY81" i="4"/>
  <c r="CS82" i="4" s="1"/>
  <c r="BI81" i="4"/>
  <c r="BN81" i="4" s="1"/>
  <c r="X81" i="4"/>
  <c r="K100" i="4" s="1"/>
  <c r="CW80" i="4"/>
  <c r="CX80" i="4" s="1"/>
  <c r="DF80" i="4" s="1"/>
  <c r="DL107" i="5"/>
  <c r="DZ107" i="5"/>
  <c r="EB104" i="5"/>
  <c r="I105" i="5" s="1"/>
  <c r="U105" i="5" s="1"/>
  <c r="H105" i="5"/>
  <c r="T105" i="5" s="1"/>
  <c r="CX107" i="5"/>
  <c r="CY104" i="5"/>
  <c r="CZ104" i="5"/>
  <c r="G105" i="5" s="1"/>
  <c r="S105" i="5" s="1"/>
  <c r="DQ106" i="5"/>
  <c r="DY105" i="5" s="1"/>
  <c r="EA105" i="5" s="1"/>
  <c r="N107" i="5"/>
  <c r="DG105" i="5"/>
  <c r="DI105" i="5" s="1"/>
  <c r="DJ105" i="5" s="1"/>
  <c r="DN105" i="5" s="1"/>
  <c r="CS105" i="5"/>
  <c r="CU105" i="5" s="1"/>
  <c r="CV105" i="5" s="1"/>
  <c r="DU105" i="5"/>
  <c r="DW105" i="5" s="1"/>
  <c r="DX105" i="5" s="1"/>
  <c r="DT106" i="5"/>
  <c r="DU106" i="5" s="1"/>
  <c r="DF106" i="5"/>
  <c r="CQ106" i="5"/>
  <c r="DD107" i="5"/>
  <c r="DB107" i="5"/>
  <c r="B108" i="5"/>
  <c r="AA108" i="5"/>
  <c r="DV107" i="5"/>
  <c r="CT107" i="5"/>
  <c r="DH107" i="5"/>
  <c r="BY107" i="5"/>
  <c r="CD107" i="5" s="1"/>
  <c r="AB107" i="5"/>
  <c r="K108" i="5" s="1"/>
  <c r="W108" i="5" s="1"/>
  <c r="CO107" i="5"/>
  <c r="CW106" i="5" s="1"/>
  <c r="CN107" i="5"/>
  <c r="CP107" i="5"/>
  <c r="DP107" i="5"/>
  <c r="DR107" i="5"/>
  <c r="DS107" i="5"/>
  <c r="DH77" i="4"/>
  <c r="I96" i="4" s="1"/>
  <c r="CX79" i="4"/>
  <c r="DF79" i="4" s="1"/>
  <c r="DD78" i="4"/>
  <c r="DE78" i="4" s="1"/>
  <c r="H97" i="4" s="1"/>
  <c r="CU81" i="4"/>
  <c r="W82" i="4"/>
  <c r="C100" i="4"/>
  <c r="CA108" i="5" l="1"/>
  <c r="CI107" i="5"/>
  <c r="CG103" i="5"/>
  <c r="CH103" i="5" s="1"/>
  <c r="CL103" i="5" s="1"/>
  <c r="CK103" i="5"/>
  <c r="BO108" i="5"/>
  <c r="CF108" i="5"/>
  <c r="CI108" i="5" s="1"/>
  <c r="AY108" i="5"/>
  <c r="BA108" i="5"/>
  <c r="CJ108" i="5"/>
  <c r="BE108" i="5"/>
  <c r="AX103" i="5"/>
  <c r="AZ103" i="5" s="1"/>
  <c r="AW104" i="5"/>
  <c r="BZ108" i="5"/>
  <c r="CG108" i="5" s="1"/>
  <c r="BB104" i="5"/>
  <c r="AU105" i="5"/>
  <c r="BD102" i="5"/>
  <c r="BF102" i="5" s="1"/>
  <c r="BC102" i="5"/>
  <c r="BG102" i="5" s="1"/>
  <c r="D103" i="5" s="1"/>
  <c r="P103" i="5" s="1"/>
  <c r="CC104" i="5"/>
  <c r="CE104" i="5" s="1"/>
  <c r="CH104" i="5" s="1"/>
  <c r="CB105" i="5"/>
  <c r="AG78" i="4"/>
  <c r="AC79" i="4"/>
  <c r="AC80" i="4" s="1"/>
  <c r="AC81" i="4" s="1"/>
  <c r="AC82" i="4" s="1"/>
  <c r="BP101" i="5"/>
  <c r="BR101" i="5" s="1"/>
  <c r="BQ108" i="5"/>
  <c r="BK109" i="5" s="1"/>
  <c r="BL106" i="5"/>
  <c r="BT105" i="5" s="1"/>
  <c r="AQ81" i="4"/>
  <c r="AD81" i="4"/>
  <c r="DG106" i="5"/>
  <c r="DI106" i="5" s="1"/>
  <c r="DJ106" i="5" s="1"/>
  <c r="Z82" i="4"/>
  <c r="AA82" i="4"/>
  <c r="AT81" i="4" s="1"/>
  <c r="AW80" i="4"/>
  <c r="AU82" i="4"/>
  <c r="AF82" i="4"/>
  <c r="CE82" i="4"/>
  <c r="Y82" i="4"/>
  <c r="AB80" i="4"/>
  <c r="BM103" i="5"/>
  <c r="BV101" i="5"/>
  <c r="CD75" i="4"/>
  <c r="BK77" i="4"/>
  <c r="DA80" i="4"/>
  <c r="BU108" i="5"/>
  <c r="AO108" i="5"/>
  <c r="AK108" i="5"/>
  <c r="AI108" i="5"/>
  <c r="BR50" i="4"/>
  <c r="BS62" i="4" s="1"/>
  <c r="BT74" i="4" s="1"/>
  <c r="BU86" i="4" s="1"/>
  <c r="CC61" i="4"/>
  <c r="BZ61" i="4"/>
  <c r="CB61" i="4" s="1"/>
  <c r="BY49" i="4"/>
  <c r="CO49" i="4" s="1"/>
  <c r="CK49" i="4"/>
  <c r="CL49" i="4" s="1"/>
  <c r="CM48" i="4"/>
  <c r="CN48" i="4" s="1"/>
  <c r="F67" i="4" s="1"/>
  <c r="CP48" i="4"/>
  <c r="F102" i="5"/>
  <c r="R102" i="5" s="1"/>
  <c r="CG50" i="4"/>
  <c r="AD111" i="5"/>
  <c r="AC112" i="5"/>
  <c r="CS106" i="5"/>
  <c r="CU106" i="5" s="1"/>
  <c r="CV106" i="5" s="1"/>
  <c r="BJ112" i="5"/>
  <c r="DC107" i="5"/>
  <c r="DK106" i="5" s="1"/>
  <c r="DM106" i="5" s="1"/>
  <c r="J107" i="5"/>
  <c r="V107" i="5" s="1"/>
  <c r="J100" i="4"/>
  <c r="CW81" i="4"/>
  <c r="CX81" i="4" s="1"/>
  <c r="DF81" i="4" s="1"/>
  <c r="CA81" i="4"/>
  <c r="CV82" i="4"/>
  <c r="CT82" i="4"/>
  <c r="CZ81" i="4" s="1"/>
  <c r="CY82" i="4"/>
  <c r="CS83" i="4" s="1"/>
  <c r="BP82" i="4"/>
  <c r="BI82" i="4"/>
  <c r="BN82" i="4" s="1"/>
  <c r="X82" i="4"/>
  <c r="K101" i="4" s="1"/>
  <c r="DL108" i="5"/>
  <c r="DZ108" i="5"/>
  <c r="EB105" i="5"/>
  <c r="I106" i="5" s="1"/>
  <c r="U106" i="5" s="1"/>
  <c r="H106" i="5"/>
  <c r="T106" i="5" s="1"/>
  <c r="CY105" i="5"/>
  <c r="CZ105" i="5"/>
  <c r="G106" i="5" s="1"/>
  <c r="S106" i="5" s="1"/>
  <c r="CX108" i="5"/>
  <c r="DQ107" i="5"/>
  <c r="DY106" i="5" s="1"/>
  <c r="EA106" i="5" s="1"/>
  <c r="N108" i="5"/>
  <c r="DG80" i="4"/>
  <c r="DG79" i="4"/>
  <c r="DF107" i="5"/>
  <c r="DG107" i="5" s="1"/>
  <c r="CQ107" i="5"/>
  <c r="DT107" i="5"/>
  <c r="DU107" i="5" s="1"/>
  <c r="CP108" i="5"/>
  <c r="CO108" i="5"/>
  <c r="CW107" i="5" s="1"/>
  <c r="CN108" i="5"/>
  <c r="DE108" i="5"/>
  <c r="DD108" i="5"/>
  <c r="DB108" i="5"/>
  <c r="CR107" i="5"/>
  <c r="DR108" i="5"/>
  <c r="DP108" i="5"/>
  <c r="DS108" i="5"/>
  <c r="DW106" i="5"/>
  <c r="DX106" i="5" s="1"/>
  <c r="B109" i="5"/>
  <c r="DH108" i="5"/>
  <c r="BY108" i="5"/>
  <c r="CD108" i="5" s="1"/>
  <c r="AA109" i="5"/>
  <c r="DV108" i="5"/>
  <c r="CT108" i="5"/>
  <c r="AB108" i="5"/>
  <c r="K109" i="5" s="1"/>
  <c r="W109" i="5" s="1"/>
  <c r="DH78" i="4"/>
  <c r="I97" i="4" s="1"/>
  <c r="DB79" i="4"/>
  <c r="DC79" i="4" s="1"/>
  <c r="DB80" i="4"/>
  <c r="DC80" i="4" s="1"/>
  <c r="CU82" i="4"/>
  <c r="W83" i="4"/>
  <c r="C101" i="4"/>
  <c r="CK104" i="5" l="1"/>
  <c r="CL104" i="5"/>
  <c r="AE79" i="4"/>
  <c r="AG79" i="4" s="1"/>
  <c r="BB105" i="5"/>
  <c r="AU106" i="5"/>
  <c r="BZ109" i="5"/>
  <c r="CG109" i="5" s="1"/>
  <c r="CC105" i="5"/>
  <c r="CE105" i="5" s="1"/>
  <c r="CH105" i="5" s="1"/>
  <c r="CB106" i="5"/>
  <c r="AX104" i="5"/>
  <c r="AZ104" i="5" s="1"/>
  <c r="AW105" i="5"/>
  <c r="BD103" i="5"/>
  <c r="BF103" i="5" s="1"/>
  <c r="BC103" i="5"/>
  <c r="BG103" i="5" s="1"/>
  <c r="D104" i="5" s="1"/>
  <c r="P104" i="5" s="1"/>
  <c r="AV109" i="5"/>
  <c r="BO109" i="5"/>
  <c r="BA109" i="5"/>
  <c r="CF109" i="5"/>
  <c r="CI109" i="5" s="1"/>
  <c r="AY109" i="5"/>
  <c r="CJ109" i="5"/>
  <c r="BE109" i="5"/>
  <c r="CA109" i="5"/>
  <c r="CA110" i="5" s="1"/>
  <c r="AC83" i="4"/>
  <c r="BP102" i="5"/>
  <c r="BR102" i="5" s="1"/>
  <c r="BS102" i="5" s="1"/>
  <c r="BW102" i="5" s="1"/>
  <c r="E103" i="5" s="1"/>
  <c r="Q103" i="5" s="1"/>
  <c r="BS101" i="5"/>
  <c r="BW101" i="5" s="1"/>
  <c r="E102" i="5" s="1"/>
  <c r="Q102" i="5" s="1"/>
  <c r="BQ109" i="5"/>
  <c r="BL107" i="5"/>
  <c r="BT106" i="5" s="1"/>
  <c r="AQ82" i="4"/>
  <c r="AD82" i="4"/>
  <c r="DA81" i="4"/>
  <c r="AW81" i="4"/>
  <c r="Z83" i="4"/>
  <c r="AA83" i="4"/>
  <c r="AT82" i="4" s="1"/>
  <c r="AE80" i="4"/>
  <c r="AG80" i="4" s="1"/>
  <c r="AB81" i="4"/>
  <c r="AU83" i="4"/>
  <c r="AF83" i="4"/>
  <c r="CE83" i="4"/>
  <c r="Y83" i="4"/>
  <c r="BV102" i="5"/>
  <c r="BP103" i="5"/>
  <c r="BN104" i="5" s="1"/>
  <c r="BN105" i="5" s="1"/>
  <c r="BN106" i="5" s="1"/>
  <c r="BN107" i="5" s="1"/>
  <c r="BN108" i="5" s="1"/>
  <c r="BN109" i="5" s="1"/>
  <c r="BM104" i="5"/>
  <c r="CD76" i="4"/>
  <c r="BK78" i="4"/>
  <c r="CD77" i="4" s="1"/>
  <c r="BV50" i="4"/>
  <c r="BX50" i="4" s="1"/>
  <c r="CK50" i="4" s="1"/>
  <c r="CL50" i="4" s="1"/>
  <c r="J101" i="4"/>
  <c r="CC62" i="4"/>
  <c r="BU109" i="5"/>
  <c r="AK109" i="5"/>
  <c r="AO109" i="5"/>
  <c r="AI109" i="5"/>
  <c r="CQ48" i="4"/>
  <c r="G67" i="4" s="1"/>
  <c r="F103" i="5"/>
  <c r="R103" i="5" s="1"/>
  <c r="CH50" i="4"/>
  <c r="CI50" i="4" s="1"/>
  <c r="CJ50" i="4" s="1"/>
  <c r="CF51" i="4" s="1"/>
  <c r="CM49" i="4"/>
  <c r="CN49" i="4" s="1"/>
  <c r="F68" i="4" s="1"/>
  <c r="CP49" i="4"/>
  <c r="AD112" i="5"/>
  <c r="AC113" i="5"/>
  <c r="BJ113" i="5"/>
  <c r="CR108" i="5"/>
  <c r="DC108" i="5"/>
  <c r="DK107" i="5" s="1"/>
  <c r="DM107" i="5" s="1"/>
  <c r="J108" i="5"/>
  <c r="V108" i="5" s="1"/>
  <c r="CY83" i="4"/>
  <c r="CS84" i="4" s="1"/>
  <c r="BP83" i="4"/>
  <c r="BI83" i="4"/>
  <c r="X83" i="4"/>
  <c r="K102" i="4" s="1"/>
  <c r="CT83" i="4"/>
  <c r="CZ82" i="4" s="1"/>
  <c r="CV83" i="4"/>
  <c r="CW82" i="4"/>
  <c r="CX82" i="4" s="1"/>
  <c r="DF82" i="4" s="1"/>
  <c r="CA82" i="4"/>
  <c r="DL109" i="5"/>
  <c r="DZ109" i="5"/>
  <c r="EB106" i="5"/>
  <c r="I107" i="5" s="1"/>
  <c r="U107" i="5" s="1"/>
  <c r="DN106" i="5"/>
  <c r="H107" i="5" s="1"/>
  <c r="T107" i="5" s="1"/>
  <c r="CX109" i="5"/>
  <c r="CY106" i="5"/>
  <c r="CZ106" i="5"/>
  <c r="G107" i="5" s="1"/>
  <c r="S107" i="5" s="1"/>
  <c r="DQ108" i="5"/>
  <c r="DY107" i="5" s="1"/>
  <c r="EA107" i="5" s="1"/>
  <c r="N109" i="5"/>
  <c r="DD79" i="4"/>
  <c r="DB81" i="4"/>
  <c r="DC81" i="4" s="1"/>
  <c r="DF108" i="5"/>
  <c r="DG108" i="5" s="1"/>
  <c r="DT108" i="5"/>
  <c r="DU108" i="5" s="1"/>
  <c r="CP109" i="5"/>
  <c r="CO109" i="5"/>
  <c r="CW108" i="5" s="1"/>
  <c r="CN109" i="5"/>
  <c r="DH109" i="5"/>
  <c r="BY109" i="5"/>
  <c r="CD109" i="5" s="1"/>
  <c r="B110" i="5"/>
  <c r="AA110" i="5"/>
  <c r="DV109" i="5"/>
  <c r="CT109" i="5"/>
  <c r="AB109" i="5"/>
  <c r="K110" i="5" s="1"/>
  <c r="W110" i="5" s="1"/>
  <c r="DR109" i="5"/>
  <c r="DP109" i="5"/>
  <c r="DS109" i="5"/>
  <c r="DE109" i="5"/>
  <c r="DD109" i="5"/>
  <c r="DB109" i="5"/>
  <c r="CS107" i="5"/>
  <c r="DW107" i="5"/>
  <c r="DX107" i="5" s="1"/>
  <c r="EB107" i="5" s="1"/>
  <c r="DI107" i="5"/>
  <c r="DJ107" i="5" s="1"/>
  <c r="CQ108" i="5"/>
  <c r="DG81" i="4"/>
  <c r="CU83" i="4"/>
  <c r="C102" i="4"/>
  <c r="W84" i="4"/>
  <c r="AV110" i="5" l="1"/>
  <c r="CK105" i="5"/>
  <c r="CL105" i="5"/>
  <c r="BZ110" i="5"/>
  <c r="CG110" i="5" s="1"/>
  <c r="BB106" i="5"/>
  <c r="AU107" i="5"/>
  <c r="AX105" i="5"/>
  <c r="AZ105" i="5" s="1"/>
  <c r="AW106" i="5"/>
  <c r="BD104" i="5"/>
  <c r="BF104" i="5" s="1"/>
  <c r="BC104" i="5"/>
  <c r="BG104" i="5" s="1"/>
  <c r="D105" i="5" s="1"/>
  <c r="P105" i="5" s="1"/>
  <c r="CF110" i="5"/>
  <c r="CI110" i="5" s="1"/>
  <c r="BA110" i="5"/>
  <c r="AV111" i="5" s="1"/>
  <c r="AY110" i="5"/>
  <c r="BE110" i="5"/>
  <c r="CJ110" i="5"/>
  <c r="CC106" i="5"/>
  <c r="CE106" i="5" s="1"/>
  <c r="CH106" i="5" s="1"/>
  <c r="CB107" i="5"/>
  <c r="BQ110" i="5"/>
  <c r="BO110" i="5"/>
  <c r="BN110" i="5"/>
  <c r="AC84" i="4"/>
  <c r="BK110" i="5"/>
  <c r="BR103" i="5"/>
  <c r="BS103" i="5" s="1"/>
  <c r="BW103" i="5" s="1"/>
  <c r="BL108" i="5"/>
  <c r="BT107" i="5" s="1"/>
  <c r="AQ83" i="4"/>
  <c r="AD83" i="4"/>
  <c r="DA82" i="4"/>
  <c r="J102" i="4"/>
  <c r="BY50" i="4"/>
  <c r="CO50" i="4" s="1"/>
  <c r="CP50" i="4" s="1"/>
  <c r="BN83" i="4"/>
  <c r="CE84" i="4"/>
  <c r="AF84" i="4"/>
  <c r="AU84" i="4"/>
  <c r="Y84" i="4"/>
  <c r="AE81" i="4"/>
  <c r="AG81" i="4" s="1"/>
  <c r="AB82" i="4"/>
  <c r="Z84" i="4"/>
  <c r="AA84" i="4"/>
  <c r="AT83" i="4" s="1"/>
  <c r="AW82" i="4"/>
  <c r="BP104" i="5"/>
  <c r="BM105" i="5"/>
  <c r="BV103" i="5"/>
  <c r="BZ62" i="4"/>
  <c r="CB62" i="4" s="1"/>
  <c r="BU110" i="5"/>
  <c r="AK110" i="5"/>
  <c r="AO110" i="5"/>
  <c r="AI110" i="5"/>
  <c r="CQ49" i="4"/>
  <c r="G68" i="4" s="1"/>
  <c r="CM50" i="4"/>
  <c r="CG51" i="4"/>
  <c r="BR51" i="4"/>
  <c r="BS63" i="4" s="1"/>
  <c r="BT75" i="4" s="1"/>
  <c r="BU87" i="4" s="1"/>
  <c r="CS108" i="5"/>
  <c r="CU108" i="5" s="1"/>
  <c r="CV108" i="5" s="1"/>
  <c r="AD113" i="5"/>
  <c r="AC114" i="5"/>
  <c r="BJ114" i="5"/>
  <c r="CR109" i="5"/>
  <c r="DC109" i="5"/>
  <c r="DK108" i="5" s="1"/>
  <c r="DM108" i="5" s="1"/>
  <c r="J109" i="5"/>
  <c r="V109" i="5" s="1"/>
  <c r="CW83" i="4"/>
  <c r="CX83" i="4" s="1"/>
  <c r="DF83" i="4" s="1"/>
  <c r="CA83" i="4"/>
  <c r="CV84" i="4"/>
  <c r="CY84" i="4"/>
  <c r="CS85" i="4" s="1"/>
  <c r="BP84" i="4"/>
  <c r="BI84" i="4"/>
  <c r="BN84" i="4" s="1"/>
  <c r="X84" i="4"/>
  <c r="K103" i="4" s="1"/>
  <c r="CT84" i="4"/>
  <c r="CZ83" i="4" s="1"/>
  <c r="DL110" i="5"/>
  <c r="DZ110" i="5"/>
  <c r="I108" i="5"/>
  <c r="U108" i="5" s="1"/>
  <c r="DN107" i="5"/>
  <c r="H108" i="5" s="1"/>
  <c r="T108" i="5" s="1"/>
  <c r="CY107" i="5"/>
  <c r="CX110" i="5"/>
  <c r="DQ109" i="5"/>
  <c r="DY108" i="5" s="1"/>
  <c r="EA108" i="5" s="1"/>
  <c r="N110" i="5"/>
  <c r="DE79" i="4"/>
  <c r="H98" i="4" s="1"/>
  <c r="DD80" i="4"/>
  <c r="DH80" i="4" s="1"/>
  <c r="I99" i="4" s="1"/>
  <c r="DH79" i="4"/>
  <c r="I98" i="4" s="1"/>
  <c r="DG82" i="4"/>
  <c r="DF109" i="5"/>
  <c r="DG109" i="5" s="1"/>
  <c r="DT109" i="5"/>
  <c r="DU109" i="5" s="1"/>
  <c r="DW109" i="5" s="1"/>
  <c r="DX109" i="5" s="1"/>
  <c r="DW108" i="5"/>
  <c r="DX108" i="5" s="1"/>
  <c r="CP110" i="5"/>
  <c r="CO110" i="5"/>
  <c r="CW109" i="5" s="1"/>
  <c r="CN110" i="5"/>
  <c r="B111" i="5"/>
  <c r="DH110" i="5"/>
  <c r="BY110" i="5"/>
  <c r="CD110" i="5" s="1"/>
  <c r="AA111" i="5"/>
  <c r="CT110" i="5"/>
  <c r="DV110" i="5"/>
  <c r="AB110" i="5"/>
  <c r="K111" i="5" s="1"/>
  <c r="W111" i="5" s="1"/>
  <c r="DS110" i="5"/>
  <c r="DR110" i="5"/>
  <c r="DP110" i="5"/>
  <c r="CQ109" i="5"/>
  <c r="CU107" i="5"/>
  <c r="CV107" i="5" s="1"/>
  <c r="DE110" i="5"/>
  <c r="DB110" i="5"/>
  <c r="DD110" i="5"/>
  <c r="DI108" i="5"/>
  <c r="DJ108" i="5" s="1"/>
  <c r="DN108" i="5" s="1"/>
  <c r="DB82" i="4"/>
  <c r="DC82" i="4" s="1"/>
  <c r="W85" i="4"/>
  <c r="C103" i="4"/>
  <c r="CU84" i="4"/>
  <c r="CK106" i="5" l="1"/>
  <c r="CL106" i="5"/>
  <c r="BZ111" i="5"/>
  <c r="CG111" i="5" s="1"/>
  <c r="AX106" i="5"/>
  <c r="AZ106" i="5" s="1"/>
  <c r="AW107" i="5"/>
  <c r="CA111" i="5"/>
  <c r="BD105" i="5"/>
  <c r="BF105" i="5" s="1"/>
  <c r="BC105" i="5"/>
  <c r="BG105" i="5" s="1"/>
  <c r="D106" i="5" s="1"/>
  <c r="P106" i="5" s="1"/>
  <c r="BB107" i="5"/>
  <c r="AU108" i="5"/>
  <c r="BO111" i="5"/>
  <c r="CF111" i="5"/>
  <c r="CI111" i="5" s="1"/>
  <c r="CJ111" i="5"/>
  <c r="BE111" i="5"/>
  <c r="AY111" i="5"/>
  <c r="BA111" i="5"/>
  <c r="CC107" i="5"/>
  <c r="CE107" i="5" s="1"/>
  <c r="CH107" i="5" s="1"/>
  <c r="CB108" i="5"/>
  <c r="BK111" i="5"/>
  <c r="BN111" i="5"/>
  <c r="AC85" i="4"/>
  <c r="BQ111" i="5"/>
  <c r="BL109" i="5"/>
  <c r="BT108" i="5" s="1"/>
  <c r="J103" i="4"/>
  <c r="AQ84" i="4"/>
  <c r="AD84" i="4"/>
  <c r="DA83" i="4"/>
  <c r="CS109" i="5"/>
  <c r="CU109" i="5" s="1"/>
  <c r="CV109" i="5" s="1"/>
  <c r="AE82" i="4"/>
  <c r="AG82" i="4" s="1"/>
  <c r="AB83" i="4"/>
  <c r="Z85" i="4"/>
  <c r="AA85" i="4"/>
  <c r="AT84" i="4" s="1"/>
  <c r="AW83" i="4"/>
  <c r="AF85" i="4"/>
  <c r="AU85" i="4"/>
  <c r="CE85" i="4"/>
  <c r="Y85" i="4"/>
  <c r="E104" i="5"/>
  <c r="Q104" i="5" s="1"/>
  <c r="E13" i="5"/>
  <c r="E29" i="5" s="1"/>
  <c r="BV104" i="5"/>
  <c r="BP105" i="5"/>
  <c r="BM106" i="5"/>
  <c r="AO111" i="5"/>
  <c r="BU111" i="5"/>
  <c r="AK111" i="5"/>
  <c r="AI111" i="5"/>
  <c r="F104" i="5"/>
  <c r="R104" i="5" s="1"/>
  <c r="CQ50" i="4"/>
  <c r="G69" i="4" s="1"/>
  <c r="BV51" i="4"/>
  <c r="BX51" i="4" s="1"/>
  <c r="CH51" i="4"/>
  <c r="CI51" i="4" s="1"/>
  <c r="CJ51" i="4" s="1"/>
  <c r="CF52" i="4" s="1"/>
  <c r="CN50" i="4"/>
  <c r="F69" i="4" s="1"/>
  <c r="AD114" i="5"/>
  <c r="AC115" i="5"/>
  <c r="BJ115" i="5"/>
  <c r="CR110" i="5"/>
  <c r="DC110" i="5"/>
  <c r="DK109" i="5" s="1"/>
  <c r="DM109" i="5" s="1"/>
  <c r="J110" i="5"/>
  <c r="V110" i="5" s="1"/>
  <c r="CA84" i="4"/>
  <c r="CT85" i="4"/>
  <c r="CZ84" i="4" s="1"/>
  <c r="CV85" i="4"/>
  <c r="CY85" i="4"/>
  <c r="CS86" i="4" s="1"/>
  <c r="BP85" i="4"/>
  <c r="BI85" i="4"/>
  <c r="BN85" i="4" s="1"/>
  <c r="X85" i="4"/>
  <c r="K104" i="4" s="1"/>
  <c r="CW84" i="4"/>
  <c r="CX84" i="4" s="1"/>
  <c r="DF84" i="4" s="1"/>
  <c r="DL111" i="5"/>
  <c r="DZ111" i="5"/>
  <c r="EB109" i="5"/>
  <c r="I110" i="5" s="1"/>
  <c r="U110" i="5" s="1"/>
  <c r="EB108" i="5"/>
  <c r="I109" i="5" s="1"/>
  <c r="U109" i="5" s="1"/>
  <c r="H109" i="5"/>
  <c r="T109" i="5" s="1"/>
  <c r="CZ107" i="5"/>
  <c r="G108" i="5" s="1"/>
  <c r="S108" i="5" s="1"/>
  <c r="CZ108" i="5"/>
  <c r="G109" i="5" s="1"/>
  <c r="S109" i="5" s="1"/>
  <c r="CY108" i="5"/>
  <c r="CX111" i="5"/>
  <c r="DQ110" i="5"/>
  <c r="DY109" i="5" s="1"/>
  <c r="EA109" i="5" s="1"/>
  <c r="N111" i="5"/>
  <c r="DE80" i="4"/>
  <c r="H99" i="4" s="1"/>
  <c r="DD81" i="4"/>
  <c r="DE81" i="4" s="1"/>
  <c r="H100" i="4" s="1"/>
  <c r="DF110" i="5"/>
  <c r="DG110" i="5" s="1"/>
  <c r="DI109" i="5"/>
  <c r="DJ109" i="5" s="1"/>
  <c r="DN109" i="5" s="1"/>
  <c r="CP111" i="5"/>
  <c r="CO111" i="5"/>
  <c r="CW110" i="5" s="1"/>
  <c r="CN111" i="5"/>
  <c r="B112" i="5"/>
  <c r="DH111" i="5"/>
  <c r="BY111" i="5"/>
  <c r="CD111" i="5" s="1"/>
  <c r="CT111" i="5"/>
  <c r="AA112" i="5"/>
  <c r="DV111" i="5"/>
  <c r="AB111" i="5"/>
  <c r="K112" i="5" s="1"/>
  <c r="W112" i="5" s="1"/>
  <c r="DT110" i="5"/>
  <c r="DU110" i="5" s="1"/>
  <c r="DB111" i="5"/>
  <c r="DE111" i="5"/>
  <c r="DD111" i="5"/>
  <c r="CQ110" i="5"/>
  <c r="DS111" i="5"/>
  <c r="DR111" i="5"/>
  <c r="DP111" i="5"/>
  <c r="DG83" i="4"/>
  <c r="DB83" i="4"/>
  <c r="DC83" i="4" s="1"/>
  <c r="CU85" i="4"/>
  <c r="W86" i="4"/>
  <c r="C104" i="4"/>
  <c r="CL107" i="5" l="1"/>
  <c r="CK107" i="5"/>
  <c r="AX107" i="5"/>
  <c r="AZ107" i="5" s="1"/>
  <c r="AW108" i="5"/>
  <c r="BZ112" i="5"/>
  <c r="CG112" i="5" s="1"/>
  <c r="BD106" i="5"/>
  <c r="BF106" i="5" s="1"/>
  <c r="BC106" i="5"/>
  <c r="BG106" i="5" s="1"/>
  <c r="D107" i="5" s="1"/>
  <c r="P107" i="5" s="1"/>
  <c r="BB108" i="5"/>
  <c r="AU109" i="5"/>
  <c r="AV112" i="5"/>
  <c r="BO112" i="5"/>
  <c r="CJ112" i="5"/>
  <c r="CF112" i="5"/>
  <c r="CI112" i="5" s="1"/>
  <c r="AY112" i="5"/>
  <c r="BA112" i="5"/>
  <c r="BE112" i="5"/>
  <c r="CC108" i="5"/>
  <c r="CE108" i="5" s="1"/>
  <c r="CH108" i="5" s="1"/>
  <c r="CB109" i="5"/>
  <c r="CA112" i="5"/>
  <c r="BK112" i="5"/>
  <c r="BN112" i="5"/>
  <c r="J104" i="4"/>
  <c r="AC86" i="4"/>
  <c r="BR104" i="5"/>
  <c r="BS104" i="5" s="1"/>
  <c r="BW104" i="5" s="1"/>
  <c r="E105" i="5" s="1"/>
  <c r="Q105" i="5" s="1"/>
  <c r="BQ112" i="5"/>
  <c r="BL110" i="5"/>
  <c r="BT109" i="5" s="1"/>
  <c r="DA84" i="4"/>
  <c r="AQ85" i="4"/>
  <c r="AD85" i="4"/>
  <c r="AE83" i="4"/>
  <c r="AG83" i="4" s="1"/>
  <c r="AB84" i="4"/>
  <c r="Z86" i="4"/>
  <c r="AA86" i="4"/>
  <c r="AT85" i="4" s="1"/>
  <c r="AU86" i="4"/>
  <c r="AF86" i="4"/>
  <c r="CE86" i="4"/>
  <c r="Y86" i="4"/>
  <c r="BM107" i="5"/>
  <c r="BP106" i="5"/>
  <c r="BV105" i="5"/>
  <c r="AK112" i="5"/>
  <c r="AO112" i="5"/>
  <c r="BU112" i="5"/>
  <c r="AI112" i="5"/>
  <c r="CG52" i="4"/>
  <c r="CH52" i="4" s="1"/>
  <c r="CI52" i="4" s="1"/>
  <c r="CJ52" i="4" s="1"/>
  <c r="CF53" i="4" s="1"/>
  <c r="BR52" i="4"/>
  <c r="BS64" i="4" s="1"/>
  <c r="BT76" i="4" s="1"/>
  <c r="BU88" i="4" s="1"/>
  <c r="F105" i="5"/>
  <c r="R105" i="5" s="1"/>
  <c r="CC63" i="4"/>
  <c r="BZ63" i="4"/>
  <c r="CB63" i="4" s="1"/>
  <c r="BY51" i="4"/>
  <c r="CO51" i="4" s="1"/>
  <c r="CK51" i="4"/>
  <c r="CL51" i="4" s="1"/>
  <c r="AD115" i="5"/>
  <c r="AC116" i="5"/>
  <c r="CS110" i="5"/>
  <c r="CU110" i="5" s="1"/>
  <c r="CV110" i="5" s="1"/>
  <c r="BJ116" i="5"/>
  <c r="DT111" i="5"/>
  <c r="DU111" i="5" s="1"/>
  <c r="DC111" i="5"/>
  <c r="DK110" i="5" s="1"/>
  <c r="DM110" i="5" s="1"/>
  <c r="J111" i="5"/>
  <c r="V111" i="5" s="1"/>
  <c r="CV86" i="4"/>
  <c r="CT86" i="4"/>
  <c r="CZ85" i="4" s="1"/>
  <c r="CW85" i="4"/>
  <c r="CX85" i="4" s="1"/>
  <c r="DF85" i="4" s="1"/>
  <c r="CA85" i="4"/>
  <c r="CY86" i="4"/>
  <c r="CS87" i="4" s="1"/>
  <c r="BP86" i="4"/>
  <c r="BI86" i="4"/>
  <c r="X86" i="4"/>
  <c r="K105" i="4" s="1"/>
  <c r="DL112" i="5"/>
  <c r="DZ112" i="5"/>
  <c r="H110" i="5"/>
  <c r="T110" i="5" s="1"/>
  <c r="CX112" i="5"/>
  <c r="CY109" i="5"/>
  <c r="CZ109" i="5"/>
  <c r="G110" i="5" s="1"/>
  <c r="S110" i="5" s="1"/>
  <c r="DQ111" i="5"/>
  <c r="DY110" i="5" s="1"/>
  <c r="EA110" i="5" s="1"/>
  <c r="N112" i="5"/>
  <c r="DD82" i="4"/>
  <c r="DH82" i="4" s="1"/>
  <c r="I101" i="4" s="1"/>
  <c r="DH81" i="4"/>
  <c r="I100" i="4" s="1"/>
  <c r="DB84" i="4"/>
  <c r="DC84" i="4" s="1"/>
  <c r="DF111" i="5"/>
  <c r="DG111" i="5" s="1"/>
  <c r="DI111" i="5" s="1"/>
  <c r="DJ111" i="5" s="1"/>
  <c r="DB112" i="5"/>
  <c r="DD112" i="5"/>
  <c r="DE112" i="5"/>
  <c r="CQ111" i="5"/>
  <c r="CQ112" i="5" s="1"/>
  <c r="B113" i="5"/>
  <c r="DH112" i="5"/>
  <c r="BY112" i="5"/>
  <c r="CD112" i="5" s="1"/>
  <c r="CT112" i="5"/>
  <c r="DV112" i="5"/>
  <c r="AA113" i="5"/>
  <c r="AB112" i="5"/>
  <c r="K113" i="5" s="1"/>
  <c r="W113" i="5" s="1"/>
  <c r="CR111" i="5"/>
  <c r="CP112" i="5"/>
  <c r="CO112" i="5"/>
  <c r="CW111" i="5" s="1"/>
  <c r="CN112" i="5"/>
  <c r="DI110" i="5"/>
  <c r="DJ110" i="5" s="1"/>
  <c r="DS112" i="5"/>
  <c r="DR112" i="5"/>
  <c r="DP112" i="5"/>
  <c r="DW110" i="5"/>
  <c r="DX110" i="5" s="1"/>
  <c r="DG84" i="4"/>
  <c r="W87" i="4"/>
  <c r="C105" i="4"/>
  <c r="CU86" i="4"/>
  <c r="CA113" i="5" l="1"/>
  <c r="BK113" i="5"/>
  <c r="CL108" i="5"/>
  <c r="CK108" i="5"/>
  <c r="AV113" i="5"/>
  <c r="BB109" i="5"/>
  <c r="AU110" i="5"/>
  <c r="AX108" i="5"/>
  <c r="AZ108" i="5" s="1"/>
  <c r="AW109" i="5"/>
  <c r="BD107" i="5"/>
  <c r="BF107" i="5" s="1"/>
  <c r="BC107" i="5"/>
  <c r="BG107" i="5" s="1"/>
  <c r="D108" i="5" s="1"/>
  <c r="P108" i="5" s="1"/>
  <c r="CC109" i="5"/>
  <c r="CE109" i="5" s="1"/>
  <c r="CH109" i="5" s="1"/>
  <c r="CB110" i="5"/>
  <c r="BO113" i="5"/>
  <c r="CF113" i="5"/>
  <c r="CI113" i="5" s="1"/>
  <c r="CJ113" i="5"/>
  <c r="BA113" i="5"/>
  <c r="AY113" i="5"/>
  <c r="BE113" i="5"/>
  <c r="BZ113" i="5"/>
  <c r="CG113" i="5" s="1"/>
  <c r="J105" i="4"/>
  <c r="DA85" i="4"/>
  <c r="AC87" i="4"/>
  <c r="BN113" i="5"/>
  <c r="BR105" i="5"/>
  <c r="BS105" i="5" s="1"/>
  <c r="BW105" i="5" s="1"/>
  <c r="E106" i="5" s="1"/>
  <c r="Q106" i="5" s="1"/>
  <c r="BQ113" i="5"/>
  <c r="BK114" i="5" s="1"/>
  <c r="BL111" i="5"/>
  <c r="BT110" i="5" s="1"/>
  <c r="AQ86" i="4"/>
  <c r="AD86" i="4"/>
  <c r="BV106" i="5"/>
  <c r="BN86" i="4"/>
  <c r="Z87" i="4"/>
  <c r="AA87" i="4"/>
  <c r="AT86" i="4" s="1"/>
  <c r="AW85" i="4"/>
  <c r="AF87" i="4"/>
  <c r="CE87" i="4"/>
  <c r="AU87" i="4"/>
  <c r="Y87" i="4"/>
  <c r="AE84" i="4"/>
  <c r="AB85" i="4"/>
  <c r="BM108" i="5"/>
  <c r="BP107" i="5"/>
  <c r="BU113" i="5"/>
  <c r="AK113" i="5"/>
  <c r="AO113" i="5"/>
  <c r="AI113" i="5"/>
  <c r="CG53" i="4"/>
  <c r="CM51" i="4"/>
  <c r="CN51" i="4" s="1"/>
  <c r="F70" i="4" s="1"/>
  <c r="CP51" i="4"/>
  <c r="F106" i="5"/>
  <c r="R106" i="5" s="1"/>
  <c r="BR53" i="4"/>
  <c r="BS65" i="4" s="1"/>
  <c r="BT77" i="4" s="1"/>
  <c r="BU89" i="4" s="1"/>
  <c r="BV52" i="4"/>
  <c r="BX52" i="4" s="1"/>
  <c r="AD116" i="5"/>
  <c r="AC117" i="5"/>
  <c r="BJ117" i="5"/>
  <c r="DC112" i="5"/>
  <c r="DK111" i="5" s="1"/>
  <c r="DM111" i="5" s="1"/>
  <c r="J112" i="5"/>
  <c r="V112" i="5" s="1"/>
  <c r="CY87" i="4"/>
  <c r="CS88" i="4" s="1"/>
  <c r="BP87" i="4"/>
  <c r="BI87" i="4"/>
  <c r="BN87" i="4" s="1"/>
  <c r="X87" i="4"/>
  <c r="K106" i="4" s="1"/>
  <c r="CT87" i="4"/>
  <c r="CV87" i="4"/>
  <c r="CW86" i="4"/>
  <c r="CX86" i="4" s="1"/>
  <c r="DF86" i="4" s="1"/>
  <c r="CA86" i="4"/>
  <c r="DL113" i="5"/>
  <c r="DZ113" i="5"/>
  <c r="EB110" i="5"/>
  <c r="I111" i="5" s="1"/>
  <c r="U111" i="5" s="1"/>
  <c r="DN111" i="5"/>
  <c r="H112" i="5" s="1"/>
  <c r="T112" i="5" s="1"/>
  <c r="DN110" i="5"/>
  <c r="H111" i="5" s="1"/>
  <c r="T111" i="5" s="1"/>
  <c r="CZ110" i="5"/>
  <c r="G111" i="5" s="1"/>
  <c r="S111" i="5" s="1"/>
  <c r="CY110" i="5"/>
  <c r="CX113" i="5"/>
  <c r="DQ112" i="5"/>
  <c r="DY111" i="5" s="1"/>
  <c r="EA111" i="5" s="1"/>
  <c r="N113" i="5"/>
  <c r="DE82" i="4"/>
  <c r="H101" i="4" s="1"/>
  <c r="DD83" i="4"/>
  <c r="DE83" i="4" s="1"/>
  <c r="H102" i="4" s="1"/>
  <c r="DG85" i="4"/>
  <c r="DT112" i="5"/>
  <c r="DU112" i="5" s="1"/>
  <c r="CQ113" i="5"/>
  <c r="CP113" i="5"/>
  <c r="CN113" i="5"/>
  <c r="CO113" i="5"/>
  <c r="CW112" i="5" s="1"/>
  <c r="CR112" i="5"/>
  <c r="CS112" i="5" s="1"/>
  <c r="DW111" i="5"/>
  <c r="DX111" i="5" s="1"/>
  <c r="DF112" i="5"/>
  <c r="DG112" i="5" s="1"/>
  <c r="B114" i="5"/>
  <c r="DV113" i="5"/>
  <c r="CT113" i="5"/>
  <c r="DH113" i="5"/>
  <c r="BY113" i="5"/>
  <c r="CD113" i="5" s="1"/>
  <c r="AA114" i="5"/>
  <c r="AB113" i="5"/>
  <c r="K114" i="5" s="1"/>
  <c r="W114" i="5" s="1"/>
  <c r="DD113" i="5"/>
  <c r="DB113" i="5"/>
  <c r="DE113" i="5"/>
  <c r="CS111" i="5"/>
  <c r="DS113" i="5"/>
  <c r="DP113" i="5"/>
  <c r="DR113" i="5"/>
  <c r="DB85" i="4"/>
  <c r="DC85" i="4" s="1"/>
  <c r="CU87" i="4"/>
  <c r="W88" i="4"/>
  <c r="C106" i="4"/>
  <c r="J106" i="4" l="1"/>
  <c r="CK109" i="5"/>
  <c r="CL109" i="5"/>
  <c r="BZ114" i="5"/>
  <c r="CG114" i="5" s="1"/>
  <c r="BD108" i="5"/>
  <c r="BF108" i="5" s="1"/>
  <c r="BC108" i="5"/>
  <c r="BG108" i="5" s="1"/>
  <c r="D109" i="5" s="1"/>
  <c r="P109" i="5" s="1"/>
  <c r="BB110" i="5"/>
  <c r="AU111" i="5"/>
  <c r="CC110" i="5"/>
  <c r="CE110" i="5" s="1"/>
  <c r="CH110" i="5" s="1"/>
  <c r="CB111" i="5"/>
  <c r="AV114" i="5"/>
  <c r="CA114" i="5"/>
  <c r="BO114" i="5"/>
  <c r="CF114" i="5"/>
  <c r="CI114" i="5" s="1"/>
  <c r="CJ114" i="5"/>
  <c r="BA114" i="5"/>
  <c r="BE114" i="5"/>
  <c r="AY114" i="5"/>
  <c r="AX109" i="5"/>
  <c r="AZ109" i="5" s="1"/>
  <c r="AW110" i="5"/>
  <c r="BN114" i="5"/>
  <c r="AC88" i="4"/>
  <c r="AG84" i="4"/>
  <c r="BR106" i="5"/>
  <c r="BS106" i="5" s="1"/>
  <c r="BW106" i="5" s="1"/>
  <c r="E107" i="5" s="1"/>
  <c r="Q107" i="5" s="1"/>
  <c r="BQ114" i="5"/>
  <c r="BK115" i="5" s="1"/>
  <c r="BL112" i="5"/>
  <c r="BT111" i="5" s="1"/>
  <c r="AQ87" i="4"/>
  <c r="AD87" i="4"/>
  <c r="BV107" i="5"/>
  <c r="Z88" i="4"/>
  <c r="AA88" i="4"/>
  <c r="AT87" i="4" s="1"/>
  <c r="AW86" i="4"/>
  <c r="AU88" i="4"/>
  <c r="AF88" i="4"/>
  <c r="CE88" i="4"/>
  <c r="Y88" i="4"/>
  <c r="AE85" i="4"/>
  <c r="AG85" i="4" s="1"/>
  <c r="AB86" i="4"/>
  <c r="BP108" i="5"/>
  <c r="BM109" i="5"/>
  <c r="AO114" i="5"/>
  <c r="AK114" i="5"/>
  <c r="BU114" i="5"/>
  <c r="AI114" i="5"/>
  <c r="DC113" i="5"/>
  <c r="DK112" i="5" s="1"/>
  <c r="DM112" i="5" s="1"/>
  <c r="CQ51" i="4"/>
  <c r="G70" i="4" s="1"/>
  <c r="BY52" i="4"/>
  <c r="CO52" i="4" s="1"/>
  <c r="CK52" i="4"/>
  <c r="CL52" i="4" s="1"/>
  <c r="CH53" i="4"/>
  <c r="CI53" i="4" s="1"/>
  <c r="CJ53" i="4" s="1"/>
  <c r="CC64" i="4"/>
  <c r="BZ64" i="4"/>
  <c r="CB64" i="4" s="1"/>
  <c r="BV53" i="4"/>
  <c r="BX53" i="4" s="1"/>
  <c r="F107" i="5"/>
  <c r="R107" i="5" s="1"/>
  <c r="AD117" i="5"/>
  <c r="AC118" i="5"/>
  <c r="BJ118" i="5"/>
  <c r="DF113" i="5"/>
  <c r="DG113" i="5" s="1"/>
  <c r="CT88" i="4"/>
  <c r="CZ87" i="4" s="1"/>
  <c r="J113" i="5"/>
  <c r="V113" i="5" s="1"/>
  <c r="CW87" i="4"/>
  <c r="CX87" i="4" s="1"/>
  <c r="DF87" i="4" s="1"/>
  <c r="CA87" i="4"/>
  <c r="CZ86" i="4"/>
  <c r="DA86" i="4" s="1"/>
  <c r="BP88" i="4"/>
  <c r="CY88" i="4"/>
  <c r="CS89" i="4" s="1"/>
  <c r="BI88" i="4"/>
  <c r="CA88" i="4" s="1"/>
  <c r="X88" i="4"/>
  <c r="K107" i="4" s="1"/>
  <c r="CV88" i="4"/>
  <c r="DL114" i="5"/>
  <c r="DZ114" i="5"/>
  <c r="EB111" i="5"/>
  <c r="I112" i="5" s="1"/>
  <c r="U112" i="5" s="1"/>
  <c r="CY111" i="5"/>
  <c r="CX114" i="5"/>
  <c r="DQ113" i="5"/>
  <c r="DY112" i="5" s="1"/>
  <c r="EA112" i="5" s="1"/>
  <c r="N114" i="5"/>
  <c r="DH83" i="4"/>
  <c r="I102" i="4" s="1"/>
  <c r="DD84" i="4"/>
  <c r="DE84" i="4" s="1"/>
  <c r="H103" i="4" s="1"/>
  <c r="DG86" i="4"/>
  <c r="DT113" i="5"/>
  <c r="DU113" i="5" s="1"/>
  <c r="DI112" i="5"/>
  <c r="DJ112" i="5" s="1"/>
  <c r="DN112" i="5" s="1"/>
  <c r="CU112" i="5"/>
  <c r="CV112" i="5" s="1"/>
  <c r="CR113" i="5"/>
  <c r="CS113" i="5" s="1"/>
  <c r="DW112" i="5"/>
  <c r="DX112" i="5" s="1"/>
  <c r="DE114" i="5"/>
  <c r="DD114" i="5"/>
  <c r="DB114" i="5"/>
  <c r="CQ114" i="5"/>
  <c r="CN114" i="5"/>
  <c r="CO114" i="5"/>
  <c r="CW113" i="5" s="1"/>
  <c r="CP114" i="5"/>
  <c r="DP114" i="5"/>
  <c r="DS114" i="5"/>
  <c r="DR114" i="5"/>
  <c r="CU111" i="5"/>
  <c r="CV111" i="5" s="1"/>
  <c r="B115" i="5"/>
  <c r="DV114" i="5"/>
  <c r="CT114" i="5"/>
  <c r="AA115" i="5"/>
  <c r="BY114" i="5"/>
  <c r="CD114" i="5" s="1"/>
  <c r="DH114" i="5"/>
  <c r="AB114" i="5"/>
  <c r="K115" i="5" s="1"/>
  <c r="W115" i="5" s="1"/>
  <c r="DB86" i="4"/>
  <c r="DC86" i="4" s="1"/>
  <c r="CU88" i="4"/>
  <c r="W89" i="4"/>
  <c r="C107" i="4"/>
  <c r="J107" i="4" s="1"/>
  <c r="CA115" i="5" l="1"/>
  <c r="AV115" i="5"/>
  <c r="CL110" i="5"/>
  <c r="CK110" i="5"/>
  <c r="BB111" i="5"/>
  <c r="AU112" i="5"/>
  <c r="AX110" i="5"/>
  <c r="AZ110" i="5" s="1"/>
  <c r="AW111" i="5"/>
  <c r="CC111" i="5"/>
  <c r="CE111" i="5" s="1"/>
  <c r="CH111" i="5" s="1"/>
  <c r="CB112" i="5"/>
  <c r="BD109" i="5"/>
  <c r="BF109" i="5" s="1"/>
  <c r="BC109" i="5"/>
  <c r="BG109" i="5" s="1"/>
  <c r="D110" i="5" s="1"/>
  <c r="P110" i="5" s="1"/>
  <c r="CJ115" i="5"/>
  <c r="CF115" i="5"/>
  <c r="BB115" i="5"/>
  <c r="BE115" i="5"/>
  <c r="BA115" i="5"/>
  <c r="AY115" i="5"/>
  <c r="BZ115" i="5"/>
  <c r="CG115" i="5" s="1"/>
  <c r="BQ115" i="5"/>
  <c r="BO115" i="5"/>
  <c r="AC89" i="4"/>
  <c r="BN115" i="5"/>
  <c r="BR107" i="5"/>
  <c r="BS107" i="5" s="1"/>
  <c r="BW107" i="5" s="1"/>
  <c r="E108" i="5" s="1"/>
  <c r="Q108" i="5" s="1"/>
  <c r="BL113" i="5"/>
  <c r="BT112" i="5" s="1"/>
  <c r="BR115" i="5"/>
  <c r="AL115" i="5"/>
  <c r="AQ88" i="4"/>
  <c r="AD88" i="4"/>
  <c r="BV108" i="5"/>
  <c r="AE86" i="4"/>
  <c r="AG86" i="4" s="1"/>
  <c r="AB87" i="4"/>
  <c r="Z89" i="4"/>
  <c r="AA89" i="4"/>
  <c r="AT88" i="4" s="1"/>
  <c r="AW87" i="4"/>
  <c r="BN88" i="4"/>
  <c r="AF89" i="4"/>
  <c r="CE89" i="4"/>
  <c r="AU89" i="4"/>
  <c r="Y89" i="4"/>
  <c r="AW84" i="4"/>
  <c r="BM110" i="5"/>
  <c r="BP109" i="5"/>
  <c r="BU115" i="5"/>
  <c r="AK115" i="5"/>
  <c r="AO115" i="5"/>
  <c r="AI115" i="5"/>
  <c r="DC114" i="5"/>
  <c r="DK113" i="5" s="1"/>
  <c r="DM113" i="5" s="1"/>
  <c r="CM52" i="4"/>
  <c r="CP52" i="4"/>
  <c r="BR54" i="4"/>
  <c r="BS66" i="4" s="1"/>
  <c r="BT78" i="4" s="1"/>
  <c r="BU90" i="4" s="1"/>
  <c r="BY53" i="4"/>
  <c r="CO53" i="4" s="1"/>
  <c r="CK53" i="4"/>
  <c r="CL53" i="4" s="1"/>
  <c r="CC65" i="4"/>
  <c r="BZ65" i="4"/>
  <c r="CB65" i="4" s="1"/>
  <c r="F108" i="5"/>
  <c r="R108" i="5" s="1"/>
  <c r="AD118" i="5"/>
  <c r="AC119" i="5"/>
  <c r="BJ119" i="5"/>
  <c r="CR114" i="5"/>
  <c r="CS114" i="5" s="1"/>
  <c r="J114" i="5"/>
  <c r="V114" i="5" s="1"/>
  <c r="DA87" i="4"/>
  <c r="CV89" i="4"/>
  <c r="CT89" i="4"/>
  <c r="CZ88" i="4" s="1"/>
  <c r="CW88" i="4"/>
  <c r="CX88" i="4" s="1"/>
  <c r="DF88" i="4" s="1"/>
  <c r="BP89" i="4"/>
  <c r="CY89" i="4"/>
  <c r="CS90" i="4" s="1"/>
  <c r="BI89" i="4"/>
  <c r="BN89" i="4" s="1"/>
  <c r="X89" i="4"/>
  <c r="K108" i="4" s="1"/>
  <c r="DL115" i="5"/>
  <c r="DZ115" i="5"/>
  <c r="EB112" i="5"/>
  <c r="I113" i="5" s="1"/>
  <c r="U113" i="5" s="1"/>
  <c r="H113" i="5"/>
  <c r="T113" i="5" s="1"/>
  <c r="CX115" i="5"/>
  <c r="CZ111" i="5"/>
  <c r="G112" i="5" s="1"/>
  <c r="S112" i="5" s="1"/>
  <c r="CY112" i="5"/>
  <c r="CZ112" i="5"/>
  <c r="G113" i="5" s="1"/>
  <c r="S113" i="5" s="1"/>
  <c r="DQ114" i="5"/>
  <c r="DY113" i="5" s="1"/>
  <c r="EA113" i="5" s="1"/>
  <c r="N115" i="5"/>
  <c r="DH84" i="4"/>
  <c r="I103" i="4" s="1"/>
  <c r="DD85" i="4"/>
  <c r="DE85" i="4" s="1"/>
  <c r="H104" i="4" s="1"/>
  <c r="DG87" i="4"/>
  <c r="DT114" i="5"/>
  <c r="DU114" i="5" s="1"/>
  <c r="DI113" i="5"/>
  <c r="DJ113" i="5" s="1"/>
  <c r="CN115" i="5"/>
  <c r="CO115" i="5"/>
  <c r="CW114" i="5" s="1"/>
  <c r="CP115" i="5"/>
  <c r="CQ115" i="5"/>
  <c r="DF114" i="5"/>
  <c r="DG114" i="5" s="1"/>
  <c r="DP115" i="5"/>
  <c r="DR115" i="5"/>
  <c r="DS115" i="5"/>
  <c r="B116" i="5"/>
  <c r="A105" i="5" s="1"/>
  <c r="AA116" i="5"/>
  <c r="DV115" i="5"/>
  <c r="CT115" i="5"/>
  <c r="DI115" i="5"/>
  <c r="DH115" i="5"/>
  <c r="BY115" i="5"/>
  <c r="CD115" i="5" s="1"/>
  <c r="AB115" i="5"/>
  <c r="K116" i="5" s="1"/>
  <c r="W116" i="5" s="1"/>
  <c r="CU113" i="5"/>
  <c r="CV113" i="5" s="1"/>
  <c r="DE115" i="5"/>
  <c r="DD115" i="5"/>
  <c r="DB115" i="5"/>
  <c r="DW113" i="5"/>
  <c r="DX113" i="5" s="1"/>
  <c r="DB87" i="4"/>
  <c r="DC87" i="4" s="1"/>
  <c r="C108" i="4"/>
  <c r="J108" i="4" s="1"/>
  <c r="W90" i="4"/>
  <c r="AG90" i="4" s="1"/>
  <c r="CU89" i="4"/>
  <c r="CL111" i="5" l="1"/>
  <c r="CK111" i="5"/>
  <c r="BB112" i="5"/>
  <c r="AU113" i="5"/>
  <c r="BZ116" i="5"/>
  <c r="CG116" i="5" s="1"/>
  <c r="BO116" i="5"/>
  <c r="CF116" i="5"/>
  <c r="CI116" i="5" s="1"/>
  <c r="BA116" i="5"/>
  <c r="AY116" i="5"/>
  <c r="CJ116" i="5"/>
  <c r="BE116" i="5"/>
  <c r="CC112" i="5"/>
  <c r="CE112" i="5" s="1"/>
  <c r="CH112" i="5" s="1"/>
  <c r="CB113" i="5"/>
  <c r="CA116" i="5"/>
  <c r="AX111" i="5"/>
  <c r="AZ111" i="5" s="1"/>
  <c r="AW112" i="5"/>
  <c r="BD110" i="5"/>
  <c r="BF110" i="5" s="1"/>
  <c r="BC110" i="5"/>
  <c r="BG110" i="5" s="1"/>
  <c r="D111" i="5" s="1"/>
  <c r="P111" i="5" s="1"/>
  <c r="AC90" i="4"/>
  <c r="BR108" i="5"/>
  <c r="BS108" i="5" s="1"/>
  <c r="BW108" i="5" s="1"/>
  <c r="E109" i="5" s="1"/>
  <c r="Q109" i="5" s="1"/>
  <c r="BQ116" i="5"/>
  <c r="BL114" i="5"/>
  <c r="BT113" i="5" s="1"/>
  <c r="AQ89" i="4"/>
  <c r="AD89" i="4"/>
  <c r="AF90" i="4"/>
  <c r="Y90" i="4"/>
  <c r="Z90" i="4"/>
  <c r="AA90" i="4"/>
  <c r="AT89" i="4" s="1"/>
  <c r="AW88" i="4"/>
  <c r="AE87" i="4"/>
  <c r="AG87" i="4" s="1"/>
  <c r="AB88" i="4"/>
  <c r="BP110" i="5"/>
  <c r="BM111" i="5"/>
  <c r="AI116" i="5"/>
  <c r="BU116" i="5"/>
  <c r="AO116" i="5"/>
  <c r="AK116" i="5"/>
  <c r="CQ52" i="4"/>
  <c r="G71" i="4" s="1"/>
  <c r="DC115" i="5"/>
  <c r="DK114" i="5" s="1"/>
  <c r="DM114" i="5" s="1"/>
  <c r="BV54" i="4"/>
  <c r="BX54" i="4" s="1"/>
  <c r="CE54" i="4" s="1"/>
  <c r="F109" i="5"/>
  <c r="R109" i="5" s="1"/>
  <c r="CM53" i="4"/>
  <c r="CP53" i="4"/>
  <c r="CN52" i="4"/>
  <c r="F71" i="4" s="1"/>
  <c r="AD119" i="5"/>
  <c r="AC120" i="5"/>
  <c r="BJ120" i="5"/>
  <c r="DF115" i="5"/>
  <c r="DG115" i="5" s="1"/>
  <c r="DJ115" i="5" s="1"/>
  <c r="DB116" i="5" s="1"/>
  <c r="J115" i="5"/>
  <c r="V115" i="5" s="1"/>
  <c r="DA88" i="4"/>
  <c r="CV90" i="4"/>
  <c r="CW89" i="4"/>
  <c r="CX89" i="4" s="1"/>
  <c r="DF89" i="4" s="1"/>
  <c r="CA89" i="4"/>
  <c r="CY90" i="4"/>
  <c r="CS91" i="4" s="1"/>
  <c r="BP90" i="4"/>
  <c r="BI90" i="4"/>
  <c r="X90" i="4"/>
  <c r="K109" i="4" s="1"/>
  <c r="CT90" i="4"/>
  <c r="CZ89" i="4" s="1"/>
  <c r="DL116" i="5"/>
  <c r="DZ116" i="5"/>
  <c r="EB113" i="5"/>
  <c r="I114" i="5" s="1"/>
  <c r="U114" i="5" s="1"/>
  <c r="DN113" i="5"/>
  <c r="H114" i="5" s="1"/>
  <c r="T114" i="5" s="1"/>
  <c r="CY113" i="5"/>
  <c r="CZ113" i="5"/>
  <c r="G114" i="5" s="1"/>
  <c r="S114" i="5" s="1"/>
  <c r="CX116" i="5"/>
  <c r="DQ115" i="5"/>
  <c r="DY114" i="5" s="1"/>
  <c r="EA114" i="5" s="1"/>
  <c r="DD86" i="4"/>
  <c r="DH86" i="4" s="1"/>
  <c r="I105" i="4" s="1"/>
  <c r="DH85" i="4"/>
  <c r="I104" i="4" s="1"/>
  <c r="N116" i="5"/>
  <c r="DG88" i="4"/>
  <c r="DT115" i="5"/>
  <c r="DU115" i="5" s="1"/>
  <c r="CR115" i="5"/>
  <c r="CS115" i="5" s="1"/>
  <c r="CQ116" i="5" s="1"/>
  <c r="DI114" i="5"/>
  <c r="DJ114" i="5" s="1"/>
  <c r="B117" i="5"/>
  <c r="AA117" i="5"/>
  <c r="DF116" i="5"/>
  <c r="DV116" i="5"/>
  <c r="CT116" i="5"/>
  <c r="DH116" i="5"/>
  <c r="BY116" i="5"/>
  <c r="CR116" i="5" s="1"/>
  <c r="AB116" i="5"/>
  <c r="K117" i="5" s="1"/>
  <c r="W117" i="5" s="1"/>
  <c r="CO116" i="5"/>
  <c r="CW115" i="5" s="1"/>
  <c r="CN116" i="5"/>
  <c r="CP116" i="5"/>
  <c r="CU114" i="5"/>
  <c r="CV114" i="5" s="1"/>
  <c r="DP116" i="5"/>
  <c r="DR116" i="5"/>
  <c r="DW114" i="5"/>
  <c r="DX114" i="5" s="1"/>
  <c r="DB88" i="4"/>
  <c r="DC88" i="4" s="1"/>
  <c r="W91" i="4"/>
  <c r="AD91" i="4" s="1"/>
  <c r="C109" i="4"/>
  <c r="J109" i="4" s="1"/>
  <c r="CU90" i="4"/>
  <c r="CA117" i="5" l="1"/>
  <c r="CL112" i="5"/>
  <c r="CK112" i="5"/>
  <c r="AX112" i="5"/>
  <c r="AZ112" i="5" s="1"/>
  <c r="AW113" i="5"/>
  <c r="BD111" i="5"/>
  <c r="BF111" i="5" s="1"/>
  <c r="BC111" i="5"/>
  <c r="BG111" i="5" s="1"/>
  <c r="D112" i="5" s="1"/>
  <c r="P112" i="5" s="1"/>
  <c r="BO117" i="5"/>
  <c r="CF117" i="5"/>
  <c r="CI117" i="5" s="1"/>
  <c r="AY117" i="5"/>
  <c r="CJ117" i="5"/>
  <c r="BA117" i="5"/>
  <c r="BE117" i="5"/>
  <c r="CC113" i="5"/>
  <c r="CE113" i="5" s="1"/>
  <c r="CH113" i="5" s="1"/>
  <c r="CB114" i="5"/>
  <c r="BB113" i="5"/>
  <c r="AU114" i="5"/>
  <c r="CD116" i="5"/>
  <c r="BZ117" i="5"/>
  <c r="CG117" i="5" s="1"/>
  <c r="BV109" i="5"/>
  <c r="BV110" i="5" s="1"/>
  <c r="BV111" i="5" s="1"/>
  <c r="BV112" i="5" s="1"/>
  <c r="BR109" i="5"/>
  <c r="BS109" i="5" s="1"/>
  <c r="BW109" i="5" s="1"/>
  <c r="E110" i="5" s="1"/>
  <c r="Q110" i="5" s="1"/>
  <c r="BQ117" i="5"/>
  <c r="BL115" i="5"/>
  <c r="BT114" i="5" s="1"/>
  <c r="AQ90" i="4"/>
  <c r="AD90" i="4"/>
  <c r="BN90" i="4"/>
  <c r="AW89" i="4"/>
  <c r="AE88" i="4"/>
  <c r="AG88" i="4" s="1"/>
  <c r="AB89" i="4"/>
  <c r="AF91" i="4"/>
  <c r="CE91" i="4"/>
  <c r="AU91" i="4"/>
  <c r="Y91" i="4"/>
  <c r="AQ91" i="4" s="1"/>
  <c r="BP111" i="5"/>
  <c r="BM112" i="5"/>
  <c r="BU117" i="5"/>
  <c r="AK117" i="5"/>
  <c r="AO117" i="5"/>
  <c r="AI117" i="5"/>
  <c r="CQ53" i="4"/>
  <c r="G72" i="4" s="1"/>
  <c r="CN53" i="4"/>
  <c r="F72" i="4" s="1"/>
  <c r="BY54" i="4"/>
  <c r="CO54" i="4" s="1"/>
  <c r="CF54" i="4"/>
  <c r="CG54" i="4" s="1"/>
  <c r="CK54" i="4"/>
  <c r="CL54" i="4" s="1"/>
  <c r="CC66" i="4"/>
  <c r="BZ66" i="4"/>
  <c r="CB66" i="4" s="1"/>
  <c r="F110" i="5"/>
  <c r="R110" i="5" s="1"/>
  <c r="AD120" i="5"/>
  <c r="AC121" i="5"/>
  <c r="BJ121" i="5"/>
  <c r="DA89" i="4"/>
  <c r="J116" i="5"/>
  <c r="V116" i="5" s="1"/>
  <c r="N117" i="5"/>
  <c r="DE86" i="4"/>
  <c r="H105" i="4" s="1"/>
  <c r="CY91" i="4"/>
  <c r="CS92" i="4" s="1"/>
  <c r="BP91" i="4"/>
  <c r="BI91" i="4"/>
  <c r="BN91" i="4" s="1"/>
  <c r="X91" i="4"/>
  <c r="K110" i="4" s="1"/>
  <c r="CW90" i="4"/>
  <c r="CX90" i="4" s="1"/>
  <c r="DF90" i="4" s="1"/>
  <c r="CA90" i="4"/>
  <c r="CT91" i="4"/>
  <c r="CZ90" i="4" s="1"/>
  <c r="DL117" i="5"/>
  <c r="DZ117" i="5"/>
  <c r="EB114" i="5"/>
  <c r="I115" i="5" s="1"/>
  <c r="U115" i="5" s="1"/>
  <c r="DN115" i="5"/>
  <c r="H116" i="5" s="1"/>
  <c r="T116" i="5" s="1"/>
  <c r="DN114" i="5"/>
  <c r="H115" i="5" s="1"/>
  <c r="T115" i="5" s="1"/>
  <c r="CX117" i="5"/>
  <c r="CZ114" i="5"/>
  <c r="G115" i="5" s="1"/>
  <c r="S115" i="5" s="1"/>
  <c r="CY114" i="5"/>
  <c r="DQ116" i="5"/>
  <c r="DY115" i="5" s="1"/>
  <c r="EA115" i="5" s="1"/>
  <c r="DD87" i="4"/>
  <c r="DE87" i="4" s="1"/>
  <c r="H106" i="4" s="1"/>
  <c r="DB89" i="4"/>
  <c r="DC89" i="4" s="1"/>
  <c r="DT116" i="5"/>
  <c r="DD116" i="5"/>
  <c r="DE116" i="5" s="1"/>
  <c r="DC116" i="5"/>
  <c r="DK115" i="5" s="1"/>
  <c r="DM115" i="5" s="1"/>
  <c r="DR117" i="5"/>
  <c r="DP117" i="5"/>
  <c r="CU115" i="5"/>
  <c r="CV115" i="5" s="1"/>
  <c r="DW115" i="5"/>
  <c r="DX115" i="5" s="1"/>
  <c r="EB115" i="5" s="1"/>
  <c r="DS116" i="5"/>
  <c r="DB117" i="5"/>
  <c r="B118" i="5"/>
  <c r="DH117" i="5"/>
  <c r="BY117" i="5"/>
  <c r="CR117" i="5" s="1"/>
  <c r="AA118" i="5"/>
  <c r="DF117" i="5"/>
  <c r="CT117" i="5"/>
  <c r="DV117" i="5"/>
  <c r="AB117" i="5"/>
  <c r="K118" i="5" s="1"/>
  <c r="W118" i="5" s="1"/>
  <c r="CS116" i="5"/>
  <c r="CP117" i="5"/>
  <c r="CO117" i="5"/>
  <c r="CW116" i="5" s="1"/>
  <c r="CN117" i="5"/>
  <c r="CQ117" i="5"/>
  <c r="DG89" i="4"/>
  <c r="CU91" i="4"/>
  <c r="W92" i="4"/>
  <c r="AD92" i="4" s="1"/>
  <c r="C110" i="4"/>
  <c r="B109" i="4" s="1"/>
  <c r="CA118" i="5" l="1"/>
  <c r="CL113" i="5"/>
  <c r="CK113" i="5"/>
  <c r="BB114" i="5"/>
  <c r="AU115" i="5"/>
  <c r="BO118" i="5"/>
  <c r="AY118" i="5"/>
  <c r="CF118" i="5"/>
  <c r="CJ118" i="5"/>
  <c r="BE118" i="5"/>
  <c r="BA118" i="5"/>
  <c r="AX113" i="5"/>
  <c r="AZ113" i="5" s="1"/>
  <c r="AW114" i="5"/>
  <c r="CC114" i="5"/>
  <c r="CE114" i="5" s="1"/>
  <c r="CH114" i="5" s="1"/>
  <c r="CB115" i="5"/>
  <c r="CD117" i="5"/>
  <c r="BD112" i="5"/>
  <c r="BF112" i="5" s="1"/>
  <c r="BC112" i="5"/>
  <c r="BG112" i="5" s="1"/>
  <c r="D113" i="5" s="1"/>
  <c r="P113" i="5" s="1"/>
  <c r="BZ118" i="5"/>
  <c r="CG118" i="5" s="1"/>
  <c r="BR110" i="5"/>
  <c r="BS110" i="5" s="1"/>
  <c r="BW110" i="5" s="1"/>
  <c r="E111" i="5" s="1"/>
  <c r="Q111" i="5" s="1"/>
  <c r="BQ118" i="5"/>
  <c r="BV113" i="5"/>
  <c r="BV114" i="5" s="1"/>
  <c r="AU92" i="4"/>
  <c r="CE92" i="4"/>
  <c r="AF92" i="4"/>
  <c r="Y92" i="4"/>
  <c r="AQ92" i="4" s="1"/>
  <c r="AE89" i="4"/>
  <c r="AG89" i="4" s="1"/>
  <c r="AB90" i="4"/>
  <c r="AE90" i="4" s="1"/>
  <c r="BP112" i="5"/>
  <c r="BM113" i="5"/>
  <c r="BU118" i="5"/>
  <c r="AO118" i="5"/>
  <c r="AK118" i="5"/>
  <c r="AI118" i="5"/>
  <c r="CM54" i="4"/>
  <c r="CN54" i="4" s="1"/>
  <c r="F73" i="4" s="1"/>
  <c r="CP54" i="4"/>
  <c r="CH54" i="4"/>
  <c r="CI54" i="4" s="1"/>
  <c r="CJ54" i="4" s="1"/>
  <c r="CF55" i="4" s="1"/>
  <c r="F111" i="5"/>
  <c r="R111" i="5" s="1"/>
  <c r="DG116" i="5"/>
  <c r="DI116" i="5" s="1"/>
  <c r="DJ116" i="5" s="1"/>
  <c r="AD121" i="5"/>
  <c r="AC122" i="5"/>
  <c r="BJ122" i="5"/>
  <c r="DA90" i="4"/>
  <c r="J117" i="5"/>
  <c r="V117" i="5" s="1"/>
  <c r="J110" i="4"/>
  <c r="CT92" i="4"/>
  <c r="CZ91" i="4" s="1"/>
  <c r="CW91" i="4"/>
  <c r="CA91" i="4"/>
  <c r="CY92" i="4"/>
  <c r="CS93" i="4" s="1"/>
  <c r="BP92" i="4"/>
  <c r="BI92" i="4"/>
  <c r="CA92" i="4" s="1"/>
  <c r="X92" i="4"/>
  <c r="K111" i="4" s="1"/>
  <c r="DL118" i="5"/>
  <c r="DZ118" i="5"/>
  <c r="I116" i="5"/>
  <c r="U116" i="5" s="1"/>
  <c r="CY115" i="5"/>
  <c r="CZ115" i="5"/>
  <c r="G116" i="5" s="1"/>
  <c r="S116" i="5" s="1"/>
  <c r="CX118" i="5"/>
  <c r="DQ117" i="5"/>
  <c r="DY116" i="5" s="1"/>
  <c r="EA116" i="5" s="1"/>
  <c r="DD88" i="4"/>
  <c r="DE88" i="4" s="1"/>
  <c r="H107" i="4" s="1"/>
  <c r="DH87" i="4"/>
  <c r="I106" i="4" s="1"/>
  <c r="N118" i="5"/>
  <c r="DC117" i="5"/>
  <c r="DK116" i="5" s="1"/>
  <c r="DM116" i="5" s="1"/>
  <c r="CV91" i="4"/>
  <c r="CV92" i="4" s="1"/>
  <c r="DG90" i="4"/>
  <c r="DD117" i="5"/>
  <c r="DD118" i="5" s="1"/>
  <c r="DE117" i="5"/>
  <c r="DU116" i="5"/>
  <c r="DW116" i="5" s="1"/>
  <c r="DX116" i="5" s="1"/>
  <c r="EB116" i="5" s="1"/>
  <c r="DT117" i="5"/>
  <c r="DB118" i="5"/>
  <c r="DR118" i="5"/>
  <c r="DP118" i="5"/>
  <c r="CQ118" i="5"/>
  <c r="CP118" i="5"/>
  <c r="CO118" i="5"/>
  <c r="CW117" i="5" s="1"/>
  <c r="CN118" i="5"/>
  <c r="CU116" i="5"/>
  <c r="CV116" i="5" s="1"/>
  <c r="CS117" i="5"/>
  <c r="DH118" i="5"/>
  <c r="BY118" i="5"/>
  <c r="CD118" i="5" s="1"/>
  <c r="DF118" i="5"/>
  <c r="B119" i="5"/>
  <c r="DV118" i="5"/>
  <c r="AA119" i="5"/>
  <c r="CT118" i="5"/>
  <c r="AB118" i="5"/>
  <c r="K119" i="5" s="1"/>
  <c r="W119" i="5" s="1"/>
  <c r="DS117" i="5"/>
  <c r="DB90" i="4"/>
  <c r="DC90" i="4" s="1"/>
  <c r="W93" i="4"/>
  <c r="AD93" i="4" s="1"/>
  <c r="C111" i="4"/>
  <c r="CU92" i="4"/>
  <c r="CA119" i="5" l="1"/>
  <c r="CI118" i="5"/>
  <c r="CL114" i="5"/>
  <c r="CK114" i="5"/>
  <c r="BD113" i="5"/>
  <c r="BF113" i="5" s="1"/>
  <c r="BC113" i="5"/>
  <c r="BG113" i="5" s="1"/>
  <c r="D114" i="5" s="1"/>
  <c r="P114" i="5" s="1"/>
  <c r="CC115" i="5"/>
  <c r="CE115" i="5" s="1"/>
  <c r="CI115" i="5" s="1"/>
  <c r="CB116" i="5"/>
  <c r="BO119" i="5"/>
  <c r="CF119" i="5"/>
  <c r="CI119" i="5" s="1"/>
  <c r="CJ119" i="5"/>
  <c r="BA119" i="5"/>
  <c r="BE119" i="5"/>
  <c r="AY119" i="5"/>
  <c r="AX114" i="5"/>
  <c r="AZ114" i="5" s="1"/>
  <c r="AW115" i="5"/>
  <c r="AX115" i="5" s="1"/>
  <c r="AZ115" i="5" s="1"/>
  <c r="BZ119" i="5"/>
  <c r="CG119" i="5" s="1"/>
  <c r="BR111" i="5"/>
  <c r="BS111" i="5" s="1"/>
  <c r="BW111" i="5" s="1"/>
  <c r="E112" i="5" s="1"/>
  <c r="Q112" i="5" s="1"/>
  <c r="BQ119" i="5"/>
  <c r="Z91" i="4"/>
  <c r="BN92" i="4"/>
  <c r="AF93" i="4"/>
  <c r="CE93" i="4"/>
  <c r="AU93" i="4"/>
  <c r="Y93" i="4"/>
  <c r="AQ93" i="4" s="1"/>
  <c r="BM114" i="5"/>
  <c r="BP113" i="5"/>
  <c r="BU119" i="5"/>
  <c r="AK119" i="5"/>
  <c r="AO119" i="5"/>
  <c r="AI119" i="5"/>
  <c r="CQ54" i="4"/>
  <c r="G73" i="4" s="1"/>
  <c r="BR55" i="4"/>
  <c r="BS67" i="4" s="1"/>
  <c r="BT79" i="4" s="1"/>
  <c r="BU91" i="4" s="1"/>
  <c r="CG55" i="4"/>
  <c r="F112" i="5"/>
  <c r="R112" i="5" s="1"/>
  <c r="DG117" i="5"/>
  <c r="DI117" i="5" s="1"/>
  <c r="DJ117" i="5" s="1"/>
  <c r="AD122" i="5"/>
  <c r="AC123" i="5"/>
  <c r="BJ123" i="5"/>
  <c r="DA91" i="4"/>
  <c r="J111" i="4"/>
  <c r="J118" i="5"/>
  <c r="V118" i="5" s="1"/>
  <c r="CW92" i="4"/>
  <c r="CX92" i="4" s="1"/>
  <c r="DF92" i="4" s="1"/>
  <c r="CV93" i="4"/>
  <c r="DQ118" i="5"/>
  <c r="DY117" i="5" s="1"/>
  <c r="EA117" i="5" s="1"/>
  <c r="CY93" i="4"/>
  <c r="CS94" i="4" s="1"/>
  <c r="BP93" i="4"/>
  <c r="BI93" i="4"/>
  <c r="BN93" i="4" s="1"/>
  <c r="X93" i="4"/>
  <c r="K112" i="4" s="1"/>
  <c r="CT93" i="4"/>
  <c r="CZ92" i="4" s="1"/>
  <c r="DL119" i="5"/>
  <c r="DZ119" i="5"/>
  <c r="I117" i="5"/>
  <c r="U117" i="5" s="1"/>
  <c r="DN116" i="5"/>
  <c r="H117" i="5" s="1"/>
  <c r="T117" i="5" s="1"/>
  <c r="CX119" i="5"/>
  <c r="CZ116" i="5"/>
  <c r="G117" i="5" s="1"/>
  <c r="S117" i="5" s="1"/>
  <c r="CY116" i="5"/>
  <c r="DD89" i="4"/>
  <c r="DE89" i="4" s="1"/>
  <c r="H108" i="4" s="1"/>
  <c r="DH88" i="4"/>
  <c r="I107" i="4" s="1"/>
  <c r="N119" i="5"/>
  <c r="DC118" i="5"/>
  <c r="DK117" i="5" s="1"/>
  <c r="DM117" i="5" s="1"/>
  <c r="DE118" i="5"/>
  <c r="DU117" i="5"/>
  <c r="DW117" i="5" s="1"/>
  <c r="DX117" i="5" s="1"/>
  <c r="DP119" i="5"/>
  <c r="DR119" i="5"/>
  <c r="CR118" i="5"/>
  <c r="CS118" i="5" s="1"/>
  <c r="DB119" i="5"/>
  <c r="DD119" i="5"/>
  <c r="DT118" i="5"/>
  <c r="CQ119" i="5"/>
  <c r="CN119" i="5"/>
  <c r="CO119" i="5"/>
  <c r="CW118" i="5" s="1"/>
  <c r="CP119" i="5"/>
  <c r="CU117" i="5"/>
  <c r="CV117" i="5" s="1"/>
  <c r="DS118" i="5"/>
  <c r="AA120" i="5"/>
  <c r="DF119" i="5"/>
  <c r="B120" i="5"/>
  <c r="DV119" i="5"/>
  <c r="DH119" i="5"/>
  <c r="BY119" i="5"/>
  <c r="CD119" i="5" s="1"/>
  <c r="CT119" i="5"/>
  <c r="AB119" i="5"/>
  <c r="K120" i="5" s="1"/>
  <c r="W120" i="5" s="1"/>
  <c r="CX91" i="4"/>
  <c r="DF91" i="4" s="1"/>
  <c r="CU93" i="4"/>
  <c r="C112" i="4"/>
  <c r="W94" i="4"/>
  <c r="AD94" i="4" s="1"/>
  <c r="CC116" i="5" l="1"/>
  <c r="CE116" i="5" s="1"/>
  <c r="CH116" i="5" s="1"/>
  <c r="CB117" i="5"/>
  <c r="CK115" i="5"/>
  <c r="CH115" i="5"/>
  <c r="CL115" i="5" s="1"/>
  <c r="BD115" i="5"/>
  <c r="BC115" i="5"/>
  <c r="BO120" i="5"/>
  <c r="CF120" i="5"/>
  <c r="CI120" i="5" s="1"/>
  <c r="CJ120" i="5"/>
  <c r="BA120" i="5"/>
  <c r="AY120" i="5"/>
  <c r="BE120" i="5"/>
  <c r="BD114" i="5"/>
  <c r="BF114" i="5" s="1"/>
  <c r="BC114" i="5"/>
  <c r="BG114" i="5" s="1"/>
  <c r="D115" i="5" s="1"/>
  <c r="P115" i="5" s="1"/>
  <c r="BZ120" i="5"/>
  <c r="CG120" i="5" s="1"/>
  <c r="CA120" i="5"/>
  <c r="BR112" i="5"/>
  <c r="BS112" i="5" s="1"/>
  <c r="BW112" i="5" s="1"/>
  <c r="E113" i="5" s="1"/>
  <c r="Q113" i="5" s="1"/>
  <c r="BQ120" i="5"/>
  <c r="AB91" i="4"/>
  <c r="AC91" i="4" s="1"/>
  <c r="AC92" i="4" s="1"/>
  <c r="AC93" i="4" s="1"/>
  <c r="AC94" i="4" s="1"/>
  <c r="AA91" i="4"/>
  <c r="AT90" i="4" s="1"/>
  <c r="Z92" i="4"/>
  <c r="Z93" i="4" s="1"/>
  <c r="Z94" i="4" s="1"/>
  <c r="AU94" i="4"/>
  <c r="AF94" i="4"/>
  <c r="CE94" i="4"/>
  <c r="Y94" i="4"/>
  <c r="AQ94" i="4" s="1"/>
  <c r="BP114" i="5"/>
  <c r="BM115" i="5"/>
  <c r="BP115" i="5" s="1"/>
  <c r="BU120" i="5"/>
  <c r="AO120" i="5"/>
  <c r="AK120" i="5"/>
  <c r="AI120" i="5"/>
  <c r="F113" i="5"/>
  <c r="R113" i="5" s="1"/>
  <c r="BV55" i="4"/>
  <c r="BX55" i="4" s="1"/>
  <c r="CK55" i="4" s="1"/>
  <c r="CL55" i="4" s="1"/>
  <c r="CH55" i="4"/>
  <c r="CI55" i="4" s="1"/>
  <c r="CJ55" i="4" s="1"/>
  <c r="CF56" i="4" s="1"/>
  <c r="AD123" i="5"/>
  <c r="AC124" i="5"/>
  <c r="DE119" i="5"/>
  <c r="BJ124" i="5"/>
  <c r="DA92" i="4"/>
  <c r="J112" i="4"/>
  <c r="J119" i="5"/>
  <c r="V119" i="5" s="1"/>
  <c r="DQ119" i="5"/>
  <c r="DY118" i="5" s="1"/>
  <c r="EA118" i="5" s="1"/>
  <c r="CW93" i="4"/>
  <c r="CX93" i="4" s="1"/>
  <c r="DF93" i="4" s="1"/>
  <c r="CA93" i="4"/>
  <c r="CY94" i="4"/>
  <c r="CS95" i="4" s="1"/>
  <c r="BP94" i="4"/>
  <c r="BI94" i="4"/>
  <c r="BN94" i="4" s="1"/>
  <c r="X94" i="4"/>
  <c r="K113" i="4" s="1"/>
  <c r="CT94" i="4"/>
  <c r="CZ93" i="4" s="1"/>
  <c r="CV94" i="4"/>
  <c r="DL120" i="5"/>
  <c r="DZ120" i="5"/>
  <c r="EB117" i="5"/>
  <c r="I118" i="5" s="1"/>
  <c r="U118" i="5" s="1"/>
  <c r="DN117" i="5"/>
  <c r="H118" i="5" s="1"/>
  <c r="T118" i="5" s="1"/>
  <c r="CX120" i="5"/>
  <c r="CZ117" i="5"/>
  <c r="G118" i="5" s="1"/>
  <c r="S118" i="5" s="1"/>
  <c r="CY117" i="5"/>
  <c r="DD90" i="4"/>
  <c r="DE90" i="4" s="1"/>
  <c r="H109" i="4" s="1"/>
  <c r="DH89" i="4"/>
  <c r="I108" i="4" s="1"/>
  <c r="N120" i="5"/>
  <c r="DC119" i="5"/>
  <c r="DK118" i="5" s="1"/>
  <c r="DM118" i="5" s="1"/>
  <c r="DG118" i="5"/>
  <c r="DI118" i="5" s="1"/>
  <c r="DJ118" i="5" s="1"/>
  <c r="DU118" i="5"/>
  <c r="DW118" i="5" s="1"/>
  <c r="DX118" i="5" s="1"/>
  <c r="DT119" i="5"/>
  <c r="DB120" i="5"/>
  <c r="DD120" i="5"/>
  <c r="DR120" i="5"/>
  <c r="DP120" i="5"/>
  <c r="CQ120" i="5"/>
  <c r="CP120" i="5"/>
  <c r="CO120" i="5"/>
  <c r="CW119" i="5" s="1"/>
  <c r="CN120" i="5"/>
  <c r="CR119" i="5"/>
  <c r="CS119" i="5" s="1"/>
  <c r="CU118" i="5"/>
  <c r="CV118" i="5" s="1"/>
  <c r="DH120" i="5"/>
  <c r="BY120" i="5"/>
  <c r="DT120" i="5" s="1"/>
  <c r="AA121" i="5"/>
  <c r="DV120" i="5"/>
  <c r="CT120" i="5"/>
  <c r="B121" i="5"/>
  <c r="DF120" i="5"/>
  <c r="AB120" i="5"/>
  <c r="K121" i="5" s="1"/>
  <c r="W121" i="5" s="1"/>
  <c r="DS119" i="5"/>
  <c r="DG92" i="4"/>
  <c r="DB92" i="4"/>
  <c r="DC92" i="4" s="1"/>
  <c r="DG91" i="4"/>
  <c r="DB91" i="4"/>
  <c r="DC91" i="4" s="1"/>
  <c r="W95" i="4"/>
  <c r="AD95" i="4" s="1"/>
  <c r="C113" i="4"/>
  <c r="CU94" i="4"/>
  <c r="CK116" i="5" l="1"/>
  <c r="CK117" i="5" s="1"/>
  <c r="CL116" i="5"/>
  <c r="BG115" i="5"/>
  <c r="D116" i="5" s="1"/>
  <c r="P116" i="5" s="1"/>
  <c r="BF115" i="5"/>
  <c r="AV116" i="5" s="1"/>
  <c r="AV117" i="5" s="1"/>
  <c r="AV118" i="5" s="1"/>
  <c r="AV119" i="5" s="1"/>
  <c r="AV120" i="5" s="1"/>
  <c r="AV121" i="5" s="1"/>
  <c r="AV122" i="5" s="1"/>
  <c r="BO121" i="5"/>
  <c r="CJ121" i="5"/>
  <c r="AY121" i="5"/>
  <c r="CF121" i="5"/>
  <c r="CI121" i="5" s="1"/>
  <c r="BA121" i="5"/>
  <c r="BE121" i="5"/>
  <c r="AC95" i="4"/>
  <c r="CD120" i="5"/>
  <c r="BZ121" i="5"/>
  <c r="CG121" i="5" s="1"/>
  <c r="CC117" i="5"/>
  <c r="CE117" i="5" s="1"/>
  <c r="CH117" i="5" s="1"/>
  <c r="CB118" i="5"/>
  <c r="CA121" i="5"/>
  <c r="CA122" i="5" s="1"/>
  <c r="BR113" i="5"/>
  <c r="BS113" i="5" s="1"/>
  <c r="BW113" i="5" s="1"/>
  <c r="E114" i="5" s="1"/>
  <c r="Q114" i="5" s="1"/>
  <c r="BQ121" i="5"/>
  <c r="BS115" i="5"/>
  <c r="Z95" i="4"/>
  <c r="AA92" i="4"/>
  <c r="AT91" i="4" s="1"/>
  <c r="AF95" i="4"/>
  <c r="AU95" i="4"/>
  <c r="CE95" i="4"/>
  <c r="Y95" i="4"/>
  <c r="AQ95" i="4" s="1"/>
  <c r="AE91" i="4"/>
  <c r="AG91" i="4" s="1"/>
  <c r="AB92" i="4"/>
  <c r="BU121" i="5"/>
  <c r="AK121" i="5"/>
  <c r="AO121" i="5"/>
  <c r="AI121" i="5"/>
  <c r="BR56" i="4"/>
  <c r="BS68" i="4" s="1"/>
  <c r="BT80" i="4" s="1"/>
  <c r="BU92" i="4" s="1"/>
  <c r="CG56" i="4"/>
  <c r="CH56" i="4" s="1"/>
  <c r="CI56" i="4" s="1"/>
  <c r="CJ56" i="4" s="1"/>
  <c r="CF57" i="4" s="1"/>
  <c r="F114" i="5"/>
  <c r="R114" i="5" s="1"/>
  <c r="CC67" i="4"/>
  <c r="BZ67" i="4"/>
  <c r="CB67" i="4" s="1"/>
  <c r="BY55" i="4"/>
  <c r="CO55" i="4" s="1"/>
  <c r="CP55" i="4" s="1"/>
  <c r="CM55" i="4"/>
  <c r="DG119" i="5"/>
  <c r="DI119" i="5" s="1"/>
  <c r="DJ119" i="5" s="1"/>
  <c r="DN119" i="5" s="1"/>
  <c r="DQ120" i="5"/>
  <c r="DY119" i="5" s="1"/>
  <c r="EA119" i="5" s="1"/>
  <c r="AD124" i="5"/>
  <c r="AC125" i="5"/>
  <c r="DE120" i="5"/>
  <c r="DE121" i="5" s="1"/>
  <c r="BJ125" i="5"/>
  <c r="DA93" i="4"/>
  <c r="J113" i="4"/>
  <c r="J120" i="5"/>
  <c r="V120" i="5" s="1"/>
  <c r="CW94" i="4"/>
  <c r="CX94" i="4" s="1"/>
  <c r="DF94" i="4" s="1"/>
  <c r="CA94" i="4"/>
  <c r="CV95" i="4"/>
  <c r="CT95" i="4"/>
  <c r="CZ94" i="4" s="1"/>
  <c r="CY95" i="4"/>
  <c r="CS96" i="4" s="1"/>
  <c r="BP95" i="4"/>
  <c r="BI95" i="4"/>
  <c r="BN95" i="4" s="1"/>
  <c r="X95" i="4"/>
  <c r="K114" i="4" s="1"/>
  <c r="DL121" i="5"/>
  <c r="DZ121" i="5"/>
  <c r="EB118" i="5"/>
  <c r="I119" i="5" s="1"/>
  <c r="U119" i="5" s="1"/>
  <c r="DN118" i="5"/>
  <c r="H119" i="5" s="1"/>
  <c r="T119" i="5" s="1"/>
  <c r="CX121" i="5"/>
  <c r="CY118" i="5"/>
  <c r="CZ118" i="5"/>
  <c r="G119" i="5" s="1"/>
  <c r="S119" i="5" s="1"/>
  <c r="DH90" i="4"/>
  <c r="I109" i="4" s="1"/>
  <c r="N121" i="5"/>
  <c r="DC120" i="5"/>
  <c r="DK119" i="5" s="1"/>
  <c r="DM119" i="5" s="1"/>
  <c r="DD91" i="4"/>
  <c r="DB93" i="4"/>
  <c r="DC93" i="4" s="1"/>
  <c r="DU119" i="5"/>
  <c r="DW119" i="5" s="1"/>
  <c r="DX119" i="5" s="1"/>
  <c r="CU119" i="5"/>
  <c r="CV119" i="5" s="1"/>
  <c r="CQ121" i="5"/>
  <c r="CP121" i="5"/>
  <c r="CO121" i="5"/>
  <c r="CW120" i="5" s="1"/>
  <c r="CN121" i="5"/>
  <c r="DB121" i="5"/>
  <c r="DD121" i="5"/>
  <c r="DR121" i="5"/>
  <c r="DP121" i="5"/>
  <c r="CR120" i="5"/>
  <c r="CS120" i="5" s="1"/>
  <c r="DH121" i="5"/>
  <c r="BY121" i="5"/>
  <c r="CR121" i="5" s="1"/>
  <c r="DV121" i="5"/>
  <c r="B122" i="5"/>
  <c r="AA122" i="5"/>
  <c r="CT121" i="5"/>
  <c r="DF121" i="5"/>
  <c r="AB121" i="5"/>
  <c r="K122" i="5" s="1"/>
  <c r="W122" i="5" s="1"/>
  <c r="DS120" i="5"/>
  <c r="DU120" i="5" s="1"/>
  <c r="DG93" i="4"/>
  <c r="CU95" i="4"/>
  <c r="W96" i="4"/>
  <c r="AD96" i="4" s="1"/>
  <c r="C114" i="4"/>
  <c r="CK118" i="5" l="1"/>
  <c r="CL117" i="5"/>
  <c r="AC96" i="4"/>
  <c r="CC118" i="5"/>
  <c r="CE118" i="5" s="1"/>
  <c r="CH118" i="5" s="1"/>
  <c r="CL118" i="5" s="1"/>
  <c r="CB119" i="5"/>
  <c r="CD121" i="5"/>
  <c r="BO122" i="5"/>
  <c r="CJ122" i="5"/>
  <c r="AY122" i="5"/>
  <c r="CF122" i="5"/>
  <c r="CI122" i="5" s="1"/>
  <c r="BE122" i="5"/>
  <c r="BA122" i="5"/>
  <c r="AV123" i="5" s="1"/>
  <c r="BZ122" i="5"/>
  <c r="CG122" i="5" s="1"/>
  <c r="AU116" i="5"/>
  <c r="CA123" i="5"/>
  <c r="BR114" i="5"/>
  <c r="BS114" i="5" s="1"/>
  <c r="BW114" i="5" s="1"/>
  <c r="E115" i="5" s="1"/>
  <c r="Q115" i="5" s="1"/>
  <c r="BQ122" i="5"/>
  <c r="DQ121" i="5"/>
  <c r="DY120" i="5" s="1"/>
  <c r="EA120" i="5" s="1"/>
  <c r="BW115" i="5"/>
  <c r="BK116" i="5"/>
  <c r="Z96" i="4"/>
  <c r="AE92" i="4"/>
  <c r="AG92" i="4" s="1"/>
  <c r="AB93" i="4"/>
  <c r="AA93" i="4"/>
  <c r="AT92" i="4" s="1"/>
  <c r="AU96" i="4"/>
  <c r="CE96" i="4"/>
  <c r="AF96" i="4"/>
  <c r="Y96" i="4"/>
  <c r="AQ96" i="4" s="1"/>
  <c r="BV56" i="4"/>
  <c r="BX56" i="4" s="1"/>
  <c r="CK56" i="4" s="1"/>
  <c r="CL56" i="4" s="1"/>
  <c r="CM56" i="4" s="1"/>
  <c r="CC68" i="4"/>
  <c r="J114" i="4"/>
  <c r="AO122" i="5"/>
  <c r="BU122" i="5"/>
  <c r="AK122" i="5"/>
  <c r="AI122" i="5"/>
  <c r="CQ55" i="4"/>
  <c r="G74" i="4" s="1"/>
  <c r="BR57" i="4"/>
  <c r="BS69" i="4" s="1"/>
  <c r="BT81" i="4" s="1"/>
  <c r="BU93" i="4" s="1"/>
  <c r="CN55" i="4"/>
  <c r="F74" i="4" s="1"/>
  <c r="F115" i="5"/>
  <c r="R115" i="5" s="1"/>
  <c r="CG57" i="4"/>
  <c r="DG120" i="5"/>
  <c r="DI120" i="5" s="1"/>
  <c r="DJ120" i="5" s="1"/>
  <c r="AD125" i="5"/>
  <c r="AC126" i="5"/>
  <c r="BJ126" i="5"/>
  <c r="DA94" i="4"/>
  <c r="J121" i="5"/>
  <c r="V121" i="5" s="1"/>
  <c r="CT96" i="4"/>
  <c r="CV96" i="4"/>
  <c r="CW95" i="4"/>
  <c r="CX95" i="4" s="1"/>
  <c r="DF95" i="4" s="1"/>
  <c r="CA95" i="4"/>
  <c r="BP96" i="4"/>
  <c r="CY96" i="4"/>
  <c r="CS97" i="4" s="1"/>
  <c r="BI96" i="4"/>
  <c r="CA96" i="4" s="1"/>
  <c r="X96" i="4"/>
  <c r="K115" i="4" s="1"/>
  <c r="DL122" i="5"/>
  <c r="DZ122" i="5"/>
  <c r="EB119" i="5"/>
  <c r="I120" i="5" s="1"/>
  <c r="U120" i="5" s="1"/>
  <c r="H120" i="5"/>
  <c r="T120" i="5" s="1"/>
  <c r="CX122" i="5"/>
  <c r="CY119" i="5"/>
  <c r="CZ119" i="5"/>
  <c r="G120" i="5" s="1"/>
  <c r="S120" i="5" s="1"/>
  <c r="DC121" i="5"/>
  <c r="DK120" i="5" s="1"/>
  <c r="DM120" i="5" s="1"/>
  <c r="N122" i="5"/>
  <c r="DE91" i="4"/>
  <c r="H110" i="4" s="1"/>
  <c r="DH91" i="4"/>
  <c r="I110" i="4" s="1"/>
  <c r="DD92" i="4"/>
  <c r="DE92" i="4" s="1"/>
  <c r="H111" i="4" s="1"/>
  <c r="DG94" i="4"/>
  <c r="DT121" i="5"/>
  <c r="CU120" i="5"/>
  <c r="CV120" i="5" s="1"/>
  <c r="DS121" i="5"/>
  <c r="CQ122" i="5"/>
  <c r="CP122" i="5"/>
  <c r="CN122" i="5"/>
  <c r="CO122" i="5"/>
  <c r="CW121" i="5" s="1"/>
  <c r="B123" i="5"/>
  <c r="DH122" i="5"/>
  <c r="BY122" i="5"/>
  <c r="CD122" i="5" s="1"/>
  <c r="AA123" i="5"/>
  <c r="DF122" i="5"/>
  <c r="DV122" i="5"/>
  <c r="CT122" i="5"/>
  <c r="AB122" i="5"/>
  <c r="K123" i="5" s="1"/>
  <c r="W123" i="5" s="1"/>
  <c r="DB122" i="5"/>
  <c r="DE122" i="5"/>
  <c r="DD122" i="5"/>
  <c r="CS121" i="5"/>
  <c r="DW120" i="5"/>
  <c r="DX120" i="5" s="1"/>
  <c r="EB120" i="5" s="1"/>
  <c r="DR122" i="5"/>
  <c r="DP122" i="5"/>
  <c r="DG121" i="5"/>
  <c r="DB94" i="4"/>
  <c r="DC94" i="4" s="1"/>
  <c r="W97" i="4"/>
  <c r="C115" i="4"/>
  <c r="CU96" i="4"/>
  <c r="CK119" i="5" l="1"/>
  <c r="AC97" i="4"/>
  <c r="AU117" i="5"/>
  <c r="AW116" i="5"/>
  <c r="CC119" i="5"/>
  <c r="CE119" i="5" s="1"/>
  <c r="CH119" i="5" s="1"/>
  <c r="CL119" i="5" s="1"/>
  <c r="CB120" i="5"/>
  <c r="BO123" i="5"/>
  <c r="CJ123" i="5"/>
  <c r="CF123" i="5"/>
  <c r="CI123" i="5" s="1"/>
  <c r="BA123" i="5"/>
  <c r="BE123" i="5"/>
  <c r="AY123" i="5"/>
  <c r="BZ123" i="5"/>
  <c r="CG123" i="5" s="1"/>
  <c r="DQ122" i="5"/>
  <c r="DY121" i="5" s="1"/>
  <c r="EA121" i="5" s="1"/>
  <c r="BQ123" i="5"/>
  <c r="BK117" i="5"/>
  <c r="BK118" i="5" s="1"/>
  <c r="BK119" i="5" s="1"/>
  <c r="BK120" i="5" s="1"/>
  <c r="BK121" i="5" s="1"/>
  <c r="BK122" i="5" s="1"/>
  <c r="BK123" i="5" s="1"/>
  <c r="BL116" i="5"/>
  <c r="BT115" i="5" s="1"/>
  <c r="BV115" i="5" s="1"/>
  <c r="BM116" i="5"/>
  <c r="BN116" i="5" s="1"/>
  <c r="BN117" i="5" s="1"/>
  <c r="BN118" i="5" s="1"/>
  <c r="BN119" i="5" s="1"/>
  <c r="BN120" i="5" s="1"/>
  <c r="BN121" i="5" s="1"/>
  <c r="BN122" i="5" s="1"/>
  <c r="BN123" i="5" s="1"/>
  <c r="E14" i="5"/>
  <c r="E30" i="5" s="1"/>
  <c r="E116" i="5"/>
  <c r="Q116" i="5" s="1"/>
  <c r="AW91" i="4"/>
  <c r="AE93" i="4"/>
  <c r="AG93" i="4" s="1"/>
  <c r="AB94" i="4"/>
  <c r="AF97" i="4"/>
  <c r="AU97" i="4"/>
  <c r="CE97" i="4"/>
  <c r="Y97" i="4"/>
  <c r="BN96" i="4"/>
  <c r="J115" i="4"/>
  <c r="AA94" i="4"/>
  <c r="AT93" i="4" s="1"/>
  <c r="Z97" i="4"/>
  <c r="BY56" i="4"/>
  <c r="CO56" i="4" s="1"/>
  <c r="CP56" i="4" s="1"/>
  <c r="BZ68" i="4"/>
  <c r="CB68" i="4" s="1"/>
  <c r="BU123" i="5"/>
  <c r="AK123" i="5"/>
  <c r="AO123" i="5"/>
  <c r="AI123" i="5"/>
  <c r="CN56" i="4"/>
  <c r="F75" i="4" s="1"/>
  <c r="F116" i="5"/>
  <c r="R116" i="5" s="1"/>
  <c r="CH57" i="4"/>
  <c r="CI57" i="4" s="1"/>
  <c r="CJ57" i="4" s="1"/>
  <c r="CF58" i="4" s="1"/>
  <c r="BV57" i="4"/>
  <c r="BX57" i="4" s="1"/>
  <c r="CK57" i="4" s="1"/>
  <c r="CL57" i="4" s="1"/>
  <c r="AD126" i="5"/>
  <c r="AC127" i="5"/>
  <c r="BJ127" i="5"/>
  <c r="DT122" i="5"/>
  <c r="J122" i="5"/>
  <c r="V122" i="5" s="1"/>
  <c r="BP97" i="4"/>
  <c r="CY97" i="4"/>
  <c r="CS98" i="4" s="1"/>
  <c r="BI97" i="4"/>
  <c r="BN97" i="4" s="1"/>
  <c r="X97" i="4"/>
  <c r="K116" i="4" s="1"/>
  <c r="CV97" i="4"/>
  <c r="CW96" i="4"/>
  <c r="CX96" i="4" s="1"/>
  <c r="DF96" i="4" s="1"/>
  <c r="CT97" i="4"/>
  <c r="CZ96" i="4" s="1"/>
  <c r="CZ95" i="4"/>
  <c r="DA95" i="4" s="1"/>
  <c r="DL123" i="5"/>
  <c r="DZ123" i="5"/>
  <c r="I121" i="5"/>
  <c r="U121" i="5" s="1"/>
  <c r="DN120" i="5"/>
  <c r="H121" i="5" s="1"/>
  <c r="T121" i="5" s="1"/>
  <c r="CY120" i="5"/>
  <c r="CZ120" i="5"/>
  <c r="G121" i="5" s="1"/>
  <c r="S121" i="5" s="1"/>
  <c r="CX123" i="5"/>
  <c r="DC122" i="5"/>
  <c r="DK121" i="5" s="1"/>
  <c r="DM121" i="5" s="1"/>
  <c r="N123" i="5"/>
  <c r="DD93" i="4"/>
  <c r="DE93" i="4" s="1"/>
  <c r="H112" i="4" s="1"/>
  <c r="DH92" i="4"/>
  <c r="I111" i="4" s="1"/>
  <c r="DG95" i="4"/>
  <c r="DU121" i="5"/>
  <c r="DW121" i="5" s="1"/>
  <c r="DX121" i="5" s="1"/>
  <c r="EB121" i="5" s="1"/>
  <c r="DS122" i="5"/>
  <c r="DS123" i="5" s="1"/>
  <c r="DG122" i="5"/>
  <c r="DI122" i="5" s="1"/>
  <c r="DJ122" i="5" s="1"/>
  <c r="CR122" i="5"/>
  <c r="CS122" i="5" s="1"/>
  <c r="DR123" i="5"/>
  <c r="DP123" i="5"/>
  <c r="DI121" i="5"/>
  <c r="DJ121" i="5" s="1"/>
  <c r="B124" i="5"/>
  <c r="DV123" i="5"/>
  <c r="CT123" i="5"/>
  <c r="DF123" i="5"/>
  <c r="BY123" i="5"/>
  <c r="CD123" i="5" s="1"/>
  <c r="DH123" i="5"/>
  <c r="AA124" i="5"/>
  <c r="AB123" i="5"/>
  <c r="K124" i="5" s="1"/>
  <c r="W124" i="5" s="1"/>
  <c r="CU121" i="5"/>
  <c r="CV121" i="5" s="1"/>
  <c r="CQ123" i="5"/>
  <c r="CO123" i="5"/>
  <c r="CW122" i="5" s="1"/>
  <c r="CN123" i="5"/>
  <c r="CP123" i="5"/>
  <c r="DD123" i="5"/>
  <c r="DB123" i="5"/>
  <c r="DE123" i="5"/>
  <c r="DB95" i="4"/>
  <c r="DC95" i="4" s="1"/>
  <c r="W98" i="4"/>
  <c r="C116" i="4"/>
  <c r="CU97" i="4"/>
  <c r="CK120" i="5" l="1"/>
  <c r="BZ124" i="5"/>
  <c r="CG124" i="5" s="1"/>
  <c r="AX116" i="5"/>
  <c r="AZ116" i="5" s="1"/>
  <c r="AW117" i="5"/>
  <c r="BB117" i="5"/>
  <c r="AU118" i="5"/>
  <c r="AV124" i="5"/>
  <c r="CA124" i="5"/>
  <c r="BO124" i="5"/>
  <c r="BA124" i="5"/>
  <c r="CF124" i="5"/>
  <c r="CI124" i="5" s="1"/>
  <c r="CJ124" i="5"/>
  <c r="AY124" i="5"/>
  <c r="BE124" i="5"/>
  <c r="AC98" i="4"/>
  <c r="CC120" i="5"/>
  <c r="CE120" i="5" s="1"/>
  <c r="CH120" i="5" s="1"/>
  <c r="CL120" i="5" s="1"/>
  <c r="CB121" i="5"/>
  <c r="DQ123" i="5"/>
  <c r="DY122" i="5" s="1"/>
  <c r="EA122" i="5" s="1"/>
  <c r="BN124" i="5"/>
  <c r="BK124" i="5"/>
  <c r="BQ124" i="5"/>
  <c r="BP116" i="5"/>
  <c r="BM117" i="5"/>
  <c r="BL117" i="5"/>
  <c r="BT116" i="5" s="1"/>
  <c r="J116" i="4"/>
  <c r="AQ97" i="4"/>
  <c r="AD97" i="4"/>
  <c r="CQ56" i="4"/>
  <c r="G75" i="4" s="1"/>
  <c r="CE98" i="4"/>
  <c r="AU98" i="4"/>
  <c r="AF98" i="4"/>
  <c r="Y98" i="4"/>
  <c r="Z98" i="4"/>
  <c r="AA95" i="4"/>
  <c r="AT94" i="4" s="1"/>
  <c r="AW92" i="4"/>
  <c r="AE94" i="4"/>
  <c r="AG94" i="4" s="1"/>
  <c r="AB95" i="4"/>
  <c r="BU124" i="5"/>
  <c r="AK124" i="5"/>
  <c r="AO124" i="5"/>
  <c r="AI124" i="5"/>
  <c r="BR58" i="4"/>
  <c r="BS70" i="4" s="1"/>
  <c r="BT82" i="4" s="1"/>
  <c r="BU94" i="4" s="1"/>
  <c r="BY57" i="4"/>
  <c r="CO57" i="4" s="1"/>
  <c r="CP57" i="4" s="1"/>
  <c r="CM57" i="4"/>
  <c r="CN57" i="4" s="1"/>
  <c r="F76" i="4" s="1"/>
  <c r="CC69" i="4"/>
  <c r="BZ69" i="4"/>
  <c r="CB69" i="4" s="1"/>
  <c r="CG58" i="4"/>
  <c r="AD127" i="5"/>
  <c r="AC128" i="5"/>
  <c r="BJ128" i="5"/>
  <c r="J123" i="5"/>
  <c r="V123" i="5" s="1"/>
  <c r="DA96" i="4"/>
  <c r="CT98" i="4"/>
  <c r="CZ97" i="4" s="1"/>
  <c r="CV98" i="4"/>
  <c r="CW97" i="4"/>
  <c r="CX97" i="4" s="1"/>
  <c r="DF97" i="4" s="1"/>
  <c r="CA97" i="4"/>
  <c r="BP98" i="4"/>
  <c r="CY98" i="4"/>
  <c r="CS99" i="4" s="1"/>
  <c r="BI98" i="4"/>
  <c r="BN98" i="4" s="1"/>
  <c r="X98" i="4"/>
  <c r="K117" i="4" s="1"/>
  <c r="DL124" i="5"/>
  <c r="DZ124" i="5"/>
  <c r="I122" i="5"/>
  <c r="U122" i="5" s="1"/>
  <c r="DN122" i="5"/>
  <c r="H123" i="5" s="1"/>
  <c r="T123" i="5" s="1"/>
  <c r="DN121" i="5"/>
  <c r="H122" i="5" s="1"/>
  <c r="T122" i="5" s="1"/>
  <c r="CZ121" i="5"/>
  <c r="G122" i="5" s="1"/>
  <c r="S122" i="5" s="1"/>
  <c r="CY121" i="5"/>
  <c r="CX124" i="5"/>
  <c r="DC123" i="5"/>
  <c r="DK122" i="5" s="1"/>
  <c r="DM122" i="5" s="1"/>
  <c r="N124" i="5"/>
  <c r="DH93" i="4"/>
  <c r="I112" i="4" s="1"/>
  <c r="DD94" i="4"/>
  <c r="DH94" i="4" s="1"/>
  <c r="I113" i="4" s="1"/>
  <c r="DG96" i="4"/>
  <c r="DU122" i="5"/>
  <c r="DW122" i="5" s="1"/>
  <c r="DX122" i="5" s="1"/>
  <c r="DR124" i="5"/>
  <c r="DS124" i="5"/>
  <c r="DP124" i="5"/>
  <c r="CU122" i="5"/>
  <c r="CV122" i="5" s="1"/>
  <c r="B125" i="5"/>
  <c r="DV124" i="5"/>
  <c r="CT124" i="5"/>
  <c r="DH124" i="5"/>
  <c r="BY124" i="5"/>
  <c r="CD124" i="5" s="1"/>
  <c r="DF124" i="5"/>
  <c r="AA125" i="5"/>
  <c r="AB124" i="5"/>
  <c r="K125" i="5" s="1"/>
  <c r="W125" i="5" s="1"/>
  <c r="DE124" i="5"/>
  <c r="DD124" i="5"/>
  <c r="DB124" i="5"/>
  <c r="CR123" i="5"/>
  <c r="CS123" i="5" s="1"/>
  <c r="DG123" i="5"/>
  <c r="DT123" i="5"/>
  <c r="DU123" i="5" s="1"/>
  <c r="CP124" i="5"/>
  <c r="CO124" i="5"/>
  <c r="CW123" i="5" s="1"/>
  <c r="CN124" i="5"/>
  <c r="CQ124" i="5"/>
  <c r="DB96" i="4"/>
  <c r="DC96" i="4" s="1"/>
  <c r="CU98" i="4"/>
  <c r="W99" i="4"/>
  <c r="C117" i="4"/>
  <c r="BK125" i="5" l="1"/>
  <c r="CA125" i="5"/>
  <c r="CK121" i="5"/>
  <c r="DQ124" i="5"/>
  <c r="DY123" i="5" s="1"/>
  <c r="EA123" i="5" s="1"/>
  <c r="BO125" i="5"/>
  <c r="CF125" i="5"/>
  <c r="CI125" i="5" s="1"/>
  <c r="AY125" i="5"/>
  <c r="CJ125" i="5"/>
  <c r="BA125" i="5"/>
  <c r="BE125" i="5"/>
  <c r="AX117" i="5"/>
  <c r="AZ117" i="5" s="1"/>
  <c r="AW118" i="5"/>
  <c r="BB116" i="5"/>
  <c r="BC116" i="5" s="1"/>
  <c r="BG116" i="5" s="1"/>
  <c r="D117" i="5" s="1"/>
  <c r="P117" i="5" s="1"/>
  <c r="BD116" i="5"/>
  <c r="BF116" i="5" s="1"/>
  <c r="CA126" i="5"/>
  <c r="AV125" i="5"/>
  <c r="BB118" i="5"/>
  <c r="AU119" i="5"/>
  <c r="AC99" i="4"/>
  <c r="CC121" i="5"/>
  <c r="CE121" i="5" s="1"/>
  <c r="CH121" i="5" s="1"/>
  <c r="CL121" i="5" s="1"/>
  <c r="CB122" i="5"/>
  <c r="BZ125" i="5"/>
  <c r="CG125" i="5" s="1"/>
  <c r="BN125" i="5"/>
  <c r="J117" i="4"/>
  <c r="BQ125" i="5"/>
  <c r="BK126" i="5" s="1"/>
  <c r="BV116" i="5"/>
  <c r="BL118" i="5"/>
  <c r="BT117" i="5" s="1"/>
  <c r="BM118" i="5"/>
  <c r="BP117" i="5"/>
  <c r="BR116" i="5"/>
  <c r="AQ98" i="4"/>
  <c r="AD98" i="4"/>
  <c r="Z99" i="4"/>
  <c r="AF99" i="4"/>
  <c r="AU99" i="4"/>
  <c r="CE99" i="4"/>
  <c r="Y99" i="4"/>
  <c r="AE95" i="4"/>
  <c r="AG95" i="4" s="1"/>
  <c r="AB96" i="4"/>
  <c r="AA96" i="4"/>
  <c r="AT95" i="4" s="1"/>
  <c r="AW93" i="4"/>
  <c r="BU125" i="5"/>
  <c r="AK125" i="5"/>
  <c r="AO125" i="5"/>
  <c r="AI125" i="5"/>
  <c r="CQ57" i="4"/>
  <c r="G76" i="4" s="1"/>
  <c r="BV58" i="4"/>
  <c r="BX58" i="4" s="1"/>
  <c r="CK58" i="4" s="1"/>
  <c r="CL58" i="4" s="1"/>
  <c r="CH58" i="4"/>
  <c r="CI58" i="4" s="1"/>
  <c r="CJ58" i="4" s="1"/>
  <c r="CF59" i="4" s="1"/>
  <c r="F117" i="5"/>
  <c r="R117" i="5" s="1"/>
  <c r="AD128" i="5"/>
  <c r="AC129" i="5"/>
  <c r="BJ129" i="5"/>
  <c r="DA97" i="4"/>
  <c r="J124" i="5"/>
  <c r="V124" i="5" s="1"/>
  <c r="CW98" i="4"/>
  <c r="CX98" i="4" s="1"/>
  <c r="DF98" i="4" s="1"/>
  <c r="CA98" i="4"/>
  <c r="CV99" i="4"/>
  <c r="CY99" i="4"/>
  <c r="CS100" i="4" s="1"/>
  <c r="BP99" i="4"/>
  <c r="BI99" i="4"/>
  <c r="BN99" i="4" s="1"/>
  <c r="X99" i="4"/>
  <c r="K118" i="4" s="1"/>
  <c r="CT99" i="4"/>
  <c r="DL125" i="5"/>
  <c r="DZ125" i="5"/>
  <c r="EB122" i="5"/>
  <c r="I123" i="5" s="1"/>
  <c r="U123" i="5" s="1"/>
  <c r="CY122" i="5"/>
  <c r="CZ122" i="5"/>
  <c r="G123" i="5" s="1"/>
  <c r="S123" i="5" s="1"/>
  <c r="CX125" i="5"/>
  <c r="DC124" i="5"/>
  <c r="DK123" i="5" s="1"/>
  <c r="DM123" i="5" s="1"/>
  <c r="N125" i="5"/>
  <c r="DD95" i="4"/>
  <c r="DH95" i="4" s="1"/>
  <c r="I114" i="4" s="1"/>
  <c r="DE94" i="4"/>
  <c r="H113" i="4" s="1"/>
  <c r="DB97" i="4"/>
  <c r="DC97" i="4" s="1"/>
  <c r="DG124" i="5"/>
  <c r="DI124" i="5" s="1"/>
  <c r="DW123" i="5"/>
  <c r="DX123" i="5" s="1"/>
  <c r="CU123" i="5"/>
  <c r="CV123" i="5" s="1"/>
  <c r="DE125" i="5"/>
  <c r="DD125" i="5"/>
  <c r="DB125" i="5"/>
  <c r="AA126" i="5"/>
  <c r="DF125" i="5"/>
  <c r="DV125" i="5"/>
  <c r="CT125" i="5"/>
  <c r="B126" i="5"/>
  <c r="DH125" i="5"/>
  <c r="BY125" i="5"/>
  <c r="CD125" i="5" s="1"/>
  <c r="AB125" i="5"/>
  <c r="K126" i="5" s="1"/>
  <c r="W126" i="5" s="1"/>
  <c r="CR124" i="5"/>
  <c r="CS124" i="5" s="1"/>
  <c r="DT124" i="5"/>
  <c r="DU124" i="5" s="1"/>
  <c r="CN125" i="5"/>
  <c r="CQ125" i="5"/>
  <c r="CO125" i="5"/>
  <c r="CW124" i="5" s="1"/>
  <c r="CP125" i="5"/>
  <c r="DI123" i="5"/>
  <c r="DJ123" i="5" s="1"/>
  <c r="DP125" i="5"/>
  <c r="DS125" i="5"/>
  <c r="DR125" i="5"/>
  <c r="DG97" i="4"/>
  <c r="W100" i="4"/>
  <c r="C118" i="4"/>
  <c r="CU99" i="4"/>
  <c r="DQ125" i="5" l="1"/>
  <c r="DY124" i="5" s="1"/>
  <c r="CK122" i="5"/>
  <c r="AC100" i="4"/>
  <c r="CC122" i="5"/>
  <c r="CE122" i="5" s="1"/>
  <c r="CH122" i="5" s="1"/>
  <c r="CL122" i="5" s="1"/>
  <c r="CB123" i="5"/>
  <c r="BO126" i="5"/>
  <c r="CF126" i="5"/>
  <c r="CI126" i="5" s="1"/>
  <c r="AY126" i="5"/>
  <c r="BE126" i="5"/>
  <c r="BA126" i="5"/>
  <c r="CJ126" i="5"/>
  <c r="AX118" i="5"/>
  <c r="AZ118" i="5" s="1"/>
  <c r="AW119" i="5"/>
  <c r="BD117" i="5"/>
  <c r="BF117" i="5" s="1"/>
  <c r="BC117" i="5"/>
  <c r="BG117" i="5" s="1"/>
  <c r="D118" i="5" s="1"/>
  <c r="P118" i="5" s="1"/>
  <c r="BB119" i="5"/>
  <c r="AU120" i="5"/>
  <c r="BZ126" i="5"/>
  <c r="CG126" i="5" s="1"/>
  <c r="AV126" i="5"/>
  <c r="AV127" i="5" s="1"/>
  <c r="BN126" i="5"/>
  <c r="J118" i="4"/>
  <c r="BQ126" i="5"/>
  <c r="BK127" i="5" s="1"/>
  <c r="BS116" i="5"/>
  <c r="BW116" i="5" s="1"/>
  <c r="E117" i="5" s="1"/>
  <c r="Q117" i="5" s="1"/>
  <c r="BP118" i="5"/>
  <c r="BM119" i="5"/>
  <c r="BL119" i="5"/>
  <c r="BT118" i="5" s="1"/>
  <c r="BV117" i="5"/>
  <c r="AQ99" i="4"/>
  <c r="AD99" i="4"/>
  <c r="AA97" i="4"/>
  <c r="AW94" i="4"/>
  <c r="AU100" i="4"/>
  <c r="CE100" i="4"/>
  <c r="AF100" i="4"/>
  <c r="Y100" i="4"/>
  <c r="AE96" i="4"/>
  <c r="AG96" i="4" s="1"/>
  <c r="AB97" i="4"/>
  <c r="Z100" i="4"/>
  <c r="BU126" i="5"/>
  <c r="AK126" i="5"/>
  <c r="AO126" i="5"/>
  <c r="AI126" i="5"/>
  <c r="BY58" i="4"/>
  <c r="CO58" i="4" s="1"/>
  <c r="CP58" i="4" s="1"/>
  <c r="F118" i="5"/>
  <c r="R118" i="5" s="1"/>
  <c r="CM58" i="4"/>
  <c r="CN58" i="4" s="1"/>
  <c r="F77" i="4" s="1"/>
  <c r="CC70" i="4"/>
  <c r="BZ70" i="4"/>
  <c r="CB70" i="4" s="1"/>
  <c r="CG59" i="4"/>
  <c r="BR59" i="4"/>
  <c r="BS71" i="4" s="1"/>
  <c r="BT83" i="4" s="1"/>
  <c r="BU95" i="4" s="1"/>
  <c r="AD129" i="5"/>
  <c r="AC130" i="5"/>
  <c r="BJ130" i="5"/>
  <c r="J125" i="5"/>
  <c r="V125" i="5" s="1"/>
  <c r="CV100" i="4"/>
  <c r="CT100" i="4"/>
  <c r="CZ99" i="4" s="1"/>
  <c r="CZ98" i="4"/>
  <c r="DA98" i="4" s="1"/>
  <c r="CW99" i="4"/>
  <c r="CX99" i="4" s="1"/>
  <c r="DF99" i="4" s="1"/>
  <c r="CA99" i="4"/>
  <c r="CY100" i="4"/>
  <c r="CS101" i="4" s="1"/>
  <c r="BP100" i="4"/>
  <c r="BI100" i="4"/>
  <c r="CA100" i="4" s="1"/>
  <c r="X100" i="4"/>
  <c r="K119" i="4" s="1"/>
  <c r="DL126" i="5"/>
  <c r="DZ126" i="5"/>
  <c r="EA124" i="5"/>
  <c r="EB123" i="5"/>
  <c r="I124" i="5" s="1"/>
  <c r="U124" i="5" s="1"/>
  <c r="DN123" i="5"/>
  <c r="H124" i="5" s="1"/>
  <c r="T124" i="5" s="1"/>
  <c r="CY123" i="5"/>
  <c r="CZ123" i="5"/>
  <c r="G124" i="5" s="1"/>
  <c r="S124" i="5" s="1"/>
  <c r="CX126" i="5"/>
  <c r="DC125" i="5"/>
  <c r="DK124" i="5" s="1"/>
  <c r="DM124" i="5" s="1"/>
  <c r="N126" i="5"/>
  <c r="DE95" i="4"/>
  <c r="H114" i="4" s="1"/>
  <c r="DD96" i="4"/>
  <c r="DH96" i="4" s="1"/>
  <c r="I115" i="4" s="1"/>
  <c r="DG98" i="4"/>
  <c r="DJ124" i="5"/>
  <c r="DG125" i="5"/>
  <c r="DI125" i="5" s="1"/>
  <c r="DJ125" i="5" s="1"/>
  <c r="DW124" i="5"/>
  <c r="DX124" i="5" s="1"/>
  <c r="EB124" i="5" s="1"/>
  <c r="B127" i="5"/>
  <c r="AA127" i="5"/>
  <c r="DF126" i="5"/>
  <c r="DV126" i="5"/>
  <c r="CT126" i="5"/>
  <c r="DH126" i="5"/>
  <c r="BY126" i="5"/>
  <c r="CD126" i="5" s="1"/>
  <c r="AB126" i="5"/>
  <c r="K127" i="5" s="1"/>
  <c r="W127" i="5" s="1"/>
  <c r="CR125" i="5"/>
  <c r="CS125" i="5" s="1"/>
  <c r="CO126" i="5"/>
  <c r="CW125" i="5" s="1"/>
  <c r="CN126" i="5"/>
  <c r="CQ126" i="5"/>
  <c r="CP126" i="5"/>
  <c r="DT125" i="5"/>
  <c r="DU125" i="5" s="1"/>
  <c r="DQ126" i="5"/>
  <c r="DY125" i="5" s="1"/>
  <c r="DP126" i="5"/>
  <c r="DS126" i="5"/>
  <c r="DR126" i="5"/>
  <c r="CU124" i="5"/>
  <c r="CV124" i="5" s="1"/>
  <c r="DE126" i="5"/>
  <c r="DD126" i="5"/>
  <c r="DB126" i="5"/>
  <c r="DB98" i="4"/>
  <c r="DC98" i="4" s="1"/>
  <c r="W101" i="4"/>
  <c r="C119" i="4"/>
  <c r="CU100" i="4"/>
  <c r="CK123" i="5" l="1"/>
  <c r="CJ127" i="5"/>
  <c r="CF127" i="5"/>
  <c r="BA127" i="5"/>
  <c r="BE127" i="5"/>
  <c r="AY127" i="5"/>
  <c r="BD118" i="5"/>
  <c r="BF118" i="5" s="1"/>
  <c r="BC118" i="5"/>
  <c r="BG118" i="5" s="1"/>
  <c r="D119" i="5" s="1"/>
  <c r="P119" i="5" s="1"/>
  <c r="BZ127" i="5"/>
  <c r="CG127" i="5" s="1"/>
  <c r="BB120" i="5"/>
  <c r="AU121" i="5"/>
  <c r="CC123" i="5"/>
  <c r="CE123" i="5" s="1"/>
  <c r="CH123" i="5" s="1"/>
  <c r="CL123" i="5" s="1"/>
  <c r="CB124" i="5"/>
  <c r="AC101" i="4"/>
  <c r="CA127" i="5"/>
  <c r="CA128" i="5" s="1"/>
  <c r="AX119" i="5"/>
  <c r="AZ119" i="5" s="1"/>
  <c r="AW120" i="5"/>
  <c r="J119" i="4"/>
  <c r="BQ127" i="5"/>
  <c r="BK128" i="5" s="1"/>
  <c r="BO127" i="5"/>
  <c r="BN127" i="5"/>
  <c r="AA98" i="4"/>
  <c r="AT97" i="4" s="1"/>
  <c r="AT96" i="4"/>
  <c r="BL120" i="5"/>
  <c r="BT119" i="5" s="1"/>
  <c r="BV118" i="5"/>
  <c r="BP119" i="5"/>
  <c r="BM120" i="5"/>
  <c r="BR117" i="5"/>
  <c r="BS117" i="5" s="1"/>
  <c r="BW117" i="5" s="1"/>
  <c r="E118" i="5" s="1"/>
  <c r="Q118" i="5" s="1"/>
  <c r="AL127" i="5"/>
  <c r="AQ100" i="4"/>
  <c r="AD100" i="4"/>
  <c r="AF101" i="4"/>
  <c r="CE101" i="4"/>
  <c r="AU101" i="4"/>
  <c r="Y101" i="4"/>
  <c r="AE97" i="4"/>
  <c r="AG97" i="4" s="1"/>
  <c r="AB98" i="4"/>
  <c r="BN100" i="4"/>
  <c r="Z101" i="4"/>
  <c r="AW95" i="4"/>
  <c r="BU127" i="5"/>
  <c r="AK127" i="5"/>
  <c r="AO127" i="5"/>
  <c r="AI127" i="5"/>
  <c r="CQ58" i="4"/>
  <c r="G77" i="4" s="1"/>
  <c r="CH59" i="4"/>
  <c r="CI59" i="4" s="1"/>
  <c r="CJ59" i="4" s="1"/>
  <c r="CF60" i="4" s="1"/>
  <c r="F119" i="5"/>
  <c r="R119" i="5" s="1"/>
  <c r="BV59" i="4"/>
  <c r="BX59" i="4" s="1"/>
  <c r="CK59" i="4" s="1"/>
  <c r="CL59" i="4" s="1"/>
  <c r="AD130" i="5"/>
  <c r="AC131" i="5"/>
  <c r="BJ131" i="5"/>
  <c r="DT126" i="5"/>
  <c r="DU126" i="5" s="1"/>
  <c r="J126" i="5"/>
  <c r="V126" i="5" s="1"/>
  <c r="DA99" i="4"/>
  <c r="CY101" i="4"/>
  <c r="CS102" i="4" s="1"/>
  <c r="BP101" i="4"/>
  <c r="BI101" i="4"/>
  <c r="X101" i="4"/>
  <c r="K120" i="4" s="1"/>
  <c r="CW100" i="4"/>
  <c r="CX100" i="4" s="1"/>
  <c r="DF100" i="4" s="1"/>
  <c r="CT101" i="4"/>
  <c r="CV101" i="4"/>
  <c r="DL127" i="5"/>
  <c r="DZ127" i="5"/>
  <c r="EA125" i="5"/>
  <c r="I125" i="5"/>
  <c r="U125" i="5" s="1"/>
  <c r="DN125" i="5"/>
  <c r="H126" i="5" s="1"/>
  <c r="T126" i="5" s="1"/>
  <c r="DN124" i="5"/>
  <c r="H125" i="5" s="1"/>
  <c r="T125" i="5" s="1"/>
  <c r="CX127" i="5"/>
  <c r="CY124" i="5"/>
  <c r="CZ124" i="5"/>
  <c r="G125" i="5" s="1"/>
  <c r="S125" i="5" s="1"/>
  <c r="DC126" i="5"/>
  <c r="DK125" i="5" s="1"/>
  <c r="DM125" i="5" s="1"/>
  <c r="N127" i="5"/>
  <c r="DE96" i="4"/>
  <c r="H115" i="4" s="1"/>
  <c r="DD97" i="4"/>
  <c r="DE97" i="4" s="1"/>
  <c r="H116" i="4" s="1"/>
  <c r="DG126" i="5"/>
  <c r="DI126" i="5" s="1"/>
  <c r="DJ126" i="5" s="1"/>
  <c r="CR126" i="5"/>
  <c r="CS126" i="5" s="1"/>
  <c r="B128" i="5"/>
  <c r="A117" i="5" s="1"/>
  <c r="DH127" i="5"/>
  <c r="BY127" i="5"/>
  <c r="CD127" i="5" s="1"/>
  <c r="AA128" i="5"/>
  <c r="DF127" i="5"/>
  <c r="CT127" i="5"/>
  <c r="DV127" i="5"/>
  <c r="AB127" i="5"/>
  <c r="K128" i="5" s="1"/>
  <c r="W128" i="5" s="1"/>
  <c r="CU125" i="5"/>
  <c r="CV125" i="5" s="1"/>
  <c r="CP127" i="5"/>
  <c r="CO127" i="5"/>
  <c r="CW126" i="5" s="1"/>
  <c r="CN127" i="5"/>
  <c r="CQ127" i="5"/>
  <c r="DR127" i="5"/>
  <c r="DQ127" i="5"/>
  <c r="DY126" i="5" s="1"/>
  <c r="DP127" i="5"/>
  <c r="DS127" i="5"/>
  <c r="DW125" i="5"/>
  <c r="DX125" i="5" s="1"/>
  <c r="DE127" i="5"/>
  <c r="DD127" i="5"/>
  <c r="DB127" i="5"/>
  <c r="DG99" i="4"/>
  <c r="DB99" i="4"/>
  <c r="DC99" i="4" s="1"/>
  <c r="CU101" i="4"/>
  <c r="C120" i="4"/>
  <c r="W102" i="4"/>
  <c r="CK124" i="5" l="1"/>
  <c r="CC124" i="5"/>
  <c r="CE124" i="5" s="1"/>
  <c r="CH124" i="5" s="1"/>
  <c r="CL124" i="5" s="1"/>
  <c r="CB125" i="5"/>
  <c r="BZ128" i="5"/>
  <c r="CG128" i="5" s="1"/>
  <c r="BO128" i="5"/>
  <c r="CJ128" i="5"/>
  <c r="CF128" i="5"/>
  <c r="CI128" i="5" s="1"/>
  <c r="BA128" i="5"/>
  <c r="AY128" i="5"/>
  <c r="BE128" i="5"/>
  <c r="AC102" i="4"/>
  <c r="AX120" i="5"/>
  <c r="AZ120" i="5" s="1"/>
  <c r="AW121" i="5"/>
  <c r="AV128" i="5"/>
  <c r="BD119" i="5"/>
  <c r="BF119" i="5" s="1"/>
  <c r="BC119" i="5"/>
  <c r="BG119" i="5" s="1"/>
  <c r="D120" i="5" s="1"/>
  <c r="P120" i="5" s="1"/>
  <c r="BB121" i="5"/>
  <c r="AU122" i="5"/>
  <c r="J120" i="4"/>
  <c r="AA99" i="4"/>
  <c r="AT98" i="4" s="1"/>
  <c r="BQ128" i="5"/>
  <c r="BK129" i="5" s="1"/>
  <c r="BR118" i="5"/>
  <c r="BS118" i="5" s="1"/>
  <c r="BW118" i="5" s="1"/>
  <c r="E119" i="5" s="1"/>
  <c r="Q119" i="5" s="1"/>
  <c r="BP120" i="5"/>
  <c r="BM121" i="5"/>
  <c r="BR119" i="5"/>
  <c r="BV119" i="5"/>
  <c r="BL121" i="5"/>
  <c r="BT120" i="5" s="1"/>
  <c r="AQ101" i="4"/>
  <c r="AD101" i="4"/>
  <c r="Z102" i="4"/>
  <c r="BN101" i="4"/>
  <c r="AW97" i="4"/>
  <c r="AE98" i="4"/>
  <c r="AG98" i="4" s="1"/>
  <c r="AB99" i="4"/>
  <c r="AF102" i="4"/>
  <c r="Y102" i="4"/>
  <c r="BY59" i="4"/>
  <c r="CO59" i="4" s="1"/>
  <c r="CP59" i="4" s="1"/>
  <c r="BU128" i="5"/>
  <c r="AI128" i="5"/>
  <c r="AO128" i="5"/>
  <c r="AK128" i="5"/>
  <c r="CG60" i="4"/>
  <c r="CM59" i="4"/>
  <c r="CN59" i="4" s="1"/>
  <c r="F78" i="4" s="1"/>
  <c r="BR60" i="4"/>
  <c r="BS72" i="4" s="1"/>
  <c r="BT84" i="4" s="1"/>
  <c r="BU96" i="4" s="1"/>
  <c r="CC71" i="4"/>
  <c r="BZ71" i="4"/>
  <c r="CB71" i="4" s="1"/>
  <c r="F120" i="5"/>
  <c r="R120" i="5" s="1"/>
  <c r="AD131" i="5"/>
  <c r="AC132" i="5"/>
  <c r="BJ132" i="5"/>
  <c r="J127" i="5"/>
  <c r="V127" i="5" s="1"/>
  <c r="CT102" i="4"/>
  <c r="CZ101" i="4" s="1"/>
  <c r="CZ100" i="4"/>
  <c r="DA100" i="4" s="1"/>
  <c r="CV102" i="4"/>
  <c r="CW101" i="4"/>
  <c r="CX101" i="4" s="1"/>
  <c r="DF101" i="4" s="1"/>
  <c r="CA101" i="4"/>
  <c r="CY102" i="4"/>
  <c r="CS103" i="4" s="1"/>
  <c r="BP102" i="4"/>
  <c r="BI102" i="4"/>
  <c r="X102" i="4"/>
  <c r="K121" i="4" s="1"/>
  <c r="DL128" i="5"/>
  <c r="DZ128" i="5"/>
  <c r="EA126" i="5"/>
  <c r="EB125" i="5"/>
  <c r="I126" i="5" s="1"/>
  <c r="U126" i="5" s="1"/>
  <c r="DN126" i="5"/>
  <c r="H127" i="5" s="1"/>
  <c r="T127" i="5" s="1"/>
  <c r="CX128" i="5"/>
  <c r="CY125" i="5"/>
  <c r="CZ125" i="5"/>
  <c r="G126" i="5" s="1"/>
  <c r="S126" i="5" s="1"/>
  <c r="DC127" i="5"/>
  <c r="DK126" i="5" s="1"/>
  <c r="DM126" i="5" s="1"/>
  <c r="N128" i="5"/>
  <c r="DH97" i="4"/>
  <c r="I116" i="4" s="1"/>
  <c r="DD98" i="4"/>
  <c r="DH98" i="4" s="1"/>
  <c r="I117" i="4" s="1"/>
  <c r="DG127" i="5"/>
  <c r="DI127" i="5" s="1"/>
  <c r="DJ127" i="5" s="1"/>
  <c r="CP128" i="5"/>
  <c r="CO128" i="5"/>
  <c r="CW127" i="5" s="1"/>
  <c r="CN128" i="5"/>
  <c r="CU126" i="5"/>
  <c r="CV126" i="5" s="1"/>
  <c r="DT127" i="5"/>
  <c r="DU127" i="5" s="1"/>
  <c r="B129" i="5"/>
  <c r="DH128" i="5"/>
  <c r="BY128" i="5"/>
  <c r="CD128" i="5" s="1"/>
  <c r="AA129" i="5"/>
  <c r="DV128" i="5"/>
  <c r="CT128" i="5"/>
  <c r="AB128" i="5"/>
  <c r="K129" i="5" s="1"/>
  <c r="W129" i="5" s="1"/>
  <c r="DW126" i="5"/>
  <c r="DX126" i="5" s="1"/>
  <c r="DD128" i="5"/>
  <c r="DB128" i="5"/>
  <c r="CR127" i="5"/>
  <c r="CS127" i="5" s="1"/>
  <c r="DR128" i="5"/>
  <c r="DQ128" i="5"/>
  <c r="DY127" i="5" s="1"/>
  <c r="DP128" i="5"/>
  <c r="DG100" i="4"/>
  <c r="DB100" i="4"/>
  <c r="DC100" i="4" s="1"/>
  <c r="W103" i="4"/>
  <c r="C121" i="4"/>
  <c r="CU102" i="4"/>
  <c r="AA100" i="4" l="1"/>
  <c r="AT99" i="4" s="1"/>
  <c r="AV129" i="5"/>
  <c r="CK125" i="5"/>
  <c r="J121" i="4"/>
  <c r="AX121" i="5"/>
  <c r="AZ121" i="5" s="1"/>
  <c r="AW122" i="5"/>
  <c r="BO129" i="5"/>
  <c r="CF129" i="5"/>
  <c r="CI129" i="5" s="1"/>
  <c r="CJ129" i="5"/>
  <c r="AY129" i="5"/>
  <c r="BA129" i="5"/>
  <c r="BE129" i="5"/>
  <c r="BD120" i="5"/>
  <c r="BF120" i="5" s="1"/>
  <c r="BC120" i="5"/>
  <c r="BG120" i="5" s="1"/>
  <c r="D121" i="5" s="1"/>
  <c r="P121" i="5" s="1"/>
  <c r="BZ129" i="5"/>
  <c r="CG129" i="5" s="1"/>
  <c r="CC125" i="5"/>
  <c r="CE125" i="5" s="1"/>
  <c r="CH125" i="5" s="1"/>
  <c r="CL125" i="5" s="1"/>
  <c r="CB126" i="5"/>
  <c r="BB122" i="5"/>
  <c r="AU123" i="5"/>
  <c r="CA129" i="5"/>
  <c r="BQ129" i="5"/>
  <c r="BK130" i="5" s="1"/>
  <c r="BP121" i="5"/>
  <c r="BM122" i="5"/>
  <c r="BS119" i="5"/>
  <c r="BW119" i="5" s="1"/>
  <c r="E120" i="5" s="1"/>
  <c r="Q120" i="5" s="1"/>
  <c r="BV120" i="5"/>
  <c r="BL122" i="5"/>
  <c r="BT121" i="5" s="1"/>
  <c r="AQ102" i="4"/>
  <c r="AD102" i="4"/>
  <c r="Z103" i="4"/>
  <c r="BN102" i="4"/>
  <c r="AE99" i="4"/>
  <c r="AG99" i="4" s="1"/>
  <c r="AB100" i="4"/>
  <c r="AW98" i="4"/>
  <c r="AF103" i="4"/>
  <c r="AU103" i="4"/>
  <c r="CE103" i="4"/>
  <c r="Y103" i="4"/>
  <c r="AA101" i="4"/>
  <c r="AT100" i="4" s="1"/>
  <c r="BU129" i="5"/>
  <c r="AK129" i="5"/>
  <c r="AO129" i="5"/>
  <c r="AI129" i="5"/>
  <c r="CQ59" i="4"/>
  <c r="G78" i="4" s="1"/>
  <c r="F121" i="5"/>
  <c r="R121" i="5" s="1"/>
  <c r="BV60" i="4"/>
  <c r="BX60" i="4" s="1"/>
  <c r="CK60" i="4" s="1"/>
  <c r="CL60" i="4" s="1"/>
  <c r="CH60" i="4"/>
  <c r="CI60" i="4" s="1"/>
  <c r="CJ60" i="4" s="1"/>
  <c r="CF61" i="4" s="1"/>
  <c r="AD132" i="5"/>
  <c r="AC133" i="5"/>
  <c r="BJ133" i="5"/>
  <c r="CR128" i="5"/>
  <c r="J128" i="5"/>
  <c r="V128" i="5" s="1"/>
  <c r="N129" i="5"/>
  <c r="CT103" i="4"/>
  <c r="CZ102" i="4" s="1"/>
  <c r="DA101" i="4"/>
  <c r="CW102" i="4"/>
  <c r="CX102" i="4" s="1"/>
  <c r="DF102" i="4" s="1"/>
  <c r="CA102" i="4"/>
  <c r="CY103" i="4"/>
  <c r="CS104" i="4" s="1"/>
  <c r="BP103" i="4"/>
  <c r="BI103" i="4"/>
  <c r="BN103" i="4" s="1"/>
  <c r="X103" i="4"/>
  <c r="K122" i="4" s="1"/>
  <c r="DL129" i="5"/>
  <c r="DZ129" i="5"/>
  <c r="EA127" i="5"/>
  <c r="EB126" i="5"/>
  <c r="I127" i="5" s="1"/>
  <c r="U127" i="5" s="1"/>
  <c r="DN127" i="5"/>
  <c r="H128" i="5" s="1"/>
  <c r="T128" i="5" s="1"/>
  <c r="CY126" i="5"/>
  <c r="CZ126" i="5"/>
  <c r="G127" i="5" s="1"/>
  <c r="S127" i="5" s="1"/>
  <c r="CX129" i="5"/>
  <c r="DC128" i="5"/>
  <c r="DK127" i="5" s="1"/>
  <c r="DM127" i="5" s="1"/>
  <c r="DE98" i="4"/>
  <c r="H117" i="4" s="1"/>
  <c r="DD99" i="4"/>
  <c r="DE99" i="4" s="1"/>
  <c r="H118" i="4" s="1"/>
  <c r="DE128" i="5"/>
  <c r="DF128" i="5"/>
  <c r="DT128" i="5"/>
  <c r="CU127" i="5"/>
  <c r="CV127" i="5" s="1"/>
  <c r="CQ128" i="5"/>
  <c r="CP129" i="5"/>
  <c r="CO129" i="5"/>
  <c r="CW128" i="5" s="1"/>
  <c r="CN129" i="5"/>
  <c r="DR129" i="5"/>
  <c r="DQ129" i="5"/>
  <c r="DY128" i="5" s="1"/>
  <c r="DP129" i="5"/>
  <c r="B130" i="5"/>
  <c r="DH129" i="5"/>
  <c r="BY129" i="5"/>
  <c r="CD129" i="5" s="1"/>
  <c r="DV129" i="5"/>
  <c r="CT129" i="5"/>
  <c r="AA130" i="5"/>
  <c r="AB129" i="5"/>
  <c r="K130" i="5" s="1"/>
  <c r="W130" i="5" s="1"/>
  <c r="DW127" i="5"/>
  <c r="DX127" i="5" s="1"/>
  <c r="EB127" i="5" s="1"/>
  <c r="DS128" i="5"/>
  <c r="DB129" i="5"/>
  <c r="DD129" i="5"/>
  <c r="DG101" i="4"/>
  <c r="DB101" i="4"/>
  <c r="DC101" i="4" s="1"/>
  <c r="W104" i="4"/>
  <c r="C122" i="4"/>
  <c r="B121" i="4" s="1"/>
  <c r="CU103" i="4"/>
  <c r="CA130" i="5" l="1"/>
  <c r="CK126" i="5"/>
  <c r="BB123" i="5"/>
  <c r="AU124" i="5"/>
  <c r="BZ130" i="5"/>
  <c r="CG130" i="5" s="1"/>
  <c r="BO130" i="5"/>
  <c r="CF130" i="5"/>
  <c r="CI130" i="5" s="1"/>
  <c r="CJ130" i="5"/>
  <c r="AY130" i="5"/>
  <c r="BE130" i="5"/>
  <c r="BA130" i="5"/>
  <c r="CC126" i="5"/>
  <c r="CE126" i="5" s="1"/>
  <c r="CH126" i="5" s="1"/>
  <c r="CL126" i="5" s="1"/>
  <c r="CB127" i="5"/>
  <c r="AX122" i="5"/>
  <c r="AZ122" i="5" s="1"/>
  <c r="AW123" i="5"/>
  <c r="BD121" i="5"/>
  <c r="BF121" i="5" s="1"/>
  <c r="BC121" i="5"/>
  <c r="BG121" i="5" s="1"/>
  <c r="D122" i="5" s="1"/>
  <c r="P122" i="5" s="1"/>
  <c r="AV130" i="5"/>
  <c r="BQ130" i="5"/>
  <c r="BK131" i="5" s="1"/>
  <c r="BL123" i="5"/>
  <c r="BT122" i="5" s="1"/>
  <c r="BM123" i="5"/>
  <c r="BP122" i="5"/>
  <c r="BR121" i="5"/>
  <c r="BR120" i="5"/>
  <c r="BS120" i="5" s="1"/>
  <c r="BW120" i="5" s="1"/>
  <c r="E121" i="5" s="1"/>
  <c r="Q121" i="5" s="1"/>
  <c r="AQ103" i="4"/>
  <c r="AD103" i="4"/>
  <c r="AA102" i="4"/>
  <c r="AT101" i="4" s="1"/>
  <c r="AW99" i="4"/>
  <c r="Z104" i="4"/>
  <c r="AU104" i="4"/>
  <c r="AF104" i="4"/>
  <c r="CE104" i="4"/>
  <c r="Y104" i="4"/>
  <c r="AE100" i="4"/>
  <c r="AG100" i="4" s="1"/>
  <c r="AB101" i="4"/>
  <c r="AO130" i="5"/>
  <c r="AK130" i="5"/>
  <c r="BU130" i="5"/>
  <c r="AI130" i="5"/>
  <c r="BR61" i="4"/>
  <c r="BS73" i="4" s="1"/>
  <c r="BT85" i="4" s="1"/>
  <c r="BU97" i="4" s="1"/>
  <c r="CM60" i="4"/>
  <c r="CN60" i="4" s="1"/>
  <c r="F79" i="4" s="1"/>
  <c r="F122" i="5"/>
  <c r="R122" i="5" s="1"/>
  <c r="CG61" i="4"/>
  <c r="CH61" i="4" s="1"/>
  <c r="CI61" i="4" s="1"/>
  <c r="CJ61" i="4" s="1"/>
  <c r="CF62" i="4" s="1"/>
  <c r="BY60" i="4"/>
  <c r="CO60" i="4" s="1"/>
  <c r="CP60" i="4" s="1"/>
  <c r="CC72" i="4"/>
  <c r="BZ72" i="4"/>
  <c r="CB72" i="4" s="1"/>
  <c r="DE129" i="5"/>
  <c r="DE130" i="5" s="1"/>
  <c r="AD133" i="5"/>
  <c r="AC134" i="5"/>
  <c r="BJ134" i="5"/>
  <c r="CS128" i="5"/>
  <c r="CU128" i="5" s="1"/>
  <c r="CV128" i="5" s="1"/>
  <c r="J129" i="5"/>
  <c r="V129" i="5" s="1"/>
  <c r="DA102" i="4"/>
  <c r="J122" i="4"/>
  <c r="CT104" i="4"/>
  <c r="CZ103" i="4" s="1"/>
  <c r="BP104" i="4"/>
  <c r="CY104" i="4"/>
  <c r="CS105" i="4" s="1"/>
  <c r="BI104" i="4"/>
  <c r="CA104" i="4" s="1"/>
  <c r="X104" i="4"/>
  <c r="K123" i="4" s="1"/>
  <c r="CW103" i="4"/>
  <c r="CA103" i="4"/>
  <c r="DL130" i="5"/>
  <c r="DZ130" i="5"/>
  <c r="EA128" i="5"/>
  <c r="I128" i="5"/>
  <c r="U128" i="5" s="1"/>
  <c r="CX130" i="5"/>
  <c r="CZ127" i="5"/>
  <c r="G128" i="5" s="1"/>
  <c r="S128" i="5" s="1"/>
  <c r="CY127" i="5"/>
  <c r="DC129" i="5"/>
  <c r="DK128" i="5" s="1"/>
  <c r="DM128" i="5" s="1"/>
  <c r="DH99" i="4"/>
  <c r="I118" i="4" s="1"/>
  <c r="DD100" i="4"/>
  <c r="DH100" i="4" s="1"/>
  <c r="I119" i="4" s="1"/>
  <c r="N130" i="5"/>
  <c r="CV103" i="4"/>
  <c r="CV104" i="4" s="1"/>
  <c r="DG102" i="4"/>
  <c r="DG128" i="5"/>
  <c r="DI128" i="5" s="1"/>
  <c r="DJ128" i="5" s="1"/>
  <c r="DN128" i="5" s="1"/>
  <c r="DU128" i="5"/>
  <c r="DW128" i="5" s="1"/>
  <c r="DX128" i="5" s="1"/>
  <c r="EB128" i="5" s="1"/>
  <c r="CQ129" i="5"/>
  <c r="CQ130" i="5" s="1"/>
  <c r="DF129" i="5"/>
  <c r="CR129" i="5"/>
  <c r="DT129" i="5"/>
  <c r="B131" i="5"/>
  <c r="DH130" i="5"/>
  <c r="BY130" i="5"/>
  <c r="CD130" i="5" s="1"/>
  <c r="AA131" i="5"/>
  <c r="CT130" i="5"/>
  <c r="DV130" i="5"/>
  <c r="AB130" i="5"/>
  <c r="K131" i="5" s="1"/>
  <c r="W131" i="5" s="1"/>
  <c r="CP130" i="5"/>
  <c r="CN130" i="5"/>
  <c r="CO130" i="5"/>
  <c r="CW129" i="5" s="1"/>
  <c r="DR130" i="5"/>
  <c r="DP130" i="5"/>
  <c r="DQ130" i="5"/>
  <c r="DY129" i="5" s="1"/>
  <c r="DB130" i="5"/>
  <c r="DD130" i="5"/>
  <c r="DS129" i="5"/>
  <c r="DB102" i="4"/>
  <c r="DC102" i="4" s="1"/>
  <c r="W105" i="4"/>
  <c r="C123" i="4"/>
  <c r="CU104" i="4"/>
  <c r="AV131" i="5" l="1"/>
  <c r="BZ131" i="5"/>
  <c r="CG131" i="5" s="1"/>
  <c r="AX123" i="5"/>
  <c r="AZ123" i="5" s="1"/>
  <c r="AW124" i="5"/>
  <c r="BO131" i="5"/>
  <c r="CJ131" i="5"/>
  <c r="CF131" i="5"/>
  <c r="CI131" i="5" s="1"/>
  <c r="BA131" i="5"/>
  <c r="BE131" i="5"/>
  <c r="AY131" i="5"/>
  <c r="BD122" i="5"/>
  <c r="BF122" i="5" s="1"/>
  <c r="BC122" i="5"/>
  <c r="BG122" i="5" s="1"/>
  <c r="D123" i="5" s="1"/>
  <c r="P123" i="5" s="1"/>
  <c r="BB124" i="5"/>
  <c r="AU125" i="5"/>
  <c r="AV132" i="5"/>
  <c r="CA131" i="5"/>
  <c r="CC127" i="5"/>
  <c r="CE127" i="5" s="1"/>
  <c r="CI127" i="5" s="1"/>
  <c r="CB128" i="5"/>
  <c r="BR122" i="5"/>
  <c r="BS122" i="5" s="1"/>
  <c r="BQ131" i="5"/>
  <c r="BK132" i="5" s="1"/>
  <c r="BS121" i="5"/>
  <c r="BW121" i="5" s="1"/>
  <c r="E122" i="5" s="1"/>
  <c r="Q122" i="5" s="1"/>
  <c r="BM124" i="5"/>
  <c r="BP123" i="5"/>
  <c r="BL124" i="5"/>
  <c r="BT123" i="5" s="1"/>
  <c r="BV121" i="5"/>
  <c r="BV122" i="5" s="1"/>
  <c r="AQ104" i="4"/>
  <c r="AD104" i="4"/>
  <c r="Z105" i="4"/>
  <c r="AF105" i="4"/>
  <c r="CE105" i="4"/>
  <c r="AU105" i="4"/>
  <c r="Y105" i="4"/>
  <c r="AE101" i="4"/>
  <c r="AG101" i="4" s="1"/>
  <c r="AB102" i="4"/>
  <c r="AA103" i="4"/>
  <c r="BN104" i="4"/>
  <c r="AW100" i="4"/>
  <c r="BV61" i="4"/>
  <c r="BX61" i="4" s="1"/>
  <c r="CK61" i="4" s="1"/>
  <c r="CL61" i="4" s="1"/>
  <c r="CM61" i="4" s="1"/>
  <c r="CN61" i="4" s="1"/>
  <c r="F80" i="4" s="1"/>
  <c r="BU131" i="5"/>
  <c r="AK131" i="5"/>
  <c r="AO131" i="5"/>
  <c r="AI131" i="5"/>
  <c r="DG129" i="5"/>
  <c r="DI129" i="5" s="1"/>
  <c r="DJ129" i="5" s="1"/>
  <c r="DN129" i="5" s="1"/>
  <c r="CQ60" i="4"/>
  <c r="G79" i="4" s="1"/>
  <c r="CG62" i="4"/>
  <c r="BR62" i="4"/>
  <c r="BS74" i="4" s="1"/>
  <c r="BT86" i="4" s="1"/>
  <c r="BU98" i="4" s="1"/>
  <c r="CC73" i="4"/>
  <c r="BZ73" i="4"/>
  <c r="CB73" i="4" s="1"/>
  <c r="F123" i="5"/>
  <c r="R123" i="5" s="1"/>
  <c r="AD134" i="5"/>
  <c r="AC135" i="5"/>
  <c r="BJ135" i="5"/>
  <c r="DT130" i="5"/>
  <c r="J130" i="5"/>
  <c r="V130" i="5" s="1"/>
  <c r="DA103" i="4"/>
  <c r="J123" i="4"/>
  <c r="CV105" i="4"/>
  <c r="CW104" i="4"/>
  <c r="DC130" i="5"/>
  <c r="DK129" i="5" s="1"/>
  <c r="DM129" i="5" s="1"/>
  <c r="BP105" i="4"/>
  <c r="CY105" i="4"/>
  <c r="CS106" i="4" s="1"/>
  <c r="BI105" i="4"/>
  <c r="BN105" i="4" s="1"/>
  <c r="X105" i="4"/>
  <c r="K124" i="4" s="1"/>
  <c r="CT105" i="4"/>
  <c r="CZ104" i="4" s="1"/>
  <c r="DL131" i="5"/>
  <c r="DZ131" i="5"/>
  <c r="EA129" i="5"/>
  <c r="I129" i="5"/>
  <c r="U129" i="5" s="1"/>
  <c r="H129" i="5"/>
  <c r="T129" i="5" s="1"/>
  <c r="CY128" i="5"/>
  <c r="CZ128" i="5"/>
  <c r="G129" i="5" s="1"/>
  <c r="S129" i="5" s="1"/>
  <c r="CX131" i="5"/>
  <c r="DE100" i="4"/>
  <c r="H119" i="4" s="1"/>
  <c r="DD101" i="4"/>
  <c r="DE101" i="4" s="1"/>
  <c r="H120" i="4" s="1"/>
  <c r="N131" i="5"/>
  <c r="CS129" i="5"/>
  <c r="CU129" i="5" s="1"/>
  <c r="CV129" i="5" s="1"/>
  <c r="DU129" i="5"/>
  <c r="DW129" i="5" s="1"/>
  <c r="DX129" i="5" s="1"/>
  <c r="CR130" i="5"/>
  <c r="CS130" i="5" s="1"/>
  <c r="CQ131" i="5"/>
  <c r="CO131" i="5"/>
  <c r="CW130" i="5" s="1"/>
  <c r="CP131" i="5"/>
  <c r="CN131" i="5"/>
  <c r="DD131" i="5"/>
  <c r="DB131" i="5"/>
  <c r="DE131" i="5"/>
  <c r="DS130" i="5"/>
  <c r="DF130" i="5"/>
  <c r="DG130" i="5" s="1"/>
  <c r="B132" i="5"/>
  <c r="DV131" i="5"/>
  <c r="CT131" i="5"/>
  <c r="DH131" i="5"/>
  <c r="AA132" i="5"/>
  <c r="BY131" i="5"/>
  <c r="CD131" i="5" s="1"/>
  <c r="AB131" i="5"/>
  <c r="K132" i="5" s="1"/>
  <c r="W132" i="5" s="1"/>
  <c r="DQ131" i="5"/>
  <c r="DY130" i="5" s="1"/>
  <c r="DP131" i="5"/>
  <c r="DR131" i="5"/>
  <c r="CX103" i="4"/>
  <c r="DF103" i="4" s="1"/>
  <c r="W106" i="4"/>
  <c r="C124" i="4"/>
  <c r="CU105" i="4"/>
  <c r="CA132" i="5" l="1"/>
  <c r="BB125" i="5"/>
  <c r="AU126" i="5"/>
  <c r="AX124" i="5"/>
  <c r="AZ124" i="5" s="1"/>
  <c r="AW125" i="5"/>
  <c r="BD123" i="5"/>
  <c r="BF123" i="5" s="1"/>
  <c r="BC123" i="5"/>
  <c r="BG123" i="5" s="1"/>
  <c r="D124" i="5" s="1"/>
  <c r="P124" i="5" s="1"/>
  <c r="BO132" i="5"/>
  <c r="CF132" i="5"/>
  <c r="CI132" i="5" s="1"/>
  <c r="BA132" i="5"/>
  <c r="AY132" i="5"/>
  <c r="CJ132" i="5"/>
  <c r="BE132" i="5"/>
  <c r="CC128" i="5"/>
  <c r="CE128" i="5" s="1"/>
  <c r="CH128" i="5" s="1"/>
  <c r="CB129" i="5"/>
  <c r="CK127" i="5"/>
  <c r="CH127" i="5"/>
  <c r="CL127" i="5" s="1"/>
  <c r="BZ132" i="5"/>
  <c r="CG132" i="5" s="1"/>
  <c r="AA104" i="4"/>
  <c r="AT103" i="4" s="1"/>
  <c r="AW103" i="4" s="1"/>
  <c r="AT102" i="4"/>
  <c r="BR123" i="5"/>
  <c r="BS123" i="5" s="1"/>
  <c r="BW123" i="5" s="1"/>
  <c r="E124" i="5" s="1"/>
  <c r="Q124" i="5" s="1"/>
  <c r="BQ132" i="5"/>
  <c r="BK133" i="5" s="1"/>
  <c r="BL125" i="5"/>
  <c r="BT124" i="5" s="1"/>
  <c r="BV123" i="5"/>
  <c r="BM125" i="5"/>
  <c r="BP124" i="5"/>
  <c r="BW122" i="5"/>
  <c r="E123" i="5" s="1"/>
  <c r="Q123" i="5" s="1"/>
  <c r="AQ105" i="4"/>
  <c r="AD105" i="4"/>
  <c r="AW101" i="4"/>
  <c r="AE102" i="4"/>
  <c r="AB103" i="4"/>
  <c r="AU106" i="4"/>
  <c r="AF106" i="4"/>
  <c r="CE106" i="4"/>
  <c r="Y106" i="4"/>
  <c r="Z106" i="4"/>
  <c r="BY61" i="4"/>
  <c r="CO61" i="4" s="1"/>
  <c r="CP61" i="4" s="1"/>
  <c r="BU132" i="5"/>
  <c r="AO132" i="5"/>
  <c r="AK132" i="5"/>
  <c r="AI132" i="5"/>
  <c r="CH62" i="4"/>
  <c r="CI62" i="4" s="1"/>
  <c r="CJ62" i="4" s="1"/>
  <c r="CF63" i="4" s="1"/>
  <c r="BV62" i="4"/>
  <c r="BX62" i="4" s="1"/>
  <c r="CK62" i="4" s="1"/>
  <c r="CL62" i="4" s="1"/>
  <c r="F124" i="5"/>
  <c r="R124" i="5" s="1"/>
  <c r="AD135" i="5"/>
  <c r="AC136" i="5"/>
  <c r="BJ136" i="5"/>
  <c r="DU130" i="5"/>
  <c r="DW130" i="5" s="1"/>
  <c r="DX130" i="5" s="1"/>
  <c r="DF131" i="5"/>
  <c r="DG131" i="5" s="1"/>
  <c r="J131" i="5"/>
  <c r="V131" i="5" s="1"/>
  <c r="J124" i="4"/>
  <c r="DA104" i="4"/>
  <c r="DC131" i="5"/>
  <c r="DK130" i="5" s="1"/>
  <c r="DM130" i="5" s="1"/>
  <c r="CW105" i="4"/>
  <c r="CX105" i="4" s="1"/>
  <c r="DF105" i="4" s="1"/>
  <c r="CA105" i="4"/>
  <c r="CY106" i="4"/>
  <c r="CS107" i="4" s="1"/>
  <c r="BP106" i="4"/>
  <c r="BI106" i="4"/>
  <c r="BN106" i="4" s="1"/>
  <c r="X106" i="4"/>
  <c r="K125" i="4" s="1"/>
  <c r="CT106" i="4"/>
  <c r="CZ105" i="4" s="1"/>
  <c r="CV106" i="4"/>
  <c r="DL132" i="5"/>
  <c r="DZ132" i="5"/>
  <c r="EA130" i="5"/>
  <c r="EB129" i="5"/>
  <c r="I130" i="5" s="1"/>
  <c r="U130" i="5" s="1"/>
  <c r="H130" i="5"/>
  <c r="T130" i="5" s="1"/>
  <c r="CZ129" i="5"/>
  <c r="G130" i="5" s="1"/>
  <c r="S130" i="5" s="1"/>
  <c r="CY129" i="5"/>
  <c r="CX132" i="5"/>
  <c r="DH101" i="4"/>
  <c r="I120" i="4" s="1"/>
  <c r="DD102" i="4"/>
  <c r="DE102" i="4" s="1"/>
  <c r="H121" i="4" s="1"/>
  <c r="N132" i="5"/>
  <c r="DS131" i="5"/>
  <c r="DS132" i="5" s="1"/>
  <c r="CU130" i="5"/>
  <c r="CV130" i="5" s="1"/>
  <c r="CR131" i="5"/>
  <c r="CS131" i="5" s="1"/>
  <c r="DI130" i="5"/>
  <c r="DJ130" i="5" s="1"/>
  <c r="B133" i="5"/>
  <c r="DV132" i="5"/>
  <c r="CT132" i="5"/>
  <c r="DH132" i="5"/>
  <c r="BY132" i="5"/>
  <c r="CD132" i="5" s="1"/>
  <c r="AA133" i="5"/>
  <c r="AB132" i="5"/>
  <c r="K133" i="5" s="1"/>
  <c r="W133" i="5" s="1"/>
  <c r="DT131" i="5"/>
  <c r="CP132" i="5"/>
  <c r="CQ132" i="5"/>
  <c r="CO132" i="5"/>
  <c r="CW131" i="5" s="1"/>
  <c r="CN132" i="5"/>
  <c r="DR132" i="5"/>
  <c r="DQ132" i="5"/>
  <c r="DY131" i="5" s="1"/>
  <c r="DP132" i="5"/>
  <c r="DE132" i="5"/>
  <c r="DD132" i="5"/>
  <c r="DB132" i="5"/>
  <c r="DG103" i="4"/>
  <c r="DB103" i="4"/>
  <c r="DC103" i="4" s="1"/>
  <c r="CX104" i="4"/>
  <c r="DF104" i="4" s="1"/>
  <c r="CU106" i="4"/>
  <c r="W107" i="4"/>
  <c r="C125" i="4"/>
  <c r="CK128" i="5" l="1"/>
  <c r="CL128" i="5"/>
  <c r="CC129" i="5"/>
  <c r="CE129" i="5" s="1"/>
  <c r="CH129" i="5" s="1"/>
  <c r="CB130" i="5"/>
  <c r="AX125" i="5"/>
  <c r="AZ125" i="5" s="1"/>
  <c r="AW126" i="5"/>
  <c r="BD124" i="5"/>
  <c r="BF124" i="5" s="1"/>
  <c r="BC124" i="5"/>
  <c r="BG124" i="5" s="1"/>
  <c r="D125" i="5" s="1"/>
  <c r="P125" i="5" s="1"/>
  <c r="BB126" i="5"/>
  <c r="AU127" i="5"/>
  <c r="BZ133" i="5"/>
  <c r="CG133" i="5" s="1"/>
  <c r="AV133" i="5"/>
  <c r="CA133" i="5"/>
  <c r="BO133" i="5"/>
  <c r="CF133" i="5"/>
  <c r="CI133" i="5" s="1"/>
  <c r="AY133" i="5"/>
  <c r="CJ133" i="5"/>
  <c r="BA133" i="5"/>
  <c r="BE133" i="5"/>
  <c r="AA105" i="4"/>
  <c r="AT104" i="4" s="1"/>
  <c r="AW104" i="4" s="1"/>
  <c r="AG102" i="4"/>
  <c r="AC103" i="4"/>
  <c r="AC104" i="4" s="1"/>
  <c r="AC105" i="4" s="1"/>
  <c r="AC106" i="4" s="1"/>
  <c r="AC107" i="4" s="1"/>
  <c r="BR124" i="5"/>
  <c r="BS124" i="5" s="1"/>
  <c r="BW124" i="5" s="1"/>
  <c r="E125" i="5" s="1"/>
  <c r="Q125" i="5" s="1"/>
  <c r="BQ133" i="5"/>
  <c r="BK134" i="5" s="1"/>
  <c r="BP125" i="5"/>
  <c r="BM126" i="5"/>
  <c r="BV124" i="5"/>
  <c r="BL126" i="5"/>
  <c r="BT125" i="5" s="1"/>
  <c r="AQ106" i="4"/>
  <c r="AD106" i="4"/>
  <c r="Z107" i="4"/>
  <c r="AF107" i="4"/>
  <c r="CE107" i="4"/>
  <c r="AU107" i="4"/>
  <c r="Y107" i="4"/>
  <c r="AB104" i="4"/>
  <c r="CQ61" i="4"/>
  <c r="G80" i="4" s="1"/>
  <c r="J125" i="4"/>
  <c r="BU133" i="5"/>
  <c r="AK133" i="5"/>
  <c r="AO133" i="5"/>
  <c r="AI133" i="5"/>
  <c r="BY62" i="4"/>
  <c r="CO62" i="4" s="1"/>
  <c r="CP62" i="4" s="1"/>
  <c r="CC74" i="4"/>
  <c r="BZ74" i="4"/>
  <c r="CB74" i="4" s="1"/>
  <c r="CM62" i="4"/>
  <c r="F125" i="5"/>
  <c r="R125" i="5" s="1"/>
  <c r="CG63" i="4"/>
  <c r="BR63" i="4"/>
  <c r="BS75" i="4" s="1"/>
  <c r="BT87" i="4" s="1"/>
  <c r="BU99" i="4" s="1"/>
  <c r="AD136" i="5"/>
  <c r="AC137" i="5"/>
  <c r="BJ137" i="5"/>
  <c r="J132" i="5"/>
  <c r="V132" i="5" s="1"/>
  <c r="DC132" i="5"/>
  <c r="DK131" i="5" s="1"/>
  <c r="DM131" i="5" s="1"/>
  <c r="DA105" i="4"/>
  <c r="DH102" i="4"/>
  <c r="I121" i="4" s="1"/>
  <c r="CV107" i="4"/>
  <c r="CW106" i="4"/>
  <c r="CX106" i="4" s="1"/>
  <c r="DF106" i="4" s="1"/>
  <c r="CA106" i="4"/>
  <c r="CY107" i="4"/>
  <c r="CS108" i="4" s="1"/>
  <c r="BP107" i="4"/>
  <c r="BI107" i="4"/>
  <c r="BN107" i="4" s="1"/>
  <c r="X107" i="4"/>
  <c r="K126" i="4" s="1"/>
  <c r="CT107" i="4"/>
  <c r="DL133" i="5"/>
  <c r="DZ133" i="5"/>
  <c r="EA131" i="5"/>
  <c r="EB130" i="5"/>
  <c r="I131" i="5" s="1"/>
  <c r="U131" i="5" s="1"/>
  <c r="DN130" i="5"/>
  <c r="H131" i="5" s="1"/>
  <c r="T131" i="5" s="1"/>
  <c r="CY130" i="5"/>
  <c r="CZ130" i="5"/>
  <c r="G131" i="5" s="1"/>
  <c r="S131" i="5" s="1"/>
  <c r="CX133" i="5"/>
  <c r="N133" i="5"/>
  <c r="DB105" i="4"/>
  <c r="DC105" i="4" s="1"/>
  <c r="DU131" i="5"/>
  <c r="DW131" i="5" s="1"/>
  <c r="DX131" i="5" s="1"/>
  <c r="EB131" i="5" s="1"/>
  <c r="DR133" i="5"/>
  <c r="DQ133" i="5"/>
  <c r="DY132" i="5" s="1"/>
  <c r="DP133" i="5"/>
  <c r="DS133" i="5"/>
  <c r="CU131" i="5"/>
  <c r="CV131" i="5" s="1"/>
  <c r="DI131" i="5"/>
  <c r="DJ131" i="5" s="1"/>
  <c r="DE133" i="5"/>
  <c r="DD133" i="5"/>
  <c r="DB133" i="5"/>
  <c r="DF132" i="5"/>
  <c r="DG132" i="5" s="1"/>
  <c r="CR132" i="5"/>
  <c r="CS132" i="5" s="1"/>
  <c r="B134" i="5"/>
  <c r="DV133" i="5"/>
  <c r="CT133" i="5"/>
  <c r="DH133" i="5"/>
  <c r="BY133" i="5"/>
  <c r="CD133" i="5" s="1"/>
  <c r="AA134" i="5"/>
  <c r="AB133" i="5"/>
  <c r="K134" i="5" s="1"/>
  <c r="W134" i="5" s="1"/>
  <c r="DT132" i="5"/>
  <c r="DU132" i="5" s="1"/>
  <c r="CP133" i="5"/>
  <c r="CQ133" i="5"/>
  <c r="CO133" i="5"/>
  <c r="CW132" i="5" s="1"/>
  <c r="CN133" i="5"/>
  <c r="DG104" i="4"/>
  <c r="DB104" i="4"/>
  <c r="DC104" i="4" s="1"/>
  <c r="DG105" i="4"/>
  <c r="DD103" i="4"/>
  <c r="DH103" i="4" s="1"/>
  <c r="I122" i="4" s="1"/>
  <c r="C126" i="4"/>
  <c r="W108" i="4"/>
  <c r="CU107" i="4"/>
  <c r="CK129" i="5" l="1"/>
  <c r="CL129" i="5"/>
  <c r="BO134" i="5"/>
  <c r="AY134" i="5"/>
  <c r="CF134" i="5"/>
  <c r="CI134" i="5" s="1"/>
  <c r="CJ134" i="5"/>
  <c r="BE134" i="5"/>
  <c r="BA134" i="5"/>
  <c r="AX126" i="5"/>
  <c r="AZ126" i="5" s="1"/>
  <c r="AW127" i="5"/>
  <c r="BB127" i="5"/>
  <c r="AU128" i="5"/>
  <c r="BD125" i="5"/>
  <c r="BF125" i="5" s="1"/>
  <c r="BC125" i="5"/>
  <c r="BG125" i="5" s="1"/>
  <c r="D126" i="5" s="1"/>
  <c r="P126" i="5" s="1"/>
  <c r="BZ134" i="5"/>
  <c r="CG134" i="5" s="1"/>
  <c r="CC130" i="5"/>
  <c r="CE130" i="5" s="1"/>
  <c r="CH130" i="5" s="1"/>
  <c r="CB131" i="5"/>
  <c r="CA134" i="5"/>
  <c r="AV134" i="5"/>
  <c r="AE103" i="4"/>
  <c r="AG103" i="4" s="1"/>
  <c r="AA106" i="4"/>
  <c r="AT105" i="4" s="1"/>
  <c r="AW105" i="4" s="1"/>
  <c r="AC108" i="4"/>
  <c r="BR125" i="5"/>
  <c r="BS125" i="5" s="1"/>
  <c r="BW125" i="5" s="1"/>
  <c r="E126" i="5" s="1"/>
  <c r="Q126" i="5" s="1"/>
  <c r="BQ134" i="5"/>
  <c r="BK135" i="5" s="1"/>
  <c r="BL127" i="5"/>
  <c r="BT126" i="5" s="1"/>
  <c r="BV125" i="5"/>
  <c r="BM127" i="5"/>
  <c r="BP126" i="5"/>
  <c r="AQ107" i="4"/>
  <c r="AD107" i="4"/>
  <c r="J126" i="4"/>
  <c r="Z108" i="4"/>
  <c r="CE108" i="4"/>
  <c r="AF108" i="4"/>
  <c r="AU108" i="4"/>
  <c r="Y108" i="4"/>
  <c r="AE104" i="4"/>
  <c r="AG104" i="4" s="1"/>
  <c r="AB105" i="4"/>
  <c r="BU134" i="5"/>
  <c r="AK134" i="5"/>
  <c r="AO134" i="5"/>
  <c r="AI134" i="5"/>
  <c r="CQ62" i="4"/>
  <c r="G81" i="4" s="1"/>
  <c r="CN62" i="4"/>
  <c r="F81" i="4" s="1"/>
  <c r="F126" i="5"/>
  <c r="R126" i="5" s="1"/>
  <c r="CH63" i="4"/>
  <c r="CI63" i="4" s="1"/>
  <c r="CJ63" i="4" s="1"/>
  <c r="CF64" i="4" s="1"/>
  <c r="BV63" i="4"/>
  <c r="BX63" i="4" s="1"/>
  <c r="CK63" i="4" s="1"/>
  <c r="CL63" i="4" s="1"/>
  <c r="AD137" i="5"/>
  <c r="AC138" i="5"/>
  <c r="BJ138" i="5"/>
  <c r="CR133" i="5"/>
  <c r="CS133" i="5" s="1"/>
  <c r="DC133" i="5"/>
  <c r="DK132" i="5" s="1"/>
  <c r="DM132" i="5" s="1"/>
  <c r="J133" i="5"/>
  <c r="V133" i="5" s="1"/>
  <c r="CT108" i="4"/>
  <c r="CZ107" i="4" s="1"/>
  <c r="CY108" i="4"/>
  <c r="CS109" i="4" s="1"/>
  <c r="BP108" i="4"/>
  <c r="BI108" i="4"/>
  <c r="CA108" i="4" s="1"/>
  <c r="X108" i="4"/>
  <c r="K127" i="4" s="1"/>
  <c r="CV108" i="4"/>
  <c r="CZ106" i="4"/>
  <c r="DA106" i="4" s="1"/>
  <c r="CW107" i="4"/>
  <c r="CX107" i="4" s="1"/>
  <c r="DF107" i="4" s="1"/>
  <c r="CA107" i="4"/>
  <c r="DL134" i="5"/>
  <c r="DZ134" i="5"/>
  <c r="EA132" i="5"/>
  <c r="I132" i="5"/>
  <c r="U132" i="5" s="1"/>
  <c r="DN131" i="5"/>
  <c r="H132" i="5" s="1"/>
  <c r="T132" i="5" s="1"/>
  <c r="CY131" i="5"/>
  <c r="CZ131" i="5"/>
  <c r="G132" i="5" s="1"/>
  <c r="S132" i="5" s="1"/>
  <c r="CX134" i="5"/>
  <c r="N134" i="5"/>
  <c r="DG106" i="4"/>
  <c r="DF133" i="5"/>
  <c r="DG133" i="5" s="1"/>
  <c r="DT133" i="5"/>
  <c r="DU133" i="5" s="1"/>
  <c r="CU132" i="5"/>
  <c r="CV132" i="5" s="1"/>
  <c r="DI132" i="5"/>
  <c r="DJ132" i="5" s="1"/>
  <c r="DN132" i="5" s="1"/>
  <c r="DW132" i="5"/>
  <c r="DX132" i="5" s="1"/>
  <c r="DE134" i="5"/>
  <c r="DD134" i="5"/>
  <c r="DB134" i="5"/>
  <c r="CN134" i="5"/>
  <c r="CQ134" i="5"/>
  <c r="CP134" i="5"/>
  <c r="CO134" i="5"/>
  <c r="CW133" i="5" s="1"/>
  <c r="B135" i="5"/>
  <c r="AA135" i="5"/>
  <c r="DV134" i="5"/>
  <c r="CT134" i="5"/>
  <c r="BY134" i="5"/>
  <c r="CD134" i="5" s="1"/>
  <c r="DH134" i="5"/>
  <c r="AB134" i="5"/>
  <c r="K135" i="5" s="1"/>
  <c r="W135" i="5" s="1"/>
  <c r="DP134" i="5"/>
  <c r="DS134" i="5"/>
  <c r="DR134" i="5"/>
  <c r="DQ134" i="5"/>
  <c r="DY133" i="5" s="1"/>
  <c r="DE103" i="4"/>
  <c r="H122" i="4" s="1"/>
  <c r="DB106" i="4"/>
  <c r="DC106" i="4" s="1"/>
  <c r="DD104" i="4"/>
  <c r="DD105" i="4" s="1"/>
  <c r="BL67" i="4"/>
  <c r="CU108" i="4"/>
  <c r="W109" i="4"/>
  <c r="C127" i="4"/>
  <c r="AV135" i="5" l="1"/>
  <c r="CA135" i="5"/>
  <c r="CK130" i="5"/>
  <c r="CL130" i="5"/>
  <c r="BB128" i="5"/>
  <c r="AU129" i="5"/>
  <c r="BO135" i="5"/>
  <c r="CF135" i="5"/>
  <c r="CI135" i="5" s="1"/>
  <c r="CJ135" i="5"/>
  <c r="BA135" i="5"/>
  <c r="BE135" i="5"/>
  <c r="AY135" i="5"/>
  <c r="CC131" i="5"/>
  <c r="CE131" i="5" s="1"/>
  <c r="CH131" i="5" s="1"/>
  <c r="CB132" i="5"/>
  <c r="AX127" i="5"/>
  <c r="AZ127" i="5" s="1"/>
  <c r="AW128" i="5"/>
  <c r="BZ135" i="5"/>
  <c r="CG135" i="5" s="1"/>
  <c r="BD126" i="5"/>
  <c r="BF126" i="5" s="1"/>
  <c r="BC126" i="5"/>
  <c r="BG126" i="5" s="1"/>
  <c r="D127" i="5" s="1"/>
  <c r="P127" i="5" s="1"/>
  <c r="AC109" i="4"/>
  <c r="AV136" i="5"/>
  <c r="AA107" i="4"/>
  <c r="AT106" i="4" s="1"/>
  <c r="AW106" i="4" s="1"/>
  <c r="BR126" i="5"/>
  <c r="BS126" i="5" s="1"/>
  <c r="BW126" i="5" s="1"/>
  <c r="E127" i="5" s="1"/>
  <c r="Q127" i="5" s="1"/>
  <c r="BQ135" i="5"/>
  <c r="BK136" i="5" s="1"/>
  <c r="BP127" i="5"/>
  <c r="BN128" i="5" s="1"/>
  <c r="BN129" i="5" s="1"/>
  <c r="BN130" i="5" s="1"/>
  <c r="BN131" i="5" s="1"/>
  <c r="BN132" i="5" s="1"/>
  <c r="BN133" i="5" s="1"/>
  <c r="BN134" i="5" s="1"/>
  <c r="BN135" i="5" s="1"/>
  <c r="BM128" i="5"/>
  <c r="BL128" i="5"/>
  <c r="BT127" i="5" s="1"/>
  <c r="BV126" i="5"/>
  <c r="AQ108" i="4"/>
  <c r="AD108" i="4"/>
  <c r="J127" i="4"/>
  <c r="BN108" i="4"/>
  <c r="AU109" i="4"/>
  <c r="AF109" i="4"/>
  <c r="CE109" i="4"/>
  <c r="Y109" i="4"/>
  <c r="AE105" i="4"/>
  <c r="AG105" i="4" s="1"/>
  <c r="AB106" i="4"/>
  <c r="Z109" i="4"/>
  <c r="AK135" i="5"/>
  <c r="BU135" i="5"/>
  <c r="AO135" i="5"/>
  <c r="AI135" i="5"/>
  <c r="BY63" i="4"/>
  <c r="CO63" i="4" s="1"/>
  <c r="CP63" i="4" s="1"/>
  <c r="BR64" i="4"/>
  <c r="BS76" i="4" s="1"/>
  <c r="BT88" i="4" s="1"/>
  <c r="BU100" i="4" s="1"/>
  <c r="CG64" i="4"/>
  <c r="CM63" i="4"/>
  <c r="CN63" i="4" s="1"/>
  <c r="F82" i="4" s="1"/>
  <c r="CC75" i="4"/>
  <c r="BZ75" i="4"/>
  <c r="CB75" i="4" s="1"/>
  <c r="F127" i="5"/>
  <c r="R127" i="5" s="1"/>
  <c r="DC134" i="5"/>
  <c r="DK133" i="5" s="1"/>
  <c r="DM133" i="5" s="1"/>
  <c r="AD138" i="5"/>
  <c r="AC139" i="5"/>
  <c r="BJ139" i="5"/>
  <c r="DF134" i="5"/>
  <c r="DG134" i="5" s="1"/>
  <c r="J134" i="5"/>
  <c r="V134" i="5" s="1"/>
  <c r="CT109" i="4"/>
  <c r="CZ108" i="4" s="1"/>
  <c r="CW108" i="4"/>
  <c r="CX108" i="4" s="1"/>
  <c r="DF108" i="4" s="1"/>
  <c r="CY109" i="4"/>
  <c r="CS110" i="4" s="1"/>
  <c r="BP109" i="4"/>
  <c r="BI109" i="4"/>
  <c r="BN109" i="4" s="1"/>
  <c r="X109" i="4"/>
  <c r="K128" i="4" s="1"/>
  <c r="DA107" i="4"/>
  <c r="CV109" i="4"/>
  <c r="DL135" i="5"/>
  <c r="DZ135" i="5"/>
  <c r="EB132" i="5"/>
  <c r="I133" i="5" s="1"/>
  <c r="U133" i="5" s="1"/>
  <c r="EA133" i="5"/>
  <c r="H133" i="5"/>
  <c r="T133" i="5" s="1"/>
  <c r="CX135" i="5"/>
  <c r="CY132" i="5"/>
  <c r="CZ132" i="5"/>
  <c r="G133" i="5" s="1"/>
  <c r="S133" i="5" s="1"/>
  <c r="N135" i="5"/>
  <c r="DE135" i="5"/>
  <c r="DD135" i="5"/>
  <c r="DB135" i="5"/>
  <c r="DQ135" i="5"/>
  <c r="DY134" i="5" s="1"/>
  <c r="DP135" i="5"/>
  <c r="DS135" i="5"/>
  <c r="DR135" i="5"/>
  <c r="CR134" i="5"/>
  <c r="CS134" i="5" s="1"/>
  <c r="DW133" i="5"/>
  <c r="DX133" i="5" s="1"/>
  <c r="EB133" i="5" s="1"/>
  <c r="DI133" i="5"/>
  <c r="DJ133" i="5" s="1"/>
  <c r="DT134" i="5"/>
  <c r="DU134" i="5" s="1"/>
  <c r="CU133" i="5"/>
  <c r="CV133" i="5" s="1"/>
  <c r="B136" i="5"/>
  <c r="AA136" i="5"/>
  <c r="DV135" i="5"/>
  <c r="CT135" i="5"/>
  <c r="BY135" i="5"/>
  <c r="CD135" i="5" s="1"/>
  <c r="DH135" i="5"/>
  <c r="AB135" i="5"/>
  <c r="K136" i="5" s="1"/>
  <c r="W136" i="5" s="1"/>
  <c r="CO135" i="5"/>
  <c r="CW134" i="5" s="1"/>
  <c r="CN135" i="5"/>
  <c r="CQ135" i="5"/>
  <c r="CP135" i="5"/>
  <c r="DE105" i="4"/>
  <c r="H124" i="4" s="1"/>
  <c r="DH105" i="4"/>
  <c r="I124" i="4" s="1"/>
  <c r="DG107" i="4"/>
  <c r="DB107" i="4"/>
  <c r="DC107" i="4" s="1"/>
  <c r="DD106" i="4"/>
  <c r="DH106" i="4" s="1"/>
  <c r="I125" i="4" s="1"/>
  <c r="DH104" i="4"/>
  <c r="I123" i="4" s="1"/>
  <c r="DE104" i="4"/>
  <c r="H123" i="4" s="1"/>
  <c r="BM67" i="4"/>
  <c r="BO67" i="4" s="1"/>
  <c r="BQ67" i="4" s="1"/>
  <c r="BL68" i="4"/>
  <c r="W110" i="4"/>
  <c r="C128" i="4"/>
  <c r="CU109" i="4"/>
  <c r="AA108" i="4" l="1"/>
  <c r="CK131" i="5"/>
  <c r="CL131" i="5"/>
  <c r="BZ136" i="5"/>
  <c r="CG136" i="5" s="1"/>
  <c r="BO136" i="5"/>
  <c r="CF136" i="5"/>
  <c r="CI136" i="5" s="1"/>
  <c r="CJ136" i="5"/>
  <c r="BA136" i="5"/>
  <c r="AV137" i="5" s="1"/>
  <c r="BE136" i="5"/>
  <c r="AY136" i="5"/>
  <c r="CC132" i="5"/>
  <c r="CE132" i="5" s="1"/>
  <c r="CH132" i="5" s="1"/>
  <c r="CB133" i="5"/>
  <c r="CA136" i="5"/>
  <c r="AC110" i="4"/>
  <c r="BB129" i="5"/>
  <c r="AU130" i="5"/>
  <c r="AX128" i="5"/>
  <c r="AZ128" i="5" s="1"/>
  <c r="AW129" i="5"/>
  <c r="BD127" i="5"/>
  <c r="BF127" i="5" s="1"/>
  <c r="BC127" i="5"/>
  <c r="BG127" i="5" s="1"/>
  <c r="D128" i="5" s="1"/>
  <c r="P128" i="5" s="1"/>
  <c r="BN136" i="5"/>
  <c r="AT107" i="4"/>
  <c r="AW107" i="4" s="1"/>
  <c r="BR127" i="5"/>
  <c r="BS127" i="5" s="1"/>
  <c r="BW127" i="5" s="1"/>
  <c r="BQ136" i="5"/>
  <c r="BK137" i="5" s="1"/>
  <c r="BL129" i="5"/>
  <c r="BT128" i="5" s="1"/>
  <c r="BV127" i="5"/>
  <c r="BP128" i="5"/>
  <c r="BM129" i="5"/>
  <c r="AA109" i="4"/>
  <c r="J128" i="4"/>
  <c r="AQ109" i="4"/>
  <c r="AD109" i="4"/>
  <c r="AE106" i="4"/>
  <c r="AG106" i="4" s="1"/>
  <c r="AB107" i="4"/>
  <c r="CE110" i="4"/>
  <c r="AU110" i="4"/>
  <c r="AF110" i="4"/>
  <c r="Y110" i="4"/>
  <c r="Z110" i="4"/>
  <c r="BV64" i="4"/>
  <c r="BX64" i="4" s="1"/>
  <c r="CK64" i="4" s="1"/>
  <c r="CL64" i="4" s="1"/>
  <c r="CM64" i="4" s="1"/>
  <c r="CN64" i="4" s="1"/>
  <c r="F83" i="4" s="1"/>
  <c r="AK136" i="5"/>
  <c r="AO136" i="5"/>
  <c r="BU136" i="5"/>
  <c r="AI136" i="5"/>
  <c r="CC76" i="4"/>
  <c r="F128" i="5"/>
  <c r="R128" i="5" s="1"/>
  <c r="CH64" i="4"/>
  <c r="CI64" i="4" s="1"/>
  <c r="CJ64" i="4" s="1"/>
  <c r="CF65" i="4" s="1"/>
  <c r="CQ63" i="4"/>
  <c r="G82" i="4" s="1"/>
  <c r="AD139" i="5"/>
  <c r="AC140" i="5"/>
  <c r="DC135" i="5"/>
  <c r="DK134" i="5" s="1"/>
  <c r="DM134" i="5" s="1"/>
  <c r="BJ140" i="5"/>
  <c r="J135" i="5"/>
  <c r="V135" i="5" s="1"/>
  <c r="DA108" i="4"/>
  <c r="CW109" i="4"/>
  <c r="CX109" i="4" s="1"/>
  <c r="DF109" i="4" s="1"/>
  <c r="CA109" i="4"/>
  <c r="CV110" i="4"/>
  <c r="CY110" i="4"/>
  <c r="CS111" i="4" s="1"/>
  <c r="BP110" i="4"/>
  <c r="BI110" i="4"/>
  <c r="BN110" i="4" s="1"/>
  <c r="X110" i="4"/>
  <c r="K129" i="4" s="1"/>
  <c r="CT110" i="4"/>
  <c r="CZ109" i="4" s="1"/>
  <c r="DL136" i="5"/>
  <c r="DZ136" i="5"/>
  <c r="EA134" i="5"/>
  <c r="I134" i="5"/>
  <c r="U134" i="5" s="1"/>
  <c r="DN133" i="5"/>
  <c r="H134" i="5" s="1"/>
  <c r="T134" i="5" s="1"/>
  <c r="CY133" i="5"/>
  <c r="CZ133" i="5"/>
  <c r="G134" i="5" s="1"/>
  <c r="S134" i="5" s="1"/>
  <c r="CX136" i="5"/>
  <c r="N136" i="5"/>
  <c r="CU134" i="5"/>
  <c r="CV134" i="5" s="1"/>
  <c r="DW134" i="5"/>
  <c r="DX134" i="5" s="1"/>
  <c r="DF135" i="5"/>
  <c r="DG135" i="5" s="1"/>
  <c r="CR135" i="5"/>
  <c r="CS135" i="5" s="1"/>
  <c r="B137" i="5"/>
  <c r="AA137" i="5"/>
  <c r="DH136" i="5"/>
  <c r="BY136" i="5"/>
  <c r="CD136" i="5" s="1"/>
  <c r="DV136" i="5"/>
  <c r="CT136" i="5"/>
  <c r="AB136" i="5"/>
  <c r="K137" i="5" s="1"/>
  <c r="W137" i="5" s="1"/>
  <c r="DT135" i="5"/>
  <c r="DU135" i="5" s="1"/>
  <c r="DI134" i="5"/>
  <c r="DJ134" i="5" s="1"/>
  <c r="DN134" i="5" s="1"/>
  <c r="DE136" i="5"/>
  <c r="DD136" i="5"/>
  <c r="DB136" i="5"/>
  <c r="CP136" i="5"/>
  <c r="CO136" i="5"/>
  <c r="CW135" i="5" s="1"/>
  <c r="CN136" i="5"/>
  <c r="CQ136" i="5"/>
  <c r="DR136" i="5"/>
  <c r="DQ136" i="5"/>
  <c r="DY135" i="5" s="1"/>
  <c r="DP136" i="5"/>
  <c r="DS136" i="5"/>
  <c r="DD107" i="4"/>
  <c r="DE107" i="4" s="1"/>
  <c r="H126" i="4" s="1"/>
  <c r="DG108" i="4"/>
  <c r="DB108" i="4"/>
  <c r="DC108" i="4" s="1"/>
  <c r="DE106" i="4"/>
  <c r="H125" i="4" s="1"/>
  <c r="BM68" i="4"/>
  <c r="BO68" i="4" s="1"/>
  <c r="BQ68" i="4" s="1"/>
  <c r="BL69" i="4"/>
  <c r="W111" i="4"/>
  <c r="C129" i="4"/>
  <c r="CU110" i="4"/>
  <c r="CL132" i="5" l="1"/>
  <c r="CK132" i="5"/>
  <c r="BD128" i="5"/>
  <c r="BF128" i="5" s="1"/>
  <c r="BC128" i="5"/>
  <c r="BG128" i="5" s="1"/>
  <c r="D129" i="5" s="1"/>
  <c r="P129" i="5" s="1"/>
  <c r="BZ137" i="5"/>
  <c r="CG137" i="5" s="1"/>
  <c r="BB130" i="5"/>
  <c r="AU131" i="5"/>
  <c r="BO137" i="5"/>
  <c r="CJ137" i="5"/>
  <c r="AY137" i="5"/>
  <c r="CF137" i="5"/>
  <c r="CI137" i="5" s="1"/>
  <c r="BA137" i="5"/>
  <c r="BE137" i="5"/>
  <c r="AC111" i="4"/>
  <c r="CA137" i="5"/>
  <c r="CA138" i="5" s="1"/>
  <c r="CC133" i="5"/>
  <c r="CE133" i="5" s="1"/>
  <c r="CH133" i="5" s="1"/>
  <c r="CB134" i="5"/>
  <c r="AX129" i="5"/>
  <c r="AZ129" i="5" s="1"/>
  <c r="AW130" i="5"/>
  <c r="BN137" i="5"/>
  <c r="AA110" i="4"/>
  <c r="AT109" i="4" s="1"/>
  <c r="AW109" i="4" s="1"/>
  <c r="AT108" i="4"/>
  <c r="BQ137" i="5"/>
  <c r="BK138" i="5" s="1"/>
  <c r="E128" i="5"/>
  <c r="Q128" i="5" s="1"/>
  <c r="E15" i="5"/>
  <c r="E31" i="5" s="1"/>
  <c r="BP129" i="5"/>
  <c r="BM130" i="5"/>
  <c r="BV128" i="5"/>
  <c r="BL130" i="5"/>
  <c r="BT129" i="5" s="1"/>
  <c r="J129" i="4"/>
  <c r="AQ110" i="4"/>
  <c r="AD110" i="4"/>
  <c r="AE107" i="4"/>
  <c r="AG107" i="4" s="1"/>
  <c r="AB108" i="4"/>
  <c r="AF111" i="4"/>
  <c r="AU111" i="4"/>
  <c r="CE111" i="4"/>
  <c r="Y111" i="4"/>
  <c r="Z111" i="4"/>
  <c r="BY64" i="4"/>
  <c r="CO64" i="4" s="1"/>
  <c r="CP64" i="4" s="1"/>
  <c r="DC136" i="5"/>
  <c r="DK135" i="5" s="1"/>
  <c r="DM135" i="5" s="1"/>
  <c r="BU137" i="5"/>
  <c r="AK137" i="5"/>
  <c r="AO137" i="5"/>
  <c r="AI137" i="5"/>
  <c r="BZ76" i="4"/>
  <c r="CB76" i="4" s="1"/>
  <c r="CG65" i="4"/>
  <c r="CH65" i="4" s="1"/>
  <c r="CI65" i="4" s="1"/>
  <c r="CJ65" i="4" s="1"/>
  <c r="BR65" i="4"/>
  <c r="BS77" i="4" s="1"/>
  <c r="BT89" i="4" s="1"/>
  <c r="BU101" i="4" s="1"/>
  <c r="AD140" i="5"/>
  <c r="AC141" i="5"/>
  <c r="BJ141" i="5"/>
  <c r="DT136" i="5"/>
  <c r="DU136" i="5" s="1"/>
  <c r="DA109" i="4"/>
  <c r="J136" i="5"/>
  <c r="V136" i="5" s="1"/>
  <c r="CT111" i="4"/>
  <c r="CZ110" i="4" s="1"/>
  <c r="CV111" i="4"/>
  <c r="CW110" i="4"/>
  <c r="CX110" i="4" s="1"/>
  <c r="DF110" i="4" s="1"/>
  <c r="CA110" i="4"/>
  <c r="CY111" i="4"/>
  <c r="CS112" i="4" s="1"/>
  <c r="BP111" i="4"/>
  <c r="BI111" i="4"/>
  <c r="BN111" i="4" s="1"/>
  <c r="X111" i="4"/>
  <c r="K130" i="4" s="1"/>
  <c r="DL137" i="5"/>
  <c r="DZ137" i="5"/>
  <c r="EB134" i="5"/>
  <c r="I135" i="5" s="1"/>
  <c r="U135" i="5" s="1"/>
  <c r="EA135" i="5"/>
  <c r="H135" i="5"/>
  <c r="T135" i="5" s="1"/>
  <c r="CX137" i="5"/>
  <c r="CY134" i="5"/>
  <c r="CZ134" i="5"/>
  <c r="G135" i="5" s="1"/>
  <c r="S135" i="5" s="1"/>
  <c r="N137" i="5"/>
  <c r="DB109" i="4"/>
  <c r="DC109" i="4" s="1"/>
  <c r="DD108" i="4"/>
  <c r="DE108" i="4" s="1"/>
  <c r="H127" i="4" s="1"/>
  <c r="DH107" i="4"/>
  <c r="I126" i="4" s="1"/>
  <c r="DW135" i="5"/>
  <c r="DX135" i="5" s="1"/>
  <c r="EB135" i="5" s="1"/>
  <c r="CU135" i="5"/>
  <c r="CV135" i="5" s="1"/>
  <c r="CR136" i="5"/>
  <c r="CS136" i="5" s="1"/>
  <c r="DF136" i="5"/>
  <c r="DG136" i="5" s="1"/>
  <c r="CO137" i="5"/>
  <c r="CW136" i="5" s="1"/>
  <c r="CP137" i="5"/>
  <c r="CN137" i="5"/>
  <c r="CQ137" i="5"/>
  <c r="DQ137" i="5"/>
  <c r="DY136" i="5" s="1"/>
  <c r="DS137" i="5"/>
  <c r="DP137" i="5"/>
  <c r="DR137" i="5"/>
  <c r="DB137" i="5"/>
  <c r="DE137" i="5"/>
  <c r="DD137" i="5"/>
  <c r="B138" i="5"/>
  <c r="DV137" i="5"/>
  <c r="AA138" i="5"/>
  <c r="CT137" i="5"/>
  <c r="DH137" i="5"/>
  <c r="BY137" i="5"/>
  <c r="CD137" i="5" s="1"/>
  <c r="AB137" i="5"/>
  <c r="K138" i="5" s="1"/>
  <c r="W138" i="5" s="1"/>
  <c r="DI135" i="5"/>
  <c r="DJ135" i="5" s="1"/>
  <c r="DN135" i="5" s="1"/>
  <c r="DG109" i="4"/>
  <c r="BM69" i="4"/>
  <c r="BO69" i="4" s="1"/>
  <c r="BQ69" i="4" s="1"/>
  <c r="BL70" i="4"/>
  <c r="CU111" i="4"/>
  <c r="W112" i="4"/>
  <c r="C130" i="4"/>
  <c r="AA111" i="4" l="1"/>
  <c r="AT110" i="4" s="1"/>
  <c r="CL133" i="5"/>
  <c r="CK133" i="5"/>
  <c r="BB131" i="5"/>
  <c r="AU132" i="5"/>
  <c r="AC112" i="4"/>
  <c r="BO138" i="5"/>
  <c r="BA138" i="5"/>
  <c r="CJ138" i="5"/>
  <c r="AY138" i="5"/>
  <c r="CF138" i="5"/>
  <c r="CI138" i="5" s="1"/>
  <c r="BE138" i="5"/>
  <c r="AX130" i="5"/>
  <c r="AZ130" i="5" s="1"/>
  <c r="AW131" i="5"/>
  <c r="AV138" i="5"/>
  <c r="AV139" i="5" s="1"/>
  <c r="BZ138" i="5"/>
  <c r="CG138" i="5" s="1"/>
  <c r="BD129" i="5"/>
  <c r="BF129" i="5" s="1"/>
  <c r="BC129" i="5"/>
  <c r="BG129" i="5" s="1"/>
  <c r="D130" i="5" s="1"/>
  <c r="P130" i="5" s="1"/>
  <c r="CC134" i="5"/>
  <c r="CE134" i="5" s="1"/>
  <c r="CH134" i="5" s="1"/>
  <c r="CB135" i="5"/>
  <c r="BN138" i="5"/>
  <c r="BR128" i="5"/>
  <c r="BS128" i="5" s="1"/>
  <c r="BW128" i="5" s="1"/>
  <c r="E129" i="5" s="1"/>
  <c r="Q129" i="5" s="1"/>
  <c r="BQ138" i="5"/>
  <c r="BK139" i="5" s="1"/>
  <c r="BM131" i="5"/>
  <c r="BP130" i="5"/>
  <c r="BV129" i="5"/>
  <c r="BL131" i="5"/>
  <c r="BT130" i="5" s="1"/>
  <c r="J130" i="4"/>
  <c r="AQ111" i="4"/>
  <c r="AD111" i="4"/>
  <c r="DC137" i="5"/>
  <c r="DK136" i="5" s="1"/>
  <c r="DM136" i="5" s="1"/>
  <c r="AE108" i="4"/>
  <c r="AG108" i="4" s="1"/>
  <c r="AB109" i="4"/>
  <c r="AU112" i="4"/>
  <c r="AF112" i="4"/>
  <c r="CE112" i="4"/>
  <c r="Y112" i="4"/>
  <c r="Z112" i="4"/>
  <c r="AA112" i="4"/>
  <c r="AT111" i="4" s="1"/>
  <c r="AW110" i="4"/>
  <c r="CQ64" i="4"/>
  <c r="G83" i="4" s="1"/>
  <c r="AO138" i="5"/>
  <c r="BU138" i="5"/>
  <c r="AK138" i="5"/>
  <c r="AI138" i="5"/>
  <c r="BV65" i="4"/>
  <c r="BX65" i="4" s="1"/>
  <c r="CK65" i="4" s="1"/>
  <c r="CL65" i="4" s="1"/>
  <c r="BR66" i="4"/>
  <c r="BS78" i="4" s="1"/>
  <c r="BT90" i="4" s="1"/>
  <c r="BU102" i="4" s="1"/>
  <c r="F129" i="5"/>
  <c r="R129" i="5" s="1"/>
  <c r="AD141" i="5"/>
  <c r="AC142" i="5"/>
  <c r="BJ142" i="5"/>
  <c r="DA110" i="4"/>
  <c r="J137" i="5"/>
  <c r="V137" i="5" s="1"/>
  <c r="CW111" i="4"/>
  <c r="CX111" i="4" s="1"/>
  <c r="DF111" i="4" s="1"/>
  <c r="CA111" i="4"/>
  <c r="CV112" i="4"/>
  <c r="CT112" i="4"/>
  <c r="CZ111" i="4" s="1"/>
  <c r="BP112" i="4"/>
  <c r="CY112" i="4"/>
  <c r="CS113" i="4" s="1"/>
  <c r="BI112" i="4"/>
  <c r="CA112" i="4" s="1"/>
  <c r="X112" i="4"/>
  <c r="K131" i="4" s="1"/>
  <c r="DH108" i="4"/>
  <c r="I127" i="4" s="1"/>
  <c r="DL138" i="5"/>
  <c r="DZ138" i="5"/>
  <c r="EA136" i="5"/>
  <c r="I136" i="5"/>
  <c r="U136" i="5" s="1"/>
  <c r="H136" i="5"/>
  <c r="T136" i="5" s="1"/>
  <c r="CX138" i="5"/>
  <c r="CY135" i="5"/>
  <c r="CZ135" i="5"/>
  <c r="G136" i="5" s="1"/>
  <c r="S136" i="5" s="1"/>
  <c r="N138" i="5"/>
  <c r="DD109" i="4"/>
  <c r="DE109" i="4" s="1"/>
  <c r="H128" i="4" s="1"/>
  <c r="DG110" i="4"/>
  <c r="DT137" i="5"/>
  <c r="DU137" i="5" s="1"/>
  <c r="CR137" i="5"/>
  <c r="CS137" i="5" s="1"/>
  <c r="DI136" i="5"/>
  <c r="DJ136" i="5" s="1"/>
  <c r="DW136" i="5"/>
  <c r="DX136" i="5" s="1"/>
  <c r="EB136" i="5" s="1"/>
  <c r="DF137" i="5"/>
  <c r="DG137" i="5" s="1"/>
  <c r="CP138" i="5"/>
  <c r="CQ138" i="5"/>
  <c r="CO138" i="5"/>
  <c r="CW137" i="5" s="1"/>
  <c r="CN138" i="5"/>
  <c r="DV138" i="5"/>
  <c r="CT138" i="5"/>
  <c r="B139" i="5"/>
  <c r="DH138" i="5"/>
  <c r="BY138" i="5"/>
  <c r="CD138" i="5" s="1"/>
  <c r="AA139" i="5"/>
  <c r="AB138" i="5"/>
  <c r="K139" i="5" s="1"/>
  <c r="W139" i="5" s="1"/>
  <c r="DR138" i="5"/>
  <c r="DP138" i="5"/>
  <c r="DQ138" i="5"/>
  <c r="DY137" i="5" s="1"/>
  <c r="DS138" i="5"/>
  <c r="CU136" i="5"/>
  <c r="CV136" i="5" s="1"/>
  <c r="DD138" i="5"/>
  <c r="DB138" i="5"/>
  <c r="DE138" i="5"/>
  <c r="DB110" i="4"/>
  <c r="DC110" i="4" s="1"/>
  <c r="BM70" i="4"/>
  <c r="BO70" i="4" s="1"/>
  <c r="BQ70" i="4" s="1"/>
  <c r="BL71" i="4"/>
  <c r="CU112" i="4"/>
  <c r="W113" i="4"/>
  <c r="C131" i="4"/>
  <c r="CL134" i="5" l="1"/>
  <c r="CK134" i="5"/>
  <c r="CG139" i="5"/>
  <c r="CF139" i="5"/>
  <c r="CJ139" i="5"/>
  <c r="BA139" i="5"/>
  <c r="BE139" i="5"/>
  <c r="BB139" i="5"/>
  <c r="AY139" i="5"/>
  <c r="BZ139" i="5"/>
  <c r="CA139" i="5"/>
  <c r="AX131" i="5"/>
  <c r="AZ131" i="5" s="1"/>
  <c r="AW132" i="5"/>
  <c r="BB132" i="5"/>
  <c r="AU133" i="5"/>
  <c r="CC135" i="5"/>
  <c r="CE135" i="5" s="1"/>
  <c r="CH135" i="5" s="1"/>
  <c r="CB136" i="5"/>
  <c r="BD130" i="5"/>
  <c r="BF130" i="5" s="1"/>
  <c r="BC130" i="5"/>
  <c r="BG130" i="5" s="1"/>
  <c r="D131" i="5" s="1"/>
  <c r="P131" i="5" s="1"/>
  <c r="AC113" i="4"/>
  <c r="BQ139" i="5"/>
  <c r="BK140" i="5" s="1"/>
  <c r="BO139" i="5"/>
  <c r="BN139" i="5"/>
  <c r="J131" i="4"/>
  <c r="BR129" i="5"/>
  <c r="BS129" i="5" s="1"/>
  <c r="BW129" i="5" s="1"/>
  <c r="E130" i="5" s="1"/>
  <c r="Q130" i="5" s="1"/>
  <c r="BL132" i="5"/>
  <c r="BT131" i="5" s="1"/>
  <c r="BV130" i="5"/>
  <c r="BP131" i="5"/>
  <c r="BM132" i="5"/>
  <c r="DC138" i="5"/>
  <c r="DK137" i="5" s="1"/>
  <c r="DM137" i="5" s="1"/>
  <c r="AL139" i="5"/>
  <c r="AQ112" i="4"/>
  <c r="AD112" i="4"/>
  <c r="AW111" i="4"/>
  <c r="BN112" i="4"/>
  <c r="AE109" i="4"/>
  <c r="AG109" i="4" s="1"/>
  <c r="AB110" i="4"/>
  <c r="Z113" i="4"/>
  <c r="AA113" i="4"/>
  <c r="AT112" i="4" s="1"/>
  <c r="AF113" i="4"/>
  <c r="AU113" i="4"/>
  <c r="CE113" i="4"/>
  <c r="Y113" i="4"/>
  <c r="DA111" i="4"/>
  <c r="BU139" i="5"/>
  <c r="AO139" i="5"/>
  <c r="AK139" i="5"/>
  <c r="AI139" i="5"/>
  <c r="BY65" i="4"/>
  <c r="CO65" i="4" s="1"/>
  <c r="CP65" i="4" s="1"/>
  <c r="F130" i="5"/>
  <c r="R130" i="5" s="1"/>
  <c r="BV66" i="4"/>
  <c r="BX66" i="4" s="1"/>
  <c r="CC77" i="4"/>
  <c r="BZ77" i="4"/>
  <c r="CB77" i="4" s="1"/>
  <c r="CM65" i="4"/>
  <c r="AD142" i="5"/>
  <c r="AC143" i="5"/>
  <c r="BJ143" i="5"/>
  <c r="J138" i="5"/>
  <c r="V138" i="5" s="1"/>
  <c r="CT113" i="4"/>
  <c r="CZ112" i="4" s="1"/>
  <c r="CV113" i="4"/>
  <c r="CW112" i="4"/>
  <c r="CX112" i="4" s="1"/>
  <c r="DF112" i="4" s="1"/>
  <c r="BP113" i="4"/>
  <c r="CY113" i="4"/>
  <c r="CS114" i="4" s="1"/>
  <c r="BI113" i="4"/>
  <c r="BN113" i="4" s="1"/>
  <c r="X113" i="4"/>
  <c r="K132" i="4" s="1"/>
  <c r="DL139" i="5"/>
  <c r="DZ139" i="5"/>
  <c r="EA137" i="5"/>
  <c r="I137" i="5"/>
  <c r="U137" i="5" s="1"/>
  <c r="DN136" i="5"/>
  <c r="H137" i="5" s="1"/>
  <c r="T137" i="5" s="1"/>
  <c r="CY136" i="5"/>
  <c r="CZ136" i="5"/>
  <c r="G137" i="5" s="1"/>
  <c r="S137" i="5" s="1"/>
  <c r="CX139" i="5"/>
  <c r="N139" i="5"/>
  <c r="DH109" i="4"/>
  <c r="I128" i="4" s="1"/>
  <c r="DD110" i="4"/>
  <c r="DG111" i="4"/>
  <c r="CR138" i="5"/>
  <c r="CS138" i="5" s="1"/>
  <c r="DF138" i="5"/>
  <c r="DG138" i="5" s="1"/>
  <c r="DI138" i="5" s="1"/>
  <c r="DJ138" i="5" s="1"/>
  <c r="DT138" i="5"/>
  <c r="DU138" i="5" s="1"/>
  <c r="DE139" i="5"/>
  <c r="DD139" i="5"/>
  <c r="DB139" i="5"/>
  <c r="B140" i="5"/>
  <c r="A129" i="5" s="1"/>
  <c r="AA140" i="5"/>
  <c r="DV139" i="5"/>
  <c r="CT139" i="5"/>
  <c r="DH139" i="5"/>
  <c r="BY139" i="5"/>
  <c r="CD139" i="5" s="1"/>
  <c r="AB139" i="5"/>
  <c r="K140" i="5" s="1"/>
  <c r="W140" i="5" s="1"/>
  <c r="CN139" i="5"/>
  <c r="CQ139" i="5"/>
  <c r="CP139" i="5"/>
  <c r="CO139" i="5"/>
  <c r="CW138" i="5" s="1"/>
  <c r="DP139" i="5"/>
  <c r="DS139" i="5"/>
  <c r="DQ139" i="5"/>
  <c r="DY138" i="5" s="1"/>
  <c r="DR139" i="5"/>
  <c r="CU137" i="5"/>
  <c r="CV137" i="5" s="1"/>
  <c r="DW137" i="5"/>
  <c r="DX137" i="5" s="1"/>
  <c r="DI137" i="5"/>
  <c r="DJ137" i="5" s="1"/>
  <c r="DB111" i="4"/>
  <c r="DC111" i="4" s="1"/>
  <c r="BM71" i="4"/>
  <c r="BO71" i="4" s="1"/>
  <c r="BQ71" i="4" s="1"/>
  <c r="BL72" i="4"/>
  <c r="C132" i="4"/>
  <c r="W114" i="4"/>
  <c r="BQ114" i="4" s="1"/>
  <c r="CU113" i="4"/>
  <c r="CL135" i="5" l="1"/>
  <c r="CK135" i="5"/>
  <c r="J132" i="4"/>
  <c r="AX132" i="5"/>
  <c r="AZ132" i="5" s="1"/>
  <c r="AW133" i="5"/>
  <c r="BD131" i="5"/>
  <c r="BF131" i="5" s="1"/>
  <c r="BC131" i="5"/>
  <c r="BG131" i="5" s="1"/>
  <c r="D132" i="5" s="1"/>
  <c r="P132" i="5" s="1"/>
  <c r="AC114" i="4"/>
  <c r="CC136" i="5"/>
  <c r="CE136" i="5" s="1"/>
  <c r="CH136" i="5" s="1"/>
  <c r="CB137" i="5"/>
  <c r="BO140" i="5"/>
  <c r="BA140" i="5"/>
  <c r="AY140" i="5"/>
  <c r="CF140" i="5"/>
  <c r="CI140" i="5" s="1"/>
  <c r="CD140" i="5"/>
  <c r="CJ140" i="5"/>
  <c r="BE140" i="5"/>
  <c r="BB133" i="5"/>
  <c r="AU134" i="5"/>
  <c r="BR130" i="5"/>
  <c r="BS130" i="5" s="1"/>
  <c r="BW130" i="5" s="1"/>
  <c r="E131" i="5" s="1"/>
  <c r="Q131" i="5" s="1"/>
  <c r="DC139" i="5"/>
  <c r="DK138" i="5" s="1"/>
  <c r="DM138" i="5" s="1"/>
  <c r="BQ140" i="5"/>
  <c r="BK141" i="5" s="1"/>
  <c r="BP132" i="5"/>
  <c r="BM133" i="5"/>
  <c r="BL133" i="5"/>
  <c r="BT132" i="5" s="1"/>
  <c r="BV131" i="5"/>
  <c r="AQ113" i="4"/>
  <c r="AD113" i="4"/>
  <c r="DA112" i="4"/>
  <c r="AW112" i="4"/>
  <c r="Z114" i="4"/>
  <c r="AA114" i="4"/>
  <c r="AT113" i="4" s="1"/>
  <c r="AF114" i="4"/>
  <c r="Y114" i="4"/>
  <c r="AE110" i="4"/>
  <c r="AG110" i="4" s="1"/>
  <c r="AB111" i="4"/>
  <c r="AW108" i="4"/>
  <c r="BY66" i="4"/>
  <c r="CO66" i="4" s="1"/>
  <c r="CE66" i="4"/>
  <c r="CF66" i="4" s="1"/>
  <c r="CG66" i="4" s="1"/>
  <c r="CQ65" i="4"/>
  <c r="G84" i="4" s="1"/>
  <c r="BU140" i="5"/>
  <c r="AI140" i="5"/>
  <c r="AK140" i="5"/>
  <c r="AO140" i="5"/>
  <c r="CN65" i="4"/>
  <c r="F84" i="4" s="1"/>
  <c r="CK66" i="4"/>
  <c r="F131" i="5"/>
  <c r="R131" i="5" s="1"/>
  <c r="CC78" i="4"/>
  <c r="BZ78" i="4"/>
  <c r="CB78" i="4" s="1"/>
  <c r="AD143" i="5"/>
  <c r="AC144" i="5"/>
  <c r="BJ144" i="5"/>
  <c r="J139" i="5"/>
  <c r="V139" i="5" s="1"/>
  <c r="CW113" i="4"/>
  <c r="CX113" i="4" s="1"/>
  <c r="DF113" i="4" s="1"/>
  <c r="CA113" i="4"/>
  <c r="BP114" i="4"/>
  <c r="CY114" i="4"/>
  <c r="CS115" i="4" s="1"/>
  <c r="BI114" i="4"/>
  <c r="BN114" i="4" s="1"/>
  <c r="X114" i="4"/>
  <c r="K133" i="4" s="1"/>
  <c r="CV114" i="4"/>
  <c r="CT114" i="4"/>
  <c r="CZ113" i="4" s="1"/>
  <c r="DL140" i="5"/>
  <c r="DZ140" i="5"/>
  <c r="EA138" i="5"/>
  <c r="EB137" i="5"/>
  <c r="I138" i="5" s="1"/>
  <c r="U138" i="5" s="1"/>
  <c r="DN137" i="5"/>
  <c r="H138" i="5" s="1"/>
  <c r="T138" i="5" s="1"/>
  <c r="DN138" i="5"/>
  <c r="H139" i="5" s="1"/>
  <c r="T139" i="5" s="1"/>
  <c r="CY137" i="5"/>
  <c r="CZ137" i="5"/>
  <c r="G138" i="5" s="1"/>
  <c r="S138" i="5" s="1"/>
  <c r="CX140" i="5"/>
  <c r="N140" i="5"/>
  <c r="DE110" i="4"/>
  <c r="H129" i="4" s="1"/>
  <c r="DH110" i="4"/>
  <c r="I129" i="4" s="1"/>
  <c r="DD111" i="4"/>
  <c r="DG112" i="4"/>
  <c r="CR139" i="5"/>
  <c r="CS139" i="5" s="1"/>
  <c r="CQ140" i="5" s="1"/>
  <c r="DW138" i="5"/>
  <c r="DX138" i="5" s="1"/>
  <c r="DF139" i="5"/>
  <c r="DG139" i="5" s="1"/>
  <c r="DE140" i="5" s="1"/>
  <c r="DT139" i="5"/>
  <c r="DU139" i="5" s="1"/>
  <c r="B141" i="5"/>
  <c r="AA141" i="5"/>
  <c r="DV140" i="5"/>
  <c r="CT140" i="5"/>
  <c r="DH140" i="5"/>
  <c r="BY140" i="5"/>
  <c r="AB140" i="5"/>
  <c r="K141" i="5" s="1"/>
  <c r="W141" i="5" s="1"/>
  <c r="CU138" i="5"/>
  <c r="CV138" i="5" s="1"/>
  <c r="CO140" i="5"/>
  <c r="CW139" i="5" s="1"/>
  <c r="CN140" i="5"/>
  <c r="CP140" i="5"/>
  <c r="DD140" i="5"/>
  <c r="DB140" i="5"/>
  <c r="DQ140" i="5"/>
  <c r="DY139" i="5" s="1"/>
  <c r="DP140" i="5"/>
  <c r="DR140" i="5"/>
  <c r="DB112" i="4"/>
  <c r="DC112" i="4" s="1"/>
  <c r="BM72" i="4"/>
  <c r="BO72" i="4" s="1"/>
  <c r="BL73" i="4"/>
  <c r="W115" i="4"/>
  <c r="C133" i="4"/>
  <c r="CU114" i="4"/>
  <c r="J133" i="4" l="1"/>
  <c r="DC140" i="5"/>
  <c r="DK139" i="5" s="1"/>
  <c r="DM139" i="5" s="1"/>
  <c r="CL136" i="5"/>
  <c r="CK136" i="5"/>
  <c r="CC137" i="5"/>
  <c r="CE137" i="5" s="1"/>
  <c r="CH137" i="5" s="1"/>
  <c r="CB138" i="5"/>
  <c r="AX133" i="5"/>
  <c r="AZ133" i="5" s="1"/>
  <c r="AW134" i="5"/>
  <c r="BD132" i="5"/>
  <c r="BF132" i="5" s="1"/>
  <c r="BC132" i="5"/>
  <c r="BG132" i="5" s="1"/>
  <c r="D133" i="5" s="1"/>
  <c r="P133" i="5" s="1"/>
  <c r="BO141" i="5"/>
  <c r="BA141" i="5"/>
  <c r="CF141" i="5"/>
  <c r="CI141" i="5" s="1"/>
  <c r="CD141" i="5"/>
  <c r="CJ141" i="5"/>
  <c r="AY141" i="5"/>
  <c r="BE141" i="5"/>
  <c r="BB134" i="5"/>
  <c r="AU135" i="5"/>
  <c r="BR131" i="5"/>
  <c r="BS131" i="5" s="1"/>
  <c r="BW131" i="5" s="1"/>
  <c r="E132" i="5" s="1"/>
  <c r="Q132" i="5" s="1"/>
  <c r="BQ141" i="5"/>
  <c r="BK142" i="5" s="1"/>
  <c r="BV132" i="5"/>
  <c r="BL134" i="5"/>
  <c r="BT133" i="5" s="1"/>
  <c r="BM134" i="5"/>
  <c r="BP133" i="5"/>
  <c r="CD72" i="4"/>
  <c r="BQ72" i="4"/>
  <c r="AQ114" i="4"/>
  <c r="AD114" i="4"/>
  <c r="DA113" i="4"/>
  <c r="AW113" i="4"/>
  <c r="AA115" i="4"/>
  <c r="AT114" i="4" s="1"/>
  <c r="AE111" i="4"/>
  <c r="AG111" i="4" s="1"/>
  <c r="AB112" i="4"/>
  <c r="AF115" i="4"/>
  <c r="AU115" i="4"/>
  <c r="CE115" i="4"/>
  <c r="Y115" i="4"/>
  <c r="BN115" i="4"/>
  <c r="CP66" i="4"/>
  <c r="CL66" i="4"/>
  <c r="CM66" i="4" s="1"/>
  <c r="BU141" i="5"/>
  <c r="AK141" i="5"/>
  <c r="AO141" i="5"/>
  <c r="AI141" i="5"/>
  <c r="F132" i="5"/>
  <c r="R132" i="5" s="1"/>
  <c r="CH66" i="4"/>
  <c r="CI66" i="4" s="1"/>
  <c r="CJ66" i="4" s="1"/>
  <c r="CF67" i="4" s="1"/>
  <c r="AD144" i="5"/>
  <c r="AC145" i="5"/>
  <c r="BJ145" i="5"/>
  <c r="DF140" i="5"/>
  <c r="DG140" i="5" s="1"/>
  <c r="J140" i="5"/>
  <c r="V140" i="5" s="1"/>
  <c r="N141" i="5"/>
  <c r="CY115" i="4"/>
  <c r="CS116" i="4" s="1"/>
  <c r="BP115" i="4"/>
  <c r="BI115" i="4"/>
  <c r="X115" i="4"/>
  <c r="K134" i="4" s="1"/>
  <c r="CT115" i="4"/>
  <c r="CZ114" i="4" s="1"/>
  <c r="CW114" i="4"/>
  <c r="CX114" i="4" s="1"/>
  <c r="DF114" i="4" s="1"/>
  <c r="CA114" i="4"/>
  <c r="DL141" i="5"/>
  <c r="DZ141" i="5"/>
  <c r="EA139" i="5"/>
  <c r="EB138" i="5"/>
  <c r="I139" i="5" s="1"/>
  <c r="U139" i="5" s="1"/>
  <c r="CX141" i="5"/>
  <c r="CY138" i="5"/>
  <c r="CZ138" i="5"/>
  <c r="G139" i="5" s="1"/>
  <c r="S139" i="5" s="1"/>
  <c r="DH111" i="4"/>
  <c r="I130" i="4" s="1"/>
  <c r="DE111" i="4"/>
  <c r="H130" i="4" s="1"/>
  <c r="DD112" i="4"/>
  <c r="DT140" i="5"/>
  <c r="CR140" i="5"/>
  <c r="CS140" i="5" s="1"/>
  <c r="DI139" i="5"/>
  <c r="DJ139" i="5" s="1"/>
  <c r="DW139" i="5"/>
  <c r="DX139" i="5" s="1"/>
  <c r="CP141" i="5"/>
  <c r="CO141" i="5"/>
  <c r="CW140" i="5" s="1"/>
  <c r="CN141" i="5"/>
  <c r="CQ141" i="5"/>
  <c r="DH141" i="5"/>
  <c r="BY141" i="5"/>
  <c r="B142" i="5"/>
  <c r="AA142" i="5"/>
  <c r="DV141" i="5"/>
  <c r="CT141" i="5"/>
  <c r="AB141" i="5"/>
  <c r="K142" i="5" s="1"/>
  <c r="W142" i="5" s="1"/>
  <c r="DS140" i="5"/>
  <c r="DR141" i="5"/>
  <c r="DQ141" i="5"/>
  <c r="DY140" i="5" s="1"/>
  <c r="DP141" i="5"/>
  <c r="CU139" i="5"/>
  <c r="CV139" i="5" s="1"/>
  <c r="DE141" i="5"/>
  <c r="DD141" i="5"/>
  <c r="DC141" i="5"/>
  <c r="DK140" i="5" s="1"/>
  <c r="DB141" i="5"/>
  <c r="DG113" i="4"/>
  <c r="DB113" i="4"/>
  <c r="DC113" i="4" s="1"/>
  <c r="BM73" i="4"/>
  <c r="BO73" i="4" s="1"/>
  <c r="BQ73" i="4" s="1"/>
  <c r="BL74" i="4"/>
  <c r="CU115" i="4"/>
  <c r="W116" i="4"/>
  <c r="C134" i="4"/>
  <c r="B133" i="4" s="1"/>
  <c r="CK137" i="5" l="1"/>
  <c r="CL137" i="5"/>
  <c r="AX134" i="5"/>
  <c r="AZ134" i="5" s="1"/>
  <c r="AW135" i="5"/>
  <c r="BD133" i="5"/>
  <c r="BF133" i="5" s="1"/>
  <c r="BC133" i="5"/>
  <c r="BG133" i="5" s="1"/>
  <c r="D134" i="5" s="1"/>
  <c r="P134" i="5" s="1"/>
  <c r="CC138" i="5"/>
  <c r="CE138" i="5" s="1"/>
  <c r="CH138" i="5" s="1"/>
  <c r="CB139" i="5"/>
  <c r="CC139" i="5" s="1"/>
  <c r="CE139" i="5" s="1"/>
  <c r="BB135" i="5"/>
  <c r="AU136" i="5"/>
  <c r="BO142" i="5"/>
  <c r="CF142" i="5"/>
  <c r="CI142" i="5" s="1"/>
  <c r="CD142" i="5"/>
  <c r="AY142" i="5"/>
  <c r="BA142" i="5"/>
  <c r="BE142" i="5"/>
  <c r="CJ142" i="5"/>
  <c r="BR133" i="5"/>
  <c r="BS133" i="5" s="1"/>
  <c r="BW133" i="5" s="1"/>
  <c r="E134" i="5" s="1"/>
  <c r="Q134" i="5" s="1"/>
  <c r="BR132" i="5"/>
  <c r="BS132" i="5" s="1"/>
  <c r="BW132" i="5" s="1"/>
  <c r="E133" i="5" s="1"/>
  <c r="Q133" i="5" s="1"/>
  <c r="BQ142" i="5"/>
  <c r="BK143" i="5" s="1"/>
  <c r="BP134" i="5"/>
  <c r="BM135" i="5"/>
  <c r="BL135" i="5"/>
  <c r="BT134" i="5" s="1"/>
  <c r="BV133" i="5"/>
  <c r="AQ115" i="4"/>
  <c r="AD115" i="4"/>
  <c r="DA114" i="4"/>
  <c r="CQ66" i="4"/>
  <c r="G85" i="4" s="1"/>
  <c r="AA116" i="4"/>
  <c r="AT115" i="4" s="1"/>
  <c r="AE112" i="4"/>
  <c r="AG112" i="4" s="1"/>
  <c r="AB113" i="4"/>
  <c r="CE116" i="4"/>
  <c r="AU116" i="4"/>
  <c r="AF116" i="4"/>
  <c r="BN116" i="4"/>
  <c r="Y116" i="4"/>
  <c r="BU142" i="5"/>
  <c r="AK142" i="5"/>
  <c r="AO142" i="5"/>
  <c r="AI142" i="5"/>
  <c r="CG67" i="4"/>
  <c r="F133" i="5"/>
  <c r="R133" i="5" s="1"/>
  <c r="CN66" i="4"/>
  <c r="F85" i="4" s="1"/>
  <c r="BR67" i="4"/>
  <c r="BS79" i="4" s="1"/>
  <c r="BT91" i="4" s="1"/>
  <c r="BU103" i="4" s="1"/>
  <c r="AD145" i="5"/>
  <c r="AC146" i="5"/>
  <c r="BJ146" i="5"/>
  <c r="DT141" i="5"/>
  <c r="J141" i="5"/>
  <c r="V141" i="5" s="1"/>
  <c r="J134" i="4"/>
  <c r="CT116" i="4"/>
  <c r="CZ115" i="4" s="1"/>
  <c r="CW115" i="4"/>
  <c r="CA115" i="4"/>
  <c r="BP116" i="4"/>
  <c r="CY116" i="4"/>
  <c r="CS117" i="4" s="1"/>
  <c r="BI116" i="4"/>
  <c r="CA116" i="4" s="1"/>
  <c r="X116" i="4"/>
  <c r="K135" i="4" s="1"/>
  <c r="DL142" i="5"/>
  <c r="DZ142" i="5"/>
  <c r="EA140" i="5"/>
  <c r="EB139" i="5"/>
  <c r="I140" i="5" s="1"/>
  <c r="U140" i="5" s="1"/>
  <c r="DM140" i="5"/>
  <c r="DN139" i="5"/>
  <c r="H140" i="5" s="1"/>
  <c r="T140" i="5" s="1"/>
  <c r="CY139" i="5"/>
  <c r="CZ139" i="5"/>
  <c r="G140" i="5" s="1"/>
  <c r="S140" i="5" s="1"/>
  <c r="CX142" i="5"/>
  <c r="N142" i="5"/>
  <c r="DH112" i="4"/>
  <c r="I131" i="4" s="1"/>
  <c r="DE112" i="4"/>
  <c r="H131" i="4" s="1"/>
  <c r="DD113" i="4"/>
  <c r="CV115" i="4"/>
  <c r="CV116" i="4" s="1"/>
  <c r="DG114" i="4"/>
  <c r="DU140" i="5"/>
  <c r="DW140" i="5" s="1"/>
  <c r="DX140" i="5" s="1"/>
  <c r="DF141" i="5"/>
  <c r="DG141" i="5" s="1"/>
  <c r="CR141" i="5"/>
  <c r="CS141" i="5" s="1"/>
  <c r="DE142" i="5"/>
  <c r="DD142" i="5"/>
  <c r="DB142" i="5"/>
  <c r="DC142" i="5"/>
  <c r="DK141" i="5" s="1"/>
  <c r="DI140" i="5"/>
  <c r="DJ140" i="5" s="1"/>
  <c r="DR142" i="5"/>
  <c r="DQ142" i="5"/>
  <c r="DY141" i="5" s="1"/>
  <c r="DP142" i="5"/>
  <c r="B143" i="5"/>
  <c r="DH142" i="5"/>
  <c r="BY142" i="5"/>
  <c r="AA143" i="5"/>
  <c r="DV142" i="5"/>
  <c r="CT142" i="5"/>
  <c r="AB142" i="5"/>
  <c r="K143" i="5" s="1"/>
  <c r="W143" i="5" s="1"/>
  <c r="DS141" i="5"/>
  <c r="CU140" i="5"/>
  <c r="CV140" i="5" s="1"/>
  <c r="CQ142" i="5"/>
  <c r="CP142" i="5"/>
  <c r="CO142" i="5"/>
  <c r="CW141" i="5" s="1"/>
  <c r="CN142" i="5"/>
  <c r="DB114" i="4"/>
  <c r="DC114" i="4" s="1"/>
  <c r="BM74" i="4"/>
  <c r="BO74" i="4" s="1"/>
  <c r="BQ74" i="4" s="1"/>
  <c r="BL75" i="4"/>
  <c r="C135" i="4"/>
  <c r="W117" i="4"/>
  <c r="CU116" i="4"/>
  <c r="CL138" i="5" l="1"/>
  <c r="CK138" i="5"/>
  <c r="CH139" i="5"/>
  <c r="CI139" i="5" s="1"/>
  <c r="AX135" i="5"/>
  <c r="AZ135" i="5" s="1"/>
  <c r="AW136" i="5"/>
  <c r="BO143" i="5"/>
  <c r="CJ143" i="5"/>
  <c r="CF143" i="5"/>
  <c r="CI143" i="5" s="1"/>
  <c r="CD143" i="5"/>
  <c r="AY143" i="5"/>
  <c r="BE143" i="5"/>
  <c r="BA143" i="5"/>
  <c r="BB136" i="5"/>
  <c r="AU137" i="5"/>
  <c r="BD134" i="5"/>
  <c r="BF134" i="5" s="1"/>
  <c r="BC134" i="5"/>
  <c r="BG134" i="5" s="1"/>
  <c r="D135" i="5" s="1"/>
  <c r="P135" i="5" s="1"/>
  <c r="BQ143" i="5"/>
  <c r="BK144" i="5" s="1"/>
  <c r="BL136" i="5"/>
  <c r="BT135" i="5" s="1"/>
  <c r="BV134" i="5"/>
  <c r="BM136" i="5"/>
  <c r="BP135" i="5"/>
  <c r="DA115" i="4"/>
  <c r="AQ116" i="4"/>
  <c r="AD116" i="4"/>
  <c r="AA117" i="4"/>
  <c r="AT116" i="4" s="1"/>
  <c r="AE113" i="4"/>
  <c r="AG113" i="4" s="1"/>
  <c r="AB114" i="4"/>
  <c r="AF117" i="4"/>
  <c r="AU117" i="4"/>
  <c r="CE117" i="4"/>
  <c r="BN117" i="4"/>
  <c r="Y117" i="4"/>
  <c r="AW115" i="4"/>
  <c r="DU141" i="5"/>
  <c r="DW141" i="5" s="1"/>
  <c r="DX141" i="5" s="1"/>
  <c r="EB141" i="5" s="1"/>
  <c r="BU143" i="5"/>
  <c r="AO143" i="5"/>
  <c r="AK143" i="5"/>
  <c r="AI143" i="5"/>
  <c r="F134" i="5"/>
  <c r="R134" i="5" s="1"/>
  <c r="BV67" i="4"/>
  <c r="BX67" i="4" s="1"/>
  <c r="CK67" i="4" s="1"/>
  <c r="CL67" i="4" s="1"/>
  <c r="CH67" i="4"/>
  <c r="CI67" i="4" s="1"/>
  <c r="CJ67" i="4" s="1"/>
  <c r="CF68" i="4" s="1"/>
  <c r="AD146" i="5"/>
  <c r="AC147" i="5"/>
  <c r="BJ147" i="5"/>
  <c r="CR142" i="5"/>
  <c r="CS142" i="5" s="1"/>
  <c r="J142" i="5"/>
  <c r="V142" i="5" s="1"/>
  <c r="J135" i="4"/>
  <c r="CV117" i="4"/>
  <c r="CT117" i="4"/>
  <c r="CZ116" i="4" s="1"/>
  <c r="BP117" i="4"/>
  <c r="CY117" i="4"/>
  <c r="CS118" i="4" s="1"/>
  <c r="BI117" i="4"/>
  <c r="X117" i="4"/>
  <c r="K136" i="4" s="1"/>
  <c r="CW116" i="4"/>
  <c r="CX116" i="4" s="1"/>
  <c r="DF116" i="4" s="1"/>
  <c r="DL143" i="5"/>
  <c r="DZ143" i="5"/>
  <c r="EA141" i="5"/>
  <c r="EB140" i="5"/>
  <c r="I141" i="5" s="1"/>
  <c r="U141" i="5" s="1"/>
  <c r="DN140" i="5"/>
  <c r="H141" i="5" s="1"/>
  <c r="T141" i="5" s="1"/>
  <c r="DM141" i="5"/>
  <c r="CX143" i="5"/>
  <c r="CY140" i="5"/>
  <c r="CZ140" i="5"/>
  <c r="G141" i="5" s="1"/>
  <c r="S141" i="5" s="1"/>
  <c r="N143" i="5"/>
  <c r="DH113" i="4"/>
  <c r="I132" i="4" s="1"/>
  <c r="DE113" i="4"/>
  <c r="H132" i="4" s="1"/>
  <c r="DD114" i="4"/>
  <c r="DI141" i="5"/>
  <c r="DJ141" i="5" s="1"/>
  <c r="DT142" i="5"/>
  <c r="DF142" i="5"/>
  <c r="DG142" i="5" s="1"/>
  <c r="B144" i="5"/>
  <c r="DH143" i="5"/>
  <c r="BY143" i="5"/>
  <c r="AA144" i="5"/>
  <c r="CT143" i="5"/>
  <c r="DV143" i="5"/>
  <c r="AB143" i="5"/>
  <c r="K144" i="5" s="1"/>
  <c r="W144" i="5" s="1"/>
  <c r="CU141" i="5"/>
  <c r="CV141" i="5" s="1"/>
  <c r="CQ143" i="5"/>
  <c r="CP143" i="5"/>
  <c r="CO143" i="5"/>
  <c r="CW142" i="5" s="1"/>
  <c r="CN143" i="5"/>
  <c r="DR143" i="5"/>
  <c r="DQ143" i="5"/>
  <c r="DY142" i="5" s="1"/>
  <c r="DP143" i="5"/>
  <c r="DB143" i="5"/>
  <c r="DE143" i="5"/>
  <c r="DC143" i="5"/>
  <c r="DK142" i="5" s="1"/>
  <c r="DD143" i="5"/>
  <c r="DS142" i="5"/>
  <c r="CX115" i="4"/>
  <c r="DF115" i="4" s="1"/>
  <c r="BM75" i="4"/>
  <c r="BO75" i="4" s="1"/>
  <c r="BQ75" i="4" s="1"/>
  <c r="BL76" i="4"/>
  <c r="W118" i="4"/>
  <c r="C136" i="4"/>
  <c r="CU117" i="4"/>
  <c r="CK139" i="5" l="1"/>
  <c r="CL139" i="5"/>
  <c r="AX136" i="5"/>
  <c r="AZ136" i="5" s="1"/>
  <c r="AW137" i="5"/>
  <c r="BD135" i="5"/>
  <c r="BF135" i="5" s="1"/>
  <c r="BC135" i="5"/>
  <c r="BG135" i="5" s="1"/>
  <c r="D136" i="5" s="1"/>
  <c r="P136" i="5" s="1"/>
  <c r="BB137" i="5"/>
  <c r="AU138" i="5"/>
  <c r="BO144" i="5"/>
  <c r="CF144" i="5"/>
  <c r="CI144" i="5" s="1"/>
  <c r="CD144" i="5"/>
  <c r="CJ144" i="5"/>
  <c r="BA144" i="5"/>
  <c r="AY144" i="5"/>
  <c r="BE144" i="5"/>
  <c r="BR134" i="5"/>
  <c r="BS134" i="5" s="1"/>
  <c r="BW134" i="5" s="1"/>
  <c r="E135" i="5" s="1"/>
  <c r="Q135" i="5" s="1"/>
  <c r="BQ144" i="5"/>
  <c r="BK145" i="5" s="1"/>
  <c r="BM137" i="5"/>
  <c r="BP136" i="5"/>
  <c r="BV135" i="5"/>
  <c r="BL137" i="5"/>
  <c r="BT136" i="5" s="1"/>
  <c r="DA116" i="4"/>
  <c r="AQ117" i="4"/>
  <c r="AD117" i="4"/>
  <c r="AW116" i="4"/>
  <c r="AU118" i="4"/>
  <c r="CE118" i="4"/>
  <c r="AF118" i="4"/>
  <c r="BN118" i="4"/>
  <c r="Y118" i="4"/>
  <c r="AA118" i="4"/>
  <c r="AT117" i="4" s="1"/>
  <c r="AE114" i="4"/>
  <c r="AB115" i="4"/>
  <c r="J136" i="4"/>
  <c r="BU144" i="5"/>
  <c r="AK144" i="5"/>
  <c r="AO144" i="5"/>
  <c r="AI144" i="5"/>
  <c r="BY67" i="4"/>
  <c r="CO67" i="4" s="1"/>
  <c r="CP67" i="4" s="1"/>
  <c r="CG68" i="4"/>
  <c r="F135" i="5"/>
  <c r="R135" i="5" s="1"/>
  <c r="BZ79" i="4"/>
  <c r="CB79" i="4" s="1"/>
  <c r="CC79" i="4"/>
  <c r="BR68" i="4"/>
  <c r="BS80" i="4" s="1"/>
  <c r="BT92" i="4" s="1"/>
  <c r="BU104" i="4" s="1"/>
  <c r="CM67" i="4"/>
  <c r="CN67" i="4" s="1"/>
  <c r="F86" i="4" s="1"/>
  <c r="AD147" i="5"/>
  <c r="AC148" i="5"/>
  <c r="BJ148" i="5"/>
  <c r="CR143" i="5"/>
  <c r="CS143" i="5" s="1"/>
  <c r="J143" i="5"/>
  <c r="V143" i="5" s="1"/>
  <c r="CW117" i="4"/>
  <c r="CX117" i="4" s="1"/>
  <c r="DF117" i="4" s="1"/>
  <c r="CA117" i="4"/>
  <c r="CT118" i="4"/>
  <c r="CZ117" i="4" s="1"/>
  <c r="CY118" i="4"/>
  <c r="CS119" i="4" s="1"/>
  <c r="BP118" i="4"/>
  <c r="BI118" i="4"/>
  <c r="X118" i="4"/>
  <c r="K137" i="4" s="1"/>
  <c r="CV118" i="4"/>
  <c r="DL144" i="5"/>
  <c r="DZ144" i="5"/>
  <c r="EA142" i="5"/>
  <c r="I142" i="5"/>
  <c r="U142" i="5" s="1"/>
  <c r="DM142" i="5"/>
  <c r="DN141" i="5"/>
  <c r="H142" i="5" s="1"/>
  <c r="T142" i="5" s="1"/>
  <c r="DU142" i="5"/>
  <c r="DW142" i="5" s="1"/>
  <c r="DX142" i="5" s="1"/>
  <c r="EB142" i="5" s="1"/>
  <c r="CY141" i="5"/>
  <c r="CZ141" i="5"/>
  <c r="G142" i="5" s="1"/>
  <c r="S142" i="5" s="1"/>
  <c r="CX144" i="5"/>
  <c r="N144" i="5"/>
  <c r="DE114" i="4"/>
  <c r="H133" i="4" s="1"/>
  <c r="DH114" i="4"/>
  <c r="I133" i="4" s="1"/>
  <c r="DS143" i="5"/>
  <c r="DS144" i="5" s="1"/>
  <c r="DT143" i="5"/>
  <c r="DF143" i="5"/>
  <c r="DG143" i="5" s="1"/>
  <c r="DR144" i="5"/>
  <c r="DQ144" i="5"/>
  <c r="DY143" i="5" s="1"/>
  <c r="DP144" i="5"/>
  <c r="CQ144" i="5"/>
  <c r="CP144" i="5"/>
  <c r="CO144" i="5"/>
  <c r="CW143" i="5" s="1"/>
  <c r="CN144" i="5"/>
  <c r="DI142" i="5"/>
  <c r="DJ142" i="5" s="1"/>
  <c r="DC144" i="5"/>
  <c r="DK143" i="5" s="1"/>
  <c r="DB144" i="5"/>
  <c r="DD144" i="5"/>
  <c r="DE144" i="5"/>
  <c r="CU142" i="5"/>
  <c r="CV142" i="5" s="1"/>
  <c r="B145" i="5"/>
  <c r="DH144" i="5"/>
  <c r="BY144" i="5"/>
  <c r="AA145" i="5"/>
  <c r="DV144" i="5"/>
  <c r="CT144" i="5"/>
  <c r="AB144" i="5"/>
  <c r="K145" i="5" s="1"/>
  <c r="W145" i="5" s="1"/>
  <c r="DG116" i="4"/>
  <c r="DG115" i="4"/>
  <c r="DB115" i="4"/>
  <c r="DC115" i="4" s="1"/>
  <c r="DB116" i="4"/>
  <c r="DC116" i="4" s="1"/>
  <c r="BM76" i="4"/>
  <c r="BO76" i="4" s="1"/>
  <c r="BQ76" i="4" s="1"/>
  <c r="BL77" i="4"/>
  <c r="CU118" i="4"/>
  <c r="C137" i="4"/>
  <c r="W119" i="4"/>
  <c r="BZ140" i="5" l="1"/>
  <c r="BZ141" i="5" s="1"/>
  <c r="BZ142" i="5" s="1"/>
  <c r="BZ143" i="5" s="1"/>
  <c r="BZ144" i="5" s="1"/>
  <c r="BZ145" i="5" s="1"/>
  <c r="CK140" i="5"/>
  <c r="CK141" i="5" s="1"/>
  <c r="CA140" i="5"/>
  <c r="CA141" i="5" s="1"/>
  <c r="CA142" i="5" s="1"/>
  <c r="CA143" i="5" s="1"/>
  <c r="CA144" i="5" s="1"/>
  <c r="CA145" i="5" s="1"/>
  <c r="AX137" i="5"/>
  <c r="AZ137" i="5" s="1"/>
  <c r="AW138" i="5"/>
  <c r="BD136" i="5"/>
  <c r="BF136" i="5" s="1"/>
  <c r="BC136" i="5"/>
  <c r="BG136" i="5" s="1"/>
  <c r="D137" i="5" s="1"/>
  <c r="P137" i="5" s="1"/>
  <c r="BO145" i="5"/>
  <c r="CF145" i="5"/>
  <c r="CI145" i="5" s="1"/>
  <c r="CD145" i="5"/>
  <c r="BA145" i="5"/>
  <c r="CJ145" i="5"/>
  <c r="BE145" i="5"/>
  <c r="AY145" i="5"/>
  <c r="BB138" i="5"/>
  <c r="AU139" i="5"/>
  <c r="AG114" i="4"/>
  <c r="AC115" i="4"/>
  <c r="AC116" i="4" s="1"/>
  <c r="AC117" i="4" s="1"/>
  <c r="AC118" i="4" s="1"/>
  <c r="AC119" i="4" s="1"/>
  <c r="BR135" i="5"/>
  <c r="BS135" i="5" s="1"/>
  <c r="BW135" i="5" s="1"/>
  <c r="E136" i="5" s="1"/>
  <c r="Q136" i="5" s="1"/>
  <c r="BQ145" i="5"/>
  <c r="BK146" i="5" s="1"/>
  <c r="BP137" i="5"/>
  <c r="BM138" i="5"/>
  <c r="BV136" i="5"/>
  <c r="BL138" i="5"/>
  <c r="BT137" i="5" s="1"/>
  <c r="DA117" i="4"/>
  <c r="AQ118" i="4"/>
  <c r="AD118" i="4"/>
  <c r="J137" i="4"/>
  <c r="AA119" i="4"/>
  <c r="AT118" i="4" s="1"/>
  <c r="AW117" i="4"/>
  <c r="AB116" i="4"/>
  <c r="AF119" i="4"/>
  <c r="CE119" i="4"/>
  <c r="AU119" i="4"/>
  <c r="BN119" i="4"/>
  <c r="Y119" i="4"/>
  <c r="Z115" i="4"/>
  <c r="BU145" i="5"/>
  <c r="AK145" i="5"/>
  <c r="AO145" i="5"/>
  <c r="AI145" i="5"/>
  <c r="CQ67" i="4"/>
  <c r="G86" i="4" s="1"/>
  <c r="BV68" i="4"/>
  <c r="BX68" i="4" s="1"/>
  <c r="CK68" i="4" s="1"/>
  <c r="CL68" i="4" s="1"/>
  <c r="CH68" i="4"/>
  <c r="CI68" i="4" s="1"/>
  <c r="CJ68" i="4" s="1"/>
  <c r="CF69" i="4" s="1"/>
  <c r="F136" i="5"/>
  <c r="R136" i="5" s="1"/>
  <c r="AD148" i="5"/>
  <c r="AC149" i="5"/>
  <c r="BJ149" i="5"/>
  <c r="DT144" i="5"/>
  <c r="DU144" i="5" s="1"/>
  <c r="J144" i="5"/>
  <c r="V144" i="5" s="1"/>
  <c r="CW118" i="4"/>
  <c r="CX118" i="4" s="1"/>
  <c r="DF118" i="4" s="1"/>
  <c r="CA118" i="4"/>
  <c r="CY119" i="4"/>
  <c r="CS120" i="4" s="1"/>
  <c r="BP119" i="4"/>
  <c r="BI119" i="4"/>
  <c r="X119" i="4"/>
  <c r="K138" i="4" s="1"/>
  <c r="CT119" i="4"/>
  <c r="CZ118" i="4" s="1"/>
  <c r="CV119" i="4"/>
  <c r="DL145" i="5"/>
  <c r="DZ145" i="5"/>
  <c r="EA143" i="5"/>
  <c r="I143" i="5"/>
  <c r="U143" i="5" s="1"/>
  <c r="DM143" i="5"/>
  <c r="DN142" i="5"/>
  <c r="H143" i="5" s="1"/>
  <c r="T143" i="5" s="1"/>
  <c r="CY142" i="5"/>
  <c r="CZ142" i="5"/>
  <c r="G143" i="5" s="1"/>
  <c r="S143" i="5" s="1"/>
  <c r="CX145" i="5"/>
  <c r="N145" i="5"/>
  <c r="DD115" i="4"/>
  <c r="DB117" i="4"/>
  <c r="DC117" i="4" s="1"/>
  <c r="DU143" i="5"/>
  <c r="DW143" i="5" s="1"/>
  <c r="DX143" i="5" s="1"/>
  <c r="CR144" i="5"/>
  <c r="CS144" i="5" s="1"/>
  <c r="DF144" i="5"/>
  <c r="DG144" i="5" s="1"/>
  <c r="B146" i="5"/>
  <c r="DH145" i="5"/>
  <c r="BY145" i="5"/>
  <c r="AA146" i="5"/>
  <c r="DV145" i="5"/>
  <c r="CT145" i="5"/>
  <c r="AB145" i="5"/>
  <c r="K146" i="5" s="1"/>
  <c r="W146" i="5" s="1"/>
  <c r="DC145" i="5"/>
  <c r="DK144" i="5" s="1"/>
  <c r="DB145" i="5"/>
  <c r="DD145" i="5"/>
  <c r="DE145" i="5"/>
  <c r="CU143" i="5"/>
  <c r="CV143" i="5" s="1"/>
  <c r="CQ145" i="5"/>
  <c r="CP145" i="5"/>
  <c r="CO145" i="5"/>
  <c r="CW144" i="5" s="1"/>
  <c r="CN145" i="5"/>
  <c r="DS145" i="5"/>
  <c r="DR145" i="5"/>
  <c r="DQ145" i="5"/>
  <c r="DY144" i="5" s="1"/>
  <c r="DP145" i="5"/>
  <c r="DI143" i="5"/>
  <c r="DJ143" i="5" s="1"/>
  <c r="DN143" i="5" s="1"/>
  <c r="DG117" i="4"/>
  <c r="BM77" i="4"/>
  <c r="BO77" i="4" s="1"/>
  <c r="BQ77" i="4" s="1"/>
  <c r="BL78" i="4"/>
  <c r="CU119" i="4"/>
  <c r="W120" i="4"/>
  <c r="C138" i="4"/>
  <c r="CB140" i="5" l="1"/>
  <c r="CB141" i="5" s="1"/>
  <c r="BO146" i="5"/>
  <c r="AY146" i="5"/>
  <c r="CJ146" i="5"/>
  <c r="CF146" i="5"/>
  <c r="CI146" i="5" s="1"/>
  <c r="CD146" i="5"/>
  <c r="BE146" i="5"/>
  <c r="BA146" i="5"/>
  <c r="AX138" i="5"/>
  <c r="AZ138" i="5" s="1"/>
  <c r="AW139" i="5"/>
  <c r="AX139" i="5" s="1"/>
  <c r="AZ139" i="5" s="1"/>
  <c r="BD137" i="5"/>
  <c r="BF137" i="5" s="1"/>
  <c r="BC137" i="5"/>
  <c r="BG137" i="5" s="1"/>
  <c r="D138" i="5" s="1"/>
  <c r="P138" i="5" s="1"/>
  <c r="CA146" i="5"/>
  <c r="CK142" i="5"/>
  <c r="CC140" i="5"/>
  <c r="CE140" i="5" s="1"/>
  <c r="BZ146" i="5"/>
  <c r="AE115" i="4"/>
  <c r="AC120" i="4"/>
  <c r="BR136" i="5"/>
  <c r="BS136" i="5" s="1"/>
  <c r="BW136" i="5" s="1"/>
  <c r="E137" i="5" s="1"/>
  <c r="Q137" i="5" s="1"/>
  <c r="BQ146" i="5"/>
  <c r="BK147" i="5" s="1"/>
  <c r="BM139" i="5"/>
  <c r="BP139" i="5" s="1"/>
  <c r="BN140" i="5" s="1"/>
  <c r="BN141" i="5" s="1"/>
  <c r="BN142" i="5" s="1"/>
  <c r="BN143" i="5" s="1"/>
  <c r="BN144" i="5" s="1"/>
  <c r="BN145" i="5" s="1"/>
  <c r="BN146" i="5" s="1"/>
  <c r="BP138" i="5"/>
  <c r="BV137" i="5"/>
  <c r="BL139" i="5"/>
  <c r="BT138" i="5" s="1"/>
  <c r="DA118" i="4"/>
  <c r="J138" i="4"/>
  <c r="AQ119" i="4"/>
  <c r="AD119" i="4"/>
  <c r="Z116" i="4"/>
  <c r="AG115" i="4"/>
  <c r="AW118" i="4"/>
  <c r="AA120" i="4"/>
  <c r="AT119" i="4" s="1"/>
  <c r="AU120" i="4"/>
  <c r="AF120" i="4"/>
  <c r="CE120" i="4"/>
  <c r="BN120" i="4"/>
  <c r="Y120" i="4"/>
  <c r="AE116" i="4"/>
  <c r="AB117" i="4"/>
  <c r="BU146" i="5"/>
  <c r="AO146" i="5"/>
  <c r="AK146" i="5"/>
  <c r="AI146" i="5"/>
  <c r="BR69" i="4"/>
  <c r="BS81" i="4" s="1"/>
  <c r="BT93" i="4" s="1"/>
  <c r="BU105" i="4" s="1"/>
  <c r="CM68" i="4"/>
  <c r="CN68" i="4" s="1"/>
  <c r="F87" i="4" s="1"/>
  <c r="CG69" i="4"/>
  <c r="F137" i="5"/>
  <c r="R137" i="5" s="1"/>
  <c r="BY68" i="4"/>
  <c r="CO68" i="4" s="1"/>
  <c r="CP68" i="4" s="1"/>
  <c r="BZ80" i="4"/>
  <c r="CB80" i="4" s="1"/>
  <c r="CC80" i="4"/>
  <c r="AD149" i="5"/>
  <c r="AC150" i="5"/>
  <c r="BJ150" i="5"/>
  <c r="DT145" i="5"/>
  <c r="DU145" i="5" s="1"/>
  <c r="J145" i="5"/>
  <c r="V145" i="5" s="1"/>
  <c r="CW119" i="4"/>
  <c r="CX119" i="4" s="1"/>
  <c r="DF119" i="4" s="1"/>
  <c r="CA119" i="4"/>
  <c r="BP120" i="4"/>
  <c r="CY120" i="4"/>
  <c r="CS121" i="4" s="1"/>
  <c r="BI120" i="4"/>
  <c r="X120" i="4"/>
  <c r="K139" i="4" s="1"/>
  <c r="CV120" i="4"/>
  <c r="CT120" i="4"/>
  <c r="CZ119" i="4" s="1"/>
  <c r="DL146" i="5"/>
  <c r="DZ146" i="5"/>
  <c r="EA144" i="5"/>
  <c r="EB143" i="5"/>
  <c r="I144" i="5" s="1"/>
  <c r="U144" i="5" s="1"/>
  <c r="DM144" i="5"/>
  <c r="H144" i="5"/>
  <c r="T144" i="5" s="1"/>
  <c r="CZ143" i="5"/>
  <c r="G144" i="5" s="1"/>
  <c r="S144" i="5" s="1"/>
  <c r="CY143" i="5"/>
  <c r="CX146" i="5"/>
  <c r="N146" i="5"/>
  <c r="DE115" i="4"/>
  <c r="H134" i="4" s="1"/>
  <c r="DD116" i="4"/>
  <c r="DE116" i="4" s="1"/>
  <c r="H135" i="4" s="1"/>
  <c r="DH115" i="4"/>
  <c r="I134" i="4" s="1"/>
  <c r="DG118" i="4"/>
  <c r="DF145" i="5"/>
  <c r="DG145" i="5" s="1"/>
  <c r="DI145" i="5" s="1"/>
  <c r="DJ145" i="5" s="1"/>
  <c r="DI144" i="5"/>
  <c r="DJ144" i="5" s="1"/>
  <c r="DW144" i="5"/>
  <c r="DX144" i="5" s="1"/>
  <c r="CU144" i="5"/>
  <c r="CV144" i="5" s="1"/>
  <c r="DD146" i="5"/>
  <c r="DC146" i="5"/>
  <c r="DK145" i="5" s="1"/>
  <c r="DB146" i="5"/>
  <c r="DE146" i="5"/>
  <c r="CQ146" i="5"/>
  <c r="CP146" i="5"/>
  <c r="CO146" i="5"/>
  <c r="CW145" i="5" s="1"/>
  <c r="CN146" i="5"/>
  <c r="DS146" i="5"/>
  <c r="DR146" i="5"/>
  <c r="DQ146" i="5"/>
  <c r="DY145" i="5" s="1"/>
  <c r="DP146" i="5"/>
  <c r="CR145" i="5"/>
  <c r="CS145" i="5" s="1"/>
  <c r="B147" i="5"/>
  <c r="DV146" i="5"/>
  <c r="CT146" i="5"/>
  <c r="DH146" i="5"/>
  <c r="BY146" i="5"/>
  <c r="AA147" i="5"/>
  <c r="AB146" i="5"/>
  <c r="K147" i="5" s="1"/>
  <c r="W147" i="5" s="1"/>
  <c r="DB118" i="4"/>
  <c r="DC118" i="4" s="1"/>
  <c r="BM78" i="4"/>
  <c r="BO78" i="4" s="1"/>
  <c r="CU120" i="4"/>
  <c r="W121" i="4"/>
  <c r="C139" i="4"/>
  <c r="BZ147" i="5" l="1"/>
  <c r="CK143" i="5"/>
  <c r="CC141" i="5"/>
  <c r="CE141" i="5" s="1"/>
  <c r="CB142" i="5"/>
  <c r="BD139" i="5"/>
  <c r="BC139" i="5"/>
  <c r="CG140" i="5"/>
  <c r="CH140" i="5" s="1"/>
  <c r="CL140" i="5" s="1"/>
  <c r="BD138" i="5"/>
  <c r="BF138" i="5" s="1"/>
  <c r="BC138" i="5"/>
  <c r="BG138" i="5" s="1"/>
  <c r="D139" i="5" s="1"/>
  <c r="P139" i="5" s="1"/>
  <c r="CA147" i="5"/>
  <c r="BO147" i="5"/>
  <c r="CJ147" i="5"/>
  <c r="CF147" i="5"/>
  <c r="CI147" i="5" s="1"/>
  <c r="CD147" i="5"/>
  <c r="AY147" i="5"/>
  <c r="BE147" i="5"/>
  <c r="BA147" i="5"/>
  <c r="BN147" i="5"/>
  <c r="AC121" i="4"/>
  <c r="BR137" i="5"/>
  <c r="BS137" i="5" s="1"/>
  <c r="BW137" i="5" s="1"/>
  <c r="E138" i="5" s="1"/>
  <c r="Q138" i="5" s="1"/>
  <c r="BR139" i="5"/>
  <c r="BS139" i="5" s="1"/>
  <c r="BQ147" i="5"/>
  <c r="BK148" i="5" s="1"/>
  <c r="J139" i="4"/>
  <c r="BL140" i="5"/>
  <c r="BT139" i="5" s="1"/>
  <c r="BV138" i="5"/>
  <c r="DA119" i="4"/>
  <c r="BJ79" i="4"/>
  <c r="BJ80" i="4" s="1"/>
  <c r="BQ78" i="4"/>
  <c r="AQ120" i="4"/>
  <c r="AD120" i="4"/>
  <c r="Z117" i="4"/>
  <c r="AG116" i="4"/>
  <c r="AW119" i="4"/>
  <c r="AA121" i="4"/>
  <c r="AT120" i="4" s="1"/>
  <c r="AE117" i="4"/>
  <c r="AB118" i="4"/>
  <c r="AF121" i="4"/>
  <c r="AU121" i="4"/>
  <c r="CE121" i="4"/>
  <c r="BN121" i="4"/>
  <c r="Y121" i="4"/>
  <c r="BV69" i="4"/>
  <c r="BX69" i="4" s="1"/>
  <c r="CK69" i="4" s="1"/>
  <c r="CL69" i="4" s="1"/>
  <c r="CM69" i="4" s="1"/>
  <c r="CN69" i="4" s="1"/>
  <c r="F88" i="4" s="1"/>
  <c r="BU147" i="5"/>
  <c r="AK147" i="5"/>
  <c r="AO147" i="5"/>
  <c r="AI147" i="5"/>
  <c r="F138" i="5"/>
  <c r="R138" i="5" s="1"/>
  <c r="BK79" i="4"/>
  <c r="CQ68" i="4"/>
  <c r="G87" i="4" s="1"/>
  <c r="CH69" i="4"/>
  <c r="CI69" i="4" s="1"/>
  <c r="CJ69" i="4" s="1"/>
  <c r="CF70" i="4" s="1"/>
  <c r="AD150" i="5"/>
  <c r="AC151" i="5"/>
  <c r="BJ151" i="5"/>
  <c r="DT146" i="5"/>
  <c r="DU146" i="5" s="1"/>
  <c r="J146" i="5"/>
  <c r="V146" i="5" s="1"/>
  <c r="CW120" i="4"/>
  <c r="CX120" i="4" s="1"/>
  <c r="DF120" i="4" s="1"/>
  <c r="CA120" i="4"/>
  <c r="BP121" i="4"/>
  <c r="CY121" i="4"/>
  <c r="CS122" i="4" s="1"/>
  <c r="BI121" i="4"/>
  <c r="X121" i="4"/>
  <c r="K140" i="4" s="1"/>
  <c r="CT121" i="4"/>
  <c r="CZ120" i="4" s="1"/>
  <c r="CV121" i="4"/>
  <c r="DL147" i="5"/>
  <c r="DZ147" i="5"/>
  <c r="EA145" i="5"/>
  <c r="EB144" i="5"/>
  <c r="I145" i="5" s="1"/>
  <c r="U145" i="5" s="1"/>
  <c r="DM145" i="5"/>
  <c r="DN145" i="5"/>
  <c r="H146" i="5" s="1"/>
  <c r="T146" i="5" s="1"/>
  <c r="DN144" i="5"/>
  <c r="H145" i="5" s="1"/>
  <c r="T145" i="5" s="1"/>
  <c r="CY144" i="5"/>
  <c r="CZ144" i="5"/>
  <c r="G145" i="5" s="1"/>
  <c r="S145" i="5" s="1"/>
  <c r="CX147" i="5"/>
  <c r="N147" i="5"/>
  <c r="DD117" i="4"/>
  <c r="DE117" i="4" s="1"/>
  <c r="H136" i="4" s="1"/>
  <c r="DH116" i="4"/>
  <c r="I135" i="4" s="1"/>
  <c r="DG119" i="4"/>
  <c r="B148" i="5"/>
  <c r="AA148" i="5"/>
  <c r="CT147" i="5"/>
  <c r="DV147" i="5"/>
  <c r="DH147" i="5"/>
  <c r="BY147" i="5"/>
  <c r="AB147" i="5"/>
  <c r="K148" i="5" s="1"/>
  <c r="W148" i="5" s="1"/>
  <c r="DF146" i="5"/>
  <c r="DG146" i="5" s="1"/>
  <c r="CR146" i="5"/>
  <c r="CS146" i="5" s="1"/>
  <c r="CU145" i="5"/>
  <c r="CV145" i="5" s="1"/>
  <c r="CQ147" i="5"/>
  <c r="CP147" i="5"/>
  <c r="CN147" i="5"/>
  <c r="CO147" i="5"/>
  <c r="CW146" i="5" s="1"/>
  <c r="DW145" i="5"/>
  <c r="DX145" i="5" s="1"/>
  <c r="EB145" i="5" s="1"/>
  <c r="DP147" i="5"/>
  <c r="DS147" i="5"/>
  <c r="DQ147" i="5"/>
  <c r="DY146" i="5" s="1"/>
  <c r="DR147" i="5"/>
  <c r="DE147" i="5"/>
  <c r="DD147" i="5"/>
  <c r="DC147" i="5"/>
  <c r="DK146" i="5" s="1"/>
  <c r="DB147" i="5"/>
  <c r="DB119" i="4"/>
  <c r="DC119" i="4" s="1"/>
  <c r="CU121" i="4"/>
  <c r="W122" i="4"/>
  <c r="C140" i="4"/>
  <c r="CK144" i="5" l="1"/>
  <c r="BG139" i="5"/>
  <c r="D140" i="5" s="1"/>
  <c r="P140" i="5" s="1"/>
  <c r="BF139" i="5"/>
  <c r="AV140" i="5" s="1"/>
  <c r="AV141" i="5" s="1"/>
  <c r="AV142" i="5" s="1"/>
  <c r="AV143" i="5" s="1"/>
  <c r="AV144" i="5" s="1"/>
  <c r="AV145" i="5" s="1"/>
  <c r="AV146" i="5" s="1"/>
  <c r="AV147" i="5" s="1"/>
  <c r="AV148" i="5" s="1"/>
  <c r="BO148" i="5"/>
  <c r="CF148" i="5"/>
  <c r="CI148" i="5" s="1"/>
  <c r="CD148" i="5"/>
  <c r="BA148" i="5"/>
  <c r="AY148" i="5"/>
  <c r="CJ148" i="5"/>
  <c r="BE148" i="5"/>
  <c r="CA148" i="5"/>
  <c r="CC142" i="5"/>
  <c r="CE142" i="5" s="1"/>
  <c r="CB143" i="5"/>
  <c r="CG141" i="5"/>
  <c r="CH141" i="5" s="1"/>
  <c r="CL141" i="5" s="1"/>
  <c r="BZ148" i="5"/>
  <c r="J140" i="4"/>
  <c r="AC122" i="4"/>
  <c r="BN148" i="5"/>
  <c r="BR138" i="5"/>
  <c r="BS138" i="5" s="1"/>
  <c r="BW138" i="5" s="1"/>
  <c r="E139" i="5" s="1"/>
  <c r="Q139" i="5" s="1"/>
  <c r="BW139" i="5"/>
  <c r="E140" i="5" s="1"/>
  <c r="Q140" i="5" s="1"/>
  <c r="DA120" i="4"/>
  <c r="BQ148" i="5"/>
  <c r="BK149" i="5" s="1"/>
  <c r="BL141" i="5"/>
  <c r="BT140" i="5" s="1"/>
  <c r="BJ81" i="4"/>
  <c r="BQ80" i="4"/>
  <c r="AQ121" i="4"/>
  <c r="AD121" i="4"/>
  <c r="BL79" i="4"/>
  <c r="BQ79" i="4"/>
  <c r="Z118" i="4"/>
  <c r="AG117" i="4"/>
  <c r="AA122" i="4"/>
  <c r="AT121" i="4" s="1"/>
  <c r="AE118" i="4"/>
  <c r="AB119" i="4"/>
  <c r="AF122" i="4"/>
  <c r="CE122" i="4"/>
  <c r="AU122" i="4"/>
  <c r="BN122" i="4"/>
  <c r="Y122" i="4"/>
  <c r="BM140" i="5"/>
  <c r="BK80" i="4"/>
  <c r="CD79" i="4" s="1"/>
  <c r="CD78" i="4"/>
  <c r="BY69" i="4"/>
  <c r="CO69" i="4" s="1"/>
  <c r="CP69" i="4" s="1"/>
  <c r="CC81" i="4"/>
  <c r="BZ81" i="4"/>
  <c r="CB81" i="4" s="1"/>
  <c r="BU148" i="5"/>
  <c r="AK148" i="5"/>
  <c r="AO148" i="5"/>
  <c r="AI148" i="5"/>
  <c r="F139" i="5"/>
  <c r="R139" i="5" s="1"/>
  <c r="CG70" i="4"/>
  <c r="BR70" i="4"/>
  <c r="BS82" i="4" s="1"/>
  <c r="BT94" i="4" s="1"/>
  <c r="BU106" i="4" s="1"/>
  <c r="AD151" i="5"/>
  <c r="AC152" i="5"/>
  <c r="BJ152" i="5"/>
  <c r="DF147" i="5"/>
  <c r="DG147" i="5" s="1"/>
  <c r="J147" i="5"/>
  <c r="V147" i="5" s="1"/>
  <c r="CW121" i="4"/>
  <c r="CX121" i="4" s="1"/>
  <c r="DF121" i="4" s="1"/>
  <c r="CA121" i="4"/>
  <c r="CY122" i="4"/>
  <c r="CS123" i="4" s="1"/>
  <c r="BP122" i="4"/>
  <c r="BI122" i="4"/>
  <c r="X122" i="4"/>
  <c r="K141" i="4" s="1"/>
  <c r="CV122" i="4"/>
  <c r="CT122" i="4"/>
  <c r="CZ121" i="4" s="1"/>
  <c r="DL148" i="5"/>
  <c r="DZ148" i="5"/>
  <c r="EA146" i="5"/>
  <c r="I146" i="5"/>
  <c r="U146" i="5" s="1"/>
  <c r="DM146" i="5"/>
  <c r="CZ145" i="5"/>
  <c r="G146" i="5" s="1"/>
  <c r="S146" i="5" s="1"/>
  <c r="CY145" i="5"/>
  <c r="CX148" i="5"/>
  <c r="N148" i="5"/>
  <c r="DH117" i="4"/>
  <c r="I136" i="4" s="1"/>
  <c r="DD118" i="4"/>
  <c r="DE118" i="4" s="1"/>
  <c r="H137" i="4" s="1"/>
  <c r="DG120" i="4"/>
  <c r="CU146" i="5"/>
  <c r="CV146" i="5" s="1"/>
  <c r="DD148" i="5"/>
  <c r="DB148" i="5"/>
  <c r="DC148" i="5"/>
  <c r="DK147" i="5" s="1"/>
  <c r="DE148" i="5"/>
  <c r="DI146" i="5"/>
  <c r="DJ146" i="5" s="1"/>
  <c r="DN146" i="5" s="1"/>
  <c r="B149" i="5"/>
  <c r="DV148" i="5"/>
  <c r="CT148" i="5"/>
  <c r="DH148" i="5"/>
  <c r="BY148" i="5"/>
  <c r="AA149" i="5"/>
  <c r="AB148" i="5"/>
  <c r="K149" i="5" s="1"/>
  <c r="W149" i="5" s="1"/>
  <c r="DT147" i="5"/>
  <c r="DU147" i="5" s="1"/>
  <c r="CR147" i="5"/>
  <c r="CS147" i="5" s="1"/>
  <c r="DQ148" i="5"/>
  <c r="DY147" i="5" s="1"/>
  <c r="DS148" i="5"/>
  <c r="DP148" i="5"/>
  <c r="DR148" i="5"/>
  <c r="DW146" i="5"/>
  <c r="DX146" i="5" s="1"/>
  <c r="EB146" i="5" s="1"/>
  <c r="CO148" i="5"/>
  <c r="CW147" i="5" s="1"/>
  <c r="CP148" i="5"/>
  <c r="CN148" i="5"/>
  <c r="CQ148" i="5"/>
  <c r="DB120" i="4"/>
  <c r="DC120" i="4" s="1"/>
  <c r="CU122" i="4"/>
  <c r="W123" i="4"/>
  <c r="C141" i="4"/>
  <c r="J141" i="4" l="1"/>
  <c r="E16" i="5"/>
  <c r="E32" i="5" s="1"/>
  <c r="CA149" i="5"/>
  <c r="BZ149" i="5"/>
  <c r="AV149" i="5"/>
  <c r="CK145" i="5"/>
  <c r="DA121" i="4"/>
  <c r="CC143" i="5"/>
  <c r="CE143" i="5" s="1"/>
  <c r="CB144" i="5"/>
  <c r="CG142" i="5"/>
  <c r="CH142" i="5" s="1"/>
  <c r="CL142" i="5" s="1"/>
  <c r="AU140" i="5"/>
  <c r="BO149" i="5"/>
  <c r="BA149" i="5"/>
  <c r="CF149" i="5"/>
  <c r="CD149" i="5"/>
  <c r="CJ149" i="5"/>
  <c r="BE149" i="5"/>
  <c r="AY149" i="5"/>
  <c r="AC123" i="4"/>
  <c r="BN149" i="5"/>
  <c r="BQ149" i="5"/>
  <c r="BK150" i="5" s="1"/>
  <c r="BL142" i="5"/>
  <c r="BT141" i="5" s="1"/>
  <c r="BL80" i="4"/>
  <c r="BM79" i="4"/>
  <c r="BO79" i="4" s="1"/>
  <c r="AQ122" i="4"/>
  <c r="AD122" i="4"/>
  <c r="BJ82" i="4"/>
  <c r="BQ81" i="4"/>
  <c r="Z119" i="4"/>
  <c r="AG118" i="4"/>
  <c r="BK81" i="4"/>
  <c r="CD80" i="4" s="1"/>
  <c r="AE119" i="4"/>
  <c r="AB120" i="4"/>
  <c r="AA123" i="4"/>
  <c r="AT122" i="4" s="1"/>
  <c r="AW121" i="4"/>
  <c r="AF123" i="4"/>
  <c r="AU123" i="4"/>
  <c r="CE123" i="4"/>
  <c r="Y123" i="4"/>
  <c r="BN123" i="4"/>
  <c r="BM141" i="5"/>
  <c r="BV139" i="5"/>
  <c r="CQ69" i="4"/>
  <c r="G88" i="4" s="1"/>
  <c r="BU149" i="5"/>
  <c r="AK149" i="5"/>
  <c r="AO149" i="5"/>
  <c r="AI149" i="5"/>
  <c r="F140" i="5"/>
  <c r="R140" i="5" s="1"/>
  <c r="BV70" i="4"/>
  <c r="BX70" i="4" s="1"/>
  <c r="CK70" i="4" s="1"/>
  <c r="CL70" i="4" s="1"/>
  <c r="CH70" i="4"/>
  <c r="CI70" i="4" s="1"/>
  <c r="CJ70" i="4" s="1"/>
  <c r="CF71" i="4" s="1"/>
  <c r="AD152" i="5"/>
  <c r="AC153" i="5"/>
  <c r="BJ153" i="5"/>
  <c r="DT148" i="5"/>
  <c r="DU148" i="5" s="1"/>
  <c r="J148" i="5"/>
  <c r="V148" i="5" s="1"/>
  <c r="DH118" i="4"/>
  <c r="I137" i="4" s="1"/>
  <c r="CW122" i="4"/>
  <c r="CX122" i="4" s="1"/>
  <c r="DF122" i="4" s="1"/>
  <c r="CA122" i="4"/>
  <c r="CY123" i="4"/>
  <c r="CS124" i="4" s="1"/>
  <c r="BP123" i="4"/>
  <c r="BI123" i="4"/>
  <c r="X123" i="4"/>
  <c r="K142" i="4" s="1"/>
  <c r="CT123" i="4"/>
  <c r="CZ122" i="4" s="1"/>
  <c r="CV123" i="4"/>
  <c r="DL149" i="5"/>
  <c r="DZ149" i="5"/>
  <c r="EA147" i="5"/>
  <c r="I147" i="5"/>
  <c r="U147" i="5" s="1"/>
  <c r="DM147" i="5"/>
  <c r="H147" i="5"/>
  <c r="T147" i="5" s="1"/>
  <c r="CX149" i="5"/>
  <c r="CY146" i="5"/>
  <c r="CZ146" i="5"/>
  <c r="G147" i="5" s="1"/>
  <c r="S147" i="5" s="1"/>
  <c r="N149" i="5"/>
  <c r="DD119" i="4"/>
  <c r="DE119" i="4" s="1"/>
  <c r="H138" i="4" s="1"/>
  <c r="DB121" i="4"/>
  <c r="DC121" i="4" s="1"/>
  <c r="DF148" i="5"/>
  <c r="DG148" i="5" s="1"/>
  <c r="DI148" i="5" s="1"/>
  <c r="DJ148" i="5" s="1"/>
  <c r="DW147" i="5"/>
  <c r="DX147" i="5" s="1"/>
  <c r="CU147" i="5"/>
  <c r="CV147" i="5" s="1"/>
  <c r="CP149" i="5"/>
  <c r="CQ149" i="5"/>
  <c r="CO149" i="5"/>
  <c r="CW148" i="5" s="1"/>
  <c r="CN149" i="5"/>
  <c r="DI147" i="5"/>
  <c r="DJ147" i="5" s="1"/>
  <c r="DR149" i="5"/>
  <c r="DP149" i="5"/>
  <c r="DQ149" i="5"/>
  <c r="DY148" i="5" s="1"/>
  <c r="DS149" i="5"/>
  <c r="DE149" i="5"/>
  <c r="DC149" i="5"/>
  <c r="DK148" i="5" s="1"/>
  <c r="DB149" i="5"/>
  <c r="DD149" i="5"/>
  <c r="CR148" i="5"/>
  <c r="CS148" i="5" s="1"/>
  <c r="B150" i="5"/>
  <c r="DH149" i="5"/>
  <c r="BY149" i="5"/>
  <c r="DV149" i="5"/>
  <c r="CT149" i="5"/>
  <c r="AA150" i="5"/>
  <c r="AB149" i="5"/>
  <c r="K150" i="5" s="1"/>
  <c r="W150" i="5" s="1"/>
  <c r="DG121" i="4"/>
  <c r="W124" i="4"/>
  <c r="C142" i="4"/>
  <c r="J142" i="4" s="1"/>
  <c r="CU123" i="4"/>
  <c r="DA122" i="4" l="1"/>
  <c r="BZ150" i="5"/>
  <c r="CI149" i="5"/>
  <c r="CK146" i="5"/>
  <c r="AU141" i="5"/>
  <c r="AW140" i="5"/>
  <c r="AV150" i="5"/>
  <c r="CC144" i="5"/>
  <c r="CE144" i="5" s="1"/>
  <c r="CB145" i="5"/>
  <c r="CA150" i="5"/>
  <c r="BO150" i="5"/>
  <c r="AY150" i="5"/>
  <c r="CF150" i="5"/>
  <c r="CI150" i="5" s="1"/>
  <c r="CD150" i="5"/>
  <c r="BE150" i="5"/>
  <c r="CJ150" i="5"/>
  <c r="BA150" i="5"/>
  <c r="AC124" i="4"/>
  <c r="CG143" i="5"/>
  <c r="CH143" i="5" s="1"/>
  <c r="CL143" i="5" s="1"/>
  <c r="BN150" i="5"/>
  <c r="BP140" i="5"/>
  <c r="BR140" i="5" s="1"/>
  <c r="BS140" i="5" s="1"/>
  <c r="BW140" i="5" s="1"/>
  <c r="E141" i="5" s="1"/>
  <c r="Q141" i="5" s="1"/>
  <c r="BQ150" i="5"/>
  <c r="BK151" i="5" s="1"/>
  <c r="BL143" i="5"/>
  <c r="BT142" i="5" s="1"/>
  <c r="BK82" i="4"/>
  <c r="CD81" i="4" s="1"/>
  <c r="BJ83" i="4"/>
  <c r="BQ82" i="4"/>
  <c r="AQ123" i="4"/>
  <c r="AD123" i="4"/>
  <c r="BM80" i="4"/>
  <c r="BO80" i="4" s="1"/>
  <c r="BL81" i="4"/>
  <c r="AG119" i="4"/>
  <c r="Z120" i="4"/>
  <c r="CE124" i="4"/>
  <c r="AU124" i="4"/>
  <c r="AF124" i="4"/>
  <c r="BN124" i="4"/>
  <c r="Y124" i="4"/>
  <c r="AA124" i="4"/>
  <c r="AT123" i="4" s="1"/>
  <c r="AW122" i="4"/>
  <c r="AE120" i="4"/>
  <c r="AB121" i="4"/>
  <c r="BV140" i="5"/>
  <c r="BM142" i="5"/>
  <c r="BU150" i="5"/>
  <c r="AO150" i="5"/>
  <c r="AK150" i="5"/>
  <c r="AI150" i="5"/>
  <c r="CC82" i="4"/>
  <c r="BZ82" i="4"/>
  <c r="CB82" i="4" s="1"/>
  <c r="CG71" i="4"/>
  <c r="CH71" i="4" s="1"/>
  <c r="CI71" i="4" s="1"/>
  <c r="CJ71" i="4" s="1"/>
  <c r="CF72" i="4" s="1"/>
  <c r="BR71" i="4"/>
  <c r="BS83" i="4" s="1"/>
  <c r="BT95" i="4" s="1"/>
  <c r="BU107" i="4" s="1"/>
  <c r="CM70" i="4"/>
  <c r="CN70" i="4" s="1"/>
  <c r="F89" i="4" s="1"/>
  <c r="BY70" i="4"/>
  <c r="CO70" i="4" s="1"/>
  <c r="CP70" i="4" s="1"/>
  <c r="AD153" i="5"/>
  <c r="AC154" i="5"/>
  <c r="BJ154" i="5"/>
  <c r="CR149" i="5"/>
  <c r="CS149" i="5" s="1"/>
  <c r="J149" i="5"/>
  <c r="V149" i="5" s="1"/>
  <c r="CW123" i="4"/>
  <c r="CX123" i="4" s="1"/>
  <c r="DF123" i="4" s="1"/>
  <c r="CA123" i="4"/>
  <c r="BP124" i="4"/>
  <c r="CY124" i="4"/>
  <c r="CS125" i="4" s="1"/>
  <c r="BI124" i="4"/>
  <c r="CA124" i="4" s="1"/>
  <c r="X124" i="4"/>
  <c r="K143" i="4" s="1"/>
  <c r="CV124" i="4"/>
  <c r="CT124" i="4"/>
  <c r="CZ123" i="4" s="1"/>
  <c r="DL150" i="5"/>
  <c r="DZ150" i="5"/>
  <c r="EA148" i="5"/>
  <c r="EB147" i="5"/>
  <c r="I148" i="5" s="1"/>
  <c r="U148" i="5" s="1"/>
  <c r="DM148" i="5"/>
  <c r="DN148" i="5"/>
  <c r="H149" i="5" s="1"/>
  <c r="T149" i="5" s="1"/>
  <c r="DN147" i="5"/>
  <c r="H148" i="5" s="1"/>
  <c r="T148" i="5" s="1"/>
  <c r="CY147" i="5"/>
  <c r="CZ147" i="5"/>
  <c r="G148" i="5" s="1"/>
  <c r="S148" i="5" s="1"/>
  <c r="CX150" i="5"/>
  <c r="DD120" i="4"/>
  <c r="DD121" i="4" s="1"/>
  <c r="DE121" i="4" s="1"/>
  <c r="H140" i="4" s="1"/>
  <c r="DH119" i="4"/>
  <c r="I138" i="4" s="1"/>
  <c r="N150" i="5"/>
  <c r="DG122" i="4"/>
  <c r="DF149" i="5"/>
  <c r="DG149" i="5" s="1"/>
  <c r="DT149" i="5"/>
  <c r="DU149" i="5" s="1"/>
  <c r="CU148" i="5"/>
  <c r="CV148" i="5" s="1"/>
  <c r="DP150" i="5"/>
  <c r="DS150" i="5"/>
  <c r="DR150" i="5"/>
  <c r="DQ150" i="5"/>
  <c r="DY149" i="5" s="1"/>
  <c r="DW148" i="5"/>
  <c r="DX148" i="5" s="1"/>
  <c r="B151" i="5"/>
  <c r="AA151" i="5"/>
  <c r="BY150" i="5"/>
  <c r="DV150" i="5"/>
  <c r="DH150" i="5"/>
  <c r="CT150" i="5"/>
  <c r="AB150" i="5"/>
  <c r="K151" i="5" s="1"/>
  <c r="W151" i="5" s="1"/>
  <c r="CN150" i="5"/>
  <c r="CQ150" i="5"/>
  <c r="CP150" i="5"/>
  <c r="CO150" i="5"/>
  <c r="CW149" i="5" s="1"/>
  <c r="DE150" i="5"/>
  <c r="DD150" i="5"/>
  <c r="DC150" i="5"/>
  <c r="DK149" i="5" s="1"/>
  <c r="DB150" i="5"/>
  <c r="DB122" i="4"/>
  <c r="DC122" i="4" s="1"/>
  <c r="W125" i="4"/>
  <c r="C143" i="4"/>
  <c r="J143" i="4" s="1"/>
  <c r="CU124" i="4"/>
  <c r="DA123" i="4" l="1"/>
  <c r="AV151" i="5"/>
  <c r="CK147" i="5"/>
  <c r="AC125" i="4"/>
  <c r="AX140" i="5"/>
  <c r="AZ140" i="5" s="1"/>
  <c r="AW141" i="5"/>
  <c r="BB141" i="5"/>
  <c r="AU142" i="5"/>
  <c r="CA151" i="5"/>
  <c r="CC145" i="5"/>
  <c r="CE145" i="5" s="1"/>
  <c r="CB146" i="5"/>
  <c r="CF151" i="5"/>
  <c r="CD151" i="5"/>
  <c r="CJ151" i="5"/>
  <c r="AY151" i="5"/>
  <c r="BA151" i="5"/>
  <c r="BE151" i="5"/>
  <c r="CG144" i="5"/>
  <c r="CH144" i="5" s="1"/>
  <c r="CL144" i="5" s="1"/>
  <c r="BZ151" i="5"/>
  <c r="BQ151" i="5"/>
  <c r="BO151" i="5"/>
  <c r="BN151" i="5"/>
  <c r="BP141" i="5"/>
  <c r="BR141" i="5" s="1"/>
  <c r="BS141" i="5" s="1"/>
  <c r="BW141" i="5" s="1"/>
  <c r="E142" i="5" s="1"/>
  <c r="Q142" i="5" s="1"/>
  <c r="BK83" i="4"/>
  <c r="CD82" i="4" s="1"/>
  <c r="BL144" i="5"/>
  <c r="BT143" i="5" s="1"/>
  <c r="AL151" i="5"/>
  <c r="BR151" i="5"/>
  <c r="BM81" i="4"/>
  <c r="BO81" i="4" s="1"/>
  <c r="BL82" i="4"/>
  <c r="AQ124" i="4"/>
  <c r="AD124" i="4"/>
  <c r="BJ84" i="4"/>
  <c r="BQ83" i="4"/>
  <c r="AG120" i="4"/>
  <c r="Z121" i="4"/>
  <c r="AE121" i="4"/>
  <c r="AB122" i="4"/>
  <c r="AF125" i="4"/>
  <c r="CE125" i="4"/>
  <c r="AU125" i="4"/>
  <c r="BN125" i="4"/>
  <c r="Y125" i="4"/>
  <c r="AW123" i="4"/>
  <c r="AA125" i="4"/>
  <c r="AT124" i="4" s="1"/>
  <c r="BM143" i="5"/>
  <c r="BV141" i="5"/>
  <c r="BU151" i="5"/>
  <c r="AK151" i="5"/>
  <c r="AO151" i="5"/>
  <c r="AI151" i="5"/>
  <c r="CG72" i="4"/>
  <c r="F141" i="5"/>
  <c r="R141" i="5" s="1"/>
  <c r="CQ70" i="4"/>
  <c r="G89" i="4" s="1"/>
  <c r="BV71" i="4"/>
  <c r="BX71" i="4" s="1"/>
  <c r="CK71" i="4" s="1"/>
  <c r="CL71" i="4" s="1"/>
  <c r="BR72" i="4"/>
  <c r="BS84" i="4" s="1"/>
  <c r="BT96" i="4" s="1"/>
  <c r="BU108" i="4" s="1"/>
  <c r="AD154" i="5"/>
  <c r="AC155" i="5"/>
  <c r="J150" i="5"/>
  <c r="V150" i="5" s="1"/>
  <c r="BJ155" i="5"/>
  <c r="DT150" i="5"/>
  <c r="DU150" i="5" s="1"/>
  <c r="CW124" i="4"/>
  <c r="CX124" i="4" s="1"/>
  <c r="DF124" i="4" s="1"/>
  <c r="CT125" i="4"/>
  <c r="CZ124" i="4" s="1"/>
  <c r="CV125" i="4"/>
  <c r="BP125" i="4"/>
  <c r="CY125" i="4"/>
  <c r="CS126" i="4" s="1"/>
  <c r="BI125" i="4"/>
  <c r="X125" i="4"/>
  <c r="K144" i="4" s="1"/>
  <c r="DL151" i="5"/>
  <c r="DZ151" i="5"/>
  <c r="EA149" i="5"/>
  <c r="EB148" i="5"/>
  <c r="I149" i="5" s="1"/>
  <c r="U149" i="5" s="1"/>
  <c r="DM149" i="5"/>
  <c r="CY148" i="5"/>
  <c r="CZ148" i="5"/>
  <c r="G149" i="5" s="1"/>
  <c r="S149" i="5" s="1"/>
  <c r="CX151" i="5"/>
  <c r="DE120" i="4"/>
  <c r="H139" i="4" s="1"/>
  <c r="DH120" i="4"/>
  <c r="I139" i="4" s="1"/>
  <c r="N151" i="5"/>
  <c r="DH121" i="4"/>
  <c r="I140" i="4" s="1"/>
  <c r="DD122" i="4"/>
  <c r="DB123" i="4"/>
  <c r="DC123" i="4" s="1"/>
  <c r="CR150" i="5"/>
  <c r="CS150" i="5" s="1"/>
  <c r="CO151" i="5"/>
  <c r="CW150" i="5" s="1"/>
  <c r="CN151" i="5"/>
  <c r="CQ151" i="5"/>
  <c r="CP151" i="5"/>
  <c r="DE151" i="5"/>
  <c r="DD151" i="5"/>
  <c r="DB151" i="5"/>
  <c r="DC151" i="5"/>
  <c r="DK150" i="5" s="1"/>
  <c r="CU149" i="5"/>
  <c r="CV149" i="5" s="1"/>
  <c r="DQ151" i="5"/>
  <c r="DY150" i="5" s="1"/>
  <c r="DP151" i="5"/>
  <c r="DS151" i="5"/>
  <c r="DR151" i="5"/>
  <c r="DW149" i="5"/>
  <c r="DX149" i="5" s="1"/>
  <c r="EB149" i="5" s="1"/>
  <c r="DI149" i="5"/>
  <c r="DJ149" i="5" s="1"/>
  <c r="DN149" i="5" s="1"/>
  <c r="DF150" i="5"/>
  <c r="DG150" i="5" s="1"/>
  <c r="B152" i="5"/>
  <c r="AA152" i="5"/>
  <c r="DV151" i="5"/>
  <c r="CT151" i="5"/>
  <c r="BY151" i="5"/>
  <c r="DH151" i="5"/>
  <c r="AB151" i="5"/>
  <c r="K152" i="5" s="1"/>
  <c r="W152" i="5" s="1"/>
  <c r="DG123" i="4"/>
  <c r="CU125" i="4"/>
  <c r="W126" i="4"/>
  <c r="AG126" i="4" s="1"/>
  <c r="C144" i="4"/>
  <c r="J144" i="4" s="1"/>
  <c r="DA124" i="4" l="1"/>
  <c r="CK148" i="5"/>
  <c r="BK84" i="4"/>
  <c r="CD83" i="4" s="1"/>
  <c r="CC146" i="5"/>
  <c r="CE146" i="5" s="1"/>
  <c r="CB147" i="5"/>
  <c r="BB140" i="5"/>
  <c r="BC140" i="5" s="1"/>
  <c r="BG140" i="5" s="1"/>
  <c r="D141" i="5" s="1"/>
  <c r="P141" i="5" s="1"/>
  <c r="BD140" i="5"/>
  <c r="BF140" i="5" s="1"/>
  <c r="BO152" i="5"/>
  <c r="CJ152" i="5"/>
  <c r="BA152" i="5"/>
  <c r="AY152" i="5"/>
  <c r="CF152" i="5"/>
  <c r="CI152" i="5" s="1"/>
  <c r="BE152" i="5"/>
  <c r="AC126" i="4"/>
  <c r="CG145" i="5"/>
  <c r="CH145" i="5" s="1"/>
  <c r="CL145" i="5" s="1"/>
  <c r="AX141" i="5"/>
  <c r="AZ141" i="5" s="1"/>
  <c r="AW142" i="5"/>
  <c r="AV152" i="5"/>
  <c r="AV153" i="5" s="1"/>
  <c r="BZ152" i="5"/>
  <c r="CG152" i="5" s="1"/>
  <c r="CA152" i="5"/>
  <c r="BB142" i="5"/>
  <c r="AU143" i="5"/>
  <c r="BP142" i="5"/>
  <c r="BR142" i="5" s="1"/>
  <c r="BS142" i="5" s="1"/>
  <c r="BW142" i="5" s="1"/>
  <c r="E143" i="5" s="1"/>
  <c r="Q143" i="5" s="1"/>
  <c r="BQ152" i="5"/>
  <c r="BL145" i="5"/>
  <c r="BT144" i="5" s="1"/>
  <c r="BJ85" i="4"/>
  <c r="BQ84" i="4"/>
  <c r="AQ125" i="4"/>
  <c r="AD125" i="4"/>
  <c r="BL83" i="4"/>
  <c r="BM82" i="4"/>
  <c r="BO82" i="4" s="1"/>
  <c r="AG121" i="4"/>
  <c r="Z122" i="4"/>
  <c r="AW124" i="4"/>
  <c r="AA126" i="4"/>
  <c r="AT125" i="4" s="1"/>
  <c r="AE122" i="4"/>
  <c r="AB123" i="4"/>
  <c r="AF126" i="4"/>
  <c r="BN126" i="4"/>
  <c r="Y126" i="4"/>
  <c r="BV142" i="5"/>
  <c r="BM144" i="5"/>
  <c r="AI152" i="5"/>
  <c r="AO152" i="5"/>
  <c r="AK152" i="5"/>
  <c r="BU152" i="5"/>
  <c r="BY71" i="4"/>
  <c r="CO71" i="4" s="1"/>
  <c r="CP71" i="4" s="1"/>
  <c r="F142" i="5"/>
  <c r="R142" i="5" s="1"/>
  <c r="BV72" i="4"/>
  <c r="BX72" i="4" s="1"/>
  <c r="CK72" i="4" s="1"/>
  <c r="CL72" i="4" s="1"/>
  <c r="BZ83" i="4"/>
  <c r="CB83" i="4" s="1"/>
  <c r="CC83" i="4"/>
  <c r="CH72" i="4"/>
  <c r="CI72" i="4" s="1"/>
  <c r="CJ72" i="4" s="1"/>
  <c r="CF73" i="4" s="1"/>
  <c r="CM71" i="4"/>
  <c r="J151" i="5"/>
  <c r="V151" i="5" s="1"/>
  <c r="AD155" i="5"/>
  <c r="AC156" i="5"/>
  <c r="BJ156" i="5"/>
  <c r="DF151" i="5"/>
  <c r="DG151" i="5" s="1"/>
  <c r="DE152" i="5" s="1"/>
  <c r="A141" i="5"/>
  <c r="CW125" i="4"/>
  <c r="CX125" i="4" s="1"/>
  <c r="DF125" i="4" s="1"/>
  <c r="CA125" i="4"/>
  <c r="CV126" i="4"/>
  <c r="CT126" i="4"/>
  <c r="CZ125" i="4" s="1"/>
  <c r="DA125" i="4" s="1"/>
  <c r="CY126" i="4"/>
  <c r="CS127" i="4" s="1"/>
  <c r="BP126" i="4"/>
  <c r="BI126" i="4"/>
  <c r="X126" i="4"/>
  <c r="K145" i="4" s="1"/>
  <c r="DL152" i="5"/>
  <c r="DZ152" i="5"/>
  <c r="EA150" i="5"/>
  <c r="I150" i="5"/>
  <c r="U150" i="5" s="1"/>
  <c r="DM150" i="5"/>
  <c r="H150" i="5"/>
  <c r="T150" i="5" s="1"/>
  <c r="CX152" i="5"/>
  <c r="CY149" i="5"/>
  <c r="CZ149" i="5"/>
  <c r="G150" i="5" s="1"/>
  <c r="S150" i="5" s="1"/>
  <c r="N152" i="5"/>
  <c r="DH122" i="4"/>
  <c r="I141" i="4" s="1"/>
  <c r="DE122" i="4"/>
  <c r="H141" i="4" s="1"/>
  <c r="DD123" i="4"/>
  <c r="DB124" i="4"/>
  <c r="DC124" i="4" s="1"/>
  <c r="DT151" i="5"/>
  <c r="DU151" i="5" s="1"/>
  <c r="DS152" i="5" s="1"/>
  <c r="DI150" i="5"/>
  <c r="DJ150" i="5" s="1"/>
  <c r="CR151" i="5"/>
  <c r="CS151" i="5" s="1"/>
  <c r="CQ152" i="5" s="1"/>
  <c r="B153" i="5"/>
  <c r="DH152" i="5"/>
  <c r="BY152" i="5"/>
  <c r="DF152" i="5" s="1"/>
  <c r="AA153" i="5"/>
  <c r="CT152" i="5"/>
  <c r="DV152" i="5"/>
  <c r="AB152" i="5"/>
  <c r="K153" i="5" s="1"/>
  <c r="W153" i="5" s="1"/>
  <c r="CP152" i="5"/>
  <c r="CO152" i="5"/>
  <c r="CW151" i="5" s="1"/>
  <c r="CN152" i="5"/>
  <c r="DR152" i="5"/>
  <c r="DQ152" i="5"/>
  <c r="DY151" i="5" s="1"/>
  <c r="DP152" i="5"/>
  <c r="DC152" i="5"/>
  <c r="DK151" i="5" s="1"/>
  <c r="DD152" i="5"/>
  <c r="DB152" i="5"/>
  <c r="CU150" i="5"/>
  <c r="CV150" i="5" s="1"/>
  <c r="DW150" i="5"/>
  <c r="DX150" i="5" s="1"/>
  <c r="EB150" i="5" s="1"/>
  <c r="DG124" i="4"/>
  <c r="W127" i="4"/>
  <c r="AD127" i="4" s="1"/>
  <c r="C145" i="4"/>
  <c r="J145" i="4" s="1"/>
  <c r="CU126" i="4"/>
  <c r="BK85" i="4" l="1"/>
  <c r="CK149" i="5"/>
  <c r="AX142" i="5"/>
  <c r="AZ142" i="5" s="1"/>
  <c r="AW143" i="5"/>
  <c r="BZ153" i="5"/>
  <c r="CG153" i="5" s="1"/>
  <c r="BB143" i="5"/>
  <c r="AU144" i="5"/>
  <c r="BD141" i="5"/>
  <c r="BF141" i="5" s="1"/>
  <c r="BC141" i="5"/>
  <c r="BG141" i="5" s="1"/>
  <c r="D142" i="5" s="1"/>
  <c r="P142" i="5" s="1"/>
  <c r="CC147" i="5"/>
  <c r="CE147" i="5" s="1"/>
  <c r="CB148" i="5"/>
  <c r="CA153" i="5"/>
  <c r="CG146" i="5"/>
  <c r="CH146" i="5" s="1"/>
  <c r="CL146" i="5" s="1"/>
  <c r="BO153" i="5"/>
  <c r="BA153" i="5"/>
  <c r="AV154" i="5" s="1"/>
  <c r="CJ153" i="5"/>
  <c r="CF153" i="5"/>
  <c r="CI153" i="5" s="1"/>
  <c r="AY153" i="5"/>
  <c r="BE153" i="5"/>
  <c r="CD152" i="5"/>
  <c r="BP143" i="5"/>
  <c r="BR143" i="5" s="1"/>
  <c r="BS143" i="5" s="1"/>
  <c r="BW143" i="5" s="1"/>
  <c r="E144" i="5" s="1"/>
  <c r="Q144" i="5" s="1"/>
  <c r="BQ153" i="5"/>
  <c r="BL146" i="5"/>
  <c r="BT145" i="5" s="1"/>
  <c r="BM83" i="4"/>
  <c r="BO83" i="4" s="1"/>
  <c r="BL84" i="4"/>
  <c r="AQ126" i="4"/>
  <c r="AD126" i="4"/>
  <c r="BJ86" i="4"/>
  <c r="BQ85" i="4"/>
  <c r="AG122" i="4"/>
  <c r="Z123" i="4"/>
  <c r="AU127" i="4"/>
  <c r="AF127" i="4"/>
  <c r="CE127" i="4"/>
  <c r="Y127" i="4"/>
  <c r="AQ127" i="4" s="1"/>
  <c r="AW125" i="4"/>
  <c r="AE123" i="4"/>
  <c r="AB124" i="4"/>
  <c r="BM145" i="5"/>
  <c r="BV143" i="5"/>
  <c r="CD84" i="4"/>
  <c r="BU153" i="5"/>
  <c r="AK153" i="5"/>
  <c r="AO153" i="5"/>
  <c r="AI153" i="5"/>
  <c r="CQ71" i="4"/>
  <c r="G90" i="4" s="1"/>
  <c r="BR73" i="4"/>
  <c r="BS85" i="4" s="1"/>
  <c r="BT97" i="4" s="1"/>
  <c r="BU109" i="4" s="1"/>
  <c r="CN71" i="4"/>
  <c r="F90" i="4" s="1"/>
  <c r="F143" i="5"/>
  <c r="R143" i="5" s="1"/>
  <c r="CC84" i="4"/>
  <c r="BZ84" i="4"/>
  <c r="CB84" i="4" s="1"/>
  <c r="BK86" i="4"/>
  <c r="CD85" i="4" s="1"/>
  <c r="CG73" i="4"/>
  <c r="BY72" i="4"/>
  <c r="CO72" i="4" s="1"/>
  <c r="CP72" i="4" s="1"/>
  <c r="CM72" i="4"/>
  <c r="CN72" i="4" s="1"/>
  <c r="F91" i="4" s="1"/>
  <c r="J152" i="5"/>
  <c r="V152" i="5" s="1"/>
  <c r="AD156" i="5"/>
  <c r="AC157" i="5"/>
  <c r="BJ157" i="5"/>
  <c r="N153" i="5"/>
  <c r="CT127" i="4"/>
  <c r="CZ126" i="4" s="1"/>
  <c r="DA126" i="4" s="1"/>
  <c r="CY127" i="4"/>
  <c r="CS128" i="4" s="1"/>
  <c r="BP127" i="4"/>
  <c r="BI127" i="4"/>
  <c r="BN127" i="4" s="1"/>
  <c r="X127" i="4"/>
  <c r="K146" i="4" s="1"/>
  <c r="CW126" i="4"/>
  <c r="CX126" i="4" s="1"/>
  <c r="DF126" i="4" s="1"/>
  <c r="CA126" i="4"/>
  <c r="DL153" i="5"/>
  <c r="DZ153" i="5"/>
  <c r="EA151" i="5"/>
  <c r="I151" i="5"/>
  <c r="U151" i="5" s="1"/>
  <c r="DM151" i="5"/>
  <c r="DN150" i="5"/>
  <c r="H151" i="5" s="1"/>
  <c r="T151" i="5" s="1"/>
  <c r="CX153" i="5"/>
  <c r="CZ150" i="5"/>
  <c r="G151" i="5" s="1"/>
  <c r="S151" i="5" s="1"/>
  <c r="CY150" i="5"/>
  <c r="DE123" i="4"/>
  <c r="H142" i="4" s="1"/>
  <c r="DH123" i="4"/>
  <c r="I142" i="4" s="1"/>
  <c r="DD124" i="4"/>
  <c r="DE124" i="4" s="1"/>
  <c r="H143" i="4" s="1"/>
  <c r="DB125" i="4"/>
  <c r="DC125" i="4" s="1"/>
  <c r="DG152" i="5"/>
  <c r="DI152" i="5" s="1"/>
  <c r="DJ152" i="5" s="1"/>
  <c r="CR152" i="5"/>
  <c r="CS152" i="5" s="1"/>
  <c r="CU152" i="5" s="1"/>
  <c r="CV152" i="5" s="1"/>
  <c r="DT152" i="5"/>
  <c r="DU152" i="5" s="1"/>
  <c r="DW152" i="5" s="1"/>
  <c r="DX152" i="5" s="1"/>
  <c r="DW151" i="5"/>
  <c r="DX151" i="5" s="1"/>
  <c r="DD153" i="5"/>
  <c r="DE153" i="5"/>
  <c r="DB153" i="5"/>
  <c r="DC153" i="5"/>
  <c r="DK152" i="5" s="1"/>
  <c r="DS153" i="5"/>
  <c r="DR153" i="5"/>
  <c r="DQ153" i="5"/>
  <c r="DY152" i="5" s="1"/>
  <c r="DP153" i="5"/>
  <c r="DI151" i="5"/>
  <c r="DJ151" i="5" s="1"/>
  <c r="DN151" i="5" s="1"/>
  <c r="B154" i="5"/>
  <c r="DH153" i="5"/>
  <c r="BY153" i="5"/>
  <c r="DF153" i="5" s="1"/>
  <c r="DV153" i="5"/>
  <c r="CT153" i="5"/>
  <c r="AA154" i="5"/>
  <c r="AB153" i="5"/>
  <c r="K154" i="5" s="1"/>
  <c r="W154" i="5" s="1"/>
  <c r="CU151" i="5"/>
  <c r="CV151" i="5" s="1"/>
  <c r="CQ153" i="5"/>
  <c r="CP153" i="5"/>
  <c r="CO153" i="5"/>
  <c r="CW152" i="5" s="1"/>
  <c r="CN153" i="5"/>
  <c r="DG125" i="4"/>
  <c r="W128" i="4"/>
  <c r="AD128" i="4" s="1"/>
  <c r="C146" i="4"/>
  <c r="B145" i="4" s="1"/>
  <c r="CU127" i="4"/>
  <c r="CK150" i="5" l="1"/>
  <c r="BB144" i="5"/>
  <c r="AU145" i="5"/>
  <c r="CD153" i="5"/>
  <c r="BO154" i="5"/>
  <c r="AY154" i="5"/>
  <c r="CF154" i="5"/>
  <c r="CI154" i="5" s="1"/>
  <c r="CJ154" i="5"/>
  <c r="BA154" i="5"/>
  <c r="BE154" i="5"/>
  <c r="BZ154" i="5"/>
  <c r="CG154" i="5" s="1"/>
  <c r="CA154" i="5"/>
  <c r="AV155" i="5"/>
  <c r="CC148" i="5"/>
  <c r="CE148" i="5" s="1"/>
  <c r="CB149" i="5"/>
  <c r="CG147" i="5"/>
  <c r="CH147" i="5" s="1"/>
  <c r="CL147" i="5" s="1"/>
  <c r="AX143" i="5"/>
  <c r="AZ143" i="5" s="1"/>
  <c r="AW144" i="5"/>
  <c r="BD142" i="5"/>
  <c r="BF142" i="5" s="1"/>
  <c r="BC142" i="5"/>
  <c r="BG142" i="5" s="1"/>
  <c r="D143" i="5" s="1"/>
  <c r="P143" i="5" s="1"/>
  <c r="BP144" i="5"/>
  <c r="BR144" i="5" s="1"/>
  <c r="BS144" i="5" s="1"/>
  <c r="BW144" i="5" s="1"/>
  <c r="E145" i="5" s="1"/>
  <c r="Q145" i="5" s="1"/>
  <c r="BQ154" i="5"/>
  <c r="BL147" i="5"/>
  <c r="BT146" i="5" s="1"/>
  <c r="BJ87" i="4"/>
  <c r="BQ86" i="4"/>
  <c r="BL85" i="4"/>
  <c r="BM84" i="4"/>
  <c r="BO84" i="4" s="1"/>
  <c r="AG123" i="4"/>
  <c r="Z124" i="4"/>
  <c r="AE124" i="4"/>
  <c r="AB125" i="4"/>
  <c r="CE128" i="4"/>
  <c r="AU128" i="4"/>
  <c r="AF128" i="4"/>
  <c r="Y128" i="4"/>
  <c r="AQ128" i="4" s="1"/>
  <c r="BV144" i="5"/>
  <c r="BM146" i="5"/>
  <c r="BP145" i="5"/>
  <c r="BV73" i="4"/>
  <c r="BX73" i="4" s="1"/>
  <c r="CK73" i="4" s="1"/>
  <c r="AO154" i="5"/>
  <c r="BU154" i="5"/>
  <c r="AK154" i="5"/>
  <c r="AI154" i="5"/>
  <c r="J153" i="5"/>
  <c r="V153" i="5" s="1"/>
  <c r="CQ72" i="4"/>
  <c r="G91" i="4" s="1"/>
  <c r="CC85" i="4"/>
  <c r="BZ85" i="4"/>
  <c r="CB85" i="4" s="1"/>
  <c r="BK87" i="4"/>
  <c r="CD86" i="4" s="1"/>
  <c r="CH73" i="4"/>
  <c r="CI73" i="4" s="1"/>
  <c r="CJ73" i="4" s="1"/>
  <c r="CF74" i="4" s="1"/>
  <c r="F144" i="5"/>
  <c r="R144" i="5" s="1"/>
  <c r="AD157" i="5"/>
  <c r="AC158" i="5"/>
  <c r="BJ158" i="5"/>
  <c r="J146" i="4"/>
  <c r="CW127" i="4"/>
  <c r="CA127" i="4"/>
  <c r="BP128" i="4"/>
  <c r="CY128" i="4"/>
  <c r="CS129" i="4" s="1"/>
  <c r="BI128" i="4"/>
  <c r="CA128" i="4" s="1"/>
  <c r="X128" i="4"/>
  <c r="K147" i="4" s="1"/>
  <c r="CT128" i="4"/>
  <c r="CZ127" i="4" s="1"/>
  <c r="DA127" i="4" s="1"/>
  <c r="DL154" i="5"/>
  <c r="DZ154" i="5"/>
  <c r="EB152" i="5"/>
  <c r="I153" i="5" s="1"/>
  <c r="U153" i="5" s="1"/>
  <c r="EA152" i="5"/>
  <c r="EB151" i="5"/>
  <c r="I152" i="5" s="1"/>
  <c r="U152" i="5" s="1"/>
  <c r="DM152" i="5"/>
  <c r="DN152" i="5"/>
  <c r="H153" i="5" s="1"/>
  <c r="T153" i="5" s="1"/>
  <c r="H152" i="5"/>
  <c r="T152" i="5" s="1"/>
  <c r="CX154" i="5"/>
  <c r="CY151" i="5"/>
  <c r="CZ151" i="5"/>
  <c r="G152" i="5" s="1"/>
  <c r="S152" i="5" s="1"/>
  <c r="N154" i="5"/>
  <c r="DD125" i="4"/>
  <c r="DE125" i="4" s="1"/>
  <c r="H144" i="4" s="1"/>
  <c r="DH124" i="4"/>
  <c r="I143" i="4" s="1"/>
  <c r="CV127" i="4"/>
  <c r="CV128" i="4" s="1"/>
  <c r="DG126" i="4"/>
  <c r="CR153" i="5"/>
  <c r="CS153" i="5" s="1"/>
  <c r="CU153" i="5" s="1"/>
  <c r="CV153" i="5" s="1"/>
  <c r="DT153" i="5"/>
  <c r="DU153" i="5" s="1"/>
  <c r="DV154" i="5"/>
  <c r="DH154" i="5"/>
  <c r="BY154" i="5"/>
  <c r="CD154" i="5" s="1"/>
  <c r="AA155" i="5"/>
  <c r="CT154" i="5"/>
  <c r="B155" i="5"/>
  <c r="AB154" i="5"/>
  <c r="K155" i="5" s="1"/>
  <c r="W155" i="5" s="1"/>
  <c r="DE154" i="5"/>
  <c r="DB154" i="5"/>
  <c r="DD154" i="5"/>
  <c r="DC154" i="5"/>
  <c r="DK153" i="5" s="1"/>
  <c r="DG153" i="5"/>
  <c r="CQ154" i="5"/>
  <c r="CO154" i="5"/>
  <c r="CW153" i="5" s="1"/>
  <c r="CN154" i="5"/>
  <c r="CP154" i="5"/>
  <c r="DS154" i="5"/>
  <c r="DR154" i="5"/>
  <c r="DP154" i="5"/>
  <c r="DQ154" i="5"/>
  <c r="DY153" i="5" s="1"/>
  <c r="DB126" i="4"/>
  <c r="DC126" i="4" s="1"/>
  <c r="CU128" i="4"/>
  <c r="W129" i="4"/>
  <c r="AD129" i="4" s="1"/>
  <c r="C147" i="4"/>
  <c r="BZ155" i="5" l="1"/>
  <c r="CG155" i="5" s="1"/>
  <c r="CC149" i="5"/>
  <c r="CE149" i="5" s="1"/>
  <c r="CB150" i="5"/>
  <c r="CG148" i="5"/>
  <c r="CH148" i="5" s="1"/>
  <c r="CL148" i="5" s="1"/>
  <c r="BB145" i="5"/>
  <c r="AU146" i="5"/>
  <c r="AX144" i="5"/>
  <c r="AZ144" i="5" s="1"/>
  <c r="AW145" i="5"/>
  <c r="BO155" i="5"/>
  <c r="CF155" i="5"/>
  <c r="CI155" i="5" s="1"/>
  <c r="CJ155" i="5"/>
  <c r="AY155" i="5"/>
  <c r="BE155" i="5"/>
  <c r="BA155" i="5"/>
  <c r="BD143" i="5"/>
  <c r="BF143" i="5" s="1"/>
  <c r="BC143" i="5"/>
  <c r="BG143" i="5" s="1"/>
  <c r="D144" i="5" s="1"/>
  <c r="P144" i="5" s="1"/>
  <c r="CA155" i="5"/>
  <c r="CA156" i="5" s="1"/>
  <c r="BV145" i="5"/>
  <c r="BR145" i="5"/>
  <c r="BS145" i="5" s="1"/>
  <c r="BW145" i="5" s="1"/>
  <c r="E146" i="5" s="1"/>
  <c r="Q146" i="5" s="1"/>
  <c r="BQ155" i="5"/>
  <c r="BL148" i="5"/>
  <c r="BT147" i="5" s="1"/>
  <c r="BL86" i="4"/>
  <c r="BM85" i="4"/>
  <c r="BO85" i="4" s="1"/>
  <c r="BJ88" i="4"/>
  <c r="BQ87" i="4"/>
  <c r="Z125" i="4"/>
  <c r="AG124" i="4"/>
  <c r="J154" i="5"/>
  <c r="V154" i="5" s="1"/>
  <c r="AE125" i="4"/>
  <c r="AB126" i="4"/>
  <c r="AE126" i="4" s="1"/>
  <c r="BN128" i="4"/>
  <c r="AF129" i="4"/>
  <c r="AU129" i="4"/>
  <c r="CE129" i="4"/>
  <c r="Y129" i="4"/>
  <c r="AQ129" i="4" s="1"/>
  <c r="BM147" i="5"/>
  <c r="CL73" i="4"/>
  <c r="CM73" i="4" s="1"/>
  <c r="BY73" i="4"/>
  <c r="CO73" i="4" s="1"/>
  <c r="CP73" i="4" s="1"/>
  <c r="BU155" i="5"/>
  <c r="AK155" i="5"/>
  <c r="AO155" i="5"/>
  <c r="AI155" i="5"/>
  <c r="BK88" i="4"/>
  <c r="CD87" i="4" s="1"/>
  <c r="F145" i="5"/>
  <c r="R145" i="5" s="1"/>
  <c r="CG74" i="4"/>
  <c r="BR74" i="4"/>
  <c r="BS86" i="4" s="1"/>
  <c r="BT98" i="4" s="1"/>
  <c r="BU110" i="4" s="1"/>
  <c r="AD158" i="5"/>
  <c r="AC159" i="5"/>
  <c r="BJ159" i="5"/>
  <c r="J147" i="4"/>
  <c r="CV129" i="4"/>
  <c r="CW128" i="4"/>
  <c r="CX128" i="4" s="1"/>
  <c r="DF128" i="4" s="1"/>
  <c r="BP129" i="4"/>
  <c r="CY129" i="4"/>
  <c r="CS130" i="4" s="1"/>
  <c r="BI129" i="4"/>
  <c r="BN129" i="4" s="1"/>
  <c r="X129" i="4"/>
  <c r="K148" i="4" s="1"/>
  <c r="CT129" i="4"/>
  <c r="DL155" i="5"/>
  <c r="DZ155" i="5"/>
  <c r="EA153" i="5"/>
  <c r="DM153" i="5"/>
  <c r="CY152" i="5"/>
  <c r="CZ152" i="5"/>
  <c r="G153" i="5" s="1"/>
  <c r="S153" i="5" s="1"/>
  <c r="CX155" i="5"/>
  <c r="N155" i="5"/>
  <c r="DH125" i="4"/>
  <c r="I144" i="4" s="1"/>
  <c r="DD126" i="4"/>
  <c r="DF154" i="5"/>
  <c r="DG154" i="5" s="1"/>
  <c r="DW153" i="5"/>
  <c r="DX153" i="5" s="1"/>
  <c r="EB153" i="5" s="1"/>
  <c r="DT154" i="5"/>
  <c r="DU154" i="5" s="1"/>
  <c r="CR154" i="5"/>
  <c r="CS154" i="5" s="1"/>
  <c r="DB155" i="5"/>
  <c r="DC155" i="5"/>
  <c r="DK154" i="5" s="1"/>
  <c r="DD155" i="5"/>
  <c r="DE155" i="5"/>
  <c r="B156" i="5"/>
  <c r="AA156" i="5"/>
  <c r="DH155" i="5"/>
  <c r="CT155" i="5"/>
  <c r="DV155" i="5"/>
  <c r="BY155" i="5"/>
  <c r="CR155" i="5" s="1"/>
  <c r="AB155" i="5"/>
  <c r="K156" i="5" s="1"/>
  <c r="W156" i="5" s="1"/>
  <c r="DI153" i="5"/>
  <c r="DJ153" i="5" s="1"/>
  <c r="CN155" i="5"/>
  <c r="CP155" i="5"/>
  <c r="CO155" i="5"/>
  <c r="CW154" i="5" s="1"/>
  <c r="CQ155" i="5"/>
  <c r="DR155" i="5"/>
  <c r="DQ155" i="5"/>
  <c r="DY154" i="5" s="1"/>
  <c r="DP155" i="5"/>
  <c r="DS155" i="5"/>
  <c r="CX127" i="4"/>
  <c r="DF127" i="4" s="1"/>
  <c r="C148" i="4"/>
  <c r="W130" i="4"/>
  <c r="AD130" i="4" s="1"/>
  <c r="CU129" i="4"/>
  <c r="AV156" i="5" l="1"/>
  <c r="CC150" i="5"/>
  <c r="CE150" i="5" s="1"/>
  <c r="CB151" i="5"/>
  <c r="AX145" i="5"/>
  <c r="AZ145" i="5" s="1"/>
  <c r="AW146" i="5"/>
  <c r="CG149" i="5"/>
  <c r="CH149" i="5" s="1"/>
  <c r="CL149" i="5" s="1"/>
  <c r="BD144" i="5"/>
  <c r="BF144" i="5" s="1"/>
  <c r="BC144" i="5"/>
  <c r="BG144" i="5" s="1"/>
  <c r="D145" i="5" s="1"/>
  <c r="P145" i="5" s="1"/>
  <c r="CD155" i="5"/>
  <c r="BB146" i="5"/>
  <c r="AU147" i="5"/>
  <c r="BO156" i="5"/>
  <c r="BA156" i="5"/>
  <c r="CF156" i="5"/>
  <c r="AY156" i="5"/>
  <c r="CJ156" i="5"/>
  <c r="BE156" i="5"/>
  <c r="BZ156" i="5"/>
  <c r="CG156" i="5" s="1"/>
  <c r="BP146" i="5"/>
  <c r="BR146" i="5" s="1"/>
  <c r="BQ156" i="5"/>
  <c r="BL149" i="5"/>
  <c r="BT148" i="5" s="1"/>
  <c r="BJ89" i="4"/>
  <c r="BQ88" i="4"/>
  <c r="BM86" i="4"/>
  <c r="BO86" i="4" s="1"/>
  <c r="BL87" i="4"/>
  <c r="AG125" i="4"/>
  <c r="Z126" i="4"/>
  <c r="J155" i="5"/>
  <c r="V155" i="5" s="1"/>
  <c r="Z127" i="4"/>
  <c r="AU130" i="4"/>
  <c r="AF130" i="4"/>
  <c r="CE130" i="4"/>
  <c r="Y130" i="4"/>
  <c r="AQ130" i="4" s="1"/>
  <c r="BV146" i="5"/>
  <c r="BM148" i="5"/>
  <c r="CN73" i="4"/>
  <c r="F92" i="4" s="1"/>
  <c r="CQ73" i="4"/>
  <c r="G92" i="4" s="1"/>
  <c r="BU156" i="5"/>
  <c r="AK156" i="5"/>
  <c r="AO156" i="5"/>
  <c r="AI156" i="5"/>
  <c r="F146" i="5"/>
  <c r="R146" i="5" s="1"/>
  <c r="BV74" i="4"/>
  <c r="BX74" i="4" s="1"/>
  <c r="CK74" i="4" s="1"/>
  <c r="CL74" i="4" s="1"/>
  <c r="CH74" i="4"/>
  <c r="CI74" i="4" s="1"/>
  <c r="CJ74" i="4" s="1"/>
  <c r="CF75" i="4" s="1"/>
  <c r="BK89" i="4"/>
  <c r="CD88" i="4" s="1"/>
  <c r="AD159" i="5"/>
  <c r="AC160" i="5"/>
  <c r="BJ160" i="5"/>
  <c r="J148" i="4"/>
  <c r="CV130" i="4"/>
  <c r="CT130" i="4"/>
  <c r="CZ129" i="4" s="1"/>
  <c r="CW129" i="4"/>
  <c r="CX129" i="4" s="1"/>
  <c r="DF129" i="4" s="1"/>
  <c r="CA129" i="4"/>
  <c r="CZ128" i="4"/>
  <c r="DA128" i="4" s="1"/>
  <c r="BP130" i="4"/>
  <c r="CY130" i="4"/>
  <c r="CS131" i="4" s="1"/>
  <c r="BI130" i="4"/>
  <c r="BN130" i="4" s="1"/>
  <c r="X130" i="4"/>
  <c r="K149" i="4" s="1"/>
  <c r="DL156" i="5"/>
  <c r="DZ156" i="5"/>
  <c r="EA154" i="5"/>
  <c r="I154" i="5"/>
  <c r="U154" i="5" s="1"/>
  <c r="DM154" i="5"/>
  <c r="DN153" i="5"/>
  <c r="H154" i="5" s="1"/>
  <c r="T154" i="5" s="1"/>
  <c r="CZ153" i="5"/>
  <c r="G154" i="5" s="1"/>
  <c r="S154" i="5" s="1"/>
  <c r="CY153" i="5"/>
  <c r="CX156" i="5"/>
  <c r="N156" i="5"/>
  <c r="DE126" i="4"/>
  <c r="H145" i="4" s="1"/>
  <c r="DH126" i="4"/>
  <c r="I145" i="4" s="1"/>
  <c r="DG127" i="4"/>
  <c r="DG128" i="4"/>
  <c r="DI154" i="5"/>
  <c r="DJ154" i="5" s="1"/>
  <c r="DT155" i="5"/>
  <c r="DU155" i="5" s="1"/>
  <c r="CS155" i="5"/>
  <c r="CQ156" i="5"/>
  <c r="CP156" i="5"/>
  <c r="CO156" i="5"/>
  <c r="CW155" i="5" s="1"/>
  <c r="CN156" i="5"/>
  <c r="CU154" i="5"/>
  <c r="CV154" i="5" s="1"/>
  <c r="DD156" i="5"/>
  <c r="DC156" i="5"/>
  <c r="DK155" i="5" s="1"/>
  <c r="DB156" i="5"/>
  <c r="DE156" i="5"/>
  <c r="DF155" i="5"/>
  <c r="DG155" i="5" s="1"/>
  <c r="DS156" i="5"/>
  <c r="DR156" i="5"/>
  <c r="DQ156" i="5"/>
  <c r="DY155" i="5" s="1"/>
  <c r="DP156" i="5"/>
  <c r="DV156" i="5"/>
  <c r="CT156" i="5"/>
  <c r="DH156" i="5"/>
  <c r="BY156" i="5"/>
  <c r="CR156" i="5" s="1"/>
  <c r="AA157" i="5"/>
  <c r="B157" i="5"/>
  <c r="AB156" i="5"/>
  <c r="K157" i="5" s="1"/>
  <c r="W157" i="5" s="1"/>
  <c r="DW154" i="5"/>
  <c r="DX154" i="5" s="1"/>
  <c r="DB127" i="4"/>
  <c r="DC127" i="4" s="1"/>
  <c r="DB128" i="4"/>
  <c r="DC128" i="4" s="1"/>
  <c r="CU130" i="4"/>
  <c r="W131" i="4"/>
  <c r="AD131" i="4" s="1"/>
  <c r="C149" i="4"/>
  <c r="CA157" i="5" l="1"/>
  <c r="CI156" i="5"/>
  <c r="BB147" i="5"/>
  <c r="AU148" i="5"/>
  <c r="BD145" i="5"/>
  <c r="BF145" i="5" s="1"/>
  <c r="BC145" i="5"/>
  <c r="BG145" i="5" s="1"/>
  <c r="D146" i="5" s="1"/>
  <c r="P146" i="5" s="1"/>
  <c r="CD156" i="5"/>
  <c r="CC151" i="5"/>
  <c r="CE151" i="5" s="1"/>
  <c r="CI151" i="5" s="1"/>
  <c r="CB152" i="5"/>
  <c r="CG150" i="5"/>
  <c r="CH150" i="5" s="1"/>
  <c r="CL150" i="5" s="1"/>
  <c r="BZ157" i="5"/>
  <c r="CG157" i="5" s="1"/>
  <c r="AV157" i="5"/>
  <c r="BO157" i="5"/>
  <c r="CF157" i="5"/>
  <c r="CI157" i="5" s="1"/>
  <c r="BA157" i="5"/>
  <c r="CJ157" i="5"/>
  <c r="AY157" i="5"/>
  <c r="BE157" i="5"/>
  <c r="AX146" i="5"/>
  <c r="AZ146" i="5" s="1"/>
  <c r="AW147" i="5"/>
  <c r="BP147" i="5"/>
  <c r="BR147" i="5" s="1"/>
  <c r="BS146" i="5"/>
  <c r="BW146" i="5" s="1"/>
  <c r="E147" i="5" s="1"/>
  <c r="Q147" i="5" s="1"/>
  <c r="BQ157" i="5"/>
  <c r="BL150" i="5"/>
  <c r="BT149" i="5" s="1"/>
  <c r="BM87" i="4"/>
  <c r="BO87" i="4" s="1"/>
  <c r="BL88" i="4"/>
  <c r="BJ90" i="4"/>
  <c r="BQ90" i="4" s="1"/>
  <c r="BQ89" i="4"/>
  <c r="J156" i="5"/>
  <c r="V156" i="5" s="1"/>
  <c r="J149" i="4"/>
  <c r="AF131" i="4"/>
  <c r="AU131" i="4"/>
  <c r="CE131" i="4"/>
  <c r="Y131" i="4"/>
  <c r="AQ131" i="4" s="1"/>
  <c r="AB127" i="4"/>
  <c r="AC127" i="4" s="1"/>
  <c r="AC128" i="4" s="1"/>
  <c r="AC129" i="4" s="1"/>
  <c r="AC130" i="4" s="1"/>
  <c r="AC131" i="4" s="1"/>
  <c r="AA127" i="4"/>
  <c r="AT126" i="4" s="1"/>
  <c r="Z128" i="4"/>
  <c r="Z129" i="4" s="1"/>
  <c r="Z130" i="4" s="1"/>
  <c r="Z131" i="4" s="1"/>
  <c r="BM149" i="5"/>
  <c r="BV147" i="5"/>
  <c r="BU157" i="5"/>
  <c r="AK157" i="5"/>
  <c r="AO157" i="5"/>
  <c r="AI157" i="5"/>
  <c r="BY74" i="4"/>
  <c r="CO74" i="4" s="1"/>
  <c r="CP74" i="4" s="1"/>
  <c r="BK90" i="4"/>
  <c r="CD89" i="4" s="1"/>
  <c r="BZ86" i="4"/>
  <c r="CB86" i="4" s="1"/>
  <c r="CC86" i="4"/>
  <c r="CM74" i="4"/>
  <c r="CN74" i="4" s="1"/>
  <c r="F93" i="4" s="1"/>
  <c r="CG75" i="4"/>
  <c r="F147" i="5"/>
  <c r="R147" i="5" s="1"/>
  <c r="BR75" i="4"/>
  <c r="BS87" i="4" s="1"/>
  <c r="BT99" i="4" s="1"/>
  <c r="BU111" i="4" s="1"/>
  <c r="AD160" i="5"/>
  <c r="AC161" i="5"/>
  <c r="BJ161" i="5"/>
  <c r="DA129" i="4"/>
  <c r="BP131" i="4"/>
  <c r="CY131" i="4"/>
  <c r="CS132" i="4" s="1"/>
  <c r="BI131" i="4"/>
  <c r="BN131" i="4" s="1"/>
  <c r="X131" i="4"/>
  <c r="K150" i="4" s="1"/>
  <c r="CV131" i="4"/>
  <c r="CT131" i="4"/>
  <c r="CW130" i="4"/>
  <c r="CX130" i="4" s="1"/>
  <c r="DF130" i="4" s="1"/>
  <c r="CA130" i="4"/>
  <c r="DL157" i="5"/>
  <c r="DZ157" i="5"/>
  <c r="EA155" i="5"/>
  <c r="EB154" i="5"/>
  <c r="I155" i="5" s="1"/>
  <c r="U155" i="5" s="1"/>
  <c r="DN154" i="5"/>
  <c r="H155" i="5" s="1"/>
  <c r="T155" i="5" s="1"/>
  <c r="DM155" i="5"/>
  <c r="CX157" i="5"/>
  <c r="CY154" i="5"/>
  <c r="CZ154" i="5"/>
  <c r="G155" i="5" s="1"/>
  <c r="S155" i="5" s="1"/>
  <c r="N157" i="5"/>
  <c r="DD127" i="4"/>
  <c r="DB129" i="4"/>
  <c r="DC129" i="4" s="1"/>
  <c r="DT156" i="5"/>
  <c r="DU156" i="5" s="1"/>
  <c r="DF156" i="5"/>
  <c r="DG156" i="5" s="1"/>
  <c r="DI155" i="5"/>
  <c r="DJ155" i="5" s="1"/>
  <c r="DW155" i="5"/>
  <c r="DX155" i="5" s="1"/>
  <c r="DD157" i="5"/>
  <c r="DC157" i="5"/>
  <c r="DK156" i="5" s="1"/>
  <c r="DB157" i="5"/>
  <c r="DE157" i="5"/>
  <c r="CS156" i="5"/>
  <c r="CQ157" i="5"/>
  <c r="CP157" i="5"/>
  <c r="CO157" i="5"/>
  <c r="CW156" i="5" s="1"/>
  <c r="CN157" i="5"/>
  <c r="CU155" i="5"/>
  <c r="CV155" i="5" s="1"/>
  <c r="B158" i="5"/>
  <c r="DV157" i="5"/>
  <c r="CT157" i="5"/>
  <c r="DH157" i="5"/>
  <c r="BY157" i="5"/>
  <c r="DT157" i="5" s="1"/>
  <c r="AA158" i="5"/>
  <c r="AB157" i="5"/>
  <c r="K158" i="5" s="1"/>
  <c r="W158" i="5" s="1"/>
  <c r="DS157" i="5"/>
  <c r="DR157" i="5"/>
  <c r="DQ157" i="5"/>
  <c r="DY156" i="5" s="1"/>
  <c r="DP157" i="5"/>
  <c r="DG129" i="4"/>
  <c r="C150" i="4"/>
  <c r="W132" i="4"/>
  <c r="AD132" i="4" s="1"/>
  <c r="CU131" i="4"/>
  <c r="AV158" i="5" l="1"/>
  <c r="CG151" i="5"/>
  <c r="CH151" i="5" s="1"/>
  <c r="CL151" i="5" s="1"/>
  <c r="CK151" i="5"/>
  <c r="CD157" i="5"/>
  <c r="AX147" i="5"/>
  <c r="AZ147" i="5" s="1"/>
  <c r="AW148" i="5"/>
  <c r="AC132" i="4"/>
  <c r="BD146" i="5"/>
  <c r="BF146" i="5" s="1"/>
  <c r="BC146" i="5"/>
  <c r="BG146" i="5" s="1"/>
  <c r="D147" i="5" s="1"/>
  <c r="P147" i="5" s="1"/>
  <c r="BZ158" i="5"/>
  <c r="CG158" i="5" s="1"/>
  <c r="BB148" i="5"/>
  <c r="AU149" i="5"/>
  <c r="CA158" i="5"/>
  <c r="BO158" i="5"/>
  <c r="AY158" i="5"/>
  <c r="CF158" i="5"/>
  <c r="CI158" i="5" s="1"/>
  <c r="CJ158" i="5"/>
  <c r="BA158" i="5"/>
  <c r="BE158" i="5"/>
  <c r="CC152" i="5"/>
  <c r="CE152" i="5" s="1"/>
  <c r="CH152" i="5" s="1"/>
  <c r="CB153" i="5"/>
  <c r="BP148" i="5"/>
  <c r="BR148" i="5" s="1"/>
  <c r="BS148" i="5" s="1"/>
  <c r="BW148" i="5" s="1"/>
  <c r="E149" i="5" s="1"/>
  <c r="Q149" i="5" s="1"/>
  <c r="BS147" i="5"/>
  <c r="BW147" i="5" s="1"/>
  <c r="E148" i="5" s="1"/>
  <c r="Q148" i="5" s="1"/>
  <c r="BQ158" i="5"/>
  <c r="J150" i="4"/>
  <c r="BL151" i="5"/>
  <c r="BT150" i="5" s="1"/>
  <c r="BM88" i="4"/>
  <c r="BO88" i="4" s="1"/>
  <c r="BL89" i="4"/>
  <c r="J157" i="5"/>
  <c r="V157" i="5" s="1"/>
  <c r="Z132" i="4"/>
  <c r="AU132" i="4"/>
  <c r="AF132" i="4"/>
  <c r="CE132" i="4"/>
  <c r="Y132" i="4"/>
  <c r="AQ132" i="4" s="1"/>
  <c r="AA128" i="4"/>
  <c r="AT127" i="4" s="1"/>
  <c r="AE127" i="4"/>
  <c r="AG127" i="4" s="1"/>
  <c r="AB128" i="4"/>
  <c r="BV148" i="5"/>
  <c r="BM150" i="5"/>
  <c r="BU158" i="5"/>
  <c r="AK158" i="5"/>
  <c r="AO158" i="5"/>
  <c r="AI158" i="5"/>
  <c r="BV75" i="4"/>
  <c r="BX75" i="4" s="1"/>
  <c r="CK75" i="4" s="1"/>
  <c r="CL75" i="4" s="1"/>
  <c r="CH75" i="4"/>
  <c r="CI75" i="4" s="1"/>
  <c r="CJ75" i="4" s="1"/>
  <c r="CF76" i="4" s="1"/>
  <c r="CQ74" i="4"/>
  <c r="G93" i="4" s="1"/>
  <c r="F148" i="5"/>
  <c r="R148" i="5" s="1"/>
  <c r="AD161" i="5"/>
  <c r="AC162" i="5"/>
  <c r="BJ162" i="5"/>
  <c r="CV132" i="4"/>
  <c r="CT132" i="4"/>
  <c r="CZ131" i="4" s="1"/>
  <c r="CW131" i="4"/>
  <c r="CX131" i="4" s="1"/>
  <c r="DF131" i="4" s="1"/>
  <c r="CA131" i="4"/>
  <c r="BP132" i="4"/>
  <c r="CY132" i="4"/>
  <c r="CS133" i="4" s="1"/>
  <c r="BI132" i="4"/>
  <c r="CA132" i="4" s="1"/>
  <c r="X132" i="4"/>
  <c r="K151" i="4" s="1"/>
  <c r="CZ130" i="4"/>
  <c r="DA130" i="4" s="1"/>
  <c r="DL158" i="5"/>
  <c r="DZ158" i="5"/>
  <c r="EA156" i="5"/>
  <c r="EB155" i="5"/>
  <c r="I156" i="5" s="1"/>
  <c r="U156" i="5" s="1"/>
  <c r="DN155" i="5"/>
  <c r="H156" i="5" s="1"/>
  <c r="T156" i="5" s="1"/>
  <c r="DM156" i="5"/>
  <c r="CY155" i="5"/>
  <c r="CZ155" i="5"/>
  <c r="G156" i="5" s="1"/>
  <c r="S156" i="5" s="1"/>
  <c r="CX158" i="5"/>
  <c r="N158" i="5"/>
  <c r="DE127" i="4"/>
  <c r="H146" i="4" s="1"/>
  <c r="DH127" i="4"/>
  <c r="I146" i="4" s="1"/>
  <c r="DD128" i="4"/>
  <c r="DH128" i="4" s="1"/>
  <c r="I147" i="4" s="1"/>
  <c r="DG130" i="4"/>
  <c r="DF157" i="5"/>
  <c r="DG157" i="5" s="1"/>
  <c r="CQ158" i="5"/>
  <c r="CP158" i="5"/>
  <c r="CO158" i="5"/>
  <c r="CW157" i="5" s="1"/>
  <c r="CN158" i="5"/>
  <c r="DU157" i="5"/>
  <c r="CR157" i="5"/>
  <c r="CS157" i="5" s="1"/>
  <c r="DS158" i="5"/>
  <c r="DR158" i="5"/>
  <c r="DQ158" i="5"/>
  <c r="DY157" i="5" s="1"/>
  <c r="DP158" i="5"/>
  <c r="DW156" i="5"/>
  <c r="DX156" i="5" s="1"/>
  <c r="DI156" i="5"/>
  <c r="DJ156" i="5" s="1"/>
  <c r="DN156" i="5" s="1"/>
  <c r="CU156" i="5"/>
  <c r="CV156" i="5" s="1"/>
  <c r="DE158" i="5"/>
  <c r="DD158" i="5"/>
  <c r="DB158" i="5"/>
  <c r="DC158" i="5"/>
  <c r="DK157" i="5" s="1"/>
  <c r="B159" i="5"/>
  <c r="DV158" i="5"/>
  <c r="CT158" i="5"/>
  <c r="DH158" i="5"/>
  <c r="BY158" i="5"/>
  <c r="CD158" i="5" s="1"/>
  <c r="AA159" i="5"/>
  <c r="AB158" i="5"/>
  <c r="K159" i="5" s="1"/>
  <c r="W159" i="5" s="1"/>
  <c r="DB130" i="4"/>
  <c r="DC130" i="4" s="1"/>
  <c r="W133" i="4"/>
  <c r="C151" i="4"/>
  <c r="CU132" i="4"/>
  <c r="AV159" i="5" l="1"/>
  <c r="AC133" i="4"/>
  <c r="CK152" i="5"/>
  <c r="CL152" i="5"/>
  <c r="BD147" i="5"/>
  <c r="BF147" i="5" s="1"/>
  <c r="BC147" i="5"/>
  <c r="BG147" i="5" s="1"/>
  <c r="D148" i="5" s="1"/>
  <c r="P148" i="5" s="1"/>
  <c r="AX148" i="5"/>
  <c r="AZ148" i="5" s="1"/>
  <c r="AW149" i="5"/>
  <c r="BZ159" i="5"/>
  <c r="CG159" i="5" s="1"/>
  <c r="BB149" i="5"/>
  <c r="AU150" i="5"/>
  <c r="CC153" i="5"/>
  <c r="CE153" i="5" s="1"/>
  <c r="CH153" i="5" s="1"/>
  <c r="CB154" i="5"/>
  <c r="BO159" i="5"/>
  <c r="CF159" i="5"/>
  <c r="CI159" i="5" s="1"/>
  <c r="CJ159" i="5"/>
  <c r="AY159" i="5"/>
  <c r="BE159" i="5"/>
  <c r="BA159" i="5"/>
  <c r="CA159" i="5"/>
  <c r="J151" i="4"/>
  <c r="BP149" i="5"/>
  <c r="BR149" i="5" s="1"/>
  <c r="BS149" i="5" s="1"/>
  <c r="BW149" i="5" s="1"/>
  <c r="E150" i="5" s="1"/>
  <c r="Q150" i="5" s="1"/>
  <c r="BQ159" i="5"/>
  <c r="BL90" i="4"/>
  <c r="BM90" i="4" s="1"/>
  <c r="BO90" i="4" s="1"/>
  <c r="BM89" i="4"/>
  <c r="BO89" i="4" s="1"/>
  <c r="J158" i="5"/>
  <c r="V158" i="5" s="1"/>
  <c r="Z133" i="4"/>
  <c r="AF133" i="4"/>
  <c r="CE133" i="4"/>
  <c r="AU133" i="4"/>
  <c r="Y133" i="4"/>
  <c r="AE128" i="4"/>
  <c r="AG128" i="4" s="1"/>
  <c r="AB129" i="4"/>
  <c r="AA129" i="4"/>
  <c r="AT128" i="4" s="1"/>
  <c r="BN132" i="4"/>
  <c r="BM151" i="5"/>
  <c r="BV149" i="5"/>
  <c r="BU159" i="5"/>
  <c r="AO159" i="5"/>
  <c r="AK159" i="5"/>
  <c r="AI159" i="5"/>
  <c r="BY75" i="4"/>
  <c r="CO75" i="4" s="1"/>
  <c r="CP75" i="4" s="1"/>
  <c r="CG76" i="4"/>
  <c r="F149" i="5"/>
  <c r="R149" i="5" s="1"/>
  <c r="CC87" i="4"/>
  <c r="BZ87" i="4"/>
  <c r="CB87" i="4" s="1"/>
  <c r="CM75" i="4"/>
  <c r="CN75" i="4" s="1"/>
  <c r="F94" i="4" s="1"/>
  <c r="BR76" i="4"/>
  <c r="BS88" i="4" s="1"/>
  <c r="BT100" i="4" s="1"/>
  <c r="BU112" i="4" s="1"/>
  <c r="BJ91" i="4"/>
  <c r="BQ91" i="4" s="1"/>
  <c r="AD162" i="5"/>
  <c r="AC163" i="5"/>
  <c r="BJ163" i="5"/>
  <c r="DT158" i="5"/>
  <c r="DU158" i="5" s="1"/>
  <c r="DA131" i="4"/>
  <c r="CV133" i="4"/>
  <c r="CW132" i="4"/>
  <c r="CX132" i="4" s="1"/>
  <c r="DF132" i="4" s="1"/>
  <c r="CT133" i="4"/>
  <c r="CZ132" i="4" s="1"/>
  <c r="CY133" i="4"/>
  <c r="CS134" i="4" s="1"/>
  <c r="BP133" i="4"/>
  <c r="BI133" i="4"/>
  <c r="X133" i="4"/>
  <c r="K152" i="4" s="1"/>
  <c r="DL159" i="5"/>
  <c r="DZ159" i="5"/>
  <c r="EB156" i="5"/>
  <c r="I157" i="5" s="1"/>
  <c r="U157" i="5" s="1"/>
  <c r="EA157" i="5"/>
  <c r="DM157" i="5"/>
  <c r="H157" i="5"/>
  <c r="T157" i="5" s="1"/>
  <c r="CX159" i="5"/>
  <c r="CZ156" i="5"/>
  <c r="G157" i="5" s="1"/>
  <c r="S157" i="5" s="1"/>
  <c r="CY156" i="5"/>
  <c r="N159" i="5"/>
  <c r="DE128" i="4"/>
  <c r="H147" i="4" s="1"/>
  <c r="DD129" i="4"/>
  <c r="DE129" i="4" s="1"/>
  <c r="H148" i="4" s="1"/>
  <c r="DB131" i="4"/>
  <c r="DC131" i="4" s="1"/>
  <c r="DF158" i="5"/>
  <c r="DG158" i="5" s="1"/>
  <c r="DI157" i="5"/>
  <c r="DJ157" i="5" s="1"/>
  <c r="DE159" i="5"/>
  <c r="DC159" i="5"/>
  <c r="DK158" i="5" s="1"/>
  <c r="DB159" i="5"/>
  <c r="DD159" i="5"/>
  <c r="CR158" i="5"/>
  <c r="CS158" i="5" s="1"/>
  <c r="B160" i="5"/>
  <c r="AA160" i="5"/>
  <c r="CT159" i="5"/>
  <c r="DH159" i="5"/>
  <c r="DV159" i="5"/>
  <c r="BY159" i="5"/>
  <c r="CD159" i="5" s="1"/>
  <c r="AB159" i="5"/>
  <c r="K160" i="5" s="1"/>
  <c r="W160" i="5" s="1"/>
  <c r="CN159" i="5"/>
  <c r="CQ159" i="5"/>
  <c r="CP159" i="5"/>
  <c r="CO159" i="5"/>
  <c r="CW158" i="5" s="1"/>
  <c r="CU157" i="5"/>
  <c r="CV157" i="5" s="1"/>
  <c r="DP159" i="5"/>
  <c r="DS159" i="5"/>
  <c r="DR159" i="5"/>
  <c r="DQ159" i="5"/>
  <c r="DY158" i="5" s="1"/>
  <c r="DW157" i="5"/>
  <c r="DX157" i="5" s="1"/>
  <c r="EB157" i="5" s="1"/>
  <c r="DG131" i="4"/>
  <c r="CU133" i="4"/>
  <c r="W134" i="4"/>
  <c r="C152" i="4"/>
  <c r="CA160" i="5" l="1"/>
  <c r="CK153" i="5"/>
  <c r="CL153" i="5"/>
  <c r="CC154" i="5"/>
  <c r="CE154" i="5" s="1"/>
  <c r="CH154" i="5" s="1"/>
  <c r="CB155" i="5"/>
  <c r="AX149" i="5"/>
  <c r="AZ149" i="5" s="1"/>
  <c r="AW150" i="5"/>
  <c r="BD148" i="5"/>
  <c r="BF148" i="5" s="1"/>
  <c r="BC148" i="5"/>
  <c r="BG148" i="5" s="1"/>
  <c r="D149" i="5" s="1"/>
  <c r="P149" i="5" s="1"/>
  <c r="BO160" i="5"/>
  <c r="CF160" i="5"/>
  <c r="CI160" i="5" s="1"/>
  <c r="CJ160" i="5"/>
  <c r="BA160" i="5"/>
  <c r="AY160" i="5"/>
  <c r="BE160" i="5"/>
  <c r="AC134" i="4"/>
  <c r="CA161" i="5"/>
  <c r="BZ160" i="5"/>
  <c r="CG160" i="5" s="1"/>
  <c r="BB150" i="5"/>
  <c r="AU151" i="5"/>
  <c r="AV160" i="5"/>
  <c r="J152" i="4"/>
  <c r="BP150" i="5"/>
  <c r="BR150" i="5" s="1"/>
  <c r="BS150" i="5" s="1"/>
  <c r="BW150" i="5" s="1"/>
  <c r="E151" i="5" s="1"/>
  <c r="Q151" i="5" s="1"/>
  <c r="BQ160" i="5"/>
  <c r="Z134" i="4"/>
  <c r="AQ133" i="4"/>
  <c r="AD133" i="4"/>
  <c r="J159" i="5"/>
  <c r="V159" i="5" s="1"/>
  <c r="BN133" i="4"/>
  <c r="CE134" i="4"/>
  <c r="AU134" i="4"/>
  <c r="AF134" i="4"/>
  <c r="Y134" i="4"/>
  <c r="AA130" i="4"/>
  <c r="AT129" i="4" s="1"/>
  <c r="AW127" i="4"/>
  <c r="AE129" i="4"/>
  <c r="AG129" i="4" s="1"/>
  <c r="AB130" i="4"/>
  <c r="BV150" i="5"/>
  <c r="BP151" i="5"/>
  <c r="BU160" i="5"/>
  <c r="AO160" i="5"/>
  <c r="AK160" i="5"/>
  <c r="AI160" i="5"/>
  <c r="BV76" i="4"/>
  <c r="BX76" i="4" s="1"/>
  <c r="CK76" i="4" s="1"/>
  <c r="CL76" i="4" s="1"/>
  <c r="CQ75" i="4"/>
  <c r="G94" i="4" s="1"/>
  <c r="F150" i="5"/>
  <c r="R150" i="5" s="1"/>
  <c r="BK91" i="4"/>
  <c r="CD90" i="4" s="1"/>
  <c r="BJ92" i="4"/>
  <c r="BL91" i="4"/>
  <c r="CH76" i="4"/>
  <c r="CI76" i="4" s="1"/>
  <c r="CJ76" i="4" s="1"/>
  <c r="CF77" i="4" s="1"/>
  <c r="AD163" i="5"/>
  <c r="AC164" i="5"/>
  <c r="BJ164" i="5"/>
  <c r="DA132" i="4"/>
  <c r="CW133" i="4"/>
  <c r="CX133" i="4" s="1"/>
  <c r="DF133" i="4" s="1"/>
  <c r="CA133" i="4"/>
  <c r="CY134" i="4"/>
  <c r="CS135" i="4" s="1"/>
  <c r="BP134" i="4"/>
  <c r="BI134" i="4"/>
  <c r="BN134" i="4" s="1"/>
  <c r="X134" i="4"/>
  <c r="K153" i="4" s="1"/>
  <c r="CT134" i="4"/>
  <c r="CZ133" i="4" s="1"/>
  <c r="CV134" i="4"/>
  <c r="DL160" i="5"/>
  <c r="DZ160" i="5"/>
  <c r="EA158" i="5"/>
  <c r="I158" i="5"/>
  <c r="U158" i="5" s="1"/>
  <c r="DM158" i="5"/>
  <c r="DN157" i="5"/>
  <c r="H158" i="5" s="1"/>
  <c r="T158" i="5" s="1"/>
  <c r="CY157" i="5"/>
  <c r="CZ157" i="5"/>
  <c r="G158" i="5" s="1"/>
  <c r="S158" i="5" s="1"/>
  <c r="CX160" i="5"/>
  <c r="N160" i="5"/>
  <c r="DD130" i="4"/>
  <c r="DE130" i="4" s="1"/>
  <c r="H149" i="4" s="1"/>
  <c r="DH129" i="4"/>
  <c r="I148" i="4" s="1"/>
  <c r="CU158" i="5"/>
  <c r="CV158" i="5" s="1"/>
  <c r="DF159" i="5"/>
  <c r="DG159" i="5" s="1"/>
  <c r="DI158" i="5"/>
  <c r="DJ158" i="5" s="1"/>
  <c r="B161" i="5"/>
  <c r="AA161" i="5"/>
  <c r="DV160" i="5"/>
  <c r="CT160" i="5"/>
  <c r="BY160" i="5"/>
  <c r="CD160" i="5" s="1"/>
  <c r="DH160" i="5"/>
  <c r="AB160" i="5"/>
  <c r="K161" i="5" s="1"/>
  <c r="W161" i="5" s="1"/>
  <c r="CR159" i="5"/>
  <c r="CS159" i="5" s="1"/>
  <c r="DT159" i="5"/>
  <c r="DU159" i="5" s="1"/>
  <c r="DW158" i="5"/>
  <c r="DX158" i="5" s="1"/>
  <c r="EB158" i="5" s="1"/>
  <c r="DQ160" i="5"/>
  <c r="DY159" i="5" s="1"/>
  <c r="DP160" i="5"/>
  <c r="DS160" i="5"/>
  <c r="DR160" i="5"/>
  <c r="DD160" i="5"/>
  <c r="DC160" i="5"/>
  <c r="DK159" i="5" s="1"/>
  <c r="DB160" i="5"/>
  <c r="DE160" i="5"/>
  <c r="CO160" i="5"/>
  <c r="CW159" i="5" s="1"/>
  <c r="CN160" i="5"/>
  <c r="CQ160" i="5"/>
  <c r="CP160" i="5"/>
  <c r="DG132" i="4"/>
  <c r="DB132" i="4"/>
  <c r="DC132" i="4" s="1"/>
  <c r="CU134" i="4"/>
  <c r="W135" i="4"/>
  <c r="C153" i="4"/>
  <c r="CK154" i="5" l="1"/>
  <c r="CL154" i="5"/>
  <c r="BD149" i="5"/>
  <c r="BF149" i="5" s="1"/>
  <c r="BC149" i="5"/>
  <c r="BG149" i="5" s="1"/>
  <c r="D150" i="5" s="1"/>
  <c r="P150" i="5" s="1"/>
  <c r="BO161" i="5"/>
  <c r="BA161" i="5"/>
  <c r="CJ161" i="5"/>
  <c r="CF161" i="5"/>
  <c r="AY161" i="5"/>
  <c r="BE161" i="5"/>
  <c r="BZ161" i="5"/>
  <c r="CG161" i="5" s="1"/>
  <c r="CC155" i="5"/>
  <c r="CE155" i="5" s="1"/>
  <c r="CH155" i="5" s="1"/>
  <c r="CB156" i="5"/>
  <c r="AV161" i="5"/>
  <c r="AC135" i="4"/>
  <c r="AX150" i="5"/>
  <c r="AZ150" i="5" s="1"/>
  <c r="AW151" i="5"/>
  <c r="BB151" i="5"/>
  <c r="AU152" i="5"/>
  <c r="J153" i="4"/>
  <c r="BQ161" i="5"/>
  <c r="AQ134" i="4"/>
  <c r="AD134" i="4"/>
  <c r="BJ93" i="4"/>
  <c r="BQ93" i="4" s="1"/>
  <c r="BQ92" i="4"/>
  <c r="J160" i="5"/>
  <c r="V160" i="5" s="1"/>
  <c r="AU135" i="4"/>
  <c r="AF135" i="4"/>
  <c r="CE135" i="4"/>
  <c r="Y135" i="4"/>
  <c r="AA131" i="4"/>
  <c r="AT130" i="4" s="1"/>
  <c r="AW128" i="4"/>
  <c r="AE130" i="4"/>
  <c r="AG130" i="4" s="1"/>
  <c r="AB131" i="4"/>
  <c r="Z135" i="4"/>
  <c r="BS151" i="5"/>
  <c r="BK152" i="5" s="1"/>
  <c r="BU161" i="5"/>
  <c r="AK161" i="5"/>
  <c r="AO161" i="5"/>
  <c r="AI161" i="5"/>
  <c r="CM76" i="4"/>
  <c r="CN76" i="4" s="1"/>
  <c r="F95" i="4" s="1"/>
  <c r="CC88" i="4"/>
  <c r="BZ88" i="4"/>
  <c r="CB88" i="4" s="1"/>
  <c r="BL92" i="4"/>
  <c r="BM91" i="4"/>
  <c r="BO91" i="4" s="1"/>
  <c r="CG77" i="4"/>
  <c r="BK92" i="4"/>
  <c r="CD91" i="4" s="1"/>
  <c r="F151" i="5"/>
  <c r="R151" i="5" s="1"/>
  <c r="BR77" i="4"/>
  <c r="BS89" i="4" s="1"/>
  <c r="BT101" i="4" s="1"/>
  <c r="BU113" i="4" s="1"/>
  <c r="BY76" i="4"/>
  <c r="CO76" i="4" s="1"/>
  <c r="CP76" i="4" s="1"/>
  <c r="AD164" i="5"/>
  <c r="AC165" i="5"/>
  <c r="BJ165" i="5"/>
  <c r="DT160" i="5"/>
  <c r="DU160" i="5" s="1"/>
  <c r="DA133" i="4"/>
  <c r="CW134" i="4"/>
  <c r="CX134" i="4" s="1"/>
  <c r="DF134" i="4" s="1"/>
  <c r="CA134" i="4"/>
  <c r="CY135" i="4"/>
  <c r="CS136" i="4" s="1"/>
  <c r="BP135" i="4"/>
  <c r="BI135" i="4"/>
  <c r="X135" i="4"/>
  <c r="K154" i="4" s="1"/>
  <c r="CV135" i="4"/>
  <c r="CT135" i="4"/>
  <c r="CZ134" i="4" s="1"/>
  <c r="DL161" i="5"/>
  <c r="DZ161" i="5"/>
  <c r="EA159" i="5"/>
  <c r="I159" i="5"/>
  <c r="U159" i="5" s="1"/>
  <c r="DM159" i="5"/>
  <c r="DN158" i="5"/>
  <c r="H159" i="5" s="1"/>
  <c r="T159" i="5" s="1"/>
  <c r="CX161" i="5"/>
  <c r="CY158" i="5"/>
  <c r="CZ158" i="5"/>
  <c r="G159" i="5" s="1"/>
  <c r="S159" i="5" s="1"/>
  <c r="N161" i="5"/>
  <c r="DH130" i="4"/>
  <c r="I149" i="4" s="1"/>
  <c r="DD131" i="4"/>
  <c r="DE131" i="4" s="1"/>
  <c r="H150" i="4" s="1"/>
  <c r="DB133" i="4"/>
  <c r="DC133" i="4" s="1"/>
  <c r="CU159" i="5"/>
  <c r="CV159" i="5" s="1"/>
  <c r="DE161" i="5"/>
  <c r="DD161" i="5"/>
  <c r="DC161" i="5"/>
  <c r="DK160" i="5" s="1"/>
  <c r="DB161" i="5"/>
  <c r="CP161" i="5"/>
  <c r="CO161" i="5"/>
  <c r="CW160" i="5" s="1"/>
  <c r="CN161" i="5"/>
  <c r="CQ161" i="5"/>
  <c r="DR161" i="5"/>
  <c r="DQ161" i="5"/>
  <c r="DY160" i="5" s="1"/>
  <c r="DP161" i="5"/>
  <c r="DS161" i="5"/>
  <c r="DI159" i="5"/>
  <c r="DJ159" i="5" s="1"/>
  <c r="DN159" i="5" s="1"/>
  <c r="DW159" i="5"/>
  <c r="DX159" i="5" s="1"/>
  <c r="DF160" i="5"/>
  <c r="DG160" i="5" s="1"/>
  <c r="CR160" i="5"/>
  <c r="CS160" i="5" s="1"/>
  <c r="B162" i="5"/>
  <c r="DH161" i="5"/>
  <c r="BY161" i="5"/>
  <c r="CD161" i="5" s="1"/>
  <c r="AA162" i="5"/>
  <c r="DV161" i="5"/>
  <c r="CT161" i="5"/>
  <c r="AB161" i="5"/>
  <c r="K162" i="5" s="1"/>
  <c r="W162" i="5" s="1"/>
  <c r="DG133" i="4"/>
  <c r="CU135" i="4"/>
  <c r="C154" i="4"/>
  <c r="W136" i="4"/>
  <c r="CA162" i="5" l="1"/>
  <c r="CI161" i="5"/>
  <c r="CK155" i="5"/>
  <c r="CL155" i="5"/>
  <c r="AC136" i="4"/>
  <c r="BB152" i="5"/>
  <c r="AU153" i="5"/>
  <c r="AV162" i="5"/>
  <c r="BO162" i="5"/>
  <c r="AY162" i="5"/>
  <c r="CJ162" i="5"/>
  <c r="CF162" i="5"/>
  <c r="CI162" i="5" s="1"/>
  <c r="BA162" i="5"/>
  <c r="BE162" i="5"/>
  <c r="AX151" i="5"/>
  <c r="AZ151" i="5" s="1"/>
  <c r="AW152" i="5"/>
  <c r="CC156" i="5"/>
  <c r="CE156" i="5" s="1"/>
  <c r="CH156" i="5" s="1"/>
  <c r="CB157" i="5"/>
  <c r="BD150" i="5"/>
  <c r="BF150" i="5" s="1"/>
  <c r="BC150" i="5"/>
  <c r="BG150" i="5" s="1"/>
  <c r="D151" i="5" s="1"/>
  <c r="P151" i="5" s="1"/>
  <c r="BZ162" i="5"/>
  <c r="CG162" i="5" s="1"/>
  <c r="BJ94" i="4"/>
  <c r="BQ94" i="4" s="1"/>
  <c r="J154" i="4"/>
  <c r="DA134" i="4"/>
  <c r="BQ162" i="5"/>
  <c r="BL152" i="5"/>
  <c r="BT151" i="5" s="1"/>
  <c r="BK153" i="5"/>
  <c r="BK154" i="5" s="1"/>
  <c r="BK155" i="5" s="1"/>
  <c r="BK156" i="5" s="1"/>
  <c r="BK157" i="5" s="1"/>
  <c r="BK158" i="5" s="1"/>
  <c r="BK159" i="5" s="1"/>
  <c r="BK160" i="5" s="1"/>
  <c r="BK161" i="5" s="1"/>
  <c r="BK162" i="5" s="1"/>
  <c r="BM152" i="5"/>
  <c r="BN152" i="5" s="1"/>
  <c r="BN153" i="5" s="1"/>
  <c r="BN154" i="5" s="1"/>
  <c r="BN155" i="5" s="1"/>
  <c r="BN156" i="5" s="1"/>
  <c r="BN157" i="5" s="1"/>
  <c r="BN158" i="5" s="1"/>
  <c r="BN159" i="5" s="1"/>
  <c r="BN160" i="5" s="1"/>
  <c r="BN161" i="5" s="1"/>
  <c r="BN162" i="5" s="1"/>
  <c r="AQ135" i="4"/>
  <c r="AD135" i="4"/>
  <c r="Z136" i="4"/>
  <c r="J161" i="5"/>
  <c r="V161" i="5" s="1"/>
  <c r="BW151" i="5"/>
  <c r="E152" i="5" s="1"/>
  <c r="Q152" i="5" s="1"/>
  <c r="BN135" i="4"/>
  <c r="AE131" i="4"/>
  <c r="AG131" i="4" s="1"/>
  <c r="AB132" i="4"/>
  <c r="CE136" i="4"/>
  <c r="AF136" i="4"/>
  <c r="AU136" i="4"/>
  <c r="Y136" i="4"/>
  <c r="AA132" i="4"/>
  <c r="AT131" i="4" s="1"/>
  <c r="AW129" i="4"/>
  <c r="AO162" i="5"/>
  <c r="BU162" i="5"/>
  <c r="AK162" i="5"/>
  <c r="AI162" i="5"/>
  <c r="CQ76" i="4"/>
  <c r="G95" i="4" s="1"/>
  <c r="F152" i="5"/>
  <c r="R152" i="5" s="1"/>
  <c r="CH77" i="4"/>
  <c r="CI77" i="4" s="1"/>
  <c r="CJ77" i="4" s="1"/>
  <c r="BK93" i="4"/>
  <c r="CD92" i="4" s="1"/>
  <c r="BM92" i="4"/>
  <c r="BO92" i="4" s="1"/>
  <c r="BL93" i="4"/>
  <c r="BV77" i="4"/>
  <c r="BX77" i="4" s="1"/>
  <c r="CK77" i="4" s="1"/>
  <c r="CL77" i="4" s="1"/>
  <c r="AD165" i="5"/>
  <c r="AC166" i="5"/>
  <c r="BJ166" i="5"/>
  <c r="DT161" i="5"/>
  <c r="DU161" i="5" s="1"/>
  <c r="CW135" i="4"/>
  <c r="CX135" i="4" s="1"/>
  <c r="DF135" i="4" s="1"/>
  <c r="CA135" i="4"/>
  <c r="CY136" i="4"/>
  <c r="CS137" i="4" s="1"/>
  <c r="BP136" i="4"/>
  <c r="BI136" i="4"/>
  <c r="CA136" i="4" s="1"/>
  <c r="X136" i="4"/>
  <c r="K155" i="4" s="1"/>
  <c r="CT136" i="4"/>
  <c r="CZ135" i="4" s="1"/>
  <c r="CV136" i="4"/>
  <c r="DL162" i="5"/>
  <c r="DZ162" i="5"/>
  <c r="EA160" i="5"/>
  <c r="EB159" i="5"/>
  <c r="I160" i="5" s="1"/>
  <c r="U160" i="5" s="1"/>
  <c r="DM160" i="5"/>
  <c r="H160" i="5"/>
  <c r="T160" i="5" s="1"/>
  <c r="CY159" i="5"/>
  <c r="CZ159" i="5"/>
  <c r="G160" i="5" s="1"/>
  <c r="S160" i="5" s="1"/>
  <c r="CX162" i="5"/>
  <c r="DD132" i="4"/>
  <c r="DE132" i="4" s="1"/>
  <c r="H151" i="4" s="1"/>
  <c r="DH131" i="4"/>
  <c r="I150" i="4" s="1"/>
  <c r="N162" i="5"/>
  <c r="DG134" i="4"/>
  <c r="CR161" i="5"/>
  <c r="CS161" i="5" s="1"/>
  <c r="DF161" i="5"/>
  <c r="DG161" i="5" s="1"/>
  <c r="CU160" i="5"/>
  <c r="CV160" i="5" s="1"/>
  <c r="DI160" i="5"/>
  <c r="DJ160" i="5" s="1"/>
  <c r="DN160" i="5" s="1"/>
  <c r="DW160" i="5"/>
  <c r="DX160" i="5" s="1"/>
  <c r="B163" i="5"/>
  <c r="AA163" i="5"/>
  <c r="BY162" i="5"/>
  <c r="CD162" i="5" s="1"/>
  <c r="DH162" i="5"/>
  <c r="DV162" i="5"/>
  <c r="CT162" i="5"/>
  <c r="AB162" i="5"/>
  <c r="K163" i="5" s="1"/>
  <c r="W163" i="5" s="1"/>
  <c r="CQ162" i="5"/>
  <c r="CP162" i="5"/>
  <c r="CO162" i="5"/>
  <c r="CW161" i="5" s="1"/>
  <c r="CN162" i="5"/>
  <c r="DS162" i="5"/>
  <c r="DQ162" i="5"/>
  <c r="DY161" i="5" s="1"/>
  <c r="DP162" i="5"/>
  <c r="DR162" i="5"/>
  <c r="DE162" i="5"/>
  <c r="DC162" i="5"/>
  <c r="DK161" i="5" s="1"/>
  <c r="DD162" i="5"/>
  <c r="DB162" i="5"/>
  <c r="DB134" i="4"/>
  <c r="DC134" i="4" s="1"/>
  <c r="CU136" i="4"/>
  <c r="W137" i="4"/>
  <c r="C155" i="4"/>
  <c r="DA135" i="4" l="1"/>
  <c r="CK156" i="5"/>
  <c r="CL156" i="5"/>
  <c r="BJ95" i="4"/>
  <c r="BQ95" i="4" s="1"/>
  <c r="BB153" i="5"/>
  <c r="AU154" i="5"/>
  <c r="CC157" i="5"/>
  <c r="CE157" i="5" s="1"/>
  <c r="CH157" i="5" s="1"/>
  <c r="CB158" i="5"/>
  <c r="CJ163" i="5"/>
  <c r="CF163" i="5"/>
  <c r="BB163" i="5"/>
  <c r="AY163" i="5"/>
  <c r="BA163" i="5"/>
  <c r="BE163" i="5"/>
  <c r="BZ163" i="5"/>
  <c r="CG163" i="5" s="1"/>
  <c r="AC137" i="4"/>
  <c r="BD151" i="5"/>
  <c r="BF151" i="5" s="1"/>
  <c r="BC151" i="5"/>
  <c r="BG151" i="5" s="1"/>
  <c r="D152" i="5" s="1"/>
  <c r="P152" i="5" s="1"/>
  <c r="AX152" i="5"/>
  <c r="AZ152" i="5" s="1"/>
  <c r="AW153" i="5"/>
  <c r="CA163" i="5"/>
  <c r="AV163" i="5"/>
  <c r="BN163" i="5"/>
  <c r="BK163" i="5"/>
  <c r="BQ163" i="5"/>
  <c r="BO163" i="5"/>
  <c r="J155" i="4"/>
  <c r="BP152" i="5"/>
  <c r="BM153" i="5"/>
  <c r="BV151" i="5"/>
  <c r="BL153" i="5"/>
  <c r="BT152" i="5" s="1"/>
  <c r="AL163" i="5"/>
  <c r="AQ136" i="4"/>
  <c r="AD136" i="4"/>
  <c r="Z137" i="4"/>
  <c r="E17" i="5"/>
  <c r="E33" i="5" s="1"/>
  <c r="J162" i="5"/>
  <c r="V162" i="5" s="1"/>
  <c r="AF137" i="4"/>
  <c r="AU137" i="4"/>
  <c r="CE137" i="4"/>
  <c r="Y137" i="4"/>
  <c r="AA133" i="4"/>
  <c r="AW130" i="4"/>
  <c r="AE132" i="4"/>
  <c r="AG132" i="4" s="1"/>
  <c r="AB133" i="4"/>
  <c r="BN136" i="4"/>
  <c r="BU163" i="5"/>
  <c r="AK163" i="5"/>
  <c r="AO163" i="5"/>
  <c r="AI163" i="5"/>
  <c r="BY77" i="4"/>
  <c r="CO77" i="4" s="1"/>
  <c r="CP77" i="4" s="1"/>
  <c r="BZ89" i="4"/>
  <c r="CB89" i="4" s="1"/>
  <c r="CC89" i="4"/>
  <c r="BK94" i="4"/>
  <c r="CD93" i="4" s="1"/>
  <c r="BM93" i="4"/>
  <c r="BO93" i="4" s="1"/>
  <c r="BL94" i="4"/>
  <c r="CM77" i="4"/>
  <c r="CN77" i="4" s="1"/>
  <c r="F96" i="4" s="1"/>
  <c r="BR78" i="4"/>
  <c r="BS90" i="4" s="1"/>
  <c r="BT102" i="4" s="1"/>
  <c r="BU114" i="4" s="1"/>
  <c r="AD166" i="5"/>
  <c r="AC167" i="5"/>
  <c r="BJ167" i="5"/>
  <c r="CR162" i="5"/>
  <c r="CS162" i="5" s="1"/>
  <c r="CW136" i="4"/>
  <c r="CX136" i="4" s="1"/>
  <c r="DF136" i="4" s="1"/>
  <c r="CV137" i="4"/>
  <c r="CT137" i="4"/>
  <c r="CZ136" i="4" s="1"/>
  <c r="DA136" i="4" s="1"/>
  <c r="BP137" i="4"/>
  <c r="CY137" i="4"/>
  <c r="CS138" i="4" s="1"/>
  <c r="BI137" i="4"/>
  <c r="X137" i="4"/>
  <c r="K156" i="4" s="1"/>
  <c r="DL163" i="5"/>
  <c r="DZ163" i="5"/>
  <c r="EA161" i="5"/>
  <c r="EB160" i="5"/>
  <c r="I161" i="5" s="1"/>
  <c r="U161" i="5" s="1"/>
  <c r="DM161" i="5"/>
  <c r="H161" i="5"/>
  <c r="T161" i="5" s="1"/>
  <c r="CX163" i="5"/>
  <c r="CY160" i="5"/>
  <c r="CZ160" i="5"/>
  <c r="G161" i="5" s="1"/>
  <c r="S161" i="5" s="1"/>
  <c r="DH132" i="4"/>
  <c r="I151" i="4" s="1"/>
  <c r="DD133" i="4"/>
  <c r="DE133" i="4" s="1"/>
  <c r="H152" i="4" s="1"/>
  <c r="N163" i="5"/>
  <c r="DG135" i="4"/>
  <c r="DI161" i="5"/>
  <c r="DJ161" i="5" s="1"/>
  <c r="DF162" i="5"/>
  <c r="DG162" i="5" s="1"/>
  <c r="DT162" i="5"/>
  <c r="DU162" i="5" s="1"/>
  <c r="CU161" i="5"/>
  <c r="CV161" i="5" s="1"/>
  <c r="DR163" i="5"/>
  <c r="DQ163" i="5"/>
  <c r="DY162" i="5" s="1"/>
  <c r="DP163" i="5"/>
  <c r="DS163" i="5"/>
  <c r="B164" i="5"/>
  <c r="DH163" i="5"/>
  <c r="BY163" i="5"/>
  <c r="CD163" i="5" s="1"/>
  <c r="AA164" i="5"/>
  <c r="DV163" i="5"/>
  <c r="CT163" i="5"/>
  <c r="CU163" i="5"/>
  <c r="AB163" i="5"/>
  <c r="K164" i="5" s="1"/>
  <c r="W164" i="5" s="1"/>
  <c r="DB163" i="5"/>
  <c r="DD163" i="5"/>
  <c r="DE163" i="5"/>
  <c r="DC163" i="5"/>
  <c r="DK162" i="5" s="1"/>
  <c r="DW161" i="5"/>
  <c r="DX161" i="5" s="1"/>
  <c r="EB161" i="5" s="1"/>
  <c r="CP163" i="5"/>
  <c r="CO163" i="5"/>
  <c r="CW162" i="5" s="1"/>
  <c r="CN163" i="5"/>
  <c r="CQ163" i="5"/>
  <c r="DB135" i="4"/>
  <c r="DC135" i="4" s="1"/>
  <c r="CU137" i="4"/>
  <c r="W138" i="4"/>
  <c r="C156" i="4"/>
  <c r="BJ96" i="4" l="1"/>
  <c r="BQ96" i="4" s="1"/>
  <c r="CK157" i="5"/>
  <c r="CL157" i="5"/>
  <c r="BD152" i="5"/>
  <c r="BF152" i="5" s="1"/>
  <c r="BC152" i="5"/>
  <c r="BG152" i="5" s="1"/>
  <c r="D153" i="5" s="1"/>
  <c r="P153" i="5" s="1"/>
  <c r="CC158" i="5"/>
  <c r="CE158" i="5" s="1"/>
  <c r="CH158" i="5" s="1"/>
  <c r="CB159" i="5"/>
  <c r="AX153" i="5"/>
  <c r="AZ153" i="5" s="1"/>
  <c r="AW154" i="5"/>
  <c r="BO164" i="5"/>
  <c r="CF164" i="5"/>
  <c r="CI164" i="5" s="1"/>
  <c r="AY164" i="5"/>
  <c r="BA164" i="5"/>
  <c r="CJ164" i="5"/>
  <c r="BE164" i="5"/>
  <c r="BK164" i="5"/>
  <c r="AC138" i="4"/>
  <c r="BZ164" i="5"/>
  <c r="CG164" i="5" s="1"/>
  <c r="BB154" i="5"/>
  <c r="AU155" i="5"/>
  <c r="CA164" i="5"/>
  <c r="CA165" i="5" s="1"/>
  <c r="J156" i="4"/>
  <c r="Z138" i="4"/>
  <c r="AA134" i="4"/>
  <c r="AT133" i="4" s="1"/>
  <c r="AT132" i="4"/>
  <c r="BQ164" i="5"/>
  <c r="BV152" i="5"/>
  <c r="BL154" i="5"/>
  <c r="BT153" i="5" s="1"/>
  <c r="BM154" i="5"/>
  <c r="BR152" i="5"/>
  <c r="BS152" i="5" s="1"/>
  <c r="BW152" i="5" s="1"/>
  <c r="E153" i="5" s="1"/>
  <c r="Q153" i="5" s="1"/>
  <c r="BJ97" i="4"/>
  <c r="BQ97" i="4" s="1"/>
  <c r="AQ137" i="4"/>
  <c r="AD137" i="4"/>
  <c r="J163" i="5"/>
  <c r="V163" i="5" s="1"/>
  <c r="BN137" i="4"/>
  <c r="AE133" i="4"/>
  <c r="AG133" i="4" s="1"/>
  <c r="AB134" i="4"/>
  <c r="AF138" i="4"/>
  <c r="Y138" i="4"/>
  <c r="AW131" i="4"/>
  <c r="BU164" i="5"/>
  <c r="AI164" i="5"/>
  <c r="AK164" i="5"/>
  <c r="AO164" i="5"/>
  <c r="CQ77" i="4"/>
  <c r="G96" i="4" s="1"/>
  <c r="BL95" i="4"/>
  <c r="BM94" i="4"/>
  <c r="BO94" i="4" s="1"/>
  <c r="F153" i="5"/>
  <c r="R153" i="5" s="1"/>
  <c r="BV78" i="4"/>
  <c r="BX78" i="4" s="1"/>
  <c r="CE78" i="4" s="1"/>
  <c r="BK95" i="4"/>
  <c r="CD94" i="4" s="1"/>
  <c r="AD167" i="5"/>
  <c r="AC168" i="5"/>
  <c r="BJ168" i="5"/>
  <c r="DF163" i="5"/>
  <c r="DG163" i="5" s="1"/>
  <c r="DE164" i="5" s="1"/>
  <c r="A153" i="5"/>
  <c r="CW137" i="4"/>
  <c r="CX137" i="4" s="1"/>
  <c r="DF137" i="4" s="1"/>
  <c r="CA137" i="4"/>
  <c r="CT138" i="4"/>
  <c r="CZ137" i="4" s="1"/>
  <c r="DA137" i="4" s="1"/>
  <c r="CV138" i="4"/>
  <c r="BP138" i="4"/>
  <c r="DF138" i="4"/>
  <c r="CY138" i="4"/>
  <c r="BI138" i="4"/>
  <c r="X138" i="4"/>
  <c r="K157" i="4" s="1"/>
  <c r="DL164" i="5"/>
  <c r="DZ164" i="5"/>
  <c r="EA162" i="5"/>
  <c r="I162" i="5"/>
  <c r="U162" i="5" s="1"/>
  <c r="DM162" i="5"/>
  <c r="DN161" i="5"/>
  <c r="H162" i="5" s="1"/>
  <c r="T162" i="5" s="1"/>
  <c r="CY161" i="5"/>
  <c r="CZ161" i="5"/>
  <c r="G162" i="5" s="1"/>
  <c r="S162" i="5" s="1"/>
  <c r="CX164" i="5"/>
  <c r="DD134" i="4"/>
  <c r="DE134" i="4" s="1"/>
  <c r="H153" i="4" s="1"/>
  <c r="DH133" i="4"/>
  <c r="I152" i="4" s="1"/>
  <c r="N164" i="5"/>
  <c r="DG136" i="4"/>
  <c r="DW162" i="5"/>
  <c r="DX162" i="5" s="1"/>
  <c r="EB162" i="5" s="1"/>
  <c r="DT163" i="5"/>
  <c r="DU163" i="5" s="1"/>
  <c r="DS164" i="5" s="1"/>
  <c r="CR163" i="5"/>
  <c r="CS163" i="5" s="1"/>
  <c r="CV163" i="5" s="1"/>
  <c r="CN164" i="5" s="1"/>
  <c r="DR164" i="5"/>
  <c r="DQ164" i="5"/>
  <c r="DY163" i="5" s="1"/>
  <c r="DP164" i="5"/>
  <c r="CU162" i="5"/>
  <c r="CV162" i="5" s="1"/>
  <c r="B165" i="5"/>
  <c r="DH164" i="5"/>
  <c r="BY164" i="5"/>
  <c r="CD164" i="5" s="1"/>
  <c r="CR164" i="5"/>
  <c r="DV164" i="5"/>
  <c r="CT164" i="5"/>
  <c r="AA165" i="5"/>
  <c r="AB164" i="5"/>
  <c r="K165" i="5" s="1"/>
  <c r="W165" i="5" s="1"/>
  <c r="DI162" i="5"/>
  <c r="DJ162" i="5" s="1"/>
  <c r="DC164" i="5"/>
  <c r="DK163" i="5" s="1"/>
  <c r="DD164" i="5"/>
  <c r="DB164" i="5"/>
  <c r="DB136" i="4"/>
  <c r="DC136" i="4" s="1"/>
  <c r="CU138" i="4"/>
  <c r="W139" i="4"/>
  <c r="C157" i="4"/>
  <c r="AA135" i="4" l="1"/>
  <c r="AT134" i="4" s="1"/>
  <c r="CL158" i="5"/>
  <c r="CK158" i="5"/>
  <c r="Z139" i="4"/>
  <c r="BZ165" i="5"/>
  <c r="CG165" i="5" s="1"/>
  <c r="BO165" i="5"/>
  <c r="BA165" i="5"/>
  <c r="AY165" i="5"/>
  <c r="CF165" i="5"/>
  <c r="CI165" i="5" s="1"/>
  <c r="CJ165" i="5"/>
  <c r="BE165" i="5"/>
  <c r="BB155" i="5"/>
  <c r="AU156" i="5"/>
  <c r="AX154" i="5"/>
  <c r="AZ154" i="5" s="1"/>
  <c r="AW155" i="5"/>
  <c r="BK165" i="5"/>
  <c r="BD153" i="5"/>
  <c r="BF153" i="5" s="1"/>
  <c r="BC153" i="5"/>
  <c r="BG153" i="5" s="1"/>
  <c r="D154" i="5" s="1"/>
  <c r="P154" i="5" s="1"/>
  <c r="CC159" i="5"/>
  <c r="CE159" i="5" s="1"/>
  <c r="CH159" i="5" s="1"/>
  <c r="CB160" i="5"/>
  <c r="J157" i="4"/>
  <c r="T34" i="4" s="1"/>
  <c r="BP153" i="5"/>
  <c r="BR153" i="5" s="1"/>
  <c r="BS153" i="5" s="1"/>
  <c r="BW153" i="5" s="1"/>
  <c r="E154" i="5" s="1"/>
  <c r="Q154" i="5" s="1"/>
  <c r="BQ165" i="5"/>
  <c r="BJ98" i="4"/>
  <c r="BQ98" i="4" s="1"/>
  <c r="BM155" i="5"/>
  <c r="BV153" i="5"/>
  <c r="BL155" i="5"/>
  <c r="BT154" i="5" s="1"/>
  <c r="J164" i="5"/>
  <c r="V164" i="5" s="1"/>
  <c r="AQ138" i="4"/>
  <c r="AD138" i="4"/>
  <c r="AF139" i="4"/>
  <c r="AU139" i="4"/>
  <c r="CE139" i="4"/>
  <c r="Y139" i="4"/>
  <c r="BN138" i="4"/>
  <c r="AW133" i="4"/>
  <c r="AE134" i="4"/>
  <c r="AG134" i="4" s="1"/>
  <c r="AB135" i="4"/>
  <c r="BU165" i="5"/>
  <c r="AK165" i="5"/>
  <c r="AO165" i="5"/>
  <c r="AI165" i="5"/>
  <c r="BK96" i="4"/>
  <c r="CD95" i="4" s="1"/>
  <c r="BM95" i="4"/>
  <c r="BO95" i="4" s="1"/>
  <c r="BL96" i="4"/>
  <c r="BZ90" i="4"/>
  <c r="CB90" i="4" s="1"/>
  <c r="CC90" i="4"/>
  <c r="BY78" i="4"/>
  <c r="CO78" i="4" s="1"/>
  <c r="CF78" i="4"/>
  <c r="CG78" i="4" s="1"/>
  <c r="CK78" i="4"/>
  <c r="CL78" i="4" s="1"/>
  <c r="F154" i="5"/>
  <c r="R154" i="5" s="1"/>
  <c r="AD168" i="5"/>
  <c r="AC169" i="5"/>
  <c r="BJ169" i="5"/>
  <c r="N165" i="5"/>
  <c r="CW138" i="4"/>
  <c r="CX138" i="4" s="1"/>
  <c r="CA138" i="4"/>
  <c r="BP139" i="4"/>
  <c r="CY139" i="4"/>
  <c r="CW139" i="4"/>
  <c r="BI139" i="4"/>
  <c r="CA139" i="4" s="1"/>
  <c r="X139" i="4"/>
  <c r="K158" i="4" s="1"/>
  <c r="DL165" i="5"/>
  <c r="DZ165" i="5"/>
  <c r="EA163" i="5"/>
  <c r="I163" i="5"/>
  <c r="U163" i="5" s="1"/>
  <c r="DM163" i="5"/>
  <c r="DN162" i="5"/>
  <c r="H163" i="5" s="1"/>
  <c r="T163" i="5" s="1"/>
  <c r="CX165" i="5"/>
  <c r="CY162" i="5"/>
  <c r="CZ162" i="5"/>
  <c r="G163" i="5" s="1"/>
  <c r="S163" i="5" s="1"/>
  <c r="DD135" i="4"/>
  <c r="DE135" i="4" s="1"/>
  <c r="H154" i="4" s="1"/>
  <c r="DH134" i="4"/>
  <c r="I153" i="4" s="1"/>
  <c r="DF164" i="5"/>
  <c r="DG164" i="5" s="1"/>
  <c r="CP164" i="5"/>
  <c r="CQ164" i="5" s="1"/>
  <c r="CS164" i="5" s="1"/>
  <c r="CO164" i="5"/>
  <c r="CW163" i="5" s="1"/>
  <c r="B166" i="5"/>
  <c r="DV165" i="5"/>
  <c r="CT165" i="5"/>
  <c r="CR165" i="5"/>
  <c r="DH165" i="5"/>
  <c r="BY165" i="5"/>
  <c r="CD165" i="5" s="1"/>
  <c r="AA166" i="5"/>
  <c r="AB165" i="5"/>
  <c r="K166" i="5" s="1"/>
  <c r="W166" i="5" s="1"/>
  <c r="CN165" i="5"/>
  <c r="DT164" i="5"/>
  <c r="DU164" i="5" s="1"/>
  <c r="DS165" i="5"/>
  <c r="DR165" i="5"/>
  <c r="DP165" i="5"/>
  <c r="DQ165" i="5"/>
  <c r="DY164" i="5" s="1"/>
  <c r="DD165" i="5"/>
  <c r="DB165" i="5"/>
  <c r="DE165" i="5"/>
  <c r="DC165" i="5"/>
  <c r="DK164" i="5" s="1"/>
  <c r="DI163" i="5"/>
  <c r="DJ163" i="5" s="1"/>
  <c r="DN163" i="5" s="1"/>
  <c r="DW163" i="5"/>
  <c r="DX163" i="5" s="1"/>
  <c r="DG137" i="4"/>
  <c r="DB137" i="4"/>
  <c r="DC137" i="4" s="1"/>
  <c r="W140" i="4"/>
  <c r="C158" i="4"/>
  <c r="B157" i="4" s="1"/>
  <c r="AA136" i="4" l="1"/>
  <c r="AT135" i="4" s="1"/>
  <c r="CA166" i="5"/>
  <c r="CL159" i="5"/>
  <c r="CK159" i="5"/>
  <c r="BK166" i="5"/>
  <c r="AX155" i="5"/>
  <c r="AZ155" i="5" s="1"/>
  <c r="AW156" i="5"/>
  <c r="BD154" i="5"/>
  <c r="BF154" i="5" s="1"/>
  <c r="BC154" i="5"/>
  <c r="BG154" i="5" s="1"/>
  <c r="D155" i="5" s="1"/>
  <c r="P155" i="5" s="1"/>
  <c r="BO166" i="5"/>
  <c r="CF166" i="5"/>
  <c r="BA166" i="5"/>
  <c r="BE166" i="5"/>
  <c r="CJ166" i="5"/>
  <c r="AY166" i="5"/>
  <c r="CC160" i="5"/>
  <c r="CE160" i="5" s="1"/>
  <c r="CH160" i="5" s="1"/>
  <c r="CB161" i="5"/>
  <c r="BB156" i="5"/>
  <c r="AU157" i="5"/>
  <c r="BZ166" i="5"/>
  <c r="CG166" i="5" s="1"/>
  <c r="BP154" i="5"/>
  <c r="BR154" i="5" s="1"/>
  <c r="BS154" i="5" s="1"/>
  <c r="BW154" i="5" s="1"/>
  <c r="E155" i="5" s="1"/>
  <c r="Q155" i="5" s="1"/>
  <c r="BJ99" i="4"/>
  <c r="BQ99" i="4" s="1"/>
  <c r="BQ166" i="5"/>
  <c r="BL156" i="5"/>
  <c r="BT155" i="5" s="1"/>
  <c r="BV154" i="5"/>
  <c r="BM156" i="5"/>
  <c r="J165" i="5"/>
  <c r="V165" i="5" s="1"/>
  <c r="AQ139" i="4"/>
  <c r="AD139" i="4"/>
  <c r="BN139" i="4"/>
  <c r="CE140" i="4"/>
  <c r="AF140" i="4"/>
  <c r="AU140" i="4"/>
  <c r="Y140" i="4"/>
  <c r="AE135" i="4"/>
  <c r="AG135" i="4" s="1"/>
  <c r="AB136" i="4"/>
  <c r="AA137" i="4"/>
  <c r="AT136" i="4" s="1"/>
  <c r="AW134" i="4"/>
  <c r="Z140" i="4"/>
  <c r="BU166" i="5"/>
  <c r="AK166" i="5"/>
  <c r="AO166" i="5"/>
  <c r="AI166" i="5"/>
  <c r="F155" i="5"/>
  <c r="R155" i="5" s="1"/>
  <c r="BK97" i="4"/>
  <c r="CD96" i="4" s="1"/>
  <c r="CM78" i="4"/>
  <c r="CP78" i="4"/>
  <c r="CH78" i="4"/>
  <c r="CI78" i="4" s="1"/>
  <c r="CJ78" i="4" s="1"/>
  <c r="CF79" i="4" s="1"/>
  <c r="BM96" i="4"/>
  <c r="BO96" i="4" s="1"/>
  <c r="BL97" i="4"/>
  <c r="AD169" i="5"/>
  <c r="AC170" i="5"/>
  <c r="BJ170" i="5"/>
  <c r="DT165" i="5"/>
  <c r="DU165" i="5" s="1"/>
  <c r="J158" i="4"/>
  <c r="CY140" i="4"/>
  <c r="BP140" i="4"/>
  <c r="CW140" i="4"/>
  <c r="BI140" i="4"/>
  <c r="BN140" i="4" s="1"/>
  <c r="X140" i="4"/>
  <c r="K159" i="4" s="1"/>
  <c r="DL166" i="5"/>
  <c r="DZ166" i="5"/>
  <c r="EA164" i="5"/>
  <c r="EB163" i="5"/>
  <c r="I164" i="5" s="1"/>
  <c r="U164" i="5" s="1"/>
  <c r="DM164" i="5"/>
  <c r="H164" i="5"/>
  <c r="T164" i="5" s="1"/>
  <c r="CZ163" i="5"/>
  <c r="G164" i="5" s="1"/>
  <c r="S164" i="5" s="1"/>
  <c r="CY163" i="5"/>
  <c r="CX166" i="5"/>
  <c r="DD136" i="4"/>
  <c r="DE136" i="4" s="1"/>
  <c r="H155" i="4" s="1"/>
  <c r="DH135" i="4"/>
  <c r="I154" i="4" s="1"/>
  <c r="N166" i="5"/>
  <c r="DG138" i="4"/>
  <c r="CS139" i="4"/>
  <c r="CQ165" i="5"/>
  <c r="CS165" i="5" s="1"/>
  <c r="CP165" i="5"/>
  <c r="CP166" i="5" s="1"/>
  <c r="DW164" i="5"/>
  <c r="DX164" i="5" s="1"/>
  <c r="DE166" i="5"/>
  <c r="DC166" i="5"/>
  <c r="DK165" i="5" s="1"/>
  <c r="DB166" i="5"/>
  <c r="DD166" i="5"/>
  <c r="DS166" i="5"/>
  <c r="DQ166" i="5"/>
  <c r="DY165" i="5" s="1"/>
  <c r="DR166" i="5"/>
  <c r="DP166" i="5"/>
  <c r="CO165" i="5"/>
  <c r="CW164" i="5" s="1"/>
  <c r="DI164" i="5"/>
  <c r="DJ164" i="5" s="1"/>
  <c r="DN164" i="5" s="1"/>
  <c r="DF165" i="5"/>
  <c r="DG165" i="5" s="1"/>
  <c r="B167" i="5"/>
  <c r="CR166" i="5"/>
  <c r="CT166" i="5"/>
  <c r="AA167" i="5"/>
  <c r="DH166" i="5"/>
  <c r="BY166" i="5"/>
  <c r="CD166" i="5" s="1"/>
  <c r="DV166" i="5"/>
  <c r="AB166" i="5"/>
  <c r="K167" i="5" s="1"/>
  <c r="W167" i="5" s="1"/>
  <c r="CN166" i="5"/>
  <c r="CU164" i="5"/>
  <c r="CV164" i="5" s="1"/>
  <c r="DB138" i="4"/>
  <c r="DC138" i="4" s="1"/>
  <c r="W141" i="4"/>
  <c r="C159" i="4"/>
  <c r="BK167" i="5" l="1"/>
  <c r="CA167" i="5"/>
  <c r="CI166" i="5"/>
  <c r="CL160" i="5"/>
  <c r="CK160" i="5"/>
  <c r="BB157" i="5"/>
  <c r="AU158" i="5"/>
  <c r="CC161" i="5"/>
  <c r="CE161" i="5" s="1"/>
  <c r="CH161" i="5" s="1"/>
  <c r="CB162" i="5"/>
  <c r="AX156" i="5"/>
  <c r="AZ156" i="5" s="1"/>
  <c r="AW157" i="5"/>
  <c r="BZ167" i="5"/>
  <c r="CG167" i="5" s="1"/>
  <c r="BD155" i="5"/>
  <c r="BF155" i="5" s="1"/>
  <c r="BC155" i="5"/>
  <c r="BG155" i="5" s="1"/>
  <c r="D156" i="5" s="1"/>
  <c r="P156" i="5" s="1"/>
  <c r="BO167" i="5"/>
  <c r="CF167" i="5"/>
  <c r="CI167" i="5" s="1"/>
  <c r="CJ167" i="5"/>
  <c r="BA167" i="5"/>
  <c r="AY167" i="5"/>
  <c r="BE167" i="5"/>
  <c r="BJ100" i="4"/>
  <c r="BQ100" i="4" s="1"/>
  <c r="BP155" i="5"/>
  <c r="BR155" i="5" s="1"/>
  <c r="BS155" i="5" s="1"/>
  <c r="BW155" i="5" s="1"/>
  <c r="E156" i="5" s="1"/>
  <c r="Q156" i="5" s="1"/>
  <c r="J166" i="5"/>
  <c r="V166" i="5" s="1"/>
  <c r="BQ167" i="5"/>
  <c r="BK168" i="5" s="1"/>
  <c r="BM157" i="5"/>
  <c r="BL157" i="5"/>
  <c r="BT156" i="5" s="1"/>
  <c r="BV155" i="5"/>
  <c r="AQ140" i="4"/>
  <c r="AD140" i="4"/>
  <c r="Z141" i="4"/>
  <c r="AE136" i="4"/>
  <c r="AG136" i="4" s="1"/>
  <c r="AB137" i="4"/>
  <c r="AW135" i="4"/>
  <c r="AF141" i="4"/>
  <c r="AU141" i="4"/>
  <c r="CE141" i="4"/>
  <c r="Y141" i="4"/>
  <c r="AA138" i="4"/>
  <c r="AT137" i="4" s="1"/>
  <c r="AK167" i="5"/>
  <c r="BU167" i="5"/>
  <c r="AO167" i="5"/>
  <c r="AI167" i="5"/>
  <c r="CQ78" i="4"/>
  <c r="G97" i="4" s="1"/>
  <c r="CN78" i="4"/>
  <c r="F97" i="4" s="1"/>
  <c r="BR79" i="4"/>
  <c r="BS91" i="4" s="1"/>
  <c r="BT103" i="4" s="1"/>
  <c r="BU115" i="4" s="1"/>
  <c r="BM97" i="4"/>
  <c r="BO97" i="4" s="1"/>
  <c r="BL98" i="4"/>
  <c r="CG79" i="4"/>
  <c r="CH79" i="4" s="1"/>
  <c r="CI79" i="4" s="1"/>
  <c r="CJ79" i="4" s="1"/>
  <c r="CF80" i="4" s="1"/>
  <c r="BK98" i="4"/>
  <c r="CD97" i="4" s="1"/>
  <c r="F156" i="5"/>
  <c r="R156" i="5" s="1"/>
  <c r="AD170" i="5"/>
  <c r="AC171" i="5"/>
  <c r="BJ171" i="5"/>
  <c r="DF166" i="5"/>
  <c r="DG166" i="5" s="1"/>
  <c r="J159" i="4"/>
  <c r="BP141" i="4"/>
  <c r="CW141" i="4"/>
  <c r="CY141" i="4"/>
  <c r="BI141" i="4"/>
  <c r="CA141" i="4" s="1"/>
  <c r="X141" i="4"/>
  <c r="K160" i="4" s="1"/>
  <c r="CA140" i="4"/>
  <c r="DL167" i="5"/>
  <c r="DZ167" i="5"/>
  <c r="EB164" i="5"/>
  <c r="I165" i="5" s="1"/>
  <c r="U165" i="5" s="1"/>
  <c r="EA165" i="5"/>
  <c r="H165" i="5"/>
  <c r="T165" i="5" s="1"/>
  <c r="DM165" i="5"/>
  <c r="CY164" i="5"/>
  <c r="CZ164" i="5"/>
  <c r="G165" i="5" s="1"/>
  <c r="S165" i="5" s="1"/>
  <c r="CX167" i="5"/>
  <c r="DD137" i="4"/>
  <c r="DE137" i="4" s="1"/>
  <c r="H156" i="4" s="1"/>
  <c r="DH136" i="4"/>
  <c r="I155" i="4" s="1"/>
  <c r="N167" i="5"/>
  <c r="CS140" i="4"/>
  <c r="CS141" i="4" s="1"/>
  <c r="CT139" i="4"/>
  <c r="CT140" i="4" s="1"/>
  <c r="CT141" i="4" s="1"/>
  <c r="CQ166" i="5"/>
  <c r="CS166" i="5" s="1"/>
  <c r="CU165" i="5"/>
  <c r="CV165" i="5" s="1"/>
  <c r="DT166" i="5"/>
  <c r="DU166" i="5" s="1"/>
  <c r="CO166" i="5"/>
  <c r="CW165" i="5" s="1"/>
  <c r="DI165" i="5"/>
  <c r="DJ165" i="5" s="1"/>
  <c r="DE167" i="5"/>
  <c r="DD167" i="5"/>
  <c r="DB167" i="5"/>
  <c r="DC167" i="5"/>
  <c r="DK166" i="5" s="1"/>
  <c r="B168" i="5"/>
  <c r="CR167" i="5"/>
  <c r="BY167" i="5"/>
  <c r="CD167" i="5" s="1"/>
  <c r="DV167" i="5"/>
  <c r="CT167" i="5"/>
  <c r="DH167" i="5"/>
  <c r="AA168" i="5"/>
  <c r="AB167" i="5"/>
  <c r="K168" i="5" s="1"/>
  <c r="W168" i="5" s="1"/>
  <c r="DW165" i="5"/>
  <c r="DX165" i="5" s="1"/>
  <c r="EB165" i="5" s="1"/>
  <c r="CP167" i="5"/>
  <c r="CN167" i="5"/>
  <c r="DS167" i="5"/>
  <c r="DQ167" i="5"/>
  <c r="DY166" i="5" s="1"/>
  <c r="DR167" i="5"/>
  <c r="DP167" i="5"/>
  <c r="CU139" i="4"/>
  <c r="W142" i="4"/>
  <c r="C160" i="4"/>
  <c r="CK161" i="5" l="1"/>
  <c r="CL161" i="5"/>
  <c r="BO168" i="5"/>
  <c r="CJ168" i="5"/>
  <c r="AY168" i="5"/>
  <c r="CF168" i="5"/>
  <c r="CI168" i="5" s="1"/>
  <c r="BA168" i="5"/>
  <c r="BE168" i="5"/>
  <c r="CC162" i="5"/>
  <c r="CE162" i="5" s="1"/>
  <c r="CH162" i="5" s="1"/>
  <c r="CB163" i="5"/>
  <c r="BB158" i="5"/>
  <c r="AU159" i="5"/>
  <c r="BZ168" i="5"/>
  <c r="CG168" i="5" s="1"/>
  <c r="AX157" i="5"/>
  <c r="AZ157" i="5" s="1"/>
  <c r="AW158" i="5"/>
  <c r="BD156" i="5"/>
  <c r="BF156" i="5" s="1"/>
  <c r="BC156" i="5"/>
  <c r="BG156" i="5" s="1"/>
  <c r="D157" i="5" s="1"/>
  <c r="P157" i="5" s="1"/>
  <c r="CA168" i="5"/>
  <c r="BJ101" i="4"/>
  <c r="BQ101" i="4" s="1"/>
  <c r="J167" i="5"/>
  <c r="V167" i="5" s="1"/>
  <c r="BP156" i="5"/>
  <c r="BR156" i="5" s="1"/>
  <c r="BS156" i="5" s="1"/>
  <c r="BW156" i="5" s="1"/>
  <c r="E157" i="5" s="1"/>
  <c r="Q157" i="5" s="1"/>
  <c r="BQ168" i="5"/>
  <c r="BK169" i="5" s="1"/>
  <c r="BV156" i="5"/>
  <c r="BL158" i="5"/>
  <c r="BT157" i="5" s="1"/>
  <c r="BM158" i="5"/>
  <c r="AQ141" i="4"/>
  <c r="AD141" i="4"/>
  <c r="AA139" i="4"/>
  <c r="AW136" i="4"/>
  <c r="Z142" i="4"/>
  <c r="AE137" i="4"/>
  <c r="AG137" i="4" s="1"/>
  <c r="AB138" i="4"/>
  <c r="AF142" i="4"/>
  <c r="AU142" i="4"/>
  <c r="CE142" i="4"/>
  <c r="Y142" i="4"/>
  <c r="BN141" i="4"/>
  <c r="BU168" i="5"/>
  <c r="AK168" i="5"/>
  <c r="AO168" i="5"/>
  <c r="AI168" i="5"/>
  <c r="CG80" i="4"/>
  <c r="CH80" i="4" s="1"/>
  <c r="CI80" i="4" s="1"/>
  <c r="CJ80" i="4" s="1"/>
  <c r="CF81" i="4" s="1"/>
  <c r="BR80" i="4"/>
  <c r="BS92" i="4" s="1"/>
  <c r="BT104" i="4" s="1"/>
  <c r="BU116" i="4" s="1"/>
  <c r="F157" i="5"/>
  <c r="R157" i="5" s="1"/>
  <c r="BM98" i="4"/>
  <c r="BO98" i="4" s="1"/>
  <c r="BL99" i="4"/>
  <c r="BV79" i="4"/>
  <c r="BX79" i="4" s="1"/>
  <c r="CK79" i="4" s="1"/>
  <c r="CL79" i="4" s="1"/>
  <c r="BK99" i="4"/>
  <c r="CD98" i="4" s="1"/>
  <c r="AD171" i="5"/>
  <c r="AC172" i="5"/>
  <c r="BJ172" i="5"/>
  <c r="DF167" i="5"/>
  <c r="DG167" i="5" s="1"/>
  <c r="J160" i="4"/>
  <c r="CT142" i="4"/>
  <c r="CS142" i="4"/>
  <c r="DD138" i="4"/>
  <c r="DH138" i="4" s="1"/>
  <c r="I157" i="4" s="1"/>
  <c r="DH137" i="4"/>
  <c r="I156" i="4" s="1"/>
  <c r="CY142" i="4"/>
  <c r="CW142" i="4"/>
  <c r="BP142" i="4"/>
  <c r="BI142" i="4"/>
  <c r="CA142" i="4" s="1"/>
  <c r="X142" i="4"/>
  <c r="K161" i="4" s="1"/>
  <c r="CO167" i="5"/>
  <c r="CW166" i="5" s="1"/>
  <c r="DL168" i="5"/>
  <c r="DZ168" i="5"/>
  <c r="EA166" i="5"/>
  <c r="I166" i="5"/>
  <c r="U166" i="5" s="1"/>
  <c r="DM166" i="5"/>
  <c r="DN165" i="5"/>
  <c r="H166" i="5" s="1"/>
  <c r="T166" i="5" s="1"/>
  <c r="CX168" i="5"/>
  <c r="CZ165" i="5"/>
  <c r="G166" i="5" s="1"/>
  <c r="S166" i="5" s="1"/>
  <c r="CY165" i="5"/>
  <c r="CZ138" i="4"/>
  <c r="DA138" i="4" s="1"/>
  <c r="N168" i="5"/>
  <c r="CV139" i="4"/>
  <c r="CV140" i="4" s="1"/>
  <c r="CV141" i="4" s="1"/>
  <c r="CV142" i="4" s="1"/>
  <c r="CQ167" i="5"/>
  <c r="CS167" i="5" s="1"/>
  <c r="CZ139" i="4"/>
  <c r="DB168" i="5"/>
  <c r="DE168" i="5"/>
  <c r="DC168" i="5"/>
  <c r="DK167" i="5" s="1"/>
  <c r="DD168" i="5"/>
  <c r="CN168" i="5"/>
  <c r="CP168" i="5"/>
  <c r="DT167" i="5"/>
  <c r="DU167" i="5" s="1"/>
  <c r="DP168" i="5"/>
  <c r="DR168" i="5"/>
  <c r="DS168" i="5"/>
  <c r="DQ168" i="5"/>
  <c r="DY167" i="5" s="1"/>
  <c r="B169" i="5"/>
  <c r="CR168" i="5"/>
  <c r="DH168" i="5"/>
  <c r="BY168" i="5"/>
  <c r="CD168" i="5" s="1"/>
  <c r="CT168" i="5"/>
  <c r="DV168" i="5"/>
  <c r="AA169" i="5"/>
  <c r="AB168" i="5"/>
  <c r="K169" i="5" s="1"/>
  <c r="W169" i="5" s="1"/>
  <c r="CU166" i="5"/>
  <c r="CV166" i="5" s="1"/>
  <c r="DI166" i="5"/>
  <c r="DJ166" i="5" s="1"/>
  <c r="DW166" i="5"/>
  <c r="DX166" i="5" s="1"/>
  <c r="CU140" i="4"/>
  <c r="CU141" i="4" s="1"/>
  <c r="CU142" i="4" s="1"/>
  <c r="W143" i="4"/>
  <c r="C161" i="4"/>
  <c r="CL162" i="5" l="1"/>
  <c r="CK162" i="5"/>
  <c r="AX158" i="5"/>
  <c r="AZ158" i="5" s="1"/>
  <c r="AW159" i="5"/>
  <c r="CC163" i="5"/>
  <c r="CE163" i="5" s="1"/>
  <c r="CI163" i="5" s="1"/>
  <c r="CB164" i="5"/>
  <c r="BZ169" i="5"/>
  <c r="CG169" i="5" s="1"/>
  <c r="BO169" i="5"/>
  <c r="BA169" i="5"/>
  <c r="AY169" i="5"/>
  <c r="CJ169" i="5"/>
  <c r="CF169" i="5"/>
  <c r="CI169" i="5" s="1"/>
  <c r="BE169" i="5"/>
  <c r="BD157" i="5"/>
  <c r="BF157" i="5" s="1"/>
  <c r="BC157" i="5"/>
  <c r="BG157" i="5" s="1"/>
  <c r="D158" i="5" s="1"/>
  <c r="P158" i="5" s="1"/>
  <c r="CA169" i="5"/>
  <c r="BB159" i="5"/>
  <c r="AU160" i="5"/>
  <c r="BJ102" i="4"/>
  <c r="BQ102" i="4" s="1"/>
  <c r="J168" i="5"/>
  <c r="V168" i="5" s="1"/>
  <c r="AA140" i="4"/>
  <c r="AT139" i="4" s="1"/>
  <c r="AT138" i="4"/>
  <c r="BP157" i="5"/>
  <c r="BR157" i="5" s="1"/>
  <c r="BS157" i="5" s="1"/>
  <c r="BW157" i="5" s="1"/>
  <c r="E158" i="5" s="1"/>
  <c r="Q158" i="5" s="1"/>
  <c r="BQ169" i="5"/>
  <c r="BK170" i="5" s="1"/>
  <c r="BM159" i="5"/>
  <c r="BP158" i="5"/>
  <c r="BL159" i="5"/>
  <c r="BT158" i="5" s="1"/>
  <c r="BV157" i="5"/>
  <c r="AQ142" i="4"/>
  <c r="AD142" i="4"/>
  <c r="BN142" i="4"/>
  <c r="AW137" i="4"/>
  <c r="AF143" i="4"/>
  <c r="CE143" i="4"/>
  <c r="AU143" i="4"/>
  <c r="Y143" i="4"/>
  <c r="Z143" i="4"/>
  <c r="AE138" i="4"/>
  <c r="AB139" i="4"/>
  <c r="BU169" i="5"/>
  <c r="AK169" i="5"/>
  <c r="AO169" i="5"/>
  <c r="AI169" i="5"/>
  <c r="CG81" i="4"/>
  <c r="CC91" i="4"/>
  <c r="BZ91" i="4"/>
  <c r="CB91" i="4" s="1"/>
  <c r="F158" i="5"/>
  <c r="R158" i="5" s="1"/>
  <c r="BK100" i="4"/>
  <c r="CD99" i="4" s="1"/>
  <c r="BR81" i="4"/>
  <c r="BS93" i="4" s="1"/>
  <c r="BT105" i="4" s="1"/>
  <c r="BU117" i="4" s="1"/>
  <c r="BY79" i="4"/>
  <c r="CO79" i="4" s="1"/>
  <c r="CP79" i="4" s="1"/>
  <c r="BM99" i="4"/>
  <c r="BO99" i="4" s="1"/>
  <c r="BL100" i="4"/>
  <c r="BV80" i="4"/>
  <c r="BX80" i="4" s="1"/>
  <c r="CK80" i="4" s="1"/>
  <c r="CL80" i="4" s="1"/>
  <c r="CM79" i="4"/>
  <c r="CN79" i="4" s="1"/>
  <c r="F98" i="4" s="1"/>
  <c r="AD172" i="5"/>
  <c r="AC173" i="5"/>
  <c r="BJ173" i="5"/>
  <c r="DF168" i="5"/>
  <c r="DG168" i="5" s="1"/>
  <c r="DE138" i="4"/>
  <c r="H157" i="4" s="1"/>
  <c r="J161" i="4"/>
  <c r="CT143" i="4"/>
  <c r="CV143" i="4"/>
  <c r="CO168" i="5"/>
  <c r="CW167" i="5" s="1"/>
  <c r="CY143" i="4"/>
  <c r="CW143" i="4"/>
  <c r="BP143" i="4"/>
  <c r="BI143" i="4"/>
  <c r="CA143" i="4" s="1"/>
  <c r="X143" i="4"/>
  <c r="K162" i="4" s="1"/>
  <c r="CS143" i="4"/>
  <c r="DL169" i="5"/>
  <c r="DZ169" i="5"/>
  <c r="EA167" i="5"/>
  <c r="EB166" i="5"/>
  <c r="I167" i="5" s="1"/>
  <c r="U167" i="5" s="1"/>
  <c r="DM167" i="5"/>
  <c r="DN166" i="5"/>
  <c r="H167" i="5" s="1"/>
  <c r="T167" i="5" s="1"/>
  <c r="CZ166" i="5"/>
  <c r="G167" i="5" s="1"/>
  <c r="S167" i="5" s="1"/>
  <c r="CY166" i="5"/>
  <c r="CX169" i="5"/>
  <c r="DA139" i="4"/>
  <c r="N169" i="5"/>
  <c r="CX140" i="4"/>
  <c r="DF140" i="4" s="1"/>
  <c r="CX139" i="4"/>
  <c r="DF139" i="4" s="1"/>
  <c r="CQ168" i="5"/>
  <c r="CQ169" i="5" s="1"/>
  <c r="CZ140" i="4"/>
  <c r="DW167" i="5"/>
  <c r="DX167" i="5" s="1"/>
  <c r="EB167" i="5" s="1"/>
  <c r="B170" i="5"/>
  <c r="AA170" i="5"/>
  <c r="DV169" i="5"/>
  <c r="CT169" i="5"/>
  <c r="CR169" i="5"/>
  <c r="DH169" i="5"/>
  <c r="BY169" i="5"/>
  <c r="CD169" i="5" s="1"/>
  <c r="AB169" i="5"/>
  <c r="K170" i="5" s="1"/>
  <c r="W170" i="5" s="1"/>
  <c r="DP169" i="5"/>
  <c r="DR169" i="5"/>
  <c r="DQ169" i="5"/>
  <c r="DY168" i="5" s="1"/>
  <c r="DS169" i="5"/>
  <c r="CN169" i="5"/>
  <c r="CP169" i="5"/>
  <c r="DT168" i="5"/>
  <c r="DU168" i="5" s="1"/>
  <c r="DD169" i="5"/>
  <c r="DC169" i="5"/>
  <c r="DK168" i="5" s="1"/>
  <c r="DB169" i="5"/>
  <c r="DE169" i="5"/>
  <c r="DI167" i="5"/>
  <c r="DJ167" i="5" s="1"/>
  <c r="DN167" i="5" s="1"/>
  <c r="CU167" i="5"/>
  <c r="CV167" i="5" s="1"/>
  <c r="CX141" i="4"/>
  <c r="DF141" i="4" s="1"/>
  <c r="CU143" i="4"/>
  <c r="W144" i="4"/>
  <c r="C162" i="4"/>
  <c r="CA170" i="5" l="1"/>
  <c r="AA141" i="4"/>
  <c r="AT140" i="4" s="1"/>
  <c r="BB160" i="5"/>
  <c r="AU161" i="5"/>
  <c r="CC164" i="5"/>
  <c r="CE164" i="5" s="1"/>
  <c r="CH164" i="5" s="1"/>
  <c r="CB165" i="5"/>
  <c r="BZ170" i="5"/>
  <c r="CG170" i="5" s="1"/>
  <c r="CK163" i="5"/>
  <c r="CH163" i="5"/>
  <c r="CL163" i="5" s="1"/>
  <c r="AX159" i="5"/>
  <c r="AZ159" i="5" s="1"/>
  <c r="AW160" i="5"/>
  <c r="BO170" i="5"/>
  <c r="CF170" i="5"/>
  <c r="CJ170" i="5"/>
  <c r="BA170" i="5"/>
  <c r="BE170" i="5"/>
  <c r="AY170" i="5"/>
  <c r="BD158" i="5"/>
  <c r="BF158" i="5" s="1"/>
  <c r="BC158" i="5"/>
  <c r="BG158" i="5" s="1"/>
  <c r="D159" i="5" s="1"/>
  <c r="P159" i="5" s="1"/>
  <c r="J169" i="5"/>
  <c r="V169" i="5" s="1"/>
  <c r="AG138" i="4"/>
  <c r="AC139" i="4"/>
  <c r="AC140" i="4" s="1"/>
  <c r="AC141" i="4" s="1"/>
  <c r="AC142" i="4" s="1"/>
  <c r="AC143" i="4" s="1"/>
  <c r="AC144" i="4" s="1"/>
  <c r="BR158" i="5"/>
  <c r="BS158" i="5" s="1"/>
  <c r="BW158" i="5" s="1"/>
  <c r="E159" i="5" s="1"/>
  <c r="Q159" i="5" s="1"/>
  <c r="BQ170" i="5"/>
  <c r="BK171" i="5" s="1"/>
  <c r="BL160" i="5"/>
  <c r="BT159" i="5" s="1"/>
  <c r="BV158" i="5"/>
  <c r="BM160" i="5"/>
  <c r="BP159" i="5"/>
  <c r="AQ143" i="4"/>
  <c r="AD143" i="4"/>
  <c r="AU144" i="4"/>
  <c r="AF144" i="4"/>
  <c r="CE144" i="4"/>
  <c r="Y144" i="4"/>
  <c r="AW139" i="4"/>
  <c r="Z144" i="4"/>
  <c r="AB140" i="4"/>
  <c r="BN143" i="4"/>
  <c r="BU170" i="5"/>
  <c r="AO170" i="5"/>
  <c r="AK170" i="5"/>
  <c r="AI170" i="5"/>
  <c r="BY80" i="4"/>
  <c r="CO80" i="4" s="1"/>
  <c r="CP80" i="4" s="1"/>
  <c r="BV81" i="4"/>
  <c r="BX81" i="4" s="1"/>
  <c r="CK81" i="4" s="1"/>
  <c r="CL81" i="4" s="1"/>
  <c r="CH81" i="4"/>
  <c r="CI81" i="4" s="1"/>
  <c r="CJ81" i="4" s="1"/>
  <c r="CF82" i="4" s="1"/>
  <c r="CM80" i="4"/>
  <c r="CN80" i="4" s="1"/>
  <c r="F99" i="4" s="1"/>
  <c r="F159" i="5"/>
  <c r="R159" i="5" s="1"/>
  <c r="CC92" i="4"/>
  <c r="BZ92" i="4"/>
  <c r="CB92" i="4" s="1"/>
  <c r="CQ79" i="4"/>
  <c r="G98" i="4" s="1"/>
  <c r="BM100" i="4"/>
  <c r="BO100" i="4" s="1"/>
  <c r="BL101" i="4"/>
  <c r="BK101" i="4"/>
  <c r="CD100" i="4" s="1"/>
  <c r="AD173" i="5"/>
  <c r="AC174" i="5"/>
  <c r="BJ174" i="5"/>
  <c r="DT169" i="5"/>
  <c r="DU169" i="5" s="1"/>
  <c r="CO169" i="5"/>
  <c r="CW168" i="5" s="1"/>
  <c r="CT144" i="4"/>
  <c r="CV144" i="4"/>
  <c r="J162" i="4"/>
  <c r="CY144" i="4"/>
  <c r="CW144" i="4"/>
  <c r="BP144" i="4"/>
  <c r="BI144" i="4"/>
  <c r="CA144" i="4" s="1"/>
  <c r="X144" i="4"/>
  <c r="K163" i="4" s="1"/>
  <c r="CS144" i="4"/>
  <c r="DL170" i="5"/>
  <c r="DZ170" i="5"/>
  <c r="I168" i="5"/>
  <c r="U168" i="5" s="1"/>
  <c r="EA168" i="5"/>
  <c r="DM168" i="5"/>
  <c r="H168" i="5"/>
  <c r="T168" i="5" s="1"/>
  <c r="CX170" i="5"/>
  <c r="CZ167" i="5"/>
  <c r="G168" i="5" s="1"/>
  <c r="S168" i="5" s="1"/>
  <c r="CY167" i="5"/>
  <c r="DA140" i="4"/>
  <c r="DB141" i="4" s="1"/>
  <c r="DC141" i="4" s="1"/>
  <c r="N170" i="5"/>
  <c r="DG140" i="4"/>
  <c r="DB140" i="4"/>
  <c r="DC140" i="4" s="1"/>
  <c r="DB139" i="4"/>
  <c r="DC139" i="4" s="1"/>
  <c r="DG139" i="4"/>
  <c r="CS168" i="5"/>
  <c r="CU168" i="5" s="1"/>
  <c r="CV168" i="5" s="1"/>
  <c r="CZ141" i="4"/>
  <c r="CS169" i="5"/>
  <c r="CU169" i="5" s="1"/>
  <c r="CV169" i="5" s="1"/>
  <c r="DW168" i="5"/>
  <c r="DX168" i="5" s="1"/>
  <c r="EB168" i="5" s="1"/>
  <c r="DQ170" i="5"/>
  <c r="DY169" i="5" s="1"/>
  <c r="DS170" i="5"/>
  <c r="DR170" i="5"/>
  <c r="DP170" i="5"/>
  <c r="CN170" i="5"/>
  <c r="CQ170" i="5"/>
  <c r="CP170" i="5"/>
  <c r="DF169" i="5"/>
  <c r="DG169" i="5" s="1"/>
  <c r="DE170" i="5"/>
  <c r="DD170" i="5"/>
  <c r="DC170" i="5"/>
  <c r="DK169" i="5" s="1"/>
  <c r="DB170" i="5"/>
  <c r="B171" i="5"/>
  <c r="DV170" i="5"/>
  <c r="CT170" i="5"/>
  <c r="AA171" i="5"/>
  <c r="BY170" i="5"/>
  <c r="CD170" i="5" s="1"/>
  <c r="DH170" i="5"/>
  <c r="CR170" i="5"/>
  <c r="AB170" i="5"/>
  <c r="K171" i="5" s="1"/>
  <c r="W171" i="5" s="1"/>
  <c r="DI168" i="5"/>
  <c r="DJ168" i="5" s="1"/>
  <c r="DN168" i="5" s="1"/>
  <c r="DG141" i="4"/>
  <c r="CX143" i="4"/>
  <c r="DF143" i="4" s="1"/>
  <c r="C163" i="4"/>
  <c r="W145" i="4"/>
  <c r="CU144" i="4"/>
  <c r="AA142" i="4" l="1"/>
  <c r="AT141" i="4" s="1"/>
  <c r="CA171" i="5"/>
  <c r="CI170" i="5"/>
  <c r="CK164" i="5"/>
  <c r="CL164" i="5"/>
  <c r="AX160" i="5"/>
  <c r="AZ160" i="5" s="1"/>
  <c r="AW161" i="5"/>
  <c r="BD159" i="5"/>
  <c r="BF159" i="5" s="1"/>
  <c r="BC159" i="5"/>
  <c r="BG159" i="5" s="1"/>
  <c r="D160" i="5" s="1"/>
  <c r="P160" i="5" s="1"/>
  <c r="BB161" i="5"/>
  <c r="AU162" i="5"/>
  <c r="BZ171" i="5"/>
  <c r="CG171" i="5" s="1"/>
  <c r="BO171" i="5"/>
  <c r="CF171" i="5"/>
  <c r="CI171" i="5" s="1"/>
  <c r="CJ171" i="5"/>
  <c r="BA171" i="5"/>
  <c r="BE171" i="5"/>
  <c r="AY171" i="5"/>
  <c r="CC165" i="5"/>
  <c r="CE165" i="5" s="1"/>
  <c r="CH165" i="5" s="1"/>
  <c r="CB166" i="5"/>
  <c r="AE139" i="4"/>
  <c r="AG139" i="4" s="1"/>
  <c r="AC145" i="4"/>
  <c r="J170" i="5"/>
  <c r="V170" i="5" s="1"/>
  <c r="BR159" i="5"/>
  <c r="BS159" i="5" s="1"/>
  <c r="BW159" i="5" s="1"/>
  <c r="E160" i="5" s="1"/>
  <c r="Q160" i="5" s="1"/>
  <c r="BQ171" i="5"/>
  <c r="BK172" i="5" s="1"/>
  <c r="BM161" i="5"/>
  <c r="BP160" i="5"/>
  <c r="BV159" i="5"/>
  <c r="BL161" i="5"/>
  <c r="BT160" i="5" s="1"/>
  <c r="AQ144" i="4"/>
  <c r="AD144" i="4"/>
  <c r="AF145" i="4"/>
  <c r="AU145" i="4"/>
  <c r="CE145" i="4"/>
  <c r="Y145" i="4"/>
  <c r="Z145" i="4"/>
  <c r="AE140" i="4"/>
  <c r="AG140" i="4" s="1"/>
  <c r="AB141" i="4"/>
  <c r="BN144" i="4"/>
  <c r="AA143" i="4"/>
  <c r="AT142" i="4" s="1"/>
  <c r="AW140" i="4"/>
  <c r="BU171" i="5"/>
  <c r="AK171" i="5"/>
  <c r="AO171" i="5"/>
  <c r="AI171" i="5"/>
  <c r="CQ80" i="4"/>
  <c r="G99" i="4" s="1"/>
  <c r="F160" i="5"/>
  <c r="R160" i="5" s="1"/>
  <c r="CG82" i="4"/>
  <c r="BR82" i="4"/>
  <c r="BS94" i="4" s="1"/>
  <c r="BT106" i="4" s="1"/>
  <c r="BU118" i="4" s="1"/>
  <c r="BM101" i="4"/>
  <c r="BO101" i="4" s="1"/>
  <c r="BL102" i="4"/>
  <c r="BM102" i="4" s="1"/>
  <c r="BO102" i="4" s="1"/>
  <c r="BY81" i="4"/>
  <c r="CO81" i="4" s="1"/>
  <c r="CP81" i="4" s="1"/>
  <c r="CM81" i="4"/>
  <c r="CN81" i="4" s="1"/>
  <c r="F100" i="4" s="1"/>
  <c r="CC93" i="4"/>
  <c r="BZ93" i="4"/>
  <c r="CB93" i="4" s="1"/>
  <c r="BK102" i="4"/>
  <c r="CD101" i="4" s="1"/>
  <c r="AD174" i="5"/>
  <c r="AC175" i="5"/>
  <c r="BJ175" i="5"/>
  <c r="CT145" i="4"/>
  <c r="CO170" i="5"/>
  <c r="CW169" i="5" s="1"/>
  <c r="J163" i="4"/>
  <c r="BP145" i="4"/>
  <c r="CW145" i="4"/>
  <c r="CY145" i="4"/>
  <c r="BI145" i="4"/>
  <c r="CA145" i="4" s="1"/>
  <c r="X145" i="4"/>
  <c r="K164" i="4" s="1"/>
  <c r="CV145" i="4"/>
  <c r="CS145" i="4"/>
  <c r="DL171" i="5"/>
  <c r="DZ171" i="5"/>
  <c r="I169" i="5"/>
  <c r="U169" i="5" s="1"/>
  <c r="EA169" i="5"/>
  <c r="DM169" i="5"/>
  <c r="H169" i="5"/>
  <c r="T169" i="5" s="1"/>
  <c r="CY168" i="5"/>
  <c r="CZ168" i="5"/>
  <c r="G169" i="5" s="1"/>
  <c r="S169" i="5" s="1"/>
  <c r="CX171" i="5"/>
  <c r="DA141" i="4"/>
  <c r="N171" i="5"/>
  <c r="CZ142" i="4"/>
  <c r="DD139" i="4"/>
  <c r="DG143" i="4"/>
  <c r="DT170" i="5"/>
  <c r="DU170" i="5" s="1"/>
  <c r="DF170" i="5"/>
  <c r="DG170" i="5" s="1"/>
  <c r="DE171" i="5"/>
  <c r="DD171" i="5"/>
  <c r="DB171" i="5"/>
  <c r="DC171" i="5"/>
  <c r="DK170" i="5" s="1"/>
  <c r="DW169" i="5"/>
  <c r="DX169" i="5" s="1"/>
  <c r="CP171" i="5"/>
  <c r="CN171" i="5"/>
  <c r="CQ171" i="5"/>
  <c r="CS170" i="5"/>
  <c r="B172" i="5"/>
  <c r="DH171" i="5"/>
  <c r="BY171" i="5"/>
  <c r="CD171" i="5" s="1"/>
  <c r="AA172" i="5"/>
  <c r="DV171" i="5"/>
  <c r="CT171" i="5"/>
  <c r="CR171" i="5"/>
  <c r="AB171" i="5"/>
  <c r="K172" i="5" s="1"/>
  <c r="W172" i="5" s="1"/>
  <c r="DI169" i="5"/>
  <c r="DJ169" i="5" s="1"/>
  <c r="DR171" i="5"/>
  <c r="DP171" i="5"/>
  <c r="DS171" i="5"/>
  <c r="DQ171" i="5"/>
  <c r="DY170" i="5" s="1"/>
  <c r="CX142" i="4"/>
  <c r="DF142" i="4" s="1"/>
  <c r="W146" i="4"/>
  <c r="C164" i="4"/>
  <c r="CU145" i="4"/>
  <c r="CK165" i="5" l="1"/>
  <c r="CL165" i="5"/>
  <c r="CC166" i="5"/>
  <c r="CE166" i="5" s="1"/>
  <c r="CH166" i="5" s="1"/>
  <c r="CB167" i="5"/>
  <c r="BZ172" i="5"/>
  <c r="CG172" i="5" s="1"/>
  <c r="AX161" i="5"/>
  <c r="AZ161" i="5" s="1"/>
  <c r="AW162" i="5"/>
  <c r="BD160" i="5"/>
  <c r="BF160" i="5" s="1"/>
  <c r="BC160" i="5"/>
  <c r="BG160" i="5" s="1"/>
  <c r="D161" i="5" s="1"/>
  <c r="P161" i="5" s="1"/>
  <c r="BO172" i="5"/>
  <c r="AY172" i="5"/>
  <c r="CF172" i="5"/>
  <c r="CI172" i="5" s="1"/>
  <c r="BA172" i="5"/>
  <c r="CJ172" i="5"/>
  <c r="BE172" i="5"/>
  <c r="BB162" i="5"/>
  <c r="AU163" i="5"/>
  <c r="CA172" i="5"/>
  <c r="CA173" i="5" s="1"/>
  <c r="AC146" i="4"/>
  <c r="J171" i="5"/>
  <c r="V171" i="5" s="1"/>
  <c r="BR160" i="5"/>
  <c r="BS160" i="5" s="1"/>
  <c r="BW160" i="5" s="1"/>
  <c r="E161" i="5" s="1"/>
  <c r="Q161" i="5" s="1"/>
  <c r="BQ172" i="5"/>
  <c r="BK173" i="5" s="1"/>
  <c r="BV160" i="5"/>
  <c r="BL162" i="5"/>
  <c r="BT161" i="5" s="1"/>
  <c r="BM162" i="5"/>
  <c r="BP161" i="5"/>
  <c r="AQ145" i="4"/>
  <c r="AD145" i="4"/>
  <c r="AA144" i="4"/>
  <c r="AT143" i="4" s="1"/>
  <c r="AE141" i="4"/>
  <c r="AG141" i="4" s="1"/>
  <c r="AB142" i="4"/>
  <c r="Z146" i="4"/>
  <c r="BN145" i="4"/>
  <c r="AU146" i="4"/>
  <c r="AF146" i="4"/>
  <c r="CE146" i="4"/>
  <c r="Y146" i="4"/>
  <c r="AW141" i="4"/>
  <c r="BU172" i="5"/>
  <c r="AK172" i="5"/>
  <c r="AO172" i="5"/>
  <c r="AI172" i="5"/>
  <c r="BJ103" i="4"/>
  <c r="BQ103" i="4" s="1"/>
  <c r="CH82" i="4"/>
  <c r="CI82" i="4" s="1"/>
  <c r="CJ82" i="4" s="1"/>
  <c r="CF83" i="4" s="1"/>
  <c r="CQ81" i="4"/>
  <c r="G100" i="4" s="1"/>
  <c r="BV82" i="4"/>
  <c r="BX82" i="4" s="1"/>
  <c r="CK82" i="4" s="1"/>
  <c r="CL82" i="4" s="1"/>
  <c r="F161" i="5"/>
  <c r="R161" i="5" s="1"/>
  <c r="AD175" i="5"/>
  <c r="AC176" i="5"/>
  <c r="BJ176" i="5"/>
  <c r="DF171" i="5"/>
  <c r="DG171" i="5" s="1"/>
  <c r="CT146" i="4"/>
  <c r="CO171" i="5"/>
  <c r="CW170" i="5" s="1"/>
  <c r="J164" i="4"/>
  <c r="CS146" i="4"/>
  <c r="BP146" i="4"/>
  <c r="CY146" i="4"/>
  <c r="CW146" i="4"/>
  <c r="BI146" i="4"/>
  <c r="CA146" i="4" s="1"/>
  <c r="X146" i="4"/>
  <c r="K165" i="4" s="1"/>
  <c r="CV146" i="4"/>
  <c r="DL172" i="5"/>
  <c r="DZ172" i="5"/>
  <c r="EA170" i="5"/>
  <c r="EB169" i="5"/>
  <c r="I170" i="5" s="1"/>
  <c r="U170" i="5" s="1"/>
  <c r="DN169" i="5"/>
  <c r="H170" i="5" s="1"/>
  <c r="T170" i="5" s="1"/>
  <c r="DM170" i="5"/>
  <c r="CX172" i="5"/>
  <c r="CY169" i="5"/>
  <c r="CZ169" i="5"/>
  <c r="G170" i="5" s="1"/>
  <c r="S170" i="5" s="1"/>
  <c r="DA142" i="4"/>
  <c r="DB143" i="4" s="1"/>
  <c r="DC143" i="4" s="1"/>
  <c r="N172" i="5"/>
  <c r="CZ143" i="4"/>
  <c r="DE139" i="4"/>
  <c r="H158" i="4" s="1"/>
  <c r="DD140" i="4"/>
  <c r="DH139" i="4"/>
  <c r="I158" i="4" s="1"/>
  <c r="DG142" i="4"/>
  <c r="DT171" i="5"/>
  <c r="DU171" i="5" s="1"/>
  <c r="DW171" i="5" s="1"/>
  <c r="DX171" i="5" s="1"/>
  <c r="DI170" i="5"/>
  <c r="DJ170" i="5" s="1"/>
  <c r="DN170" i="5" s="1"/>
  <c r="B173" i="5"/>
  <c r="AA173" i="5"/>
  <c r="DH172" i="5"/>
  <c r="BY172" i="5"/>
  <c r="CD172" i="5" s="1"/>
  <c r="DV172" i="5"/>
  <c r="CT172" i="5"/>
  <c r="CR172" i="5"/>
  <c r="AB172" i="5"/>
  <c r="K173" i="5" s="1"/>
  <c r="W173" i="5" s="1"/>
  <c r="CQ172" i="5"/>
  <c r="CN172" i="5"/>
  <c r="CP172" i="5"/>
  <c r="DS172" i="5"/>
  <c r="DQ172" i="5"/>
  <c r="DY171" i="5" s="1"/>
  <c r="DP172" i="5"/>
  <c r="DR172" i="5"/>
  <c r="DE172" i="5"/>
  <c r="DC172" i="5"/>
  <c r="DK171" i="5" s="1"/>
  <c r="DB172" i="5"/>
  <c r="DD172" i="5"/>
  <c r="CS171" i="5"/>
  <c r="DW170" i="5"/>
  <c r="DX170" i="5" s="1"/>
  <c r="EB170" i="5" s="1"/>
  <c r="CU170" i="5"/>
  <c r="CV170" i="5" s="1"/>
  <c r="DB142" i="4"/>
  <c r="DC142" i="4" s="1"/>
  <c r="CX144" i="4"/>
  <c r="DF144" i="4" s="1"/>
  <c r="CX145" i="4"/>
  <c r="DF145" i="4" s="1"/>
  <c r="W147" i="4"/>
  <c r="C165" i="4"/>
  <c r="CU146" i="4"/>
  <c r="CK166" i="5" l="1"/>
  <c r="CL166" i="5"/>
  <c r="BZ173" i="5"/>
  <c r="BD161" i="5"/>
  <c r="BF161" i="5" s="1"/>
  <c r="BC161" i="5"/>
  <c r="BG161" i="5" s="1"/>
  <c r="D162" i="5" s="1"/>
  <c r="P162" i="5" s="1"/>
  <c r="CC167" i="5"/>
  <c r="CE167" i="5" s="1"/>
  <c r="CH167" i="5" s="1"/>
  <c r="CB168" i="5"/>
  <c r="BO173" i="5"/>
  <c r="BA173" i="5"/>
  <c r="CF173" i="5"/>
  <c r="CI173" i="5" s="1"/>
  <c r="AY173" i="5"/>
  <c r="CJ173" i="5"/>
  <c r="BE173" i="5"/>
  <c r="CG173" i="5"/>
  <c r="AX162" i="5"/>
  <c r="AZ162" i="5" s="1"/>
  <c r="AW163" i="5"/>
  <c r="AX163" i="5" s="1"/>
  <c r="AZ163" i="5" s="1"/>
  <c r="AC147" i="4"/>
  <c r="J172" i="5"/>
  <c r="V172" i="5" s="1"/>
  <c r="BR161" i="5"/>
  <c r="BS161" i="5" s="1"/>
  <c r="BW161" i="5" s="1"/>
  <c r="E162" i="5" s="1"/>
  <c r="Q162" i="5" s="1"/>
  <c r="BQ173" i="5"/>
  <c r="BK174" i="5" s="1"/>
  <c r="BM163" i="5"/>
  <c r="BP162" i="5"/>
  <c r="BV161" i="5"/>
  <c r="BL163" i="5"/>
  <c r="BT162" i="5" s="1"/>
  <c r="AQ146" i="4"/>
  <c r="AD146" i="4"/>
  <c r="BN146" i="4"/>
  <c r="AE142" i="4"/>
  <c r="AG142" i="4" s="1"/>
  <c r="AB143" i="4"/>
  <c r="AA145" i="4"/>
  <c r="AF147" i="4"/>
  <c r="AU147" i="4"/>
  <c r="CE147" i="4"/>
  <c r="Y147" i="4"/>
  <c r="Z147" i="4"/>
  <c r="AW142" i="4"/>
  <c r="BU173" i="5"/>
  <c r="AK173" i="5"/>
  <c r="AO173" i="5"/>
  <c r="AI173" i="5"/>
  <c r="BY82" i="4"/>
  <c r="CO82" i="4" s="1"/>
  <c r="CP82" i="4" s="1"/>
  <c r="BR83" i="4"/>
  <c r="BS95" i="4" s="1"/>
  <c r="BT107" i="4" s="1"/>
  <c r="BU119" i="4" s="1"/>
  <c r="CM82" i="4"/>
  <c r="CC94" i="4"/>
  <c r="BZ94" i="4"/>
  <c r="CB94" i="4" s="1"/>
  <c r="CG83" i="4"/>
  <c r="F162" i="5"/>
  <c r="R162" i="5" s="1"/>
  <c r="BK103" i="4"/>
  <c r="CD102" i="4" s="1"/>
  <c r="BJ104" i="4"/>
  <c r="BQ104" i="4" s="1"/>
  <c r="BL103" i="4"/>
  <c r="AD176" i="5"/>
  <c r="AC177" i="5"/>
  <c r="BJ177" i="5"/>
  <c r="DT172" i="5"/>
  <c r="DU172" i="5" s="1"/>
  <c r="CT147" i="4"/>
  <c r="CO172" i="5"/>
  <c r="CW171" i="5" s="1"/>
  <c r="J165" i="4"/>
  <c r="CS147" i="4"/>
  <c r="BP147" i="4"/>
  <c r="CY147" i="4"/>
  <c r="CW147" i="4"/>
  <c r="BI147" i="4"/>
  <c r="CA147" i="4" s="1"/>
  <c r="X147" i="4"/>
  <c r="K166" i="4" s="1"/>
  <c r="CV147" i="4"/>
  <c r="DL173" i="5"/>
  <c r="DZ173" i="5"/>
  <c r="EB171" i="5"/>
  <c r="I172" i="5" s="1"/>
  <c r="U172" i="5" s="1"/>
  <c r="EA171" i="5"/>
  <c r="I171" i="5"/>
  <c r="U171" i="5" s="1"/>
  <c r="H171" i="5"/>
  <c r="T171" i="5" s="1"/>
  <c r="DM171" i="5"/>
  <c r="CZ170" i="5"/>
  <c r="G171" i="5" s="1"/>
  <c r="S171" i="5" s="1"/>
  <c r="CY170" i="5"/>
  <c r="CX173" i="5"/>
  <c r="DA143" i="4"/>
  <c r="DB144" i="4" s="1"/>
  <c r="DC144" i="4" s="1"/>
  <c r="N173" i="5"/>
  <c r="CZ144" i="4"/>
  <c r="DD141" i="4"/>
  <c r="DD142" i="4" s="1"/>
  <c r="DE142" i="4" s="1"/>
  <c r="H161" i="4" s="1"/>
  <c r="DE140" i="4"/>
  <c r="H159" i="4" s="1"/>
  <c r="DH140" i="4"/>
  <c r="I159" i="4" s="1"/>
  <c r="DG144" i="4"/>
  <c r="DG145" i="4"/>
  <c r="CU171" i="5"/>
  <c r="CV171" i="5" s="1"/>
  <c r="DB173" i="5"/>
  <c r="DD173" i="5"/>
  <c r="DC173" i="5"/>
  <c r="DK172" i="5" s="1"/>
  <c r="DE173" i="5"/>
  <c r="CP173" i="5"/>
  <c r="CN173" i="5"/>
  <c r="CQ173" i="5"/>
  <c r="DR173" i="5"/>
  <c r="DQ173" i="5"/>
  <c r="DY172" i="5" s="1"/>
  <c r="DP173" i="5"/>
  <c r="DS173" i="5"/>
  <c r="CS172" i="5"/>
  <c r="DF172" i="5"/>
  <c r="DG172" i="5" s="1"/>
  <c r="DI171" i="5"/>
  <c r="DJ171" i="5" s="1"/>
  <c r="B174" i="5"/>
  <c r="CR173" i="5"/>
  <c r="DH173" i="5"/>
  <c r="BY173" i="5"/>
  <c r="CD173" i="5" s="1"/>
  <c r="AA174" i="5"/>
  <c r="DV173" i="5"/>
  <c r="CT173" i="5"/>
  <c r="AB173" i="5"/>
  <c r="K174" i="5" s="1"/>
  <c r="W174" i="5" s="1"/>
  <c r="CX146" i="4"/>
  <c r="DF146" i="4" s="1"/>
  <c r="CU147" i="4"/>
  <c r="W148" i="4"/>
  <c r="C166" i="4"/>
  <c r="CK167" i="5" l="1"/>
  <c r="CL167" i="5"/>
  <c r="AC148" i="4"/>
  <c r="BD162" i="5"/>
  <c r="BF162" i="5" s="1"/>
  <c r="BC162" i="5"/>
  <c r="BG162" i="5" s="1"/>
  <c r="D163" i="5" s="1"/>
  <c r="P163" i="5" s="1"/>
  <c r="BD163" i="5"/>
  <c r="BC163" i="5"/>
  <c r="BO174" i="5"/>
  <c r="CF174" i="5"/>
  <c r="CI174" i="5" s="1"/>
  <c r="BA174" i="5"/>
  <c r="AY174" i="5"/>
  <c r="BE174" i="5"/>
  <c r="CJ174" i="5"/>
  <c r="BZ174" i="5"/>
  <c r="CG174" i="5" s="1"/>
  <c r="CA174" i="5"/>
  <c r="CA175" i="5" s="1"/>
  <c r="CC168" i="5"/>
  <c r="CE168" i="5" s="1"/>
  <c r="CH168" i="5" s="1"/>
  <c r="CB169" i="5"/>
  <c r="J173" i="5"/>
  <c r="V173" i="5" s="1"/>
  <c r="AA146" i="4"/>
  <c r="AT145" i="4" s="1"/>
  <c r="AW145" i="4" s="1"/>
  <c r="AT144" i="4"/>
  <c r="BR162" i="5"/>
  <c r="BS162" i="5" s="1"/>
  <c r="BW162" i="5" s="1"/>
  <c r="E163" i="5" s="1"/>
  <c r="Q163" i="5" s="1"/>
  <c r="BQ174" i="5"/>
  <c r="BK175" i="5" s="1"/>
  <c r="BL164" i="5"/>
  <c r="BT163" i="5" s="1"/>
  <c r="BV162" i="5"/>
  <c r="BP163" i="5"/>
  <c r="BN164" i="5" s="1"/>
  <c r="BN165" i="5" s="1"/>
  <c r="BN166" i="5" s="1"/>
  <c r="BN167" i="5" s="1"/>
  <c r="BN168" i="5" s="1"/>
  <c r="BN169" i="5" s="1"/>
  <c r="BN170" i="5" s="1"/>
  <c r="BN171" i="5" s="1"/>
  <c r="BN172" i="5" s="1"/>
  <c r="BN173" i="5" s="1"/>
  <c r="BN174" i="5" s="1"/>
  <c r="BM164" i="5"/>
  <c r="AQ147" i="4"/>
  <c r="AD147" i="4"/>
  <c r="CE148" i="4"/>
  <c r="AU148" i="4"/>
  <c r="AF148" i="4"/>
  <c r="Y148" i="4"/>
  <c r="Z148" i="4"/>
  <c r="BN147" i="4"/>
  <c r="AW143" i="4"/>
  <c r="AE143" i="4"/>
  <c r="AG143" i="4" s="1"/>
  <c r="AB144" i="4"/>
  <c r="CQ82" i="4"/>
  <c r="G101" i="4" s="1"/>
  <c r="BU174" i="5"/>
  <c r="AK174" i="5"/>
  <c r="AO174" i="5"/>
  <c r="AI174" i="5"/>
  <c r="CO173" i="5"/>
  <c r="CW172" i="5" s="1"/>
  <c r="CN82" i="4"/>
  <c r="F101" i="4" s="1"/>
  <c r="BV83" i="4"/>
  <c r="BX83" i="4" s="1"/>
  <c r="CK83" i="4" s="1"/>
  <c r="BM103" i="4"/>
  <c r="BO103" i="4" s="1"/>
  <c r="BL104" i="4"/>
  <c r="F163" i="5"/>
  <c r="R163" i="5" s="1"/>
  <c r="BJ105" i="4"/>
  <c r="BQ105" i="4" s="1"/>
  <c r="BK104" i="4"/>
  <c r="CD103" i="4" s="1"/>
  <c r="CH83" i="4"/>
  <c r="CI83" i="4" s="1"/>
  <c r="CJ83" i="4" s="1"/>
  <c r="CF84" i="4" s="1"/>
  <c r="CC95" i="4"/>
  <c r="BZ95" i="4"/>
  <c r="CB95" i="4" s="1"/>
  <c r="AD177" i="5"/>
  <c r="AC178" i="5"/>
  <c r="BJ178" i="5"/>
  <c r="DF173" i="5"/>
  <c r="DG173" i="5" s="1"/>
  <c r="CT148" i="4"/>
  <c r="J166" i="4"/>
  <c r="CY148" i="4"/>
  <c r="BP148" i="4"/>
  <c r="CW148" i="4"/>
  <c r="BI148" i="4"/>
  <c r="BN148" i="4" s="1"/>
  <c r="X148" i="4"/>
  <c r="K167" i="4" s="1"/>
  <c r="CS148" i="4"/>
  <c r="CV148" i="4"/>
  <c r="DL174" i="5"/>
  <c r="DZ174" i="5"/>
  <c r="EA172" i="5"/>
  <c r="DM172" i="5"/>
  <c r="DN171" i="5"/>
  <c r="H172" i="5" s="1"/>
  <c r="T172" i="5" s="1"/>
  <c r="CY171" i="5"/>
  <c r="CZ171" i="5"/>
  <c r="G172" i="5" s="1"/>
  <c r="S172" i="5" s="1"/>
  <c r="CX174" i="5"/>
  <c r="DA144" i="4"/>
  <c r="DB145" i="4" s="1"/>
  <c r="DC145" i="4" s="1"/>
  <c r="N174" i="5"/>
  <c r="CZ145" i="4"/>
  <c r="DE141" i="4"/>
  <c r="H160" i="4" s="1"/>
  <c r="DH141" i="4"/>
  <c r="I160" i="4" s="1"/>
  <c r="DG146" i="4"/>
  <c r="CS173" i="5"/>
  <c r="CU173" i="5" s="1"/>
  <c r="CV173" i="5" s="1"/>
  <c r="DW172" i="5"/>
  <c r="DX172" i="5" s="1"/>
  <c r="DI172" i="5"/>
  <c r="DJ172" i="5" s="1"/>
  <c r="CU172" i="5"/>
  <c r="CV172" i="5" s="1"/>
  <c r="DS174" i="5"/>
  <c r="DR174" i="5"/>
  <c r="DQ174" i="5"/>
  <c r="DY173" i="5" s="1"/>
  <c r="DP174" i="5"/>
  <c r="B175" i="5"/>
  <c r="AA175" i="5"/>
  <c r="DH174" i="5"/>
  <c r="BY174" i="5"/>
  <c r="CD174" i="5" s="1"/>
  <c r="CR174" i="5"/>
  <c r="DV174" i="5"/>
  <c r="CT174" i="5"/>
  <c r="AB174" i="5"/>
  <c r="K175" i="5" s="1"/>
  <c r="W175" i="5" s="1"/>
  <c r="DT173" i="5"/>
  <c r="DU173" i="5" s="1"/>
  <c r="CQ174" i="5"/>
  <c r="CP174" i="5"/>
  <c r="CN174" i="5"/>
  <c r="DC174" i="5"/>
  <c r="DK173" i="5" s="1"/>
  <c r="DE174" i="5"/>
  <c r="DD174" i="5"/>
  <c r="DB174" i="5"/>
  <c r="DH142" i="4"/>
  <c r="I161" i="4" s="1"/>
  <c r="DD143" i="4"/>
  <c r="CZ146" i="4"/>
  <c r="C167" i="4"/>
  <c r="W149" i="4"/>
  <c r="CU148" i="4"/>
  <c r="CX147" i="4"/>
  <c r="DF147" i="4" s="1"/>
  <c r="AA147" i="4" l="1"/>
  <c r="AT146" i="4" s="1"/>
  <c r="AW146" i="4" s="1"/>
  <c r="CK168" i="5"/>
  <c r="CL168" i="5"/>
  <c r="BF163" i="5"/>
  <c r="AV164" i="5" s="1"/>
  <c r="AV165" i="5" s="1"/>
  <c r="AV166" i="5" s="1"/>
  <c r="AV167" i="5" s="1"/>
  <c r="AV168" i="5" s="1"/>
  <c r="AV169" i="5" s="1"/>
  <c r="AV170" i="5" s="1"/>
  <c r="AV171" i="5" s="1"/>
  <c r="AV172" i="5" s="1"/>
  <c r="AV173" i="5" s="1"/>
  <c r="AV174" i="5" s="1"/>
  <c r="AV175" i="5" s="1"/>
  <c r="AV176" i="5" s="1"/>
  <c r="BG163" i="5"/>
  <c r="D164" i="5" s="1"/>
  <c r="P164" i="5" s="1"/>
  <c r="AC149" i="4"/>
  <c r="CC169" i="5"/>
  <c r="CE169" i="5" s="1"/>
  <c r="CH169" i="5" s="1"/>
  <c r="CB170" i="5"/>
  <c r="CF175" i="5"/>
  <c r="CJ175" i="5"/>
  <c r="BA175" i="5"/>
  <c r="BE175" i="5"/>
  <c r="AY175" i="5"/>
  <c r="BZ175" i="5"/>
  <c r="CG175" i="5" s="1"/>
  <c r="J174" i="5"/>
  <c r="V174" i="5" s="1"/>
  <c r="BN175" i="5"/>
  <c r="BQ175" i="5"/>
  <c r="BK176" i="5" s="1"/>
  <c r="BO175" i="5"/>
  <c r="BR163" i="5"/>
  <c r="BS163" i="5" s="1"/>
  <c r="BW163" i="5" s="1"/>
  <c r="BP164" i="5"/>
  <c r="BM165" i="5"/>
  <c r="BL165" i="5"/>
  <c r="BT164" i="5" s="1"/>
  <c r="BV163" i="5"/>
  <c r="AL175" i="5"/>
  <c r="AQ148" i="4"/>
  <c r="AD148" i="4"/>
  <c r="CO174" i="5"/>
  <c r="CW173" i="5" s="1"/>
  <c r="AE144" i="4"/>
  <c r="AB145" i="4"/>
  <c r="Z149" i="4"/>
  <c r="AF149" i="4"/>
  <c r="AU149" i="4"/>
  <c r="CE149" i="4"/>
  <c r="Y149" i="4"/>
  <c r="CL83" i="4"/>
  <c r="CM83" i="4" s="1"/>
  <c r="CN83" i="4" s="1"/>
  <c r="F102" i="4" s="1"/>
  <c r="BY83" i="4"/>
  <c r="CO83" i="4" s="1"/>
  <c r="CP83" i="4" s="1"/>
  <c r="AK175" i="5"/>
  <c r="AO175" i="5"/>
  <c r="BU175" i="5"/>
  <c r="AI175" i="5"/>
  <c r="F164" i="5"/>
  <c r="R164" i="5" s="1"/>
  <c r="BR84" i="4"/>
  <c r="BS96" i="4" s="1"/>
  <c r="BT108" i="4" s="1"/>
  <c r="BU120" i="4" s="1"/>
  <c r="BL105" i="4"/>
  <c r="BM104" i="4"/>
  <c r="BO104" i="4" s="1"/>
  <c r="BK105" i="4"/>
  <c r="CD104" i="4" s="1"/>
  <c r="BJ106" i="4"/>
  <c r="BQ106" i="4" s="1"/>
  <c r="CG84" i="4"/>
  <c r="CH84" i="4" s="1"/>
  <c r="CI84" i="4" s="1"/>
  <c r="CJ84" i="4" s="1"/>
  <c r="CF85" i="4" s="1"/>
  <c r="AD178" i="5"/>
  <c r="AC179" i="5"/>
  <c r="BJ179" i="5"/>
  <c r="DT174" i="5"/>
  <c r="DU174" i="5" s="1"/>
  <c r="CT149" i="4"/>
  <c r="J167" i="4"/>
  <c r="CV149" i="4"/>
  <c r="CS149" i="4"/>
  <c r="CW149" i="4"/>
  <c r="CY149" i="4"/>
  <c r="BP149" i="4"/>
  <c r="BI149" i="4"/>
  <c r="CA149" i="4" s="1"/>
  <c r="X149" i="4"/>
  <c r="K168" i="4" s="1"/>
  <c r="CA148" i="4"/>
  <c r="DA145" i="4"/>
  <c r="DA146" i="4" s="1"/>
  <c r="DL175" i="5"/>
  <c r="DZ175" i="5"/>
  <c r="EB172" i="5"/>
  <c r="I173" i="5" s="1"/>
  <c r="U173" i="5" s="1"/>
  <c r="EA173" i="5"/>
  <c r="DM173" i="5"/>
  <c r="DN172" i="5"/>
  <c r="H173" i="5" s="1"/>
  <c r="T173" i="5" s="1"/>
  <c r="CX175" i="5"/>
  <c r="CZ172" i="5"/>
  <c r="G173" i="5" s="1"/>
  <c r="S173" i="5" s="1"/>
  <c r="CY172" i="5"/>
  <c r="N175" i="5"/>
  <c r="CS174" i="5"/>
  <c r="CU174" i="5" s="1"/>
  <c r="CV174" i="5" s="1"/>
  <c r="DW173" i="5"/>
  <c r="DX173" i="5" s="1"/>
  <c r="DS175" i="5"/>
  <c r="DP175" i="5"/>
  <c r="DQ175" i="5"/>
  <c r="DY174" i="5" s="1"/>
  <c r="DR175" i="5"/>
  <c r="DI173" i="5"/>
  <c r="DJ173" i="5" s="1"/>
  <c r="CQ175" i="5"/>
  <c r="CN175" i="5"/>
  <c r="CP175" i="5"/>
  <c r="DF174" i="5"/>
  <c r="DG174" i="5" s="1"/>
  <c r="DC175" i="5"/>
  <c r="DK174" i="5" s="1"/>
  <c r="DE175" i="5"/>
  <c r="DB175" i="5"/>
  <c r="DD175" i="5"/>
  <c r="B176" i="5"/>
  <c r="AA176" i="5"/>
  <c r="DH175" i="5"/>
  <c r="CT175" i="5"/>
  <c r="CR175" i="5"/>
  <c r="DV175" i="5"/>
  <c r="BY175" i="5"/>
  <c r="CD175" i="5" s="1"/>
  <c r="AB175" i="5"/>
  <c r="K176" i="5" s="1"/>
  <c r="W176" i="5" s="1"/>
  <c r="DG147" i="4"/>
  <c r="DH143" i="4"/>
  <c r="I162" i="4" s="1"/>
  <c r="DE143" i="4"/>
  <c r="H162" i="4" s="1"/>
  <c r="DD144" i="4"/>
  <c r="DD145" i="4" s="1"/>
  <c r="CZ147" i="4"/>
  <c r="CX148" i="4"/>
  <c r="DF148" i="4" s="1"/>
  <c r="CU149" i="4"/>
  <c r="W150" i="4"/>
  <c r="C168" i="4"/>
  <c r="AA148" i="4" l="1"/>
  <c r="AC150" i="4"/>
  <c r="CK169" i="5"/>
  <c r="CL169" i="5"/>
  <c r="BZ176" i="5"/>
  <c r="CG176" i="5" s="1"/>
  <c r="BO176" i="5"/>
  <c r="CF176" i="5"/>
  <c r="CI176" i="5" s="1"/>
  <c r="CJ176" i="5"/>
  <c r="AY176" i="5"/>
  <c r="BE176" i="5"/>
  <c r="BA176" i="5"/>
  <c r="CC170" i="5"/>
  <c r="CE170" i="5" s="1"/>
  <c r="CH170" i="5" s="1"/>
  <c r="CB171" i="5"/>
  <c r="CA176" i="5"/>
  <c r="AU164" i="5"/>
  <c r="J175" i="5"/>
  <c r="V175" i="5" s="1"/>
  <c r="AT147" i="4"/>
  <c r="AW147" i="4" s="1"/>
  <c r="AG144" i="4"/>
  <c r="BR164" i="5"/>
  <c r="BS164" i="5" s="1"/>
  <c r="BW164" i="5" s="1"/>
  <c r="E165" i="5" s="1"/>
  <c r="Q165" i="5" s="1"/>
  <c r="BQ176" i="5"/>
  <c r="BK177" i="5" s="1"/>
  <c r="BV164" i="5"/>
  <c r="BL166" i="5"/>
  <c r="BT165" i="5" s="1"/>
  <c r="E4" i="5"/>
  <c r="E164" i="5"/>
  <c r="Q164" i="5" s="1"/>
  <c r="E18" i="5"/>
  <c r="E34" i="5" s="1"/>
  <c r="BM166" i="5"/>
  <c r="BP165" i="5"/>
  <c r="CO175" i="5"/>
  <c r="CW174" i="5" s="1"/>
  <c r="AQ149" i="4"/>
  <c r="AD149" i="4"/>
  <c r="AA149" i="4"/>
  <c r="AF150" i="4"/>
  <c r="Y150" i="4"/>
  <c r="AE145" i="4"/>
  <c r="AG145" i="4" s="1"/>
  <c r="AB146" i="4"/>
  <c r="Z150" i="4"/>
  <c r="BN149" i="4"/>
  <c r="CQ83" i="4"/>
  <c r="G102" i="4" s="1"/>
  <c r="AI176" i="5"/>
  <c r="AK176" i="5"/>
  <c r="AO176" i="5"/>
  <c r="BU176" i="5"/>
  <c r="BJ107" i="4"/>
  <c r="BQ107" i="4" s="1"/>
  <c r="BK106" i="4"/>
  <c r="CD105" i="4" s="1"/>
  <c r="BR85" i="4"/>
  <c r="BS97" i="4" s="1"/>
  <c r="BT109" i="4" s="1"/>
  <c r="BU121" i="4" s="1"/>
  <c r="CG85" i="4"/>
  <c r="BV84" i="4"/>
  <c r="BX84" i="4" s="1"/>
  <c r="CK84" i="4" s="1"/>
  <c r="CL84" i="4" s="1"/>
  <c r="BL106" i="4"/>
  <c r="BM105" i="4"/>
  <c r="BO105" i="4" s="1"/>
  <c r="AD179" i="5"/>
  <c r="AC180" i="5"/>
  <c r="BJ180" i="5"/>
  <c r="DB146" i="4"/>
  <c r="DC146" i="4" s="1"/>
  <c r="DD146" i="4" s="1"/>
  <c r="DT175" i="5"/>
  <c r="DU175" i="5" s="1"/>
  <c r="DS176" i="5" s="1"/>
  <c r="A165" i="5"/>
  <c r="CT150" i="4"/>
  <c r="J168" i="4"/>
  <c r="CV150" i="4"/>
  <c r="CS150" i="4"/>
  <c r="CY150" i="4"/>
  <c r="CW150" i="4"/>
  <c r="BP150" i="4"/>
  <c r="BI150" i="4"/>
  <c r="CA150" i="4" s="1"/>
  <c r="X150" i="4"/>
  <c r="K169" i="4" s="1"/>
  <c r="DL176" i="5"/>
  <c r="DZ176" i="5"/>
  <c r="EA174" i="5"/>
  <c r="EB173" i="5"/>
  <c r="I174" i="5" s="1"/>
  <c r="U174" i="5" s="1"/>
  <c r="DM174" i="5"/>
  <c r="DN173" i="5"/>
  <c r="H174" i="5" s="1"/>
  <c r="T174" i="5" s="1"/>
  <c r="CZ173" i="5"/>
  <c r="G174" i="5" s="1"/>
  <c r="S174" i="5" s="1"/>
  <c r="CY173" i="5"/>
  <c r="CX176" i="5"/>
  <c r="N176" i="5"/>
  <c r="CZ148" i="4"/>
  <c r="DF175" i="5"/>
  <c r="DG175" i="5" s="1"/>
  <c r="DV176" i="5"/>
  <c r="CT176" i="5"/>
  <c r="DH176" i="5"/>
  <c r="BY176" i="5"/>
  <c r="CD176" i="5" s="1"/>
  <c r="B177" i="5"/>
  <c r="AA177" i="5"/>
  <c r="AB176" i="5"/>
  <c r="K177" i="5" s="1"/>
  <c r="W177" i="5" s="1"/>
  <c r="DW174" i="5"/>
  <c r="DX174" i="5" s="1"/>
  <c r="DR176" i="5"/>
  <c r="DQ176" i="5"/>
  <c r="DY175" i="5" s="1"/>
  <c r="DP176" i="5"/>
  <c r="CS175" i="5"/>
  <c r="CQ176" i="5" s="1"/>
  <c r="DI174" i="5"/>
  <c r="DJ174" i="5" s="1"/>
  <c r="DN174" i="5" s="1"/>
  <c r="CP176" i="5"/>
  <c r="CN176" i="5"/>
  <c r="DD176" i="5"/>
  <c r="DC176" i="5"/>
  <c r="DK175" i="5" s="1"/>
  <c r="DB176" i="5"/>
  <c r="DH145" i="4"/>
  <c r="I164" i="4" s="1"/>
  <c r="DE145" i="4"/>
  <c r="H164" i="4" s="1"/>
  <c r="DG148" i="4"/>
  <c r="DA147" i="4"/>
  <c r="DB147" i="4"/>
  <c r="DC147" i="4" s="1"/>
  <c r="DH144" i="4"/>
  <c r="I163" i="4" s="1"/>
  <c r="DE144" i="4"/>
  <c r="H163" i="4" s="1"/>
  <c r="W151" i="4"/>
  <c r="C169" i="4"/>
  <c r="CX149" i="4"/>
  <c r="DF149" i="4" s="1"/>
  <c r="CU150" i="4"/>
  <c r="CL170" i="5" l="1"/>
  <c r="CK170" i="5"/>
  <c r="J176" i="5"/>
  <c r="V176" i="5" s="1"/>
  <c r="BZ177" i="5"/>
  <c r="CG177" i="5" s="1"/>
  <c r="AU165" i="5"/>
  <c r="AW164" i="5"/>
  <c r="CC171" i="5"/>
  <c r="CE171" i="5" s="1"/>
  <c r="CH171" i="5" s="1"/>
  <c r="CB172" i="5"/>
  <c r="CA177" i="5"/>
  <c r="BO177" i="5"/>
  <c r="CF177" i="5"/>
  <c r="CI177" i="5" s="1"/>
  <c r="BA177" i="5"/>
  <c r="AY177" i="5"/>
  <c r="CJ177" i="5"/>
  <c r="BE177" i="5"/>
  <c r="AV177" i="5"/>
  <c r="AT148" i="4"/>
  <c r="AW148" i="4" s="1"/>
  <c r="AA150" i="4"/>
  <c r="AT149" i="4" s="1"/>
  <c r="AW149" i="4" s="1"/>
  <c r="BR165" i="5"/>
  <c r="BS165" i="5" s="1"/>
  <c r="BW165" i="5" s="1"/>
  <c r="E166" i="5" s="1"/>
  <c r="Q166" i="5" s="1"/>
  <c r="CO176" i="5"/>
  <c r="CW175" i="5" s="1"/>
  <c r="BQ177" i="5"/>
  <c r="BK178" i="5" s="1"/>
  <c r="BL167" i="5"/>
  <c r="BT166" i="5" s="1"/>
  <c r="BV165" i="5"/>
  <c r="BM167" i="5"/>
  <c r="BP166" i="5"/>
  <c r="AQ150" i="4"/>
  <c r="AD150" i="4"/>
  <c r="AF151" i="4"/>
  <c r="CE151" i="4"/>
  <c r="AU151" i="4"/>
  <c r="Y151" i="4"/>
  <c r="Z151" i="4"/>
  <c r="AE146" i="4"/>
  <c r="AG146" i="4" s="1"/>
  <c r="AB147" i="4"/>
  <c r="BN150" i="4"/>
  <c r="BU177" i="5"/>
  <c r="AK177" i="5"/>
  <c r="AO177" i="5"/>
  <c r="AI177" i="5"/>
  <c r="BY84" i="4"/>
  <c r="CO84" i="4" s="1"/>
  <c r="CP84" i="4" s="1"/>
  <c r="BV85" i="4"/>
  <c r="BX85" i="4" s="1"/>
  <c r="CK85" i="4" s="1"/>
  <c r="CL85" i="4" s="1"/>
  <c r="CM84" i="4"/>
  <c r="CC96" i="4"/>
  <c r="BZ96" i="4"/>
  <c r="CB96" i="4" s="1"/>
  <c r="F165" i="5"/>
  <c r="R165" i="5" s="1"/>
  <c r="CH85" i="4"/>
  <c r="CI85" i="4" s="1"/>
  <c r="CJ85" i="4" s="1"/>
  <c r="CF86" i="4" s="1"/>
  <c r="BK107" i="4"/>
  <c r="CD106" i="4" s="1"/>
  <c r="BL107" i="4"/>
  <c r="BM106" i="4"/>
  <c r="BO106" i="4" s="1"/>
  <c r="BJ108" i="4"/>
  <c r="BQ108" i="4" s="1"/>
  <c r="AD180" i="5"/>
  <c r="AC181" i="5"/>
  <c r="BJ181" i="5"/>
  <c r="DT176" i="5"/>
  <c r="DU176" i="5" s="1"/>
  <c r="DW176" i="5" s="1"/>
  <c r="DX176" i="5" s="1"/>
  <c r="CT151" i="4"/>
  <c r="N177" i="5"/>
  <c r="J169" i="4"/>
  <c r="CY151" i="4"/>
  <c r="BP151" i="4"/>
  <c r="BI151" i="4"/>
  <c r="BN151" i="4" s="1"/>
  <c r="X151" i="4"/>
  <c r="K170" i="4" s="1"/>
  <c r="CS151" i="4"/>
  <c r="DL177" i="5"/>
  <c r="DZ177" i="5"/>
  <c r="EA175" i="5"/>
  <c r="EB174" i="5"/>
  <c r="I175" i="5" s="1"/>
  <c r="U175" i="5" s="1"/>
  <c r="DM175" i="5"/>
  <c r="H175" i="5"/>
  <c r="T175" i="5" s="1"/>
  <c r="CX177" i="5"/>
  <c r="CY174" i="5"/>
  <c r="CZ174" i="5"/>
  <c r="G175" i="5" s="1"/>
  <c r="S175" i="5" s="1"/>
  <c r="CZ149" i="4"/>
  <c r="CR176" i="5"/>
  <c r="CS176" i="5" s="1"/>
  <c r="CU176" i="5" s="1"/>
  <c r="DF176" i="5"/>
  <c r="DD177" i="5"/>
  <c r="DC177" i="5"/>
  <c r="DK176" i="5" s="1"/>
  <c r="DB177" i="5"/>
  <c r="DD147" i="4"/>
  <c r="DE147" i="4" s="1"/>
  <c r="H166" i="4" s="1"/>
  <c r="DI175" i="5"/>
  <c r="DJ175" i="5" s="1"/>
  <c r="B178" i="5"/>
  <c r="DV177" i="5"/>
  <c r="CT177" i="5"/>
  <c r="DH177" i="5"/>
  <c r="BY177" i="5"/>
  <c r="CD177" i="5" s="1"/>
  <c r="AA178" i="5"/>
  <c r="AB177" i="5"/>
  <c r="K178" i="5" s="1"/>
  <c r="W178" i="5" s="1"/>
  <c r="CU175" i="5"/>
  <c r="CV175" i="5" s="1"/>
  <c r="DE176" i="5"/>
  <c r="CQ177" i="5"/>
  <c r="CP177" i="5"/>
  <c r="CN177" i="5"/>
  <c r="DS177" i="5"/>
  <c r="DR177" i="5"/>
  <c r="DQ177" i="5"/>
  <c r="DY176" i="5" s="1"/>
  <c r="DP177" i="5"/>
  <c r="DW175" i="5"/>
  <c r="DX175" i="5" s="1"/>
  <c r="EB175" i="5" s="1"/>
  <c r="DG149" i="4"/>
  <c r="DB148" i="4"/>
  <c r="DC148" i="4" s="1"/>
  <c r="DA148" i="4"/>
  <c r="DH146" i="4"/>
  <c r="I165" i="4" s="1"/>
  <c r="DE146" i="4"/>
  <c r="H165" i="4" s="1"/>
  <c r="CX150" i="4"/>
  <c r="DF150" i="4" s="1"/>
  <c r="CU151" i="4"/>
  <c r="W152" i="4"/>
  <c r="C170" i="4"/>
  <c r="B169" i="4" s="1"/>
  <c r="J177" i="5" l="1"/>
  <c r="V177" i="5" s="1"/>
  <c r="AV178" i="5"/>
  <c r="CA178" i="5"/>
  <c r="CL171" i="5"/>
  <c r="CK171" i="5"/>
  <c r="CC172" i="5"/>
  <c r="CE172" i="5" s="1"/>
  <c r="CH172" i="5" s="1"/>
  <c r="CB173" i="5"/>
  <c r="BZ178" i="5"/>
  <c r="CG178" i="5" s="1"/>
  <c r="AX164" i="5"/>
  <c r="AZ164" i="5" s="1"/>
  <c r="AW165" i="5"/>
  <c r="BO178" i="5"/>
  <c r="CJ178" i="5"/>
  <c r="CF178" i="5"/>
  <c r="CI178" i="5" s="1"/>
  <c r="BA178" i="5"/>
  <c r="BE178" i="5"/>
  <c r="AY178" i="5"/>
  <c r="BB165" i="5"/>
  <c r="AU166" i="5"/>
  <c r="AA151" i="4"/>
  <c r="AT150" i="4" s="1"/>
  <c r="CO177" i="5"/>
  <c r="CW176" i="5" s="1"/>
  <c r="BR166" i="5"/>
  <c r="BS166" i="5" s="1"/>
  <c r="BW166" i="5" s="1"/>
  <c r="E167" i="5" s="1"/>
  <c r="Q167" i="5" s="1"/>
  <c r="BQ178" i="5"/>
  <c r="BK179" i="5" s="1"/>
  <c r="BP167" i="5"/>
  <c r="BM168" i="5"/>
  <c r="BV166" i="5"/>
  <c r="BL168" i="5"/>
  <c r="BT167" i="5" s="1"/>
  <c r="AQ151" i="4"/>
  <c r="AD151" i="4"/>
  <c r="CE152" i="4"/>
  <c r="AU152" i="4"/>
  <c r="AF152" i="4"/>
  <c r="Y152" i="4"/>
  <c r="AE147" i="4"/>
  <c r="AG147" i="4" s="1"/>
  <c r="AB148" i="4"/>
  <c r="Z152" i="4"/>
  <c r="CQ84" i="4"/>
  <c r="G103" i="4" s="1"/>
  <c r="AO178" i="5"/>
  <c r="AK178" i="5"/>
  <c r="BU178" i="5"/>
  <c r="AI178" i="5"/>
  <c r="BY85" i="4"/>
  <c r="CO85" i="4" s="1"/>
  <c r="CP85" i="4" s="1"/>
  <c r="CG86" i="4"/>
  <c r="F166" i="5"/>
  <c r="R166" i="5" s="1"/>
  <c r="BJ109" i="4"/>
  <c r="BQ109" i="4" s="1"/>
  <c r="CM85" i="4"/>
  <c r="CN85" i="4" s="1"/>
  <c r="F104" i="4" s="1"/>
  <c r="BM107" i="4"/>
  <c r="BO107" i="4" s="1"/>
  <c r="BL108" i="4"/>
  <c r="CC97" i="4"/>
  <c r="BZ97" i="4"/>
  <c r="CB97" i="4" s="1"/>
  <c r="BK108" i="4"/>
  <c r="CD107" i="4" s="1"/>
  <c r="BR86" i="4"/>
  <c r="BS98" i="4" s="1"/>
  <c r="BT110" i="4" s="1"/>
  <c r="BU122" i="4" s="1"/>
  <c r="CN84" i="4"/>
  <c r="F103" i="4" s="1"/>
  <c r="AD181" i="5"/>
  <c r="AC182" i="5"/>
  <c r="J178" i="5"/>
  <c r="V178" i="5" s="1"/>
  <c r="BJ182" i="5"/>
  <c r="CT152" i="4"/>
  <c r="CZ151" i="4" s="1"/>
  <c r="CS152" i="4"/>
  <c r="J170" i="4"/>
  <c r="CW151" i="4"/>
  <c r="CA151" i="4"/>
  <c r="CY152" i="4"/>
  <c r="BP152" i="4"/>
  <c r="BI152" i="4"/>
  <c r="CA152" i="4" s="1"/>
  <c r="X152" i="4"/>
  <c r="K171" i="4" s="1"/>
  <c r="DL178" i="5"/>
  <c r="DZ178" i="5"/>
  <c r="EA176" i="5"/>
  <c r="EB176" i="5"/>
  <c r="I177" i="5" s="1"/>
  <c r="U177" i="5" s="1"/>
  <c r="I176" i="5"/>
  <c r="U176" i="5" s="1"/>
  <c r="DM176" i="5"/>
  <c r="DN175" i="5"/>
  <c r="H176" i="5" s="1"/>
  <c r="T176" i="5" s="1"/>
  <c r="CX178" i="5"/>
  <c r="CZ175" i="5"/>
  <c r="G176" i="5" s="1"/>
  <c r="S176" i="5" s="1"/>
  <c r="CY175" i="5"/>
  <c r="N178" i="5"/>
  <c r="CZ150" i="4"/>
  <c r="CV151" i="4"/>
  <c r="CV152" i="4" s="1"/>
  <c r="DG150" i="4"/>
  <c r="DG176" i="5"/>
  <c r="DI176" i="5" s="1"/>
  <c r="DJ176" i="5" s="1"/>
  <c r="DN176" i="5" s="1"/>
  <c r="DT177" i="5"/>
  <c r="DU177" i="5" s="1"/>
  <c r="CV176" i="5"/>
  <c r="CR177" i="5"/>
  <c r="CS177" i="5" s="1"/>
  <c r="DF177" i="5"/>
  <c r="DP178" i="5"/>
  <c r="DS178" i="5"/>
  <c r="DR178" i="5"/>
  <c r="DQ178" i="5"/>
  <c r="DY177" i="5" s="1"/>
  <c r="DD148" i="4"/>
  <c r="DH148" i="4" s="1"/>
  <c r="I167" i="4" s="1"/>
  <c r="DH147" i="4"/>
  <c r="I166" i="4" s="1"/>
  <c r="DD178" i="5"/>
  <c r="DC178" i="5"/>
  <c r="DK177" i="5" s="1"/>
  <c r="DB178" i="5"/>
  <c r="CN178" i="5"/>
  <c r="CQ178" i="5"/>
  <c r="CP178" i="5"/>
  <c r="DE177" i="5"/>
  <c r="AA179" i="5"/>
  <c r="DV178" i="5"/>
  <c r="CT178" i="5"/>
  <c r="B179" i="5"/>
  <c r="DH178" i="5"/>
  <c r="BY178" i="5"/>
  <c r="CD178" i="5" s="1"/>
  <c r="AB178" i="5"/>
  <c r="K179" i="5" s="1"/>
  <c r="W179" i="5" s="1"/>
  <c r="DB149" i="4"/>
  <c r="DC149" i="4" s="1"/>
  <c r="DA149" i="4"/>
  <c r="CU152" i="4"/>
  <c r="C171" i="4"/>
  <c r="W153" i="4"/>
  <c r="CK172" i="5" l="1"/>
  <c r="CL172" i="5"/>
  <c r="BB166" i="5"/>
  <c r="AU167" i="5"/>
  <c r="BZ179" i="5"/>
  <c r="CG179" i="5" s="1"/>
  <c r="AV179" i="5"/>
  <c r="CC173" i="5"/>
  <c r="CE173" i="5" s="1"/>
  <c r="CH173" i="5" s="1"/>
  <c r="CB174" i="5"/>
  <c r="AX165" i="5"/>
  <c r="AZ165" i="5" s="1"/>
  <c r="AW166" i="5"/>
  <c r="BO179" i="5"/>
  <c r="CJ179" i="5"/>
  <c r="CF179" i="5"/>
  <c r="CI179" i="5" s="1"/>
  <c r="BA179" i="5"/>
  <c r="BE179" i="5"/>
  <c r="AY179" i="5"/>
  <c r="AA152" i="4"/>
  <c r="AT151" i="4" s="1"/>
  <c r="AW151" i="4" s="1"/>
  <c r="BD164" i="5"/>
  <c r="BF164" i="5" s="1"/>
  <c r="BB164" i="5"/>
  <c r="BC164" i="5" s="1"/>
  <c r="BG164" i="5" s="1"/>
  <c r="D165" i="5" s="1"/>
  <c r="P165" i="5" s="1"/>
  <c r="CA179" i="5"/>
  <c r="CO178" i="5"/>
  <c r="CW177" i="5" s="1"/>
  <c r="BR167" i="5"/>
  <c r="BS167" i="5" s="1"/>
  <c r="BW167" i="5" s="1"/>
  <c r="E168" i="5" s="1"/>
  <c r="Q168" i="5" s="1"/>
  <c r="BQ179" i="5"/>
  <c r="BK180" i="5" s="1"/>
  <c r="BV167" i="5"/>
  <c r="BL169" i="5"/>
  <c r="BT168" i="5" s="1"/>
  <c r="BM169" i="5"/>
  <c r="BP168" i="5"/>
  <c r="AQ152" i="4"/>
  <c r="AD152" i="4"/>
  <c r="AU153" i="4"/>
  <c r="AF153" i="4"/>
  <c r="CE153" i="4"/>
  <c r="Y153" i="4"/>
  <c r="Z153" i="4"/>
  <c r="AE148" i="4"/>
  <c r="AG148" i="4" s="1"/>
  <c r="AB149" i="4"/>
  <c r="BN152" i="4"/>
  <c r="BU179" i="5"/>
  <c r="AK179" i="5"/>
  <c r="AO179" i="5"/>
  <c r="AI179" i="5"/>
  <c r="BL109" i="4"/>
  <c r="BM108" i="4"/>
  <c r="BO108" i="4" s="1"/>
  <c r="BJ110" i="4"/>
  <c r="BQ110" i="4" s="1"/>
  <c r="CH86" i="4"/>
  <c r="CI86" i="4" s="1"/>
  <c r="CJ86" i="4" s="1"/>
  <c r="CF87" i="4" s="1"/>
  <c r="BK109" i="4"/>
  <c r="CQ85" i="4"/>
  <c r="G104" i="4" s="1"/>
  <c r="F167" i="5"/>
  <c r="R167" i="5" s="1"/>
  <c r="BV86" i="4"/>
  <c r="BX86" i="4" s="1"/>
  <c r="CK86" i="4" s="1"/>
  <c r="CL86" i="4" s="1"/>
  <c r="J179" i="5"/>
  <c r="V179" i="5" s="1"/>
  <c r="AD182" i="5"/>
  <c r="AC183" i="5"/>
  <c r="DE178" i="5"/>
  <c r="DE179" i="5" s="1"/>
  <c r="BJ183" i="5"/>
  <c r="CT153" i="4"/>
  <c r="CZ152" i="4" s="1"/>
  <c r="DT178" i="5"/>
  <c r="DU178" i="5" s="1"/>
  <c r="J171" i="4"/>
  <c r="CW152" i="4"/>
  <c r="CX152" i="4" s="1"/>
  <c r="DF152" i="4" s="1"/>
  <c r="CY153" i="4"/>
  <c r="BP153" i="4"/>
  <c r="BI153" i="4"/>
  <c r="X153" i="4"/>
  <c r="K172" i="4" s="1"/>
  <c r="CS153" i="4"/>
  <c r="CV153" i="4"/>
  <c r="DL179" i="5"/>
  <c r="DZ179" i="5"/>
  <c r="EA177" i="5"/>
  <c r="DM177" i="5"/>
  <c r="H177" i="5"/>
  <c r="T177" i="5" s="1"/>
  <c r="CY176" i="5"/>
  <c r="CZ176" i="5"/>
  <c r="G177" i="5" s="1"/>
  <c r="S177" i="5" s="1"/>
  <c r="CX179" i="5"/>
  <c r="N179" i="5"/>
  <c r="DD149" i="4"/>
  <c r="DE149" i="4" s="1"/>
  <c r="H168" i="4" s="1"/>
  <c r="DE148" i="4"/>
  <c r="H167" i="4" s="1"/>
  <c r="CR178" i="5"/>
  <c r="CS178" i="5" s="1"/>
  <c r="DF178" i="5"/>
  <c r="CU177" i="5"/>
  <c r="CV177" i="5" s="1"/>
  <c r="DW177" i="5"/>
  <c r="DX177" i="5" s="1"/>
  <c r="EB177" i="5" s="1"/>
  <c r="B180" i="5"/>
  <c r="AA180" i="5"/>
  <c r="DV179" i="5"/>
  <c r="CT179" i="5"/>
  <c r="BY179" i="5"/>
  <c r="CD179" i="5" s="1"/>
  <c r="DH179" i="5"/>
  <c r="AB179" i="5"/>
  <c r="K180" i="5" s="1"/>
  <c r="W180" i="5" s="1"/>
  <c r="DD179" i="5"/>
  <c r="DC179" i="5"/>
  <c r="DK178" i="5" s="1"/>
  <c r="DB179" i="5"/>
  <c r="CN179" i="5"/>
  <c r="CP179" i="5"/>
  <c r="CQ179" i="5"/>
  <c r="DQ179" i="5"/>
  <c r="DY178" i="5" s="1"/>
  <c r="DP179" i="5"/>
  <c r="DS179" i="5"/>
  <c r="DR179" i="5"/>
  <c r="DG177" i="5"/>
  <c r="CX151" i="4"/>
  <c r="DF151" i="4" s="1"/>
  <c r="DA150" i="4"/>
  <c r="DB150" i="4"/>
  <c r="DC150" i="4" s="1"/>
  <c r="C172" i="4"/>
  <c r="W154" i="4"/>
  <c r="CU153" i="4"/>
  <c r="AA153" i="4" l="1"/>
  <c r="AT152" i="4" s="1"/>
  <c r="CO179" i="5"/>
  <c r="CW178" i="5" s="1"/>
  <c r="AV180" i="5"/>
  <c r="CL173" i="5"/>
  <c r="CK173" i="5"/>
  <c r="BZ180" i="5"/>
  <c r="CG180" i="5" s="1"/>
  <c r="AX166" i="5"/>
  <c r="AZ166" i="5" s="1"/>
  <c r="AW167" i="5"/>
  <c r="BB167" i="5"/>
  <c r="AU168" i="5"/>
  <c r="BD165" i="5"/>
  <c r="BF165" i="5" s="1"/>
  <c r="BC165" i="5"/>
  <c r="BG165" i="5" s="1"/>
  <c r="D166" i="5" s="1"/>
  <c r="P166" i="5" s="1"/>
  <c r="CA180" i="5"/>
  <c r="BO180" i="5"/>
  <c r="CF180" i="5"/>
  <c r="CI180" i="5" s="1"/>
  <c r="AY180" i="5"/>
  <c r="CJ180" i="5"/>
  <c r="BA180" i="5"/>
  <c r="BE180" i="5"/>
  <c r="CC174" i="5"/>
  <c r="CE174" i="5" s="1"/>
  <c r="CH174" i="5" s="1"/>
  <c r="CB175" i="5"/>
  <c r="BR168" i="5"/>
  <c r="BS168" i="5" s="1"/>
  <c r="BW168" i="5" s="1"/>
  <c r="E169" i="5" s="1"/>
  <c r="Q169" i="5" s="1"/>
  <c r="BQ180" i="5"/>
  <c r="BK181" i="5" s="1"/>
  <c r="BP169" i="5"/>
  <c r="BM170" i="5"/>
  <c r="BV168" i="5"/>
  <c r="BL170" i="5"/>
  <c r="BT169" i="5" s="1"/>
  <c r="J180" i="5"/>
  <c r="V180" i="5" s="1"/>
  <c r="AQ153" i="4"/>
  <c r="AD153" i="4"/>
  <c r="BN153" i="4"/>
  <c r="CE154" i="4"/>
  <c r="AF154" i="4"/>
  <c r="AU154" i="4"/>
  <c r="Y154" i="4"/>
  <c r="AW152" i="4"/>
  <c r="Z154" i="4"/>
  <c r="AA154" i="4"/>
  <c r="AT153" i="4" s="1"/>
  <c r="AE149" i="4"/>
  <c r="AG149" i="4" s="1"/>
  <c r="AB150" i="4"/>
  <c r="CD108" i="4"/>
  <c r="BU180" i="5"/>
  <c r="AO180" i="5"/>
  <c r="AK180" i="5"/>
  <c r="AI180" i="5"/>
  <c r="BY86" i="4"/>
  <c r="CO86" i="4" s="1"/>
  <c r="CP86" i="4" s="1"/>
  <c r="BM109" i="4"/>
  <c r="BO109" i="4" s="1"/>
  <c r="BL110" i="4"/>
  <c r="F168" i="5"/>
  <c r="R168" i="5" s="1"/>
  <c r="CC98" i="4"/>
  <c r="BZ98" i="4"/>
  <c r="CB98" i="4" s="1"/>
  <c r="CG87" i="4"/>
  <c r="CH87" i="4" s="1"/>
  <c r="CI87" i="4" s="1"/>
  <c r="CJ87" i="4" s="1"/>
  <c r="CF88" i="4" s="1"/>
  <c r="CM86" i="4"/>
  <c r="CN86" i="4" s="1"/>
  <c r="F105" i="4" s="1"/>
  <c r="BJ111" i="4"/>
  <c r="BQ111" i="4" s="1"/>
  <c r="BR87" i="4"/>
  <c r="BS99" i="4" s="1"/>
  <c r="BT111" i="4" s="1"/>
  <c r="BU123" i="4" s="1"/>
  <c r="BK110" i="4"/>
  <c r="CD109" i="4" s="1"/>
  <c r="DG178" i="5"/>
  <c r="DI178" i="5" s="1"/>
  <c r="DJ178" i="5" s="1"/>
  <c r="AD183" i="5"/>
  <c r="AC184" i="5"/>
  <c r="BJ184" i="5"/>
  <c r="CT154" i="4"/>
  <c r="CZ153" i="4" s="1"/>
  <c r="DT179" i="5"/>
  <c r="DU179" i="5" s="1"/>
  <c r="J172" i="4"/>
  <c r="CV154" i="4"/>
  <c r="CS154" i="4"/>
  <c r="CW153" i="4"/>
  <c r="CX153" i="4" s="1"/>
  <c r="DF153" i="4" s="1"/>
  <c r="CA153" i="4"/>
  <c r="CY154" i="4"/>
  <c r="BP154" i="4"/>
  <c r="BI154" i="4"/>
  <c r="BN154" i="4" s="1"/>
  <c r="X154" i="4"/>
  <c r="K173" i="4" s="1"/>
  <c r="DL180" i="5"/>
  <c r="DZ180" i="5"/>
  <c r="I178" i="5"/>
  <c r="U178" i="5" s="1"/>
  <c r="EA178" i="5"/>
  <c r="DM178" i="5"/>
  <c r="CX180" i="5"/>
  <c r="CZ177" i="5"/>
  <c r="G178" i="5" s="1"/>
  <c r="S178" i="5" s="1"/>
  <c r="CY177" i="5"/>
  <c r="N180" i="5"/>
  <c r="DG152" i="4"/>
  <c r="DG151" i="4"/>
  <c r="DH149" i="4"/>
  <c r="I168" i="4" s="1"/>
  <c r="DD150" i="4"/>
  <c r="DE150" i="4" s="1"/>
  <c r="H169" i="4" s="1"/>
  <c r="CU178" i="5"/>
  <c r="CV178" i="5" s="1"/>
  <c r="DI177" i="5"/>
  <c r="DJ177" i="5" s="1"/>
  <c r="DP180" i="5"/>
  <c r="DS180" i="5"/>
  <c r="DR180" i="5"/>
  <c r="DQ180" i="5"/>
  <c r="DY179" i="5" s="1"/>
  <c r="DW178" i="5"/>
  <c r="DX178" i="5" s="1"/>
  <c r="CR179" i="5"/>
  <c r="CS179" i="5" s="1"/>
  <c r="DF179" i="5"/>
  <c r="DG179" i="5" s="1"/>
  <c r="DV180" i="5"/>
  <c r="BY180" i="5"/>
  <c r="CD180" i="5" s="1"/>
  <c r="DH180" i="5"/>
  <c r="AA181" i="5"/>
  <c r="CT180" i="5"/>
  <c r="B181" i="5"/>
  <c r="AB180" i="5"/>
  <c r="K181" i="5" s="1"/>
  <c r="W181" i="5" s="1"/>
  <c r="DD180" i="5"/>
  <c r="DE180" i="5"/>
  <c r="DB180" i="5"/>
  <c r="DC180" i="5"/>
  <c r="DK179" i="5" s="1"/>
  <c r="CP180" i="5"/>
  <c r="CO180" i="5"/>
  <c r="CW179" i="5" s="1"/>
  <c r="CN180" i="5"/>
  <c r="CQ180" i="5"/>
  <c r="DB151" i="4"/>
  <c r="DC151" i="4" s="1"/>
  <c r="DA151" i="4"/>
  <c r="C173" i="4"/>
  <c r="W155" i="4"/>
  <c r="CU154" i="4"/>
  <c r="CL174" i="5" l="1"/>
  <c r="CK174" i="5"/>
  <c r="BO181" i="5"/>
  <c r="BA181" i="5"/>
  <c r="AY181" i="5"/>
  <c r="CF181" i="5"/>
  <c r="CI181" i="5" s="1"/>
  <c r="CJ181" i="5"/>
  <c r="BE181" i="5"/>
  <c r="BZ181" i="5"/>
  <c r="CG181" i="5" s="1"/>
  <c r="AX167" i="5"/>
  <c r="AZ167" i="5" s="1"/>
  <c r="AW168" i="5"/>
  <c r="BD166" i="5"/>
  <c r="BF166" i="5" s="1"/>
  <c r="BC166" i="5"/>
  <c r="BG166" i="5" s="1"/>
  <c r="D167" i="5" s="1"/>
  <c r="P167" i="5" s="1"/>
  <c r="CA181" i="5"/>
  <c r="AV181" i="5"/>
  <c r="AV182" i="5" s="1"/>
  <c r="CC175" i="5"/>
  <c r="CE175" i="5" s="1"/>
  <c r="CI175" i="5" s="1"/>
  <c r="CB176" i="5"/>
  <c r="BB168" i="5"/>
  <c r="AU169" i="5"/>
  <c r="BR169" i="5"/>
  <c r="BS169" i="5" s="1"/>
  <c r="BW169" i="5" s="1"/>
  <c r="E170" i="5" s="1"/>
  <c r="Q170" i="5" s="1"/>
  <c r="BQ181" i="5"/>
  <c r="BK182" i="5" s="1"/>
  <c r="BV169" i="5"/>
  <c r="BL171" i="5"/>
  <c r="BT170" i="5" s="1"/>
  <c r="BM171" i="5"/>
  <c r="BP170" i="5"/>
  <c r="J181" i="5"/>
  <c r="V181" i="5" s="1"/>
  <c r="AQ154" i="4"/>
  <c r="AD154" i="4"/>
  <c r="Z155" i="4"/>
  <c r="AA155" i="4"/>
  <c r="AT154" i="4" s="1"/>
  <c r="AE150" i="4"/>
  <c r="AB151" i="4"/>
  <c r="AF155" i="4"/>
  <c r="AU155" i="4"/>
  <c r="CE155" i="4"/>
  <c r="Y155" i="4"/>
  <c r="AW153" i="4"/>
  <c r="CT155" i="4"/>
  <c r="CZ154" i="4" s="1"/>
  <c r="BU181" i="5"/>
  <c r="AK181" i="5"/>
  <c r="AO181" i="5"/>
  <c r="AI181" i="5"/>
  <c r="CQ86" i="4"/>
  <c r="G105" i="4" s="1"/>
  <c r="BK111" i="4"/>
  <c r="CD110" i="4" s="1"/>
  <c r="BM110" i="4"/>
  <c r="BO110" i="4" s="1"/>
  <c r="BL111" i="4"/>
  <c r="BR88" i="4"/>
  <c r="BS100" i="4" s="1"/>
  <c r="BT112" i="4" s="1"/>
  <c r="BU124" i="4" s="1"/>
  <c r="BV87" i="4"/>
  <c r="BX87" i="4" s="1"/>
  <c r="CK87" i="4" s="1"/>
  <c r="CL87" i="4" s="1"/>
  <c r="CG88" i="4"/>
  <c r="F169" i="5"/>
  <c r="R169" i="5" s="1"/>
  <c r="BJ112" i="4"/>
  <c r="BQ112" i="4" s="1"/>
  <c r="AD184" i="5"/>
  <c r="AC185" i="5"/>
  <c r="BJ185" i="5"/>
  <c r="J173" i="4"/>
  <c r="CW154" i="4"/>
  <c r="CX154" i="4" s="1"/>
  <c r="DF154" i="4" s="1"/>
  <c r="CA154" i="4"/>
  <c r="BP155" i="4"/>
  <c r="CY155" i="4"/>
  <c r="BI155" i="4"/>
  <c r="BN155" i="4" s="1"/>
  <c r="X155" i="4"/>
  <c r="K174" i="4" s="1"/>
  <c r="CV155" i="4"/>
  <c r="CS155" i="4"/>
  <c r="DL181" i="5"/>
  <c r="DZ181" i="5"/>
  <c r="EA179" i="5"/>
  <c r="EB178" i="5"/>
  <c r="I179" i="5" s="1"/>
  <c r="U179" i="5" s="1"/>
  <c r="DN177" i="5"/>
  <c r="H178" i="5" s="1"/>
  <c r="T178" i="5" s="1"/>
  <c r="DN178" i="5"/>
  <c r="H179" i="5" s="1"/>
  <c r="T179" i="5" s="1"/>
  <c r="DM179" i="5"/>
  <c r="CZ178" i="5"/>
  <c r="G179" i="5" s="1"/>
  <c r="S179" i="5" s="1"/>
  <c r="CY178" i="5"/>
  <c r="CX181" i="5"/>
  <c r="N181" i="5"/>
  <c r="DD151" i="4"/>
  <c r="DE151" i="4" s="1"/>
  <c r="H170" i="4" s="1"/>
  <c r="DG153" i="4"/>
  <c r="DH150" i="4"/>
  <c r="I169" i="4" s="1"/>
  <c r="CU179" i="5"/>
  <c r="CV179" i="5" s="1"/>
  <c r="DI179" i="5"/>
  <c r="DJ179" i="5" s="1"/>
  <c r="CN181" i="5"/>
  <c r="CO181" i="5"/>
  <c r="CW180" i="5" s="1"/>
  <c r="CP181" i="5"/>
  <c r="CQ181" i="5"/>
  <c r="AA182" i="5"/>
  <c r="B182" i="5"/>
  <c r="DV181" i="5"/>
  <c r="CT181" i="5"/>
  <c r="BY181" i="5"/>
  <c r="CD181" i="5" s="1"/>
  <c r="DH181" i="5"/>
  <c r="AB181" i="5"/>
  <c r="K182" i="5" s="1"/>
  <c r="W182" i="5" s="1"/>
  <c r="DP181" i="5"/>
  <c r="DR181" i="5"/>
  <c r="DQ181" i="5"/>
  <c r="DY180" i="5" s="1"/>
  <c r="DS181" i="5"/>
  <c r="DE181" i="5"/>
  <c r="DD181" i="5"/>
  <c r="DB181" i="5"/>
  <c r="DC181" i="5"/>
  <c r="DK180" i="5" s="1"/>
  <c r="DF180" i="5"/>
  <c r="DG180" i="5" s="1"/>
  <c r="DW179" i="5"/>
  <c r="DX179" i="5" s="1"/>
  <c r="CR180" i="5"/>
  <c r="CS180" i="5" s="1"/>
  <c r="DT180" i="5"/>
  <c r="DU180" i="5" s="1"/>
  <c r="DB152" i="4"/>
  <c r="DC152" i="4" s="1"/>
  <c r="DA152" i="4"/>
  <c r="CU155" i="4"/>
  <c r="C174" i="4"/>
  <c r="W156" i="4"/>
  <c r="CC176" i="5" l="1"/>
  <c r="CE176" i="5" s="1"/>
  <c r="CH176" i="5" s="1"/>
  <c r="CB177" i="5"/>
  <c r="AX168" i="5"/>
  <c r="AZ168" i="5" s="1"/>
  <c r="AW169" i="5"/>
  <c r="BZ182" i="5"/>
  <c r="CG182" i="5" s="1"/>
  <c r="CK175" i="5"/>
  <c r="CH175" i="5"/>
  <c r="CL175" i="5" s="1"/>
  <c r="BD167" i="5"/>
  <c r="BF167" i="5" s="1"/>
  <c r="BC167" i="5"/>
  <c r="BG167" i="5" s="1"/>
  <c r="D168" i="5" s="1"/>
  <c r="P168" i="5" s="1"/>
  <c r="BO182" i="5"/>
  <c r="CF182" i="5"/>
  <c r="CI182" i="5" s="1"/>
  <c r="BA182" i="5"/>
  <c r="AV183" i="5" s="1"/>
  <c r="BE182" i="5"/>
  <c r="CJ182" i="5"/>
  <c r="AY182" i="5"/>
  <c r="CA182" i="5"/>
  <c r="BB169" i="5"/>
  <c r="AU170" i="5"/>
  <c r="AG150" i="4"/>
  <c r="AC151" i="4"/>
  <c r="AC152" i="4" s="1"/>
  <c r="AC153" i="4" s="1"/>
  <c r="AC154" i="4" s="1"/>
  <c r="AC155" i="4" s="1"/>
  <c r="AC156" i="4" s="1"/>
  <c r="BR170" i="5"/>
  <c r="BS170" i="5" s="1"/>
  <c r="BW170" i="5" s="1"/>
  <c r="E171" i="5" s="1"/>
  <c r="Q171" i="5" s="1"/>
  <c r="BQ182" i="5"/>
  <c r="BK183" i="5" s="1"/>
  <c r="BM172" i="5"/>
  <c r="BP171" i="5"/>
  <c r="BV170" i="5"/>
  <c r="BL172" i="5"/>
  <c r="BT171" i="5" s="1"/>
  <c r="J182" i="5"/>
  <c r="V182" i="5" s="1"/>
  <c r="AQ155" i="4"/>
  <c r="AD155" i="4"/>
  <c r="AW154" i="4"/>
  <c r="AB152" i="4"/>
  <c r="AU156" i="4"/>
  <c r="AF156" i="4"/>
  <c r="CE156" i="4"/>
  <c r="Y156" i="4"/>
  <c r="Z156" i="4"/>
  <c r="AA156" i="4"/>
  <c r="AT155" i="4" s="1"/>
  <c r="CT156" i="4"/>
  <c r="CZ155" i="4" s="1"/>
  <c r="BU182" i="5"/>
  <c r="AO182" i="5"/>
  <c r="AK182" i="5"/>
  <c r="AI182" i="5"/>
  <c r="F170" i="5"/>
  <c r="R170" i="5" s="1"/>
  <c r="BK112" i="4"/>
  <c r="CD111" i="4" s="1"/>
  <c r="BJ113" i="4"/>
  <c r="BQ113" i="4" s="1"/>
  <c r="CH88" i="4"/>
  <c r="CI88" i="4" s="1"/>
  <c r="CJ88" i="4" s="1"/>
  <c r="CF89" i="4" s="1"/>
  <c r="BV88" i="4"/>
  <c r="BX88" i="4" s="1"/>
  <c r="CK88" i="4" s="1"/>
  <c r="CL88" i="4" s="1"/>
  <c r="BY87" i="4"/>
  <c r="CO87" i="4" s="1"/>
  <c r="CP87" i="4" s="1"/>
  <c r="CM87" i="4"/>
  <c r="CN87" i="4" s="1"/>
  <c r="F106" i="4" s="1"/>
  <c r="CC99" i="4"/>
  <c r="BZ99" i="4"/>
  <c r="CB99" i="4" s="1"/>
  <c r="BM111" i="4"/>
  <c r="BO111" i="4" s="1"/>
  <c r="BL112" i="4"/>
  <c r="AD185" i="5"/>
  <c r="AC186" i="5"/>
  <c r="BJ186" i="5"/>
  <c r="DF181" i="5"/>
  <c r="DG181" i="5" s="1"/>
  <c r="J174" i="4"/>
  <c r="CS156" i="4"/>
  <c r="CW155" i="4"/>
  <c r="CX155" i="4" s="1"/>
  <c r="DF155" i="4" s="1"/>
  <c r="CA155" i="4"/>
  <c r="BP156" i="4"/>
  <c r="CY156" i="4"/>
  <c r="BI156" i="4"/>
  <c r="CA156" i="4" s="1"/>
  <c r="X156" i="4"/>
  <c r="K175" i="4" s="1"/>
  <c r="CV156" i="4"/>
  <c r="DL182" i="5"/>
  <c r="DZ182" i="5"/>
  <c r="EA180" i="5"/>
  <c r="EB179" i="5"/>
  <c r="I180" i="5" s="1"/>
  <c r="U180" i="5" s="1"/>
  <c r="DM180" i="5"/>
  <c r="DN179" i="5"/>
  <c r="H180" i="5" s="1"/>
  <c r="T180" i="5" s="1"/>
  <c r="CY179" i="5"/>
  <c r="CZ179" i="5"/>
  <c r="G180" i="5" s="1"/>
  <c r="S180" i="5" s="1"/>
  <c r="CX182" i="5"/>
  <c r="N182" i="5"/>
  <c r="DD152" i="4"/>
  <c r="DH151" i="4"/>
  <c r="I170" i="4" s="1"/>
  <c r="DG154" i="4"/>
  <c r="DT181" i="5"/>
  <c r="DU181" i="5" s="1"/>
  <c r="CR181" i="5"/>
  <c r="CS181" i="5" s="1"/>
  <c r="DW180" i="5"/>
  <c r="DX180" i="5" s="1"/>
  <c r="EB180" i="5" s="1"/>
  <c r="CU180" i="5"/>
  <c r="CV180" i="5" s="1"/>
  <c r="DI180" i="5"/>
  <c r="DJ180" i="5" s="1"/>
  <c r="DN180" i="5" s="1"/>
  <c r="CO182" i="5"/>
  <c r="CW181" i="5" s="1"/>
  <c r="CN182" i="5"/>
  <c r="CP182" i="5"/>
  <c r="CQ182" i="5"/>
  <c r="DQ182" i="5"/>
  <c r="DY181" i="5" s="1"/>
  <c r="DP182" i="5"/>
  <c r="DS182" i="5"/>
  <c r="DR182" i="5"/>
  <c r="DE182" i="5"/>
  <c r="DC182" i="5"/>
  <c r="DK181" i="5" s="1"/>
  <c r="DB182" i="5"/>
  <c r="DD182" i="5"/>
  <c r="AA183" i="5"/>
  <c r="B183" i="5"/>
  <c r="BY182" i="5"/>
  <c r="CD182" i="5" s="1"/>
  <c r="CT182" i="5"/>
  <c r="DV182" i="5"/>
  <c r="DH182" i="5"/>
  <c r="AB182" i="5"/>
  <c r="K183" i="5" s="1"/>
  <c r="W183" i="5" s="1"/>
  <c r="DA153" i="4"/>
  <c r="DB153" i="4"/>
  <c r="DC153" i="4" s="1"/>
  <c r="C175" i="4"/>
  <c r="W157" i="4"/>
  <c r="CU156" i="4"/>
  <c r="CA183" i="5" l="1"/>
  <c r="CA184" i="5" s="1"/>
  <c r="CK176" i="5"/>
  <c r="CL176" i="5"/>
  <c r="AX169" i="5"/>
  <c r="AZ169" i="5" s="1"/>
  <c r="AW170" i="5"/>
  <c r="BD168" i="5"/>
  <c r="BF168" i="5" s="1"/>
  <c r="BC168" i="5"/>
  <c r="BG168" i="5" s="1"/>
  <c r="D169" i="5" s="1"/>
  <c r="P169" i="5" s="1"/>
  <c r="BO183" i="5"/>
  <c r="CF183" i="5"/>
  <c r="CI183" i="5" s="1"/>
  <c r="CJ183" i="5"/>
  <c r="BA183" i="5"/>
  <c r="BE183" i="5"/>
  <c r="AY183" i="5"/>
  <c r="BB170" i="5"/>
  <c r="AU171" i="5"/>
  <c r="CC177" i="5"/>
  <c r="CE177" i="5" s="1"/>
  <c r="CH177" i="5" s="1"/>
  <c r="CB178" i="5"/>
  <c r="BZ183" i="5"/>
  <c r="CG183" i="5" s="1"/>
  <c r="AC157" i="4"/>
  <c r="AE151" i="4"/>
  <c r="AG151" i="4" s="1"/>
  <c r="BR171" i="5"/>
  <c r="BS171" i="5" s="1"/>
  <c r="BW171" i="5" s="1"/>
  <c r="E172" i="5" s="1"/>
  <c r="Q172" i="5" s="1"/>
  <c r="BQ183" i="5"/>
  <c r="BK184" i="5" s="1"/>
  <c r="BL173" i="5"/>
  <c r="BT172" i="5" s="1"/>
  <c r="BV171" i="5"/>
  <c r="BM173" i="5"/>
  <c r="BP172" i="5"/>
  <c r="J183" i="5"/>
  <c r="V183" i="5" s="1"/>
  <c r="AQ156" i="4"/>
  <c r="AD156" i="4"/>
  <c r="BN156" i="4"/>
  <c r="AE152" i="4"/>
  <c r="AG152" i="4" s="1"/>
  <c r="AB153" i="4"/>
  <c r="Z157" i="4"/>
  <c r="AA157" i="4"/>
  <c r="AT156" i="4" s="1"/>
  <c r="AW155" i="4"/>
  <c r="CE157" i="4"/>
  <c r="AF157" i="4"/>
  <c r="AU157" i="4"/>
  <c r="Y157" i="4"/>
  <c r="CT157" i="4"/>
  <c r="CZ156" i="4" s="1"/>
  <c r="BU183" i="5"/>
  <c r="AK183" i="5"/>
  <c r="AO183" i="5"/>
  <c r="AI183" i="5"/>
  <c r="CQ87" i="4"/>
  <c r="G106" i="4" s="1"/>
  <c r="BY88" i="4"/>
  <c r="CO88" i="4" s="1"/>
  <c r="CP88" i="4" s="1"/>
  <c r="CG89" i="4"/>
  <c r="F171" i="5"/>
  <c r="R171" i="5" s="1"/>
  <c r="BK113" i="4"/>
  <c r="CD112" i="4" s="1"/>
  <c r="BL113" i="4"/>
  <c r="BM112" i="4"/>
  <c r="BO112" i="4" s="1"/>
  <c r="BR89" i="4"/>
  <c r="BS101" i="4" s="1"/>
  <c r="BT113" i="4" s="1"/>
  <c r="BU125" i="4" s="1"/>
  <c r="BJ114" i="4"/>
  <c r="CM88" i="4"/>
  <c r="CC100" i="4"/>
  <c r="BZ100" i="4"/>
  <c r="CB100" i="4" s="1"/>
  <c r="AD186" i="5"/>
  <c r="AC187" i="5"/>
  <c r="BJ187" i="5"/>
  <c r="J175" i="4"/>
  <c r="CW156" i="4"/>
  <c r="CX156" i="4" s="1"/>
  <c r="DF156" i="4" s="1"/>
  <c r="CV157" i="4"/>
  <c r="BP157" i="4"/>
  <c r="CY157" i="4"/>
  <c r="BI157" i="4"/>
  <c r="X157" i="4"/>
  <c r="K176" i="4" s="1"/>
  <c r="CS157" i="4"/>
  <c r="DL183" i="5"/>
  <c r="DZ183" i="5"/>
  <c r="EA181" i="5"/>
  <c r="I181" i="5"/>
  <c r="U181" i="5" s="1"/>
  <c r="DM181" i="5"/>
  <c r="H181" i="5"/>
  <c r="T181" i="5" s="1"/>
  <c r="CY180" i="5"/>
  <c r="CZ180" i="5"/>
  <c r="G181" i="5" s="1"/>
  <c r="S181" i="5" s="1"/>
  <c r="CX183" i="5"/>
  <c r="N183" i="5"/>
  <c r="DH152" i="4"/>
  <c r="I171" i="4" s="1"/>
  <c r="DE152" i="4"/>
  <c r="H171" i="4" s="1"/>
  <c r="DD153" i="4"/>
  <c r="DF182" i="5"/>
  <c r="DG182" i="5" s="1"/>
  <c r="CP183" i="5"/>
  <c r="CO183" i="5"/>
  <c r="CW182" i="5" s="1"/>
  <c r="CN183" i="5"/>
  <c r="CQ183" i="5"/>
  <c r="DH183" i="5"/>
  <c r="BY183" i="5"/>
  <c r="CD183" i="5" s="1"/>
  <c r="B184" i="5"/>
  <c r="AA184" i="5"/>
  <c r="DV183" i="5"/>
  <c r="CT183" i="5"/>
  <c r="AB183" i="5"/>
  <c r="K184" i="5" s="1"/>
  <c r="W184" i="5" s="1"/>
  <c r="DD183" i="5"/>
  <c r="DE183" i="5"/>
  <c r="DB183" i="5"/>
  <c r="DC183" i="5"/>
  <c r="DK182" i="5" s="1"/>
  <c r="CR182" i="5"/>
  <c r="CS182" i="5" s="1"/>
  <c r="DW181" i="5"/>
  <c r="DX181" i="5" s="1"/>
  <c r="EB181" i="5" s="1"/>
  <c r="CU181" i="5"/>
  <c r="CV181" i="5" s="1"/>
  <c r="DT182" i="5"/>
  <c r="DU182" i="5" s="1"/>
  <c r="DI181" i="5"/>
  <c r="DJ181" i="5" s="1"/>
  <c r="DN181" i="5" s="1"/>
  <c r="DR183" i="5"/>
  <c r="DQ183" i="5"/>
  <c r="DY182" i="5" s="1"/>
  <c r="DP183" i="5"/>
  <c r="DS183" i="5"/>
  <c r="DG155" i="4"/>
  <c r="DA154" i="4"/>
  <c r="DB154" i="4"/>
  <c r="DC154" i="4" s="1"/>
  <c r="C176" i="4"/>
  <c r="W158" i="4"/>
  <c r="CU157" i="4"/>
  <c r="CK177" i="5" l="1"/>
  <c r="CL177" i="5"/>
  <c r="CC178" i="5"/>
  <c r="CE178" i="5" s="1"/>
  <c r="CH178" i="5" s="1"/>
  <c r="CB179" i="5"/>
  <c r="AX170" i="5"/>
  <c r="AZ170" i="5" s="1"/>
  <c r="AW171" i="5"/>
  <c r="BO184" i="5"/>
  <c r="CF184" i="5"/>
  <c r="CI184" i="5" s="1"/>
  <c r="CJ184" i="5"/>
  <c r="AY184" i="5"/>
  <c r="BA184" i="5"/>
  <c r="BE184" i="5"/>
  <c r="BD169" i="5"/>
  <c r="BF169" i="5" s="1"/>
  <c r="BC169" i="5"/>
  <c r="BG169" i="5" s="1"/>
  <c r="D170" i="5" s="1"/>
  <c r="P170" i="5" s="1"/>
  <c r="BB171" i="5"/>
  <c r="AU172" i="5"/>
  <c r="AV184" i="5"/>
  <c r="BZ184" i="5"/>
  <c r="CG184" i="5" s="1"/>
  <c r="AC158" i="4"/>
  <c r="BR172" i="5"/>
  <c r="BS172" i="5" s="1"/>
  <c r="BW172" i="5" s="1"/>
  <c r="E173" i="5" s="1"/>
  <c r="Q173" i="5" s="1"/>
  <c r="BQ184" i="5"/>
  <c r="BK185" i="5" s="1"/>
  <c r="BP173" i="5"/>
  <c r="BM174" i="5"/>
  <c r="BV172" i="5"/>
  <c r="BL174" i="5"/>
  <c r="BT173" i="5" s="1"/>
  <c r="J184" i="5"/>
  <c r="V184" i="5" s="1"/>
  <c r="AQ157" i="4"/>
  <c r="AD157" i="4"/>
  <c r="BN157" i="4"/>
  <c r="AE153" i="4"/>
  <c r="AG153" i="4" s="1"/>
  <c r="AB154" i="4"/>
  <c r="AU158" i="4"/>
  <c r="AF158" i="4"/>
  <c r="CE158" i="4"/>
  <c r="Y158" i="4"/>
  <c r="Z158" i="4"/>
  <c r="AA158" i="4"/>
  <c r="AT157" i="4" s="1"/>
  <c r="CQ88" i="4"/>
  <c r="G107" i="4" s="1"/>
  <c r="CT158" i="4"/>
  <c r="CZ157" i="4" s="1"/>
  <c r="BU184" i="5"/>
  <c r="AO184" i="5"/>
  <c r="AK184" i="5"/>
  <c r="AI184" i="5"/>
  <c r="BK114" i="4"/>
  <c r="CD113" i="4" s="1"/>
  <c r="F172" i="5"/>
  <c r="R172" i="5" s="1"/>
  <c r="BV89" i="4"/>
  <c r="BX89" i="4" s="1"/>
  <c r="CK89" i="4" s="1"/>
  <c r="CL89" i="4" s="1"/>
  <c r="CN88" i="4"/>
  <c r="F107" i="4" s="1"/>
  <c r="BM113" i="4"/>
  <c r="BO113" i="4" s="1"/>
  <c r="BL114" i="4"/>
  <c r="BM114" i="4" s="1"/>
  <c r="BO114" i="4" s="1"/>
  <c r="BJ115" i="4" s="1"/>
  <c r="CH89" i="4"/>
  <c r="CI89" i="4" s="1"/>
  <c r="CJ89" i="4" s="1"/>
  <c r="AD187" i="5"/>
  <c r="CR183" i="5"/>
  <c r="CS183" i="5" s="1"/>
  <c r="J176" i="4"/>
  <c r="CS158" i="4"/>
  <c r="CY158" i="4"/>
  <c r="BP158" i="4"/>
  <c r="BI158" i="4"/>
  <c r="BN158" i="4" s="1"/>
  <c r="X158" i="4"/>
  <c r="K177" i="4" s="1"/>
  <c r="CW157" i="4"/>
  <c r="CX157" i="4" s="1"/>
  <c r="DF157" i="4" s="1"/>
  <c r="CA157" i="4"/>
  <c r="CV158" i="4"/>
  <c r="DL184" i="5"/>
  <c r="DZ184" i="5"/>
  <c r="I182" i="5"/>
  <c r="U182" i="5" s="1"/>
  <c r="EA182" i="5"/>
  <c r="DM182" i="5"/>
  <c r="H182" i="5"/>
  <c r="T182" i="5" s="1"/>
  <c r="CX184" i="5"/>
  <c r="CY181" i="5"/>
  <c r="CZ181" i="5"/>
  <c r="G182" i="5" s="1"/>
  <c r="S182" i="5" s="1"/>
  <c r="N184" i="5"/>
  <c r="DE153" i="4"/>
  <c r="H172" i="4" s="1"/>
  <c r="DH153" i="4"/>
  <c r="I172" i="4" s="1"/>
  <c r="DD154" i="4"/>
  <c r="DW182" i="5"/>
  <c r="DX182" i="5" s="1"/>
  <c r="CU182" i="5"/>
  <c r="CV182" i="5" s="1"/>
  <c r="CQ184" i="5"/>
  <c r="CP184" i="5"/>
  <c r="CO184" i="5"/>
  <c r="CW183" i="5" s="1"/>
  <c r="CN184" i="5"/>
  <c r="DE184" i="5"/>
  <c r="DB184" i="5"/>
  <c r="DC184" i="5"/>
  <c r="DK183" i="5" s="1"/>
  <c r="DD184" i="5"/>
  <c r="DS184" i="5"/>
  <c r="DR184" i="5"/>
  <c r="DQ184" i="5"/>
  <c r="DY183" i="5" s="1"/>
  <c r="DP184" i="5"/>
  <c r="DI182" i="5"/>
  <c r="DJ182" i="5" s="1"/>
  <c r="DT183" i="5"/>
  <c r="DU183" i="5" s="1"/>
  <c r="DF183" i="5"/>
  <c r="DG183" i="5" s="1"/>
  <c r="DH184" i="5"/>
  <c r="BY184" i="5"/>
  <c r="CD184" i="5" s="1"/>
  <c r="CT184" i="5"/>
  <c r="B185" i="5"/>
  <c r="AA185" i="5"/>
  <c r="DV184" i="5"/>
  <c r="AB184" i="5"/>
  <c r="K185" i="5" s="1"/>
  <c r="W185" i="5" s="1"/>
  <c r="DB155" i="4"/>
  <c r="DC155" i="4" s="1"/>
  <c r="DA155" i="4"/>
  <c r="DG156" i="4"/>
  <c r="C177" i="4"/>
  <c r="W159" i="4"/>
  <c r="CU158" i="4"/>
  <c r="CA185" i="5" l="1"/>
  <c r="AV185" i="5"/>
  <c r="CK178" i="5"/>
  <c r="CL178" i="5"/>
  <c r="BZ185" i="5"/>
  <c r="CG185" i="5" s="1"/>
  <c r="BB172" i="5"/>
  <c r="AU173" i="5"/>
  <c r="AX171" i="5"/>
  <c r="AZ171" i="5" s="1"/>
  <c r="AW172" i="5"/>
  <c r="BD170" i="5"/>
  <c r="BF170" i="5" s="1"/>
  <c r="BC170" i="5"/>
  <c r="BG170" i="5" s="1"/>
  <c r="D171" i="5" s="1"/>
  <c r="P171" i="5" s="1"/>
  <c r="CC179" i="5"/>
  <c r="CE179" i="5" s="1"/>
  <c r="CH179" i="5" s="1"/>
  <c r="CB180" i="5"/>
  <c r="BO185" i="5"/>
  <c r="BA185" i="5"/>
  <c r="AV186" i="5" s="1"/>
  <c r="AY185" i="5"/>
  <c r="CJ185" i="5"/>
  <c r="CF185" i="5"/>
  <c r="CI185" i="5" s="1"/>
  <c r="BE185" i="5"/>
  <c r="AC159" i="4"/>
  <c r="BR173" i="5"/>
  <c r="BS173" i="5" s="1"/>
  <c r="BW173" i="5" s="1"/>
  <c r="E174" i="5" s="1"/>
  <c r="Q174" i="5" s="1"/>
  <c r="BQ185" i="5"/>
  <c r="BK186" i="5" s="1"/>
  <c r="BL175" i="5"/>
  <c r="BT174" i="5" s="1"/>
  <c r="BV173" i="5"/>
  <c r="BP174" i="5"/>
  <c r="BM175" i="5"/>
  <c r="J185" i="5"/>
  <c r="V185" i="5" s="1"/>
  <c r="AQ158" i="4"/>
  <c r="AD158" i="4"/>
  <c r="AF159" i="4"/>
  <c r="CE159" i="4"/>
  <c r="AU159" i="4"/>
  <c r="Y159" i="4"/>
  <c r="AW157" i="4"/>
  <c r="Z159" i="4"/>
  <c r="AA159" i="4"/>
  <c r="AT158" i="4" s="1"/>
  <c r="AE154" i="4"/>
  <c r="AG154" i="4" s="1"/>
  <c r="AB155" i="4"/>
  <c r="CT159" i="4"/>
  <c r="CZ158" i="4" s="1"/>
  <c r="BU185" i="5"/>
  <c r="AK185" i="5"/>
  <c r="AO185" i="5"/>
  <c r="AI185" i="5"/>
  <c r="BJ116" i="4"/>
  <c r="BJ117" i="4" s="1"/>
  <c r="BJ118" i="4" s="1"/>
  <c r="BJ119" i="4" s="1"/>
  <c r="BJ120" i="4" s="1"/>
  <c r="BJ121" i="4" s="1"/>
  <c r="BJ122" i="4" s="1"/>
  <c r="BJ123" i="4" s="1"/>
  <c r="BJ124" i="4" s="1"/>
  <c r="BJ125" i="4" s="1"/>
  <c r="BJ126" i="4" s="1"/>
  <c r="BK115" i="4"/>
  <c r="CD114" i="4" s="1"/>
  <c r="BY89" i="4"/>
  <c r="CO89" i="4" s="1"/>
  <c r="CP89" i="4" s="1"/>
  <c r="BR90" i="4"/>
  <c r="BS102" i="4" s="1"/>
  <c r="BT114" i="4" s="1"/>
  <c r="BU126" i="4" s="1"/>
  <c r="CM89" i="4"/>
  <c r="F173" i="5"/>
  <c r="R173" i="5" s="1"/>
  <c r="CC101" i="4"/>
  <c r="BZ101" i="4"/>
  <c r="CB101" i="4" s="1"/>
  <c r="CR184" i="5"/>
  <c r="CS184" i="5" s="1"/>
  <c r="J177" i="4"/>
  <c r="CW158" i="4"/>
  <c r="CX158" i="4" s="1"/>
  <c r="DF158" i="4" s="1"/>
  <c r="CA158" i="4"/>
  <c r="CV159" i="4"/>
  <c r="CS159" i="4"/>
  <c r="CY159" i="4"/>
  <c r="BP159" i="4"/>
  <c r="BI159" i="4"/>
  <c r="BN159" i="4" s="1"/>
  <c r="X159" i="4"/>
  <c r="K178" i="4" s="1"/>
  <c r="DL185" i="5"/>
  <c r="DZ185" i="5"/>
  <c r="EB182" i="5"/>
  <c r="I183" i="5" s="1"/>
  <c r="U183" i="5" s="1"/>
  <c r="EA183" i="5"/>
  <c r="DM183" i="5"/>
  <c r="DN182" i="5"/>
  <c r="H183" i="5" s="1"/>
  <c r="T183" i="5" s="1"/>
  <c r="CY182" i="5"/>
  <c r="CZ182" i="5"/>
  <c r="G183" i="5" s="1"/>
  <c r="S183" i="5" s="1"/>
  <c r="CX185" i="5"/>
  <c r="N185" i="5"/>
  <c r="DE154" i="4"/>
  <c r="H173" i="4" s="1"/>
  <c r="DH154" i="4"/>
  <c r="I173" i="4" s="1"/>
  <c r="DD155" i="4"/>
  <c r="DF184" i="5"/>
  <c r="DG184" i="5" s="1"/>
  <c r="DI183" i="5"/>
  <c r="DJ183" i="5" s="1"/>
  <c r="DS185" i="5"/>
  <c r="DR185" i="5"/>
  <c r="DP185" i="5"/>
  <c r="DQ185" i="5"/>
  <c r="DY184" i="5" s="1"/>
  <c r="DT184" i="5"/>
  <c r="DU184" i="5" s="1"/>
  <c r="CU183" i="5"/>
  <c r="CV183" i="5" s="1"/>
  <c r="B186" i="5"/>
  <c r="DH185" i="5"/>
  <c r="BY185" i="5"/>
  <c r="CD185" i="5" s="1"/>
  <c r="AA186" i="5"/>
  <c r="CT185" i="5"/>
  <c r="DV185" i="5"/>
  <c r="AB185" i="5"/>
  <c r="K186" i="5" s="1"/>
  <c r="W186" i="5" s="1"/>
  <c r="DB185" i="5"/>
  <c r="DC185" i="5"/>
  <c r="DK184" i="5" s="1"/>
  <c r="DD185" i="5"/>
  <c r="DE185" i="5"/>
  <c r="DW183" i="5"/>
  <c r="DX183" i="5" s="1"/>
  <c r="CQ185" i="5"/>
  <c r="CP185" i="5"/>
  <c r="CN185" i="5"/>
  <c r="CO185" i="5"/>
  <c r="CW184" i="5" s="1"/>
  <c r="DG157" i="4"/>
  <c r="DB156" i="4"/>
  <c r="DC156" i="4" s="1"/>
  <c r="DA156" i="4"/>
  <c r="W160" i="4"/>
  <c r="C178" i="4"/>
  <c r="CU159" i="4"/>
  <c r="CK179" i="5" l="1"/>
  <c r="CL179" i="5"/>
  <c r="BB173" i="5"/>
  <c r="AU174" i="5"/>
  <c r="BO186" i="5"/>
  <c r="CJ186" i="5"/>
  <c r="CF186" i="5"/>
  <c r="CI186" i="5" s="1"/>
  <c r="BA186" i="5"/>
  <c r="AV187" i="5" s="1"/>
  <c r="AY186" i="5"/>
  <c r="BE186" i="5"/>
  <c r="BZ186" i="5"/>
  <c r="CG186" i="5" s="1"/>
  <c r="AX172" i="5"/>
  <c r="AZ172" i="5" s="1"/>
  <c r="AW173" i="5"/>
  <c r="CA186" i="5"/>
  <c r="BD171" i="5"/>
  <c r="BF171" i="5" s="1"/>
  <c r="BC171" i="5"/>
  <c r="BG171" i="5" s="1"/>
  <c r="D172" i="5" s="1"/>
  <c r="P172" i="5" s="1"/>
  <c r="CC180" i="5"/>
  <c r="CE180" i="5" s="1"/>
  <c r="CH180" i="5" s="1"/>
  <c r="CB181" i="5"/>
  <c r="AC160" i="4"/>
  <c r="BR174" i="5"/>
  <c r="BS174" i="5" s="1"/>
  <c r="BW174" i="5" s="1"/>
  <c r="E175" i="5" s="1"/>
  <c r="Q175" i="5" s="1"/>
  <c r="BQ186" i="5"/>
  <c r="BK187" i="5" s="1"/>
  <c r="J186" i="5"/>
  <c r="V186" i="5" s="1"/>
  <c r="BM176" i="5"/>
  <c r="BP175" i="5"/>
  <c r="BN176" i="5" s="1"/>
  <c r="BN177" i="5" s="1"/>
  <c r="BN178" i="5" s="1"/>
  <c r="BN179" i="5" s="1"/>
  <c r="BN180" i="5" s="1"/>
  <c r="BN181" i="5" s="1"/>
  <c r="BN182" i="5" s="1"/>
  <c r="BN183" i="5" s="1"/>
  <c r="BN184" i="5" s="1"/>
  <c r="BN185" i="5" s="1"/>
  <c r="BN186" i="5" s="1"/>
  <c r="BV174" i="5"/>
  <c r="BL176" i="5"/>
  <c r="BT175" i="5" s="1"/>
  <c r="AQ159" i="4"/>
  <c r="AD159" i="4"/>
  <c r="AW158" i="4"/>
  <c r="AE155" i="4"/>
  <c r="AG155" i="4" s="1"/>
  <c r="AB156" i="4"/>
  <c r="Z160" i="4"/>
  <c r="AA160" i="4"/>
  <c r="AT159" i="4" s="1"/>
  <c r="CE160" i="4"/>
  <c r="AF160" i="4"/>
  <c r="AU160" i="4"/>
  <c r="Y160" i="4"/>
  <c r="CT160" i="4"/>
  <c r="CZ159" i="4" s="1"/>
  <c r="AO186" i="5"/>
  <c r="BU186" i="5"/>
  <c r="AK186" i="5"/>
  <c r="AI186" i="5"/>
  <c r="CQ89" i="4"/>
  <c r="G108" i="4" s="1"/>
  <c r="CN89" i="4"/>
  <c r="F108" i="4" s="1"/>
  <c r="F174" i="5"/>
  <c r="R174" i="5" s="1"/>
  <c r="BK116" i="4"/>
  <c r="BV90" i="4"/>
  <c r="BX90" i="4" s="1"/>
  <c r="CE90" i="4" s="1"/>
  <c r="DT185" i="5"/>
  <c r="DU185" i="5" s="1"/>
  <c r="J178" i="4"/>
  <c r="CW159" i="4"/>
  <c r="CX159" i="4" s="1"/>
  <c r="DF159" i="4" s="1"/>
  <c r="CA159" i="4"/>
  <c r="CY160" i="4"/>
  <c r="BP160" i="4"/>
  <c r="BI160" i="4"/>
  <c r="CA160" i="4" s="1"/>
  <c r="X160" i="4"/>
  <c r="K179" i="4" s="1"/>
  <c r="CS160" i="4"/>
  <c r="CV160" i="4"/>
  <c r="DL186" i="5"/>
  <c r="DZ186" i="5"/>
  <c r="EA184" i="5"/>
  <c r="EB183" i="5"/>
  <c r="I184" i="5" s="1"/>
  <c r="U184" i="5" s="1"/>
  <c r="DN183" i="5"/>
  <c r="H184" i="5" s="1"/>
  <c r="T184" i="5" s="1"/>
  <c r="DM184" i="5"/>
  <c r="CX186" i="5"/>
  <c r="CZ183" i="5"/>
  <c r="G184" i="5" s="1"/>
  <c r="S184" i="5" s="1"/>
  <c r="CY183" i="5"/>
  <c r="N186" i="5"/>
  <c r="DE155" i="4"/>
  <c r="H174" i="4" s="1"/>
  <c r="DH155" i="4"/>
  <c r="I174" i="4" s="1"/>
  <c r="DD156" i="4"/>
  <c r="DG158" i="4"/>
  <c r="CR185" i="5"/>
  <c r="CS185" i="5" s="1"/>
  <c r="DF185" i="5"/>
  <c r="DG185" i="5" s="1"/>
  <c r="DI185" i="5" s="1"/>
  <c r="DJ185" i="5" s="1"/>
  <c r="DS186" i="5"/>
  <c r="DQ186" i="5"/>
  <c r="DY185" i="5" s="1"/>
  <c r="DR186" i="5"/>
  <c r="DP186" i="5"/>
  <c r="CQ186" i="5"/>
  <c r="CO186" i="5"/>
  <c r="CW185" i="5" s="1"/>
  <c r="CP186" i="5"/>
  <c r="CN186" i="5"/>
  <c r="DC186" i="5"/>
  <c r="DK185" i="5" s="1"/>
  <c r="DB186" i="5"/>
  <c r="DD186" i="5"/>
  <c r="DE186" i="5"/>
  <c r="DW184" i="5"/>
  <c r="DX184" i="5" s="1"/>
  <c r="DI184" i="5"/>
  <c r="DJ184" i="5" s="1"/>
  <c r="DV186" i="5"/>
  <c r="CT186" i="5"/>
  <c r="B187" i="5"/>
  <c r="DH186" i="5"/>
  <c r="BY186" i="5"/>
  <c r="CD186" i="5" s="1"/>
  <c r="AA187" i="5"/>
  <c r="AB186" i="5"/>
  <c r="K187" i="5" s="1"/>
  <c r="W187" i="5" s="1"/>
  <c r="CU184" i="5"/>
  <c r="CV184" i="5" s="1"/>
  <c r="DA157" i="4"/>
  <c r="DB157" i="4"/>
  <c r="DC157" i="4" s="1"/>
  <c r="C179" i="4"/>
  <c r="W161" i="4"/>
  <c r="CU160" i="4"/>
  <c r="CA187" i="5" l="1"/>
  <c r="CK180" i="5"/>
  <c r="CL180" i="5"/>
  <c r="BZ187" i="5"/>
  <c r="AX173" i="5"/>
  <c r="AZ173" i="5" s="1"/>
  <c r="AW174" i="5"/>
  <c r="BB174" i="5"/>
  <c r="AU175" i="5"/>
  <c r="BD172" i="5"/>
  <c r="BF172" i="5" s="1"/>
  <c r="BC172" i="5"/>
  <c r="BG172" i="5" s="1"/>
  <c r="D173" i="5" s="1"/>
  <c r="P173" i="5" s="1"/>
  <c r="CG187" i="5"/>
  <c r="CJ187" i="5"/>
  <c r="CF187" i="5"/>
  <c r="BB187" i="5"/>
  <c r="BA187" i="5"/>
  <c r="BE187" i="5"/>
  <c r="AY187" i="5"/>
  <c r="CC181" i="5"/>
  <c r="CE181" i="5" s="1"/>
  <c r="CH181" i="5" s="1"/>
  <c r="CB182" i="5"/>
  <c r="J187" i="5"/>
  <c r="V187" i="5" s="1"/>
  <c r="BN187" i="5"/>
  <c r="BQ187" i="5"/>
  <c r="BT187" i="5" s="1"/>
  <c r="BO187" i="5"/>
  <c r="AC161" i="4"/>
  <c r="BR175" i="5"/>
  <c r="BS175" i="5" s="1"/>
  <c r="BW175" i="5" s="1"/>
  <c r="BV175" i="5"/>
  <c r="BL177" i="5"/>
  <c r="BT176" i="5" s="1"/>
  <c r="BM177" i="5"/>
  <c r="BP176" i="5"/>
  <c r="AL187" i="5"/>
  <c r="BR187" i="5"/>
  <c r="AQ160" i="4"/>
  <c r="AD160" i="4"/>
  <c r="Z161" i="4"/>
  <c r="AA161" i="4"/>
  <c r="AT160" i="4" s="1"/>
  <c r="AE156" i="4"/>
  <c r="AB157" i="4"/>
  <c r="AU161" i="4"/>
  <c r="AF161" i="4"/>
  <c r="CE161" i="4"/>
  <c r="Y161" i="4"/>
  <c r="J179" i="4"/>
  <c r="AW159" i="4"/>
  <c r="BN160" i="4"/>
  <c r="CT161" i="4"/>
  <c r="CZ160" i="4" s="1"/>
  <c r="BK117" i="4"/>
  <c r="CD115" i="4"/>
  <c r="D13" i="5"/>
  <c r="D29" i="5" s="1"/>
  <c r="D10" i="5"/>
  <c r="D26" i="5" s="1"/>
  <c r="D14" i="5"/>
  <c r="D30" i="5" s="1"/>
  <c r="D18" i="5"/>
  <c r="D34" i="5" s="1"/>
  <c r="D17" i="5"/>
  <c r="D33" i="5" s="1"/>
  <c r="D12" i="5"/>
  <c r="D28" i="5" s="1"/>
  <c r="C9" i="5"/>
  <c r="C25" i="5" s="1"/>
  <c r="D9" i="5"/>
  <c r="D25" i="5" s="1"/>
  <c r="D11" i="5"/>
  <c r="D27" i="5" s="1"/>
  <c r="D16" i="5"/>
  <c r="D32" i="5" s="1"/>
  <c r="D15" i="5"/>
  <c r="D31" i="5" s="1"/>
  <c r="D4" i="5"/>
  <c r="BU187" i="5"/>
  <c r="AK187" i="5"/>
  <c r="AO187" i="5"/>
  <c r="AI187" i="5"/>
  <c r="F175" i="5"/>
  <c r="R175" i="5" s="1"/>
  <c r="CC102" i="4"/>
  <c r="BZ102" i="4"/>
  <c r="CB102" i="4" s="1"/>
  <c r="BY90" i="4"/>
  <c r="CO90" i="4" s="1"/>
  <c r="CF90" i="4"/>
  <c r="CG90" i="4" s="1"/>
  <c r="CK90" i="4"/>
  <c r="CL90" i="4" s="1"/>
  <c r="CW160" i="4"/>
  <c r="CX160" i="4" s="1"/>
  <c r="DF160" i="4" s="1"/>
  <c r="CY161" i="4"/>
  <c r="BP161" i="4"/>
  <c r="BI161" i="4"/>
  <c r="BN161" i="4" s="1"/>
  <c r="X161" i="4"/>
  <c r="K180" i="4" s="1"/>
  <c r="CV161" i="4"/>
  <c r="CS161" i="4"/>
  <c r="DL187" i="5"/>
  <c r="DZ187" i="5"/>
  <c r="EA185" i="5"/>
  <c r="EB184" i="5"/>
  <c r="I185" i="5" s="1"/>
  <c r="U185" i="5" s="1"/>
  <c r="DN184" i="5"/>
  <c r="H185" i="5" s="1"/>
  <c r="T185" i="5" s="1"/>
  <c r="DN185" i="5"/>
  <c r="H186" i="5" s="1"/>
  <c r="T186" i="5" s="1"/>
  <c r="DM185" i="5"/>
  <c r="CX187" i="5"/>
  <c r="CY184" i="5"/>
  <c r="CZ184" i="5"/>
  <c r="G185" i="5" s="1"/>
  <c r="S185" i="5" s="1"/>
  <c r="N187" i="5"/>
  <c r="DE156" i="4"/>
  <c r="H175" i="4" s="1"/>
  <c r="DH156" i="4"/>
  <c r="I175" i="4" s="1"/>
  <c r="DD157" i="4"/>
  <c r="DG159" i="4"/>
  <c r="CU185" i="5"/>
  <c r="CV185" i="5" s="1"/>
  <c r="DF186" i="5"/>
  <c r="DG186" i="5" s="1"/>
  <c r="DS187" i="5"/>
  <c r="DR187" i="5"/>
  <c r="DQ187" i="5"/>
  <c r="DY186" i="5" s="1"/>
  <c r="DP187" i="5"/>
  <c r="DE187" i="5"/>
  <c r="DD187" i="5"/>
  <c r="DC187" i="5"/>
  <c r="DK186" i="5" s="1"/>
  <c r="DB187" i="5"/>
  <c r="CR186" i="5"/>
  <c r="CS186" i="5" s="1"/>
  <c r="CQ187" i="5"/>
  <c r="CN187" i="5"/>
  <c r="CP187" i="5"/>
  <c r="CO187" i="5"/>
  <c r="CW186" i="5" s="1"/>
  <c r="DT186" i="5"/>
  <c r="DU186" i="5" s="1"/>
  <c r="DW187" i="5"/>
  <c r="DV187" i="5"/>
  <c r="DY187" i="5" s="1"/>
  <c r="CT187" i="5"/>
  <c r="CW187" i="5" s="1"/>
  <c r="B188" i="5"/>
  <c r="A177" i="5" s="1"/>
  <c r="DI187" i="5"/>
  <c r="BY187" i="5"/>
  <c r="CD187" i="5" s="1"/>
  <c r="DH187" i="5"/>
  <c r="DK187" i="5" s="1"/>
  <c r="AB187" i="5"/>
  <c r="K188" i="5" s="1"/>
  <c r="W188" i="5" s="1"/>
  <c r="I11" i="5"/>
  <c r="I27" i="5" s="1"/>
  <c r="I13" i="5"/>
  <c r="I29" i="5" s="1"/>
  <c r="I9" i="5"/>
  <c r="I25" i="5" s="1"/>
  <c r="H14" i="5"/>
  <c r="H30" i="5" s="1"/>
  <c r="H15" i="5"/>
  <c r="H31" i="5" s="1"/>
  <c r="I10" i="5"/>
  <c r="I26" i="5" s="1"/>
  <c r="F10" i="5"/>
  <c r="G14" i="5"/>
  <c r="G30" i="5" s="1"/>
  <c r="I17" i="5"/>
  <c r="I33" i="5" s="1"/>
  <c r="G16" i="5"/>
  <c r="G32" i="5" s="1"/>
  <c r="K19" i="5"/>
  <c r="K35" i="5" s="1"/>
  <c r="F12" i="5"/>
  <c r="G18" i="5"/>
  <c r="G34" i="5" s="1"/>
  <c r="I15" i="5"/>
  <c r="I31" i="5" s="1"/>
  <c r="F16" i="5"/>
  <c r="K15" i="5"/>
  <c r="K31" i="5" s="1"/>
  <c r="K12" i="5"/>
  <c r="K28" i="5" s="1"/>
  <c r="K13" i="5"/>
  <c r="K29" i="5" s="1"/>
  <c r="K18" i="5"/>
  <c r="K34" i="5" s="1"/>
  <c r="I14" i="5"/>
  <c r="I30" i="5" s="1"/>
  <c r="H12" i="5"/>
  <c r="H28" i="5" s="1"/>
  <c r="F18" i="5"/>
  <c r="K17" i="5"/>
  <c r="K33" i="5" s="1"/>
  <c r="F13" i="5"/>
  <c r="I18" i="5"/>
  <c r="I34" i="5" s="1"/>
  <c r="H18" i="5"/>
  <c r="H34" i="5" s="1"/>
  <c r="I19" i="5"/>
  <c r="I35" i="5" s="1"/>
  <c r="G17" i="5"/>
  <c r="G33" i="5" s="1"/>
  <c r="G10" i="5"/>
  <c r="G26" i="5" s="1"/>
  <c r="H11" i="5"/>
  <c r="H27" i="5" s="1"/>
  <c r="G19" i="5"/>
  <c r="G35" i="5" s="1"/>
  <c r="K16" i="5"/>
  <c r="K32" i="5" s="1"/>
  <c r="G12" i="5"/>
  <c r="G28" i="5" s="1"/>
  <c r="K9" i="5"/>
  <c r="K25" i="5" s="1"/>
  <c r="H10" i="5"/>
  <c r="H26" i="5" s="1"/>
  <c r="H13" i="5"/>
  <c r="H29" i="5" s="1"/>
  <c r="G15" i="5"/>
  <c r="G31" i="5" s="1"/>
  <c r="F15" i="5"/>
  <c r="K11" i="5"/>
  <c r="K27" i="5" s="1"/>
  <c r="H17" i="5"/>
  <c r="H33" i="5" s="1"/>
  <c r="I16" i="5"/>
  <c r="I32" i="5" s="1"/>
  <c r="H16" i="5"/>
  <c r="H32" i="5" s="1"/>
  <c r="H19" i="5"/>
  <c r="H35" i="5" s="1"/>
  <c r="K10" i="5"/>
  <c r="K26" i="5" s="1"/>
  <c r="K14" i="5"/>
  <c r="K30" i="5" s="1"/>
  <c r="I12" i="5"/>
  <c r="I28" i="5" s="1"/>
  <c r="F14" i="5"/>
  <c r="F11" i="5"/>
  <c r="G11" i="5"/>
  <c r="G27" i="5" s="1"/>
  <c r="F17" i="5"/>
  <c r="G13" i="5"/>
  <c r="G29" i="5" s="1"/>
  <c r="DW185" i="5"/>
  <c r="DX185" i="5" s="1"/>
  <c r="EB185" i="5" s="1"/>
  <c r="DB158" i="4"/>
  <c r="DC158" i="4" s="1"/>
  <c r="DA158" i="4"/>
  <c r="CU161" i="4"/>
  <c r="C180" i="4"/>
  <c r="W162" i="4"/>
  <c r="CL181" i="5" l="1"/>
  <c r="CK181" i="5"/>
  <c r="AX174" i="5"/>
  <c r="AZ174" i="5" s="1"/>
  <c r="AW175" i="5"/>
  <c r="CC182" i="5"/>
  <c r="CE182" i="5" s="1"/>
  <c r="CH182" i="5" s="1"/>
  <c r="CB183" i="5"/>
  <c r="BD173" i="5"/>
  <c r="BF173" i="5" s="1"/>
  <c r="BC173" i="5"/>
  <c r="BG173" i="5" s="1"/>
  <c r="D174" i="5" s="1"/>
  <c r="P174" i="5" s="1"/>
  <c r="BB175" i="5"/>
  <c r="AU176" i="5"/>
  <c r="J180" i="4"/>
  <c r="AC162" i="4"/>
  <c r="AG156" i="4"/>
  <c r="BR176" i="5"/>
  <c r="BS176" i="5" s="1"/>
  <c r="BW176" i="5" s="1"/>
  <c r="E177" i="5" s="1"/>
  <c r="Q177" i="5" s="1"/>
  <c r="BM178" i="5"/>
  <c r="BP177" i="5"/>
  <c r="E19" i="5"/>
  <c r="E35" i="5" s="1"/>
  <c r="E176" i="5"/>
  <c r="Q176" i="5" s="1"/>
  <c r="BV176" i="5"/>
  <c r="BL178" i="5"/>
  <c r="BT177" i="5" s="1"/>
  <c r="BQ162" i="4"/>
  <c r="AG162" i="4"/>
  <c r="AQ161" i="4"/>
  <c r="AD161" i="4"/>
  <c r="CT162" i="4"/>
  <c r="CZ161" i="4" s="1"/>
  <c r="AW160" i="4"/>
  <c r="Z162" i="4"/>
  <c r="AA162" i="4"/>
  <c r="AT161" i="4" s="1"/>
  <c r="AE157" i="4"/>
  <c r="AG157" i="4" s="1"/>
  <c r="AB158" i="4"/>
  <c r="AF162" i="4"/>
  <c r="Y162" i="4"/>
  <c r="BK118" i="4"/>
  <c r="CD116" i="4"/>
  <c r="CM90" i="4"/>
  <c r="CN90" i="4" s="1"/>
  <c r="CP90" i="4"/>
  <c r="CH90" i="4"/>
  <c r="CI90" i="4" s="1"/>
  <c r="CJ90" i="4" s="1"/>
  <c r="CF91" i="4" s="1"/>
  <c r="F28" i="5"/>
  <c r="F33" i="5"/>
  <c r="F30" i="5"/>
  <c r="F27" i="5"/>
  <c r="F29" i="5"/>
  <c r="F31" i="5"/>
  <c r="F26" i="5"/>
  <c r="F34" i="5"/>
  <c r="F32" i="5"/>
  <c r="DF187" i="5"/>
  <c r="DG187" i="5" s="1"/>
  <c r="DJ187" i="5" s="1"/>
  <c r="J4" i="5"/>
  <c r="J188" i="5"/>
  <c r="V188" i="5" s="1"/>
  <c r="CS162" i="4"/>
  <c r="CV162" i="4"/>
  <c r="CW161" i="4"/>
  <c r="CX161" i="4" s="1"/>
  <c r="DF161" i="4" s="1"/>
  <c r="CA161" i="4"/>
  <c r="CY162" i="4"/>
  <c r="CZ162" i="4" s="1"/>
  <c r="BP162" i="4"/>
  <c r="BI162" i="4"/>
  <c r="BN162" i="4" s="1"/>
  <c r="X162" i="4"/>
  <c r="K181" i="4" s="1"/>
  <c r="EA186" i="5"/>
  <c r="I186" i="5"/>
  <c r="U186" i="5" s="1"/>
  <c r="DM186" i="5"/>
  <c r="CZ185" i="5"/>
  <c r="G186" i="5" s="1"/>
  <c r="S186" i="5" s="1"/>
  <c r="CY185" i="5"/>
  <c r="N188" i="5"/>
  <c r="DH157" i="4"/>
  <c r="I176" i="4" s="1"/>
  <c r="DE157" i="4"/>
  <c r="H176" i="4" s="1"/>
  <c r="DD158" i="4"/>
  <c r="K4" i="5"/>
  <c r="K20" i="5"/>
  <c r="K36" i="5" s="1"/>
  <c r="CU186" i="5"/>
  <c r="CV186" i="5" s="1"/>
  <c r="DI186" i="5"/>
  <c r="DJ186" i="5" s="1"/>
  <c r="DN186" i="5" s="1"/>
  <c r="CR187" i="5"/>
  <c r="CS187" i="5" s="1"/>
  <c r="DT187" i="5"/>
  <c r="DU187" i="5" s="1"/>
  <c r="DX187" i="5" s="1"/>
  <c r="DW186" i="5"/>
  <c r="DX186" i="5" s="1"/>
  <c r="S34" i="4"/>
  <c r="H31" i="4"/>
  <c r="R31" i="4" s="1"/>
  <c r="H25" i="4"/>
  <c r="R25" i="4" s="1"/>
  <c r="H28" i="4"/>
  <c r="R28" i="4" s="1"/>
  <c r="I27" i="4"/>
  <c r="S27" i="4" s="1"/>
  <c r="H17" i="4"/>
  <c r="R34" i="4" s="1"/>
  <c r="G23" i="4"/>
  <c r="Q23" i="4" s="1"/>
  <c r="F25" i="4"/>
  <c r="P25" i="4" s="1"/>
  <c r="I31" i="4"/>
  <c r="S31" i="4" s="1"/>
  <c r="H22" i="4"/>
  <c r="R22" i="4" s="1"/>
  <c r="F26" i="4"/>
  <c r="P26" i="4" s="1"/>
  <c r="G26" i="4"/>
  <c r="Q26" i="4" s="1"/>
  <c r="H30" i="4"/>
  <c r="R30" i="4" s="1"/>
  <c r="I23" i="4"/>
  <c r="S23" i="4" s="1"/>
  <c r="F22" i="4"/>
  <c r="P22" i="4" s="1"/>
  <c r="F24" i="4"/>
  <c r="P24" i="4" s="1"/>
  <c r="I26" i="4"/>
  <c r="S26" i="4" s="1"/>
  <c r="I30" i="4"/>
  <c r="S30" i="4" s="1"/>
  <c r="G24" i="4"/>
  <c r="Q24" i="4" s="1"/>
  <c r="F23" i="4"/>
  <c r="P23" i="4" s="1"/>
  <c r="I25" i="4"/>
  <c r="S25" i="4" s="1"/>
  <c r="I28" i="4"/>
  <c r="S28" i="4" s="1"/>
  <c r="H24" i="4"/>
  <c r="R24" i="4" s="1"/>
  <c r="I32" i="4"/>
  <c r="S32" i="4" s="1"/>
  <c r="G25" i="4"/>
  <c r="Q25" i="4" s="1"/>
  <c r="H27" i="4"/>
  <c r="R27" i="4" s="1"/>
  <c r="I24" i="4"/>
  <c r="S24" i="4" s="1"/>
  <c r="K17" i="4"/>
  <c r="U34" i="4" s="1"/>
  <c r="G22" i="4"/>
  <c r="Q22" i="4" s="1"/>
  <c r="H26" i="4"/>
  <c r="R26" i="4" s="1"/>
  <c r="I22" i="4"/>
  <c r="S22" i="4" s="1"/>
  <c r="H32" i="4"/>
  <c r="R32" i="4" s="1"/>
  <c r="H29" i="4"/>
  <c r="R29" i="4" s="1"/>
  <c r="I29" i="4"/>
  <c r="S29" i="4" s="1"/>
  <c r="H23" i="4"/>
  <c r="R23" i="4" s="1"/>
  <c r="DG160" i="4"/>
  <c r="DB159" i="4"/>
  <c r="DC159" i="4" s="1"/>
  <c r="DA159" i="4"/>
  <c r="C181" i="4"/>
  <c r="K28" i="4"/>
  <c r="U28" i="4" s="1"/>
  <c r="K25" i="4"/>
  <c r="U25" i="4" s="1"/>
  <c r="K22" i="4"/>
  <c r="U22" i="4" s="1"/>
  <c r="K27" i="4"/>
  <c r="U27" i="4" s="1"/>
  <c r="K23" i="4"/>
  <c r="U23" i="4" s="1"/>
  <c r="K30" i="4"/>
  <c r="U30" i="4" s="1"/>
  <c r="K29" i="4"/>
  <c r="U29" i="4" s="1"/>
  <c r="K26" i="4"/>
  <c r="U26" i="4" s="1"/>
  <c r="K31" i="4"/>
  <c r="U31" i="4" s="1"/>
  <c r="K24" i="4"/>
  <c r="U24" i="4" s="1"/>
  <c r="K32" i="4"/>
  <c r="U32" i="4" s="1"/>
  <c r="CU162" i="4"/>
  <c r="CL182" i="5" l="1"/>
  <c r="CK182" i="5"/>
  <c r="AX175" i="5"/>
  <c r="AZ175" i="5" s="1"/>
  <c r="AW176" i="5"/>
  <c r="BD174" i="5"/>
  <c r="BF174" i="5" s="1"/>
  <c r="BC174" i="5"/>
  <c r="BG174" i="5" s="1"/>
  <c r="D175" i="5" s="1"/>
  <c r="P175" i="5" s="1"/>
  <c r="BB176" i="5"/>
  <c r="AU177" i="5"/>
  <c r="CC183" i="5"/>
  <c r="CE183" i="5" s="1"/>
  <c r="CH183" i="5" s="1"/>
  <c r="CB184" i="5"/>
  <c r="BR177" i="5"/>
  <c r="BS177" i="5" s="1"/>
  <c r="BW177" i="5" s="1"/>
  <c r="E178" i="5" s="1"/>
  <c r="Q178" i="5" s="1"/>
  <c r="BV177" i="5"/>
  <c r="BL179" i="5"/>
  <c r="BT178" i="5" s="1"/>
  <c r="BM179" i="5"/>
  <c r="BP178" i="5"/>
  <c r="AQ162" i="4"/>
  <c r="AD162" i="4"/>
  <c r="AW161" i="4"/>
  <c r="AE158" i="4"/>
  <c r="AG158" i="4" s="1"/>
  <c r="AB159" i="4"/>
  <c r="AW156" i="4"/>
  <c r="BK119" i="4"/>
  <c r="CD117" i="4"/>
  <c r="BR91" i="4"/>
  <c r="BS103" i="4" s="1"/>
  <c r="BT115" i="4" s="1"/>
  <c r="BU127" i="4" s="1"/>
  <c r="F109" i="4"/>
  <c r="F27" i="4"/>
  <c r="P27" i="4" s="1"/>
  <c r="CQ90" i="4"/>
  <c r="CG91" i="4"/>
  <c r="F176" i="5"/>
  <c r="R176" i="5" s="1"/>
  <c r="F19" i="5"/>
  <c r="F35" i="5" s="1"/>
  <c r="J181" i="4"/>
  <c r="CW162" i="4"/>
  <c r="CX162" i="4" s="1"/>
  <c r="DF162" i="4" s="1"/>
  <c r="CA162" i="4"/>
  <c r="EB186" i="5"/>
  <c r="I187" i="5" s="1"/>
  <c r="U187" i="5" s="1"/>
  <c r="EA187" i="5"/>
  <c r="EB187" i="5"/>
  <c r="H187" i="5"/>
  <c r="T187" i="5" s="1"/>
  <c r="DM187" i="5"/>
  <c r="DN187" i="5"/>
  <c r="CY186" i="5"/>
  <c r="CZ186" i="5"/>
  <c r="G187" i="5" s="1"/>
  <c r="S187" i="5" s="1"/>
  <c r="DE158" i="4"/>
  <c r="H177" i="4" s="1"/>
  <c r="DH158" i="4"/>
  <c r="I177" i="4" s="1"/>
  <c r="DD159" i="4"/>
  <c r="H4" i="5"/>
  <c r="I4" i="5"/>
  <c r="CU187" i="5"/>
  <c r="CV187" i="5" s="1"/>
  <c r="DG161" i="4"/>
  <c r="DB160" i="4"/>
  <c r="DC160" i="4" s="1"/>
  <c r="DA160" i="4"/>
  <c r="K33" i="4"/>
  <c r="U33" i="4" s="1"/>
  <c r="CL183" i="5" l="1"/>
  <c r="CK183" i="5"/>
  <c r="BB177" i="5"/>
  <c r="AU178" i="5"/>
  <c r="AX176" i="5"/>
  <c r="AZ176" i="5" s="1"/>
  <c r="AW177" i="5"/>
  <c r="BD175" i="5"/>
  <c r="BF175" i="5" s="1"/>
  <c r="BC175" i="5"/>
  <c r="BG175" i="5" s="1"/>
  <c r="CC184" i="5"/>
  <c r="CE184" i="5" s="1"/>
  <c r="CH184" i="5" s="1"/>
  <c r="CB185" i="5"/>
  <c r="BR178" i="5"/>
  <c r="BS178" i="5" s="1"/>
  <c r="BW178" i="5" s="1"/>
  <c r="E179" i="5" s="1"/>
  <c r="Q179" i="5" s="1"/>
  <c r="BP179" i="5"/>
  <c r="BM180" i="5"/>
  <c r="BV178" i="5"/>
  <c r="BL180" i="5"/>
  <c r="BT179" i="5" s="1"/>
  <c r="AE159" i="4"/>
  <c r="AG159" i="4" s="1"/>
  <c r="AB160" i="4"/>
  <c r="BK120" i="4"/>
  <c r="CD118" i="4"/>
  <c r="BV91" i="4"/>
  <c r="BX91" i="4" s="1"/>
  <c r="CK91" i="4" s="1"/>
  <c r="G109" i="4"/>
  <c r="G27" i="4"/>
  <c r="Q27" i="4" s="1"/>
  <c r="CH91" i="4"/>
  <c r="CI91" i="4" s="1"/>
  <c r="CJ91" i="4" s="1"/>
  <c r="CF92" i="4" s="1"/>
  <c r="F177" i="5"/>
  <c r="R177" i="5" s="1"/>
  <c r="CC103" i="4"/>
  <c r="BZ103" i="4"/>
  <c r="CB103" i="4" s="1"/>
  <c r="CY187" i="5"/>
  <c r="CZ187" i="5"/>
  <c r="G20" i="5" s="1"/>
  <c r="G36" i="5" s="1"/>
  <c r="DH159" i="4"/>
  <c r="I178" i="4" s="1"/>
  <c r="DE159" i="4"/>
  <c r="H178" i="4" s="1"/>
  <c r="DD160" i="4"/>
  <c r="DG162" i="4"/>
  <c r="G9" i="5"/>
  <c r="G25" i="5" s="1"/>
  <c r="F4" i="5"/>
  <c r="I188" i="5"/>
  <c r="U188" i="5" s="1"/>
  <c r="I20" i="5"/>
  <c r="I36" i="5" s="1"/>
  <c r="H188" i="5"/>
  <c r="T188" i="5" s="1"/>
  <c r="H9" i="5"/>
  <c r="H25" i="5" s="1"/>
  <c r="H20" i="5"/>
  <c r="H36" i="5" s="1"/>
  <c r="DA161" i="4"/>
  <c r="DB161" i="4"/>
  <c r="DC161" i="4" s="1"/>
  <c r="CL184" i="5" l="1"/>
  <c r="CK184" i="5"/>
  <c r="D176" i="5"/>
  <c r="P176" i="5" s="1"/>
  <c r="D19" i="5"/>
  <c r="D35" i="5" s="1"/>
  <c r="AX177" i="5"/>
  <c r="AZ177" i="5" s="1"/>
  <c r="AW178" i="5"/>
  <c r="BD176" i="5"/>
  <c r="BF176" i="5" s="1"/>
  <c r="BC176" i="5"/>
  <c r="BG176" i="5" s="1"/>
  <c r="D177" i="5" s="1"/>
  <c r="P177" i="5" s="1"/>
  <c r="BB178" i="5"/>
  <c r="AU179" i="5"/>
  <c r="CC185" i="5"/>
  <c r="CE185" i="5" s="1"/>
  <c r="CH185" i="5" s="1"/>
  <c r="CB186" i="5"/>
  <c r="BR179" i="5"/>
  <c r="BS179" i="5" s="1"/>
  <c r="BW179" i="5" s="1"/>
  <c r="E180" i="5" s="1"/>
  <c r="Q180" i="5" s="1"/>
  <c r="BL181" i="5"/>
  <c r="BT180" i="5" s="1"/>
  <c r="BV179" i="5"/>
  <c r="BM181" i="5"/>
  <c r="BP180" i="5"/>
  <c r="AE160" i="4"/>
  <c r="AG160" i="4" s="1"/>
  <c r="AB161" i="4"/>
  <c r="CD119" i="4"/>
  <c r="BK121" i="4"/>
  <c r="CL91" i="4"/>
  <c r="CM91" i="4" s="1"/>
  <c r="CN91" i="4" s="1"/>
  <c r="F110" i="4" s="1"/>
  <c r="BY91" i="4"/>
  <c r="CO91" i="4" s="1"/>
  <c r="CP91" i="4" s="1"/>
  <c r="F178" i="5"/>
  <c r="R178" i="5" s="1"/>
  <c r="CG92" i="4"/>
  <c r="BR92" i="4"/>
  <c r="BS104" i="4" s="1"/>
  <c r="BT116" i="4" s="1"/>
  <c r="BU128" i="4" s="1"/>
  <c r="G4" i="5"/>
  <c r="G188" i="5"/>
  <c r="S188" i="5" s="1"/>
  <c r="DH160" i="4"/>
  <c r="I179" i="4" s="1"/>
  <c r="DE160" i="4"/>
  <c r="H179" i="4" s="1"/>
  <c r="DD161" i="4"/>
  <c r="F9" i="5"/>
  <c r="DB162" i="4"/>
  <c r="DC162" i="4" s="1"/>
  <c r="DA162" i="4"/>
  <c r="CL185" i="5" l="1"/>
  <c r="CK185" i="5"/>
  <c r="AX178" i="5"/>
  <c r="AZ178" i="5" s="1"/>
  <c r="AW179" i="5"/>
  <c r="BD177" i="5"/>
  <c r="BF177" i="5" s="1"/>
  <c r="BC177" i="5"/>
  <c r="BG177" i="5" s="1"/>
  <c r="D178" i="5" s="1"/>
  <c r="P178" i="5" s="1"/>
  <c r="CC186" i="5"/>
  <c r="CE186" i="5" s="1"/>
  <c r="CH186" i="5" s="1"/>
  <c r="CB187" i="5"/>
  <c r="CC187" i="5" s="1"/>
  <c r="CE187" i="5" s="1"/>
  <c r="CH187" i="5" s="1"/>
  <c r="BB179" i="5"/>
  <c r="AU180" i="5"/>
  <c r="BR180" i="5"/>
  <c r="BS180" i="5" s="1"/>
  <c r="BW180" i="5" s="1"/>
  <c r="E181" i="5" s="1"/>
  <c r="Q181" i="5" s="1"/>
  <c r="BM182" i="5"/>
  <c r="BP181" i="5"/>
  <c r="BV180" i="5"/>
  <c r="BL182" i="5"/>
  <c r="BT181" i="5" s="1"/>
  <c r="AE161" i="4"/>
  <c r="AG161" i="4" s="1"/>
  <c r="AB162" i="4"/>
  <c r="AE162" i="4" s="1"/>
  <c r="BK122" i="4"/>
  <c r="CQ91" i="4"/>
  <c r="G110" i="4" s="1"/>
  <c r="BV92" i="4"/>
  <c r="BX92" i="4" s="1"/>
  <c r="CK92" i="4" s="1"/>
  <c r="CL92" i="4" s="1"/>
  <c r="F179" i="5"/>
  <c r="R179" i="5" s="1"/>
  <c r="CH92" i="4"/>
  <c r="CI92" i="4" s="1"/>
  <c r="CJ92" i="4" s="1"/>
  <c r="CF93" i="4" s="1"/>
  <c r="F25" i="5"/>
  <c r="DH161" i="4"/>
  <c r="I180" i="4" s="1"/>
  <c r="DE161" i="4"/>
  <c r="H180" i="4" s="1"/>
  <c r="DD162" i="4"/>
  <c r="CL186" i="5" l="1"/>
  <c r="CK186" i="5"/>
  <c r="AX179" i="5"/>
  <c r="AZ179" i="5" s="1"/>
  <c r="AW180" i="5"/>
  <c r="BD178" i="5"/>
  <c r="BF178" i="5" s="1"/>
  <c r="BC178" i="5"/>
  <c r="BG178" i="5" s="1"/>
  <c r="D179" i="5" s="1"/>
  <c r="P179" i="5" s="1"/>
  <c r="BB180" i="5"/>
  <c r="AU181" i="5"/>
  <c r="BR181" i="5"/>
  <c r="BS181" i="5" s="1"/>
  <c r="BW181" i="5" s="1"/>
  <c r="E182" i="5" s="1"/>
  <c r="Q182" i="5" s="1"/>
  <c r="BL183" i="5"/>
  <c r="BT182" i="5" s="1"/>
  <c r="BV181" i="5"/>
  <c r="BP182" i="5"/>
  <c r="BM183" i="5"/>
  <c r="CD121" i="4"/>
  <c r="BK123" i="4"/>
  <c r="BY92" i="4"/>
  <c r="CO92" i="4" s="1"/>
  <c r="CP92" i="4" s="1"/>
  <c r="F180" i="5"/>
  <c r="R180" i="5" s="1"/>
  <c r="CG93" i="4"/>
  <c r="CH93" i="4" s="1"/>
  <c r="CI93" i="4" s="1"/>
  <c r="CJ93" i="4" s="1"/>
  <c r="CF94" i="4" s="1"/>
  <c r="CM92" i="4"/>
  <c r="CN92" i="4" s="1"/>
  <c r="F111" i="4" s="1"/>
  <c r="BR93" i="4"/>
  <c r="BS105" i="4" s="1"/>
  <c r="BT117" i="4" s="1"/>
  <c r="BU129" i="4" s="1"/>
  <c r="BZ104" i="4"/>
  <c r="CB104" i="4" s="1"/>
  <c r="CC104" i="4"/>
  <c r="DH162" i="4"/>
  <c r="DE162" i="4"/>
  <c r="H181" i="4" s="1"/>
  <c r="CL187" i="5" l="1"/>
  <c r="CK187" i="5"/>
  <c r="BB181" i="5"/>
  <c r="AU182" i="5"/>
  <c r="AX180" i="5"/>
  <c r="AZ180" i="5" s="1"/>
  <c r="AW181" i="5"/>
  <c r="BD179" i="5"/>
  <c r="BF179" i="5" s="1"/>
  <c r="BC179" i="5"/>
  <c r="BG179" i="5" s="1"/>
  <c r="D180" i="5" s="1"/>
  <c r="P180" i="5" s="1"/>
  <c r="BR182" i="5"/>
  <c r="BS182" i="5" s="1"/>
  <c r="BW182" i="5" s="1"/>
  <c r="E183" i="5" s="1"/>
  <c r="Q183" i="5" s="1"/>
  <c r="BM184" i="5"/>
  <c r="BP183" i="5"/>
  <c r="BV182" i="5"/>
  <c r="BL184" i="5"/>
  <c r="BT183" i="5" s="1"/>
  <c r="CD122" i="4"/>
  <c r="BK124" i="4"/>
  <c r="CG94" i="4"/>
  <c r="BV93" i="4"/>
  <c r="BX93" i="4" s="1"/>
  <c r="CK93" i="4" s="1"/>
  <c r="CL93" i="4" s="1"/>
  <c r="F181" i="5"/>
  <c r="R181" i="5" s="1"/>
  <c r="CQ92" i="4"/>
  <c r="G111" i="4" s="1"/>
  <c r="BR94" i="4"/>
  <c r="BS106" i="4" s="1"/>
  <c r="BT118" i="4" s="1"/>
  <c r="BU130" i="4" s="1"/>
  <c r="H33" i="4"/>
  <c r="R33" i="4" s="1"/>
  <c r="I181" i="4"/>
  <c r="I33" i="4"/>
  <c r="S33" i="4" s="1"/>
  <c r="AX181" i="5" l="1"/>
  <c r="AZ181" i="5" s="1"/>
  <c r="AW182" i="5"/>
  <c r="BD180" i="5"/>
  <c r="BF180" i="5" s="1"/>
  <c r="BC180" i="5"/>
  <c r="BG180" i="5" s="1"/>
  <c r="D181" i="5" s="1"/>
  <c r="P181" i="5" s="1"/>
  <c r="BB182" i="5"/>
  <c r="AU183" i="5"/>
  <c r="BR183" i="5"/>
  <c r="BS183" i="5" s="1"/>
  <c r="BW183" i="5" s="1"/>
  <c r="E184" i="5" s="1"/>
  <c r="Q184" i="5" s="1"/>
  <c r="BL185" i="5"/>
  <c r="BT184" i="5" s="1"/>
  <c r="BV183" i="5"/>
  <c r="BP184" i="5"/>
  <c r="BM185" i="5"/>
  <c r="CD123" i="4"/>
  <c r="BK125" i="4"/>
  <c r="CC105" i="4"/>
  <c r="BZ105" i="4"/>
  <c r="CB105" i="4" s="1"/>
  <c r="CM93" i="4"/>
  <c r="BV94" i="4"/>
  <c r="BX94" i="4" s="1"/>
  <c r="CK94" i="4" s="1"/>
  <c r="CL94" i="4" s="1"/>
  <c r="F182" i="5"/>
  <c r="R182" i="5" s="1"/>
  <c r="BY93" i="4"/>
  <c r="CO93" i="4" s="1"/>
  <c r="CP93" i="4" s="1"/>
  <c r="CH94" i="4"/>
  <c r="CI94" i="4" s="1"/>
  <c r="CJ94" i="4" s="1"/>
  <c r="CF95" i="4" s="1"/>
  <c r="BB183" i="5" l="1"/>
  <c r="AU184" i="5"/>
  <c r="AX182" i="5"/>
  <c r="AZ182" i="5" s="1"/>
  <c r="AW183" i="5"/>
  <c r="BD181" i="5"/>
  <c r="BF181" i="5" s="1"/>
  <c r="BC181" i="5"/>
  <c r="BG181" i="5" s="1"/>
  <c r="D182" i="5" s="1"/>
  <c r="P182" i="5" s="1"/>
  <c r="BR184" i="5"/>
  <c r="BS184" i="5" s="1"/>
  <c r="BW184" i="5" s="1"/>
  <c r="E185" i="5" s="1"/>
  <c r="Q185" i="5" s="1"/>
  <c r="BM186" i="5"/>
  <c r="BP185" i="5"/>
  <c r="BV184" i="5"/>
  <c r="BL186" i="5"/>
  <c r="BT185" i="5" s="1"/>
  <c r="CD124" i="4"/>
  <c r="BK126" i="4"/>
  <c r="CD125" i="4" s="1"/>
  <c r="CQ93" i="4"/>
  <c r="G112" i="4" s="1"/>
  <c r="BR95" i="4"/>
  <c r="BS107" i="4" s="1"/>
  <c r="BT119" i="4" s="1"/>
  <c r="BU131" i="4" s="1"/>
  <c r="CN93" i="4"/>
  <c r="F112" i="4" s="1"/>
  <c r="F183" i="5"/>
  <c r="R183" i="5" s="1"/>
  <c r="CG95" i="4"/>
  <c r="CC106" i="4"/>
  <c r="BZ106" i="4"/>
  <c r="CB106" i="4" s="1"/>
  <c r="BY94" i="4"/>
  <c r="CO94" i="4" s="1"/>
  <c r="CP94" i="4" s="1"/>
  <c r="CM94" i="4"/>
  <c r="CN94" i="4" s="1"/>
  <c r="F113" i="4" s="1"/>
  <c r="AX183" i="5" l="1"/>
  <c r="AZ183" i="5" s="1"/>
  <c r="AW184" i="5"/>
  <c r="BD182" i="5"/>
  <c r="BF182" i="5" s="1"/>
  <c r="BC182" i="5"/>
  <c r="BG182" i="5" s="1"/>
  <c r="D183" i="5" s="1"/>
  <c r="P183" i="5" s="1"/>
  <c r="BB184" i="5"/>
  <c r="AU185" i="5"/>
  <c r="BR185" i="5"/>
  <c r="BS185" i="5" s="1"/>
  <c r="BW185" i="5" s="1"/>
  <c r="E186" i="5" s="1"/>
  <c r="Q186" i="5" s="1"/>
  <c r="BV185" i="5"/>
  <c r="BL187" i="5"/>
  <c r="BT186" i="5" s="1"/>
  <c r="BM187" i="5"/>
  <c r="BP187" i="5" s="1"/>
  <c r="BP186" i="5"/>
  <c r="BV95" i="4"/>
  <c r="BX95" i="4" s="1"/>
  <c r="CK95" i="4" s="1"/>
  <c r="F184" i="5"/>
  <c r="R184" i="5" s="1"/>
  <c r="CQ94" i="4"/>
  <c r="G113" i="4" s="1"/>
  <c r="CH95" i="4"/>
  <c r="CI95" i="4" s="1"/>
  <c r="CJ95" i="4" s="1"/>
  <c r="CF96" i="4" s="1"/>
  <c r="BB185" i="5" l="1"/>
  <c r="AU186" i="5"/>
  <c r="AX184" i="5"/>
  <c r="AZ184" i="5" s="1"/>
  <c r="AW185" i="5"/>
  <c r="BD183" i="5"/>
  <c r="BF183" i="5" s="1"/>
  <c r="BC183" i="5"/>
  <c r="BG183" i="5" s="1"/>
  <c r="D184" i="5" s="1"/>
  <c r="P184" i="5" s="1"/>
  <c r="BR186" i="5"/>
  <c r="BS186" i="5" s="1"/>
  <c r="BW186" i="5" s="1"/>
  <c r="E187" i="5" s="1"/>
  <c r="Q187" i="5" s="1"/>
  <c r="BV186" i="5"/>
  <c r="BV187" i="5" s="1"/>
  <c r="BS187" i="5"/>
  <c r="BY95" i="4"/>
  <c r="CO95" i="4" s="1"/>
  <c r="CP95" i="4" s="1"/>
  <c r="CC107" i="4"/>
  <c r="CL95" i="4"/>
  <c r="CM95" i="4" s="1"/>
  <c r="BZ107" i="4"/>
  <c r="CB107" i="4" s="1"/>
  <c r="CG96" i="4"/>
  <c r="F185" i="5"/>
  <c r="R185" i="5" s="1"/>
  <c r="BR96" i="4"/>
  <c r="BS108" i="4" s="1"/>
  <c r="BT120" i="4" s="1"/>
  <c r="BU132" i="4" s="1"/>
  <c r="AX185" i="5" l="1"/>
  <c r="AZ185" i="5" s="1"/>
  <c r="AW186" i="5"/>
  <c r="BD184" i="5"/>
  <c r="BF184" i="5" s="1"/>
  <c r="BC184" i="5"/>
  <c r="BG184" i="5" s="1"/>
  <c r="D185" i="5" s="1"/>
  <c r="P185" i="5" s="1"/>
  <c r="BB186" i="5"/>
  <c r="AU187" i="5"/>
  <c r="BW187" i="5"/>
  <c r="E188" i="5" s="1"/>
  <c r="Q188" i="5" s="1"/>
  <c r="CN95" i="4"/>
  <c r="F114" i="4" s="1"/>
  <c r="CQ95" i="4"/>
  <c r="G114" i="4" s="1"/>
  <c r="F186" i="5"/>
  <c r="R186" i="5" s="1"/>
  <c r="CH96" i="4"/>
  <c r="CI96" i="4" s="1"/>
  <c r="CJ96" i="4" s="1"/>
  <c r="CF97" i="4" s="1"/>
  <c r="BV96" i="4"/>
  <c r="BX96" i="4" s="1"/>
  <c r="CK96" i="4" s="1"/>
  <c r="CL96" i="4" s="1"/>
  <c r="E20" i="5" l="1"/>
  <c r="E36" i="5" s="1"/>
  <c r="AX186" i="5"/>
  <c r="AZ186" i="5" s="1"/>
  <c r="AW187" i="5"/>
  <c r="AX187" i="5" s="1"/>
  <c r="AZ187" i="5" s="1"/>
  <c r="BC187" i="5" s="1"/>
  <c r="BD185" i="5"/>
  <c r="BF185" i="5" s="1"/>
  <c r="BC185" i="5"/>
  <c r="BG185" i="5" s="1"/>
  <c r="D186" i="5" s="1"/>
  <c r="P186" i="5" s="1"/>
  <c r="BR97" i="4"/>
  <c r="BS109" i="4" s="1"/>
  <c r="BT121" i="4" s="1"/>
  <c r="BU133" i="4" s="1"/>
  <c r="F187" i="5"/>
  <c r="R187" i="5" s="1"/>
  <c r="CM96" i="4"/>
  <c r="CN96" i="4" s="1"/>
  <c r="F115" i="4" s="1"/>
  <c r="CC108" i="4"/>
  <c r="BZ108" i="4"/>
  <c r="CB108" i="4" s="1"/>
  <c r="BY96" i="4"/>
  <c r="CO96" i="4" s="1"/>
  <c r="CP96" i="4" s="1"/>
  <c r="CG97" i="4"/>
  <c r="BD186" i="5" l="1"/>
  <c r="BF186" i="5" s="1"/>
  <c r="BC186" i="5"/>
  <c r="BG186" i="5" s="1"/>
  <c r="D187" i="5" s="1"/>
  <c r="P187" i="5" s="1"/>
  <c r="BV97" i="4"/>
  <c r="BX97" i="4" s="1"/>
  <c r="CK97" i="4" s="1"/>
  <c r="CH97" i="4"/>
  <c r="CI97" i="4" s="1"/>
  <c r="CJ97" i="4" s="1"/>
  <c r="CF98" i="4" s="1"/>
  <c r="CG98" i="4"/>
  <c r="CC109" i="4"/>
  <c r="BZ109" i="4"/>
  <c r="CB109" i="4" s="1"/>
  <c r="CQ96" i="4"/>
  <c r="G115" i="4" s="1"/>
  <c r="BG187" i="5" l="1"/>
  <c r="BF187" i="5"/>
  <c r="CL97" i="4"/>
  <c r="CM97" i="4" s="1"/>
  <c r="CN97" i="4" s="1"/>
  <c r="F116" i="4" s="1"/>
  <c r="BY97" i="4"/>
  <c r="CO97" i="4" s="1"/>
  <c r="CP97" i="4" s="1"/>
  <c r="CH98" i="4"/>
  <c r="CI98" i="4" s="1"/>
  <c r="CJ98" i="4" s="1"/>
  <c r="CF99" i="4" s="1"/>
  <c r="BR98" i="4"/>
  <c r="BS110" i="4" s="1"/>
  <c r="BT122" i="4" s="1"/>
  <c r="BU134" i="4" s="1"/>
  <c r="CG99" i="4"/>
  <c r="F188" i="5"/>
  <c r="R188" i="5" s="1"/>
  <c r="F20" i="5"/>
  <c r="F36" i="5" s="1"/>
  <c r="D188" i="5" l="1"/>
  <c r="P188" i="5" s="1"/>
  <c r="D20" i="5"/>
  <c r="D36" i="5" s="1"/>
  <c r="BR99" i="4"/>
  <c r="BS111" i="4" s="1"/>
  <c r="BT123" i="4" s="1"/>
  <c r="BU135" i="4" s="1"/>
  <c r="CQ97" i="4"/>
  <c r="G116" i="4" s="1"/>
  <c r="BV98" i="4"/>
  <c r="BX98" i="4" s="1"/>
  <c r="CK98" i="4" s="1"/>
  <c r="CH99" i="4"/>
  <c r="CI99" i="4" s="1"/>
  <c r="CJ99" i="4" s="1"/>
  <c r="CF100" i="4" s="1"/>
  <c r="BV99" i="4" l="1"/>
  <c r="BX99" i="4" s="1"/>
  <c r="CK99" i="4" s="1"/>
  <c r="CL99" i="4" s="1"/>
  <c r="CL98" i="4"/>
  <c r="CM98" i="4" s="1"/>
  <c r="BY98" i="4"/>
  <c r="CO98" i="4" s="1"/>
  <c r="CP98" i="4" s="1"/>
  <c r="CC110" i="4"/>
  <c r="BZ110" i="4"/>
  <c r="CB110" i="4" s="1"/>
  <c r="CG100" i="4"/>
  <c r="BR100" i="4"/>
  <c r="BS112" i="4" s="1"/>
  <c r="BT124" i="4" s="1"/>
  <c r="BU136" i="4" s="1"/>
  <c r="CC111" i="4"/>
  <c r="BZ111" i="4"/>
  <c r="CB111" i="4" s="1"/>
  <c r="BY99" i="4" l="1"/>
  <c r="CO99" i="4" s="1"/>
  <c r="CP99" i="4" s="1"/>
  <c r="CN98" i="4"/>
  <c r="F117" i="4" s="1"/>
  <c r="CM99" i="4"/>
  <c r="CN99" i="4" s="1"/>
  <c r="F118" i="4" s="1"/>
  <c r="CQ98" i="4"/>
  <c r="G117" i="4" s="1"/>
  <c r="BV100" i="4"/>
  <c r="BX100" i="4" s="1"/>
  <c r="CK100" i="4" s="1"/>
  <c r="CL100" i="4" s="1"/>
  <c r="CH100" i="4"/>
  <c r="CI100" i="4" s="1"/>
  <c r="CJ100" i="4" s="1"/>
  <c r="CF101" i="4" s="1"/>
  <c r="BL115" i="4"/>
  <c r="CQ99" i="4" l="1"/>
  <c r="G118" i="4" s="1"/>
  <c r="BY100" i="4"/>
  <c r="CO100" i="4" s="1"/>
  <c r="CP100" i="4" s="1"/>
  <c r="CG101" i="4"/>
  <c r="BR101" i="4"/>
  <c r="BS113" i="4" s="1"/>
  <c r="BT125" i="4" s="1"/>
  <c r="BU137" i="4" s="1"/>
  <c r="CC112" i="4"/>
  <c r="BZ112" i="4"/>
  <c r="CB112" i="4" s="1"/>
  <c r="CM100" i="4"/>
  <c r="CN100" i="4" s="1"/>
  <c r="F119" i="4" s="1"/>
  <c r="BM115" i="4"/>
  <c r="BO115" i="4" s="1"/>
  <c r="BQ115" i="4" s="1"/>
  <c r="BL116" i="4"/>
  <c r="CQ100" i="4" l="1"/>
  <c r="G119" i="4" s="1"/>
  <c r="BV101" i="4"/>
  <c r="BX101" i="4" s="1"/>
  <c r="CK101" i="4" s="1"/>
  <c r="CL101" i="4" s="1"/>
  <c r="CH101" i="4"/>
  <c r="CI101" i="4" s="1"/>
  <c r="CJ101" i="4" s="1"/>
  <c r="BM116" i="4"/>
  <c r="BO116" i="4" s="1"/>
  <c r="BQ116" i="4" s="1"/>
  <c r="BL117" i="4"/>
  <c r="BY101" i="4" l="1"/>
  <c r="CO101" i="4" s="1"/>
  <c r="CP101" i="4" s="1"/>
  <c r="BR102" i="4"/>
  <c r="BS114" i="4" s="1"/>
  <c r="BT126" i="4" s="1"/>
  <c r="BU138" i="4" s="1"/>
  <c r="CM101" i="4"/>
  <c r="CC113" i="4"/>
  <c r="BZ113" i="4"/>
  <c r="CB113" i="4" s="1"/>
  <c r="BM117" i="4"/>
  <c r="BO117" i="4" s="1"/>
  <c r="BQ117" i="4" s="1"/>
  <c r="BL118" i="4"/>
  <c r="CQ101" i="4" l="1"/>
  <c r="G120" i="4" s="1"/>
  <c r="CN101" i="4"/>
  <c r="F120" i="4" s="1"/>
  <c r="BV102" i="4"/>
  <c r="BX102" i="4" s="1"/>
  <c r="CE102" i="4" s="1"/>
  <c r="BM118" i="4"/>
  <c r="BO118" i="4" s="1"/>
  <c r="BQ118" i="4" s="1"/>
  <c r="BL119" i="4"/>
  <c r="CC114" i="4" l="1"/>
  <c r="BZ114" i="4"/>
  <c r="CB114" i="4" s="1"/>
  <c r="BY102" i="4"/>
  <c r="CO102" i="4" s="1"/>
  <c r="CF102" i="4"/>
  <c r="CG102" i="4" s="1"/>
  <c r="CK102" i="4"/>
  <c r="CL102" i="4" s="1"/>
  <c r="BM119" i="4"/>
  <c r="BO119" i="4" s="1"/>
  <c r="BQ119" i="4" s="1"/>
  <c r="BL120" i="4"/>
  <c r="CM102" i="4" l="1"/>
  <c r="CN102" i="4" s="1"/>
  <c r="CP102" i="4"/>
  <c r="CH102" i="4"/>
  <c r="CI102" i="4" s="1"/>
  <c r="CJ102" i="4" s="1"/>
  <c r="CF103" i="4" s="1"/>
  <c r="BM120" i="4"/>
  <c r="BO120" i="4" s="1"/>
  <c r="BL121" i="4"/>
  <c r="CD120" i="4" l="1"/>
  <c r="BQ120" i="4"/>
  <c r="F121" i="4"/>
  <c r="F28" i="4"/>
  <c r="P28" i="4" s="1"/>
  <c r="CQ102" i="4"/>
  <c r="CG103" i="4"/>
  <c r="BR103" i="4"/>
  <c r="BS115" i="4" s="1"/>
  <c r="BT127" i="4" s="1"/>
  <c r="BU139" i="4" s="1"/>
  <c r="BM121" i="4"/>
  <c r="BO121" i="4" s="1"/>
  <c r="BQ121" i="4" s="1"/>
  <c r="BL122" i="4"/>
  <c r="BV103" i="4" l="1"/>
  <c r="BX103" i="4" s="1"/>
  <c r="CH103" i="4"/>
  <c r="CI103" i="4" s="1"/>
  <c r="CJ103" i="4" s="1"/>
  <c r="CF104" i="4" s="1"/>
  <c r="G121" i="4"/>
  <c r="G28" i="4"/>
  <c r="Q28" i="4" s="1"/>
  <c r="BM122" i="4"/>
  <c r="BO122" i="4" s="1"/>
  <c r="BQ122" i="4" s="1"/>
  <c r="BL123" i="4"/>
  <c r="CG104" i="4" l="1"/>
  <c r="CH104" i="4" s="1"/>
  <c r="CI104" i="4" s="1"/>
  <c r="CJ104" i="4" s="1"/>
  <c r="CF105" i="4" s="1"/>
  <c r="BR104" i="4"/>
  <c r="BS116" i="4" s="1"/>
  <c r="BT128" i="4" s="1"/>
  <c r="BU140" i="4" s="1"/>
  <c r="BY103" i="4"/>
  <c r="CO103" i="4" s="1"/>
  <c r="CK103" i="4"/>
  <c r="CL103" i="4" s="1"/>
  <c r="CC115" i="4"/>
  <c r="BZ115" i="4"/>
  <c r="CB115" i="4" s="1"/>
  <c r="BM123" i="4"/>
  <c r="BO123" i="4" s="1"/>
  <c r="BQ123" i="4" s="1"/>
  <c r="BL124" i="4"/>
  <c r="CG105" i="4" l="1"/>
  <c r="CM103" i="4"/>
  <c r="CN103" i="4" s="1"/>
  <c r="F122" i="4" s="1"/>
  <c r="CP103" i="4"/>
  <c r="BR105" i="4"/>
  <c r="BS117" i="4" s="1"/>
  <c r="BT129" i="4" s="1"/>
  <c r="BU141" i="4" s="1"/>
  <c r="BV104" i="4"/>
  <c r="BX104" i="4" s="1"/>
  <c r="CK104" i="4" s="1"/>
  <c r="CL104" i="4" s="1"/>
  <c r="BM124" i="4"/>
  <c r="BO124" i="4" s="1"/>
  <c r="BQ124" i="4" s="1"/>
  <c r="BL125" i="4"/>
  <c r="CM104" i="4" l="1"/>
  <c r="CN104" i="4" s="1"/>
  <c r="F123" i="4" s="1"/>
  <c r="BV105" i="4"/>
  <c r="BX105" i="4" s="1"/>
  <c r="CK105" i="4" s="1"/>
  <c r="CL105" i="4" s="1"/>
  <c r="CQ103" i="4"/>
  <c r="G122" i="4" s="1"/>
  <c r="BY104" i="4"/>
  <c r="CO104" i="4" s="1"/>
  <c r="CP104" i="4" s="1"/>
  <c r="CC116" i="4"/>
  <c r="BZ116" i="4"/>
  <c r="CB116" i="4" s="1"/>
  <c r="CH105" i="4"/>
  <c r="CI105" i="4" s="1"/>
  <c r="CJ105" i="4" s="1"/>
  <c r="CF106" i="4" s="1"/>
  <c r="BM125" i="4"/>
  <c r="BO125" i="4" s="1"/>
  <c r="BQ125" i="4" s="1"/>
  <c r="BL126" i="4"/>
  <c r="BY105" i="4" l="1"/>
  <c r="CO105" i="4" s="1"/>
  <c r="CP105" i="4" s="1"/>
  <c r="CM105" i="4"/>
  <c r="CN105" i="4" s="1"/>
  <c r="F124" i="4" s="1"/>
  <c r="CG106" i="4"/>
  <c r="CC117" i="4"/>
  <c r="BZ117" i="4"/>
  <c r="CB117" i="4" s="1"/>
  <c r="BR106" i="4"/>
  <c r="BS118" i="4" s="1"/>
  <c r="BT130" i="4" s="1"/>
  <c r="BU142" i="4" s="1"/>
  <c r="CQ104" i="4"/>
  <c r="G123" i="4" s="1"/>
  <c r="BM126" i="4"/>
  <c r="BO126" i="4" s="1"/>
  <c r="BJ127" i="4" l="1"/>
  <c r="BJ128" i="4" s="1"/>
  <c r="BQ126" i="4"/>
  <c r="CH106" i="4"/>
  <c r="CI106" i="4" s="1"/>
  <c r="CJ106" i="4" s="1"/>
  <c r="CF107" i="4" s="1"/>
  <c r="CQ105" i="4"/>
  <c r="G124" i="4" s="1"/>
  <c r="BV106" i="4"/>
  <c r="BX106" i="4" s="1"/>
  <c r="CK106" i="4" s="1"/>
  <c r="CL106" i="4" s="1"/>
  <c r="BK127" i="4"/>
  <c r="BJ129" i="4" l="1"/>
  <c r="BQ128" i="4"/>
  <c r="BL127" i="4"/>
  <c r="BQ127" i="4"/>
  <c r="BK128" i="4"/>
  <c r="CD126" i="4"/>
  <c r="BY106" i="4"/>
  <c r="CO106" i="4" s="1"/>
  <c r="CP106" i="4" s="1"/>
  <c r="CM106" i="4"/>
  <c r="CC118" i="4"/>
  <c r="BZ118" i="4"/>
  <c r="CB118" i="4" s="1"/>
  <c r="CG107" i="4"/>
  <c r="CH107" i="4" s="1"/>
  <c r="CI107" i="4" s="1"/>
  <c r="CJ107" i="4" s="1"/>
  <c r="CF108" i="4" s="1"/>
  <c r="BR107" i="4"/>
  <c r="BS119" i="4" s="1"/>
  <c r="BT131" i="4" s="1"/>
  <c r="BU143" i="4" s="1"/>
  <c r="BL128" i="4" l="1"/>
  <c r="BM127" i="4"/>
  <c r="BO127" i="4" s="1"/>
  <c r="BJ130" i="4"/>
  <c r="BQ129" i="4"/>
  <c r="BK129" i="4"/>
  <c r="CD127" i="4"/>
  <c r="CQ106" i="4"/>
  <c r="G125" i="4" s="1"/>
  <c r="BV107" i="4"/>
  <c r="BX107" i="4" s="1"/>
  <c r="CK107" i="4" s="1"/>
  <c r="CL107" i="4" s="1"/>
  <c r="CN106" i="4"/>
  <c r="F125" i="4" s="1"/>
  <c r="CG108" i="4"/>
  <c r="CH108" i="4" s="1"/>
  <c r="CI108" i="4" s="1"/>
  <c r="CJ108" i="4" s="1"/>
  <c r="CF109" i="4" s="1"/>
  <c r="BR108" i="4"/>
  <c r="BS120" i="4" s="1"/>
  <c r="BT132" i="4" s="1"/>
  <c r="BU144" i="4" s="1"/>
  <c r="BJ131" i="4" l="1"/>
  <c r="BQ130" i="4"/>
  <c r="BL129" i="4"/>
  <c r="BM128" i="4"/>
  <c r="BO128" i="4" s="1"/>
  <c r="BK130" i="4"/>
  <c r="CD128" i="4"/>
  <c r="BY107" i="4"/>
  <c r="CO107" i="4" s="1"/>
  <c r="CP107" i="4" s="1"/>
  <c r="CG109" i="4"/>
  <c r="CC119" i="4"/>
  <c r="BZ119" i="4"/>
  <c r="CB119" i="4" s="1"/>
  <c r="CM107" i="4"/>
  <c r="BV108" i="4"/>
  <c r="BX108" i="4" s="1"/>
  <c r="CK108" i="4" s="1"/>
  <c r="CL108" i="4" s="1"/>
  <c r="BR109" i="4"/>
  <c r="BS121" i="4" s="1"/>
  <c r="BT133" i="4" s="1"/>
  <c r="BU145" i="4" s="1"/>
  <c r="BM129" i="4" l="1"/>
  <c r="BO129" i="4" s="1"/>
  <c r="BL130" i="4"/>
  <c r="BJ132" i="4"/>
  <c r="BQ131" i="4"/>
  <c r="BK131" i="4"/>
  <c r="CD129" i="4"/>
  <c r="CQ107" i="4"/>
  <c r="G126" i="4" s="1"/>
  <c r="BY108" i="4"/>
  <c r="CO108" i="4" s="1"/>
  <c r="CP108" i="4" s="1"/>
  <c r="CM108" i="4"/>
  <c r="CN107" i="4"/>
  <c r="F126" i="4" s="1"/>
  <c r="BV109" i="4"/>
  <c r="BX109" i="4" s="1"/>
  <c r="CK109" i="4" s="1"/>
  <c r="CL109" i="4" s="1"/>
  <c r="CC120" i="4"/>
  <c r="BZ120" i="4"/>
  <c r="CB120" i="4" s="1"/>
  <c r="CH109" i="4"/>
  <c r="CI109" i="4" s="1"/>
  <c r="CJ109" i="4" s="1"/>
  <c r="CF110" i="4" s="1"/>
  <c r="BL131" i="4" l="1"/>
  <c r="BM130" i="4"/>
  <c r="BO130" i="4" s="1"/>
  <c r="BJ133" i="4"/>
  <c r="BQ132" i="4"/>
  <c r="BK132" i="4"/>
  <c r="CD130" i="4"/>
  <c r="BY109" i="4"/>
  <c r="CO109" i="4" s="1"/>
  <c r="CP109" i="4" s="1"/>
  <c r="CQ108" i="4"/>
  <c r="G127" i="4" s="1"/>
  <c r="CG110" i="4"/>
  <c r="CM109" i="4"/>
  <c r="CC121" i="4"/>
  <c r="BZ121" i="4"/>
  <c r="CB121" i="4" s="1"/>
  <c r="BR110" i="4"/>
  <c r="BS122" i="4" s="1"/>
  <c r="BT134" i="4" s="1"/>
  <c r="BU146" i="4" s="1"/>
  <c r="CN108" i="4"/>
  <c r="F127" i="4" s="1"/>
  <c r="BM131" i="4" l="1"/>
  <c r="BO131" i="4" s="1"/>
  <c r="BL132" i="4"/>
  <c r="BJ134" i="4"/>
  <c r="BQ133" i="4"/>
  <c r="BK133" i="4"/>
  <c r="CD131" i="4"/>
  <c r="CQ109" i="4"/>
  <c r="G128" i="4" s="1"/>
  <c r="CN109" i="4"/>
  <c r="F128" i="4" s="1"/>
  <c r="BV110" i="4"/>
  <c r="BX110" i="4" s="1"/>
  <c r="CK110" i="4" s="1"/>
  <c r="CL110" i="4" s="1"/>
  <c r="CH110" i="4"/>
  <c r="CI110" i="4" s="1"/>
  <c r="CJ110" i="4" s="1"/>
  <c r="CF111" i="4" s="1"/>
  <c r="BJ135" i="4" l="1"/>
  <c r="BQ134" i="4"/>
  <c r="BM132" i="4"/>
  <c r="BO132" i="4" s="1"/>
  <c r="BL133" i="4"/>
  <c r="BK134" i="4"/>
  <c r="CD132" i="4"/>
  <c r="BY110" i="4"/>
  <c r="CO110" i="4" s="1"/>
  <c r="CP110" i="4" s="1"/>
  <c r="CM110" i="4"/>
  <c r="CN110" i="4" s="1"/>
  <c r="F129" i="4" s="1"/>
  <c r="BR111" i="4"/>
  <c r="BS123" i="4" s="1"/>
  <c r="BT135" i="4" s="1"/>
  <c r="BU147" i="4" s="1"/>
  <c r="CG111" i="4"/>
  <c r="CC122" i="4"/>
  <c r="BZ122" i="4"/>
  <c r="CB122" i="4" s="1"/>
  <c r="BM133" i="4" l="1"/>
  <c r="BO133" i="4" s="1"/>
  <c r="BL134" i="4"/>
  <c r="BJ136" i="4"/>
  <c r="BQ135" i="4"/>
  <c r="BK135" i="4"/>
  <c r="CD133" i="4"/>
  <c r="CQ110" i="4"/>
  <c r="G129" i="4" s="1"/>
  <c r="CH111" i="4"/>
  <c r="CI111" i="4" s="1"/>
  <c r="CJ111" i="4" s="1"/>
  <c r="CF112" i="4" s="1"/>
  <c r="BV111" i="4"/>
  <c r="BX111" i="4" s="1"/>
  <c r="CK111" i="4" s="1"/>
  <c r="CL111" i="4" s="1"/>
  <c r="BJ137" i="4" l="1"/>
  <c r="BQ136" i="4"/>
  <c r="BM134" i="4"/>
  <c r="BO134" i="4" s="1"/>
  <c r="BL135" i="4"/>
  <c r="BK136" i="4"/>
  <c r="CD134" i="4"/>
  <c r="BY111" i="4"/>
  <c r="CO111" i="4" s="1"/>
  <c r="CP111" i="4" s="1"/>
  <c r="CM111" i="4"/>
  <c r="CN111" i="4" s="1"/>
  <c r="F130" i="4" s="1"/>
  <c r="CC123" i="4"/>
  <c r="BZ123" i="4"/>
  <c r="CB123" i="4" s="1"/>
  <c r="CG112" i="4"/>
  <c r="BR112" i="4"/>
  <c r="BS124" i="4" s="1"/>
  <c r="BT136" i="4" s="1"/>
  <c r="BU148" i="4" s="1"/>
  <c r="BM135" i="4" l="1"/>
  <c r="BO135" i="4" s="1"/>
  <c r="BL136" i="4"/>
  <c r="BJ138" i="4"/>
  <c r="BQ138" i="4" s="1"/>
  <c r="BQ137" i="4"/>
  <c r="BK137" i="4"/>
  <c r="CD135" i="4"/>
  <c r="CQ111" i="4"/>
  <c r="G130" i="4" s="1"/>
  <c r="BV112" i="4"/>
  <c r="BX112" i="4" s="1"/>
  <c r="CK112" i="4" s="1"/>
  <c r="CL112" i="4" s="1"/>
  <c r="CH112" i="4"/>
  <c r="CI112" i="4" s="1"/>
  <c r="CJ112" i="4" s="1"/>
  <c r="CF113" i="4" s="1"/>
  <c r="BM136" i="4" l="1"/>
  <c r="BO136" i="4" s="1"/>
  <c r="BL137" i="4"/>
  <c r="BK138" i="4"/>
  <c r="CD137" i="4" s="1"/>
  <c r="CD136" i="4"/>
  <c r="BY112" i="4"/>
  <c r="CO112" i="4" s="1"/>
  <c r="CP112" i="4" s="1"/>
  <c r="CC124" i="4"/>
  <c r="BZ124" i="4"/>
  <c r="CB124" i="4" s="1"/>
  <c r="BR113" i="4"/>
  <c r="BS125" i="4" s="1"/>
  <c r="BT137" i="4" s="1"/>
  <c r="BU149" i="4" s="1"/>
  <c r="CM112" i="4"/>
  <c r="CN112" i="4" s="1"/>
  <c r="F131" i="4" s="1"/>
  <c r="CG113" i="4"/>
  <c r="BM137" i="4" l="1"/>
  <c r="BO137" i="4" s="1"/>
  <c r="BL138" i="4"/>
  <c r="BM138" i="4" s="1"/>
  <c r="BO138" i="4" s="1"/>
  <c r="CQ112" i="4"/>
  <c r="G131" i="4" s="1"/>
  <c r="BV113" i="4"/>
  <c r="BX113" i="4" s="1"/>
  <c r="CK113" i="4" s="1"/>
  <c r="CL113" i="4" s="1"/>
  <c r="CH113" i="4"/>
  <c r="CI113" i="4" s="1"/>
  <c r="CJ113" i="4" s="1"/>
  <c r="BJ139" i="4"/>
  <c r="BQ139" i="4" s="1"/>
  <c r="BY113" i="4" l="1"/>
  <c r="CO113" i="4" s="1"/>
  <c r="CP113" i="4" s="1"/>
  <c r="BR114" i="4"/>
  <c r="BS126" i="4" s="1"/>
  <c r="BT138" i="4" s="1"/>
  <c r="BU150" i="4" s="1"/>
  <c r="BJ140" i="4"/>
  <c r="BK139" i="4"/>
  <c r="CD138" i="4" s="1"/>
  <c r="BL139" i="4"/>
  <c r="CM113" i="4"/>
  <c r="CC125" i="4"/>
  <c r="BZ125" i="4"/>
  <c r="CB125" i="4" s="1"/>
  <c r="BJ141" i="4" l="1"/>
  <c r="BQ140" i="4"/>
  <c r="CQ113" i="4"/>
  <c r="G132" i="4" s="1"/>
  <c r="CN113" i="4"/>
  <c r="F132" i="4" s="1"/>
  <c r="BM139" i="4"/>
  <c r="BO139" i="4" s="1"/>
  <c r="BL140" i="4"/>
  <c r="BK140" i="4"/>
  <c r="BV114" i="4"/>
  <c r="BX114" i="4" s="1"/>
  <c r="BJ142" i="4" l="1"/>
  <c r="BQ141" i="4"/>
  <c r="BK141" i="4"/>
  <c r="CD139" i="4"/>
  <c r="BY114" i="4"/>
  <c r="CO114" i="4" s="1"/>
  <c r="CE114" i="4"/>
  <c r="CF114" i="4" s="1"/>
  <c r="CG114" i="4" s="1"/>
  <c r="CK114" i="4"/>
  <c r="BM140" i="4"/>
  <c r="BO140" i="4" s="1"/>
  <c r="BL141" i="4"/>
  <c r="CC126" i="4"/>
  <c r="BZ126" i="4"/>
  <c r="CB126" i="4" s="1"/>
  <c r="BJ143" i="4" l="1"/>
  <c r="BQ142" i="4"/>
  <c r="BK142" i="4"/>
  <c r="CD140" i="4"/>
  <c r="CP114" i="4"/>
  <c r="CL114" i="4"/>
  <c r="CM114" i="4" s="1"/>
  <c r="BL142" i="4"/>
  <c r="BM141" i="4"/>
  <c r="BO141" i="4" s="1"/>
  <c r="CH114" i="4"/>
  <c r="CI114" i="4" s="1"/>
  <c r="CJ114" i="4" s="1"/>
  <c r="CF115" i="4" s="1"/>
  <c r="BJ144" i="4" l="1"/>
  <c r="BQ143" i="4"/>
  <c r="CQ114" i="4"/>
  <c r="G133" i="4" s="1"/>
  <c r="BK143" i="4"/>
  <c r="CD141" i="4"/>
  <c r="G29" i="4"/>
  <c r="Q29" i="4" s="1"/>
  <c r="BR115" i="4"/>
  <c r="BS127" i="4" s="1"/>
  <c r="BT139" i="4" s="1"/>
  <c r="BU151" i="4" s="1"/>
  <c r="CG115" i="4"/>
  <c r="CN114" i="4"/>
  <c r="BM142" i="4"/>
  <c r="BO142" i="4" s="1"/>
  <c r="BL143" i="4"/>
  <c r="BJ145" i="4" l="1"/>
  <c r="BQ144" i="4"/>
  <c r="BK144" i="4"/>
  <c r="CD142" i="4"/>
  <c r="BL144" i="4"/>
  <c r="BM143" i="4"/>
  <c r="BO143" i="4" s="1"/>
  <c r="BV115" i="4"/>
  <c r="BX115" i="4" s="1"/>
  <c r="CK115" i="4" s="1"/>
  <c r="CL115" i="4" s="1"/>
  <c r="CH115" i="4"/>
  <c r="CI115" i="4" s="1"/>
  <c r="CJ115" i="4" s="1"/>
  <c r="CF116" i="4" s="1"/>
  <c r="F133" i="4"/>
  <c r="F29" i="4"/>
  <c r="P29" i="4" s="1"/>
  <c r="BJ146" i="4" l="1"/>
  <c r="BQ145" i="4"/>
  <c r="BK145" i="4"/>
  <c r="CD143" i="4"/>
  <c r="BY115" i="4"/>
  <c r="CO115" i="4" s="1"/>
  <c r="CP115" i="4" s="1"/>
  <c r="CG116" i="4"/>
  <c r="CM115" i="4"/>
  <c r="CC127" i="4"/>
  <c r="BZ127" i="4"/>
  <c r="CB127" i="4" s="1"/>
  <c r="BL145" i="4"/>
  <c r="BM144" i="4"/>
  <c r="BO144" i="4" s="1"/>
  <c r="BR116" i="4"/>
  <c r="BS128" i="4" s="1"/>
  <c r="BT140" i="4" s="1"/>
  <c r="BU152" i="4" s="1"/>
  <c r="BJ147" i="4" l="1"/>
  <c r="BQ146" i="4"/>
  <c r="BK146" i="4"/>
  <c r="CD144" i="4"/>
  <c r="CQ115" i="4"/>
  <c r="G134" i="4" s="1"/>
  <c r="BV116" i="4"/>
  <c r="BX116" i="4" s="1"/>
  <c r="CK116" i="4" s="1"/>
  <c r="CL116" i="4" s="1"/>
  <c r="CN115" i="4"/>
  <c r="F134" i="4" s="1"/>
  <c r="BM145" i="4"/>
  <c r="BO145" i="4" s="1"/>
  <c r="BL146" i="4"/>
  <c r="CH116" i="4"/>
  <c r="CI116" i="4" s="1"/>
  <c r="CJ116" i="4" s="1"/>
  <c r="CF117" i="4" s="1"/>
  <c r="BJ148" i="4" l="1"/>
  <c r="BQ147" i="4"/>
  <c r="BK147" i="4"/>
  <c r="CD145" i="4"/>
  <c r="BY116" i="4"/>
  <c r="CO116" i="4" s="1"/>
  <c r="CP116" i="4" s="1"/>
  <c r="CG117" i="4"/>
  <c r="CC128" i="4"/>
  <c r="BZ128" i="4"/>
  <c r="CB128" i="4" s="1"/>
  <c r="BM146" i="4"/>
  <c r="BO146" i="4" s="1"/>
  <c r="BL147" i="4"/>
  <c r="BR117" i="4"/>
  <c r="BS129" i="4" s="1"/>
  <c r="BT141" i="4" s="1"/>
  <c r="BU153" i="4" s="1"/>
  <c r="CM116" i="4"/>
  <c r="BJ149" i="4" l="1"/>
  <c r="BQ148" i="4"/>
  <c r="BK148" i="4"/>
  <c r="CD146" i="4"/>
  <c r="CH117" i="4"/>
  <c r="CI117" i="4" s="1"/>
  <c r="CJ117" i="4" s="1"/>
  <c r="CF118" i="4" s="1"/>
  <c r="CQ116" i="4"/>
  <c r="G135" i="4" s="1"/>
  <c r="CN116" i="4"/>
  <c r="F135" i="4" s="1"/>
  <c r="BV117" i="4"/>
  <c r="BX117" i="4" s="1"/>
  <c r="CK117" i="4" s="1"/>
  <c r="CL117" i="4" s="1"/>
  <c r="BM147" i="4"/>
  <c r="BO147" i="4" s="1"/>
  <c r="BL148" i="4"/>
  <c r="BJ150" i="4" l="1"/>
  <c r="BQ150" i="4" s="1"/>
  <c r="BQ149" i="4"/>
  <c r="BK149" i="4"/>
  <c r="CD147" i="4"/>
  <c r="CM117" i="4"/>
  <c r="CN117" i="4" s="1"/>
  <c r="F136" i="4" s="1"/>
  <c r="CC129" i="4"/>
  <c r="BZ129" i="4"/>
  <c r="CB129" i="4" s="1"/>
  <c r="CG118" i="4"/>
  <c r="BL149" i="4"/>
  <c r="BM148" i="4"/>
  <c r="BO148" i="4" s="1"/>
  <c r="BY117" i="4"/>
  <c r="CO117" i="4" s="1"/>
  <c r="CP117" i="4" s="1"/>
  <c r="BR118" i="4"/>
  <c r="BS130" i="4" s="1"/>
  <c r="BT142" i="4" s="1"/>
  <c r="BU154" i="4" s="1"/>
  <c r="BK150" i="4" l="1"/>
  <c r="CD149" i="4" s="1"/>
  <c r="CD148" i="4"/>
  <c r="CH118" i="4"/>
  <c r="CI118" i="4" s="1"/>
  <c r="CJ118" i="4" s="1"/>
  <c r="CF119" i="4" s="1"/>
  <c r="BV118" i="4"/>
  <c r="BX118" i="4" s="1"/>
  <c r="CK118" i="4" s="1"/>
  <c r="CL118" i="4" s="1"/>
  <c r="BM149" i="4"/>
  <c r="BO149" i="4" s="1"/>
  <c r="BL150" i="4"/>
  <c r="BM150" i="4" s="1"/>
  <c r="BO150" i="4" s="1"/>
  <c r="CQ117" i="4"/>
  <c r="G136" i="4" s="1"/>
  <c r="BY118" i="4" l="1"/>
  <c r="CO118" i="4" s="1"/>
  <c r="CP118" i="4" s="1"/>
  <c r="CC130" i="4"/>
  <c r="BZ130" i="4"/>
  <c r="CB130" i="4" s="1"/>
  <c r="CM118" i="4"/>
  <c r="CG119" i="4"/>
  <c r="BJ151" i="4"/>
  <c r="BQ151" i="4" s="1"/>
  <c r="BR119" i="4"/>
  <c r="BS131" i="4" s="1"/>
  <c r="BT143" i="4" s="1"/>
  <c r="BU155" i="4" s="1"/>
  <c r="CQ118" i="4" l="1"/>
  <c r="G137" i="4" s="1"/>
  <c r="CN118" i="4"/>
  <c r="F137" i="4" s="1"/>
  <c r="BJ152" i="4"/>
  <c r="BK151" i="4"/>
  <c r="CD150" i="4" s="1"/>
  <c r="BL151" i="4"/>
  <c r="BV119" i="4"/>
  <c r="BX119" i="4" s="1"/>
  <c r="CK119" i="4" s="1"/>
  <c r="CL119" i="4" s="1"/>
  <c r="CH119" i="4"/>
  <c r="CI119" i="4" s="1"/>
  <c r="CJ119" i="4" s="1"/>
  <c r="CF120" i="4" s="1"/>
  <c r="BJ153" i="4" l="1"/>
  <c r="BQ152" i="4"/>
  <c r="CG120" i="4"/>
  <c r="CM119" i="4"/>
  <c r="CN119" i="4" s="1"/>
  <c r="F138" i="4" s="1"/>
  <c r="BR120" i="4"/>
  <c r="BS132" i="4" s="1"/>
  <c r="BT144" i="4" s="1"/>
  <c r="BU156" i="4" s="1"/>
  <c r="CC131" i="4"/>
  <c r="BZ131" i="4"/>
  <c r="CB131" i="4" s="1"/>
  <c r="BL152" i="4"/>
  <c r="BM151" i="4"/>
  <c r="BO151" i="4" s="1"/>
  <c r="BY119" i="4"/>
  <c r="CO119" i="4" s="1"/>
  <c r="CP119" i="4" s="1"/>
  <c r="BK152" i="4"/>
  <c r="BJ154" i="4" l="1"/>
  <c r="BQ153" i="4"/>
  <c r="BK153" i="4"/>
  <c r="CD151" i="4"/>
  <c r="CQ119" i="4"/>
  <c r="G138" i="4" s="1"/>
  <c r="BV120" i="4"/>
  <c r="BX120" i="4" s="1"/>
  <c r="CK120" i="4" s="1"/>
  <c r="CL120" i="4" s="1"/>
  <c r="BR121" i="4"/>
  <c r="BS133" i="4" s="1"/>
  <c r="BT145" i="4" s="1"/>
  <c r="BU157" i="4" s="1"/>
  <c r="BM152" i="4"/>
  <c r="BO152" i="4" s="1"/>
  <c r="BL153" i="4"/>
  <c r="CH120" i="4"/>
  <c r="CI120" i="4" s="1"/>
  <c r="CJ120" i="4" s="1"/>
  <c r="CF121" i="4" s="1"/>
  <c r="BJ155" i="4" l="1"/>
  <c r="BQ154" i="4"/>
  <c r="BK154" i="4"/>
  <c r="CD152" i="4"/>
  <c r="BY120" i="4"/>
  <c r="CO120" i="4" s="1"/>
  <c r="CP120" i="4" s="1"/>
  <c r="CM120" i="4"/>
  <c r="CG121" i="4"/>
  <c r="CH121" i="4" s="1"/>
  <c r="CI121" i="4" s="1"/>
  <c r="CJ121" i="4" s="1"/>
  <c r="CF122" i="4" s="1"/>
  <c r="BM153" i="4"/>
  <c r="BO153" i="4" s="1"/>
  <c r="BL154" i="4"/>
  <c r="CC132" i="4"/>
  <c r="BZ132" i="4"/>
  <c r="CB132" i="4" s="1"/>
  <c r="BV121" i="4"/>
  <c r="BX121" i="4" s="1"/>
  <c r="CK121" i="4" s="1"/>
  <c r="CL121" i="4" s="1"/>
  <c r="BJ156" i="4" l="1"/>
  <c r="BQ155" i="4"/>
  <c r="BK155" i="4"/>
  <c r="CD153" i="4"/>
  <c r="CQ120" i="4"/>
  <c r="G139" i="4" s="1"/>
  <c r="CN120" i="4"/>
  <c r="F139" i="4" s="1"/>
  <c r="CG122" i="4"/>
  <c r="BM154" i="4"/>
  <c r="BO154" i="4" s="1"/>
  <c r="BL155" i="4"/>
  <c r="BY121" i="4"/>
  <c r="CO121" i="4" s="1"/>
  <c r="CP121" i="4" s="1"/>
  <c r="CC133" i="4"/>
  <c r="BZ133" i="4"/>
  <c r="CB133" i="4" s="1"/>
  <c r="CM121" i="4"/>
  <c r="CN121" i="4" s="1"/>
  <c r="F140" i="4" s="1"/>
  <c r="BR122" i="4"/>
  <c r="BS134" i="4" s="1"/>
  <c r="BT146" i="4" s="1"/>
  <c r="BU158" i="4" s="1"/>
  <c r="BJ157" i="4" l="1"/>
  <c r="BQ156" i="4"/>
  <c r="BK156" i="4"/>
  <c r="CD154" i="4"/>
  <c r="BV122" i="4"/>
  <c r="BX122" i="4" s="1"/>
  <c r="CK122" i="4" s="1"/>
  <c r="CL122" i="4" s="1"/>
  <c r="BM155" i="4"/>
  <c r="BO155" i="4" s="1"/>
  <c r="BL156" i="4"/>
  <c r="CQ121" i="4"/>
  <c r="G140" i="4" s="1"/>
  <c r="CH122" i="4"/>
  <c r="CI122" i="4" s="1"/>
  <c r="CJ122" i="4" s="1"/>
  <c r="CF123" i="4" s="1"/>
  <c r="BJ158" i="4" l="1"/>
  <c r="BQ157" i="4"/>
  <c r="BK157" i="4"/>
  <c r="CD155" i="4"/>
  <c r="BY122" i="4"/>
  <c r="CO122" i="4" s="1"/>
  <c r="CP122" i="4" s="1"/>
  <c r="BL157" i="4"/>
  <c r="BM156" i="4"/>
  <c r="BO156" i="4" s="1"/>
  <c r="CG123" i="4"/>
  <c r="BR123" i="4"/>
  <c r="BS135" i="4" s="1"/>
  <c r="BT147" i="4" s="1"/>
  <c r="BU159" i="4" s="1"/>
  <c r="CM122" i="4"/>
  <c r="CC134" i="4"/>
  <c r="BZ134" i="4"/>
  <c r="CB134" i="4" s="1"/>
  <c r="BJ159" i="4" l="1"/>
  <c r="BQ158" i="4"/>
  <c r="BK158" i="4"/>
  <c r="CD156" i="4"/>
  <c r="CH123" i="4"/>
  <c r="CI123" i="4" s="1"/>
  <c r="CJ123" i="4" s="1"/>
  <c r="CF124" i="4" s="1"/>
  <c r="BV123" i="4"/>
  <c r="BX123" i="4" s="1"/>
  <c r="CK123" i="4" s="1"/>
  <c r="CL123" i="4" s="1"/>
  <c r="CN122" i="4"/>
  <c r="F141" i="4" s="1"/>
  <c r="CQ122" i="4"/>
  <c r="G141" i="4" s="1"/>
  <c r="BM157" i="4"/>
  <c r="BO157" i="4" s="1"/>
  <c r="BL158" i="4"/>
  <c r="BJ160" i="4" l="1"/>
  <c r="BQ159" i="4"/>
  <c r="BK159" i="4"/>
  <c r="CD157" i="4"/>
  <c r="BY123" i="4"/>
  <c r="CO123" i="4" s="1"/>
  <c r="CP123" i="4" s="1"/>
  <c r="CM123" i="4"/>
  <c r="CN123" i="4" s="1"/>
  <c r="F142" i="4" s="1"/>
  <c r="CC135" i="4"/>
  <c r="BZ135" i="4"/>
  <c r="CB135" i="4" s="1"/>
  <c r="BM158" i="4"/>
  <c r="BO158" i="4" s="1"/>
  <c r="BL159" i="4"/>
  <c r="CG124" i="4"/>
  <c r="BR124" i="4"/>
  <c r="BS136" i="4" s="1"/>
  <c r="BT148" i="4" s="1"/>
  <c r="BU160" i="4" s="1"/>
  <c r="BJ161" i="4" l="1"/>
  <c r="BQ160" i="4"/>
  <c r="BK160" i="4"/>
  <c r="CD158" i="4"/>
  <c r="CQ123" i="4"/>
  <c r="G142" i="4" s="1"/>
  <c r="BV124" i="4"/>
  <c r="BX124" i="4" s="1"/>
  <c r="CK124" i="4" s="1"/>
  <c r="CL124" i="4" s="1"/>
  <c r="BM159" i="4"/>
  <c r="BO159" i="4" s="1"/>
  <c r="BL160" i="4"/>
  <c r="CH124" i="4"/>
  <c r="CI124" i="4" s="1"/>
  <c r="CJ124" i="4" s="1"/>
  <c r="CF125" i="4" s="1"/>
  <c r="BJ162" i="4" l="1"/>
  <c r="BQ161" i="4"/>
  <c r="BK161" i="4"/>
  <c r="CD159" i="4"/>
  <c r="BY124" i="4"/>
  <c r="CO124" i="4" s="1"/>
  <c r="CP124" i="4" s="1"/>
  <c r="BR125" i="4"/>
  <c r="BS137" i="4" s="1"/>
  <c r="BT149" i="4" s="1"/>
  <c r="BU161" i="4" s="1"/>
  <c r="CG125" i="4"/>
  <c r="BL161" i="4"/>
  <c r="BM160" i="4"/>
  <c r="BO160" i="4" s="1"/>
  <c r="CC136" i="4"/>
  <c r="BZ136" i="4"/>
  <c r="CB136" i="4" s="1"/>
  <c r="CM124" i="4"/>
  <c r="BK162" i="4" l="1"/>
  <c r="CD161" i="4" s="1"/>
  <c r="CD160" i="4"/>
  <c r="CQ124" i="4"/>
  <c r="G143" i="4" s="1"/>
  <c r="CN124" i="4"/>
  <c r="F143" i="4" s="1"/>
  <c r="CH125" i="4"/>
  <c r="CI125" i="4" s="1"/>
  <c r="CJ125" i="4" s="1"/>
  <c r="BM161" i="4"/>
  <c r="BO161" i="4" s="1"/>
  <c r="BL162" i="4"/>
  <c r="BM162" i="4" s="1"/>
  <c r="BO162" i="4" s="1"/>
  <c r="BV125" i="4"/>
  <c r="BX125" i="4" s="1"/>
  <c r="CK125" i="4" s="1"/>
  <c r="CL125" i="4" s="1"/>
  <c r="BY125" i="4" l="1"/>
  <c r="CO125" i="4" s="1"/>
  <c r="CP125" i="4" s="1"/>
  <c r="CC137" i="4"/>
  <c r="BZ137" i="4"/>
  <c r="CB137" i="4" s="1"/>
  <c r="CM125" i="4"/>
  <c r="CN125" i="4" s="1"/>
  <c r="F144" i="4" s="1"/>
  <c r="BR126" i="4"/>
  <c r="BS138" i="4" s="1"/>
  <c r="BT150" i="4" s="1"/>
  <c r="BU162" i="4" s="1"/>
  <c r="BV126" i="4" l="1"/>
  <c r="BX126" i="4" s="1"/>
  <c r="CE126" i="4" s="1"/>
  <c r="CQ125" i="4"/>
  <c r="G144" i="4" s="1"/>
  <c r="BY126" i="4" l="1"/>
  <c r="CO126" i="4" s="1"/>
  <c r="CK126" i="4"/>
  <c r="CL126" i="4" s="1"/>
  <c r="CF126" i="4"/>
  <c r="CG126" i="4" s="1"/>
  <c r="CH126" i="4" s="1"/>
  <c r="CC138" i="4"/>
  <c r="BZ138" i="4"/>
  <c r="CB138" i="4" s="1"/>
  <c r="CM126" i="4" l="1"/>
  <c r="CN126" i="4" s="1"/>
  <c r="CP126" i="4"/>
  <c r="CI126" i="4"/>
  <c r="BR127" i="4" s="1"/>
  <c r="BS139" i="4" s="1"/>
  <c r="BT151" i="4" s="1"/>
  <c r="F145" i="4" l="1"/>
  <c r="F30" i="4"/>
  <c r="P30" i="4" s="1"/>
  <c r="BV127" i="4"/>
  <c r="BX127" i="4" s="1"/>
  <c r="CJ126" i="4"/>
  <c r="CF127" i="4" s="1"/>
  <c r="CQ126" i="4"/>
  <c r="G145" i="4" l="1"/>
  <c r="G30" i="4"/>
  <c r="Q30" i="4" s="1"/>
  <c r="CC139" i="4"/>
  <c r="BZ139" i="4"/>
  <c r="CB139" i="4" s="1"/>
  <c r="BY127" i="4"/>
  <c r="CO127" i="4" s="1"/>
  <c r="CK127" i="4"/>
  <c r="CL127" i="4" s="1"/>
  <c r="CG127" i="4"/>
  <c r="CH127" i="4" s="1"/>
  <c r="CI127" i="4" s="1"/>
  <c r="CJ127" i="4" s="1"/>
  <c r="CF128" i="4" s="1"/>
  <c r="CG128" i="4" l="1"/>
  <c r="CM127" i="4"/>
  <c r="CN127" i="4" s="1"/>
  <c r="F146" i="4" s="1"/>
  <c r="CP127" i="4"/>
  <c r="BR128" i="4"/>
  <c r="BS140" i="4" s="1"/>
  <c r="BT152" i="4" s="1"/>
  <c r="BV128" i="4" l="1"/>
  <c r="BX128" i="4" s="1"/>
  <c r="CQ127" i="4"/>
  <c r="G146" i="4" s="1"/>
  <c r="CH128" i="4"/>
  <c r="CI128" i="4" s="1"/>
  <c r="CJ128" i="4" s="1"/>
  <c r="CF129" i="4" s="1"/>
  <c r="CG129" i="4" l="1"/>
  <c r="BR129" i="4"/>
  <c r="BS141" i="4" s="1"/>
  <c r="BT153" i="4" s="1"/>
  <c r="BY128" i="4"/>
  <c r="CO128" i="4" s="1"/>
  <c r="CK128" i="4"/>
  <c r="CL128" i="4" s="1"/>
  <c r="CC140" i="4"/>
  <c r="BZ140" i="4"/>
  <c r="CB140" i="4" s="1"/>
  <c r="CM128" i="4" l="1"/>
  <c r="CN128" i="4" s="1"/>
  <c r="F147" i="4" s="1"/>
  <c r="CP128" i="4"/>
  <c r="BV129" i="4"/>
  <c r="BX129" i="4" s="1"/>
  <c r="CH129" i="4"/>
  <c r="CI129" i="4" s="1"/>
  <c r="CJ129" i="4" s="1"/>
  <c r="CF130" i="4" s="1"/>
  <c r="BY129" i="4" l="1"/>
  <c r="CO129" i="4" s="1"/>
  <c r="CK129" i="4"/>
  <c r="CL129" i="4" s="1"/>
  <c r="CQ128" i="4"/>
  <c r="G147" i="4" s="1"/>
  <c r="CG130" i="4"/>
  <c r="CH130" i="4" s="1"/>
  <c r="CI130" i="4" s="1"/>
  <c r="CJ130" i="4" s="1"/>
  <c r="CF131" i="4" s="1"/>
  <c r="CC141" i="4"/>
  <c r="BZ141" i="4"/>
  <c r="CB141" i="4" s="1"/>
  <c r="BR130" i="4"/>
  <c r="BS142" i="4" s="1"/>
  <c r="BT154" i="4" s="1"/>
  <c r="CG131" i="4" l="1"/>
  <c r="BR131" i="4"/>
  <c r="BS143" i="4" s="1"/>
  <c r="BT155" i="4" s="1"/>
  <c r="CM129" i="4"/>
  <c r="CN129" i="4" s="1"/>
  <c r="F148" i="4" s="1"/>
  <c r="CP129" i="4"/>
  <c r="BV130" i="4"/>
  <c r="BX130" i="4" s="1"/>
  <c r="BV131" i="4" l="1"/>
  <c r="BX131" i="4" s="1"/>
  <c r="BY130" i="4"/>
  <c r="CO130" i="4" s="1"/>
  <c r="CK130" i="4"/>
  <c r="CL130" i="4" s="1"/>
  <c r="CQ129" i="4"/>
  <c r="G148" i="4" s="1"/>
  <c r="CC142" i="4"/>
  <c r="BZ142" i="4"/>
  <c r="CB142" i="4" s="1"/>
  <c r="CH131" i="4"/>
  <c r="CI131" i="4" s="1"/>
  <c r="CJ131" i="4" s="1"/>
  <c r="CF132" i="4" s="1"/>
  <c r="BR132" i="4" l="1"/>
  <c r="BS144" i="4" s="1"/>
  <c r="BT156" i="4" s="1"/>
  <c r="CM130" i="4"/>
  <c r="CN130" i="4" s="1"/>
  <c r="F149" i="4" s="1"/>
  <c r="CP130" i="4"/>
  <c r="CG132" i="4"/>
  <c r="CH132" i="4" s="1"/>
  <c r="CI132" i="4" s="1"/>
  <c r="CJ132" i="4" s="1"/>
  <c r="CF133" i="4" s="1"/>
  <c r="BY131" i="4"/>
  <c r="CO131" i="4" s="1"/>
  <c r="CK131" i="4"/>
  <c r="CL131" i="4" s="1"/>
  <c r="CC143" i="4"/>
  <c r="BZ143" i="4"/>
  <c r="CB143" i="4" s="1"/>
  <c r="BV132" i="4" l="1"/>
  <c r="BX132" i="4" s="1"/>
  <c r="BY132" i="4" s="1"/>
  <c r="CO132" i="4" s="1"/>
  <c r="CQ130" i="4"/>
  <c r="G149" i="4" s="1"/>
  <c r="CG133" i="4"/>
  <c r="CM131" i="4"/>
  <c r="CN131" i="4" s="1"/>
  <c r="F150" i="4" s="1"/>
  <c r="CP131" i="4"/>
  <c r="BR133" i="4"/>
  <c r="BS145" i="4" s="1"/>
  <c r="BT157" i="4" s="1"/>
  <c r="CK132" i="4" l="1"/>
  <c r="CL132" i="4" s="1"/>
  <c r="CM132" i="4" s="1"/>
  <c r="CN132" i="4" s="1"/>
  <c r="F151" i="4" s="1"/>
  <c r="BZ144" i="4"/>
  <c r="CB144" i="4" s="1"/>
  <c r="CC144" i="4"/>
  <c r="BV133" i="4"/>
  <c r="BX133" i="4" s="1"/>
  <c r="CQ131" i="4"/>
  <c r="G150" i="4" s="1"/>
  <c r="CH133" i="4"/>
  <c r="CI133" i="4" s="1"/>
  <c r="CJ133" i="4" s="1"/>
  <c r="CF134" i="4" s="1"/>
  <c r="CP132" i="4" l="1"/>
  <c r="CQ132" i="4" s="1"/>
  <c r="G151" i="4" s="1"/>
  <c r="CG134" i="4"/>
  <c r="BR134" i="4"/>
  <c r="BS146" i="4" s="1"/>
  <c r="BT158" i="4" s="1"/>
  <c r="CC145" i="4"/>
  <c r="BZ145" i="4"/>
  <c r="CB145" i="4" s="1"/>
  <c r="BY133" i="4"/>
  <c r="CO133" i="4" s="1"/>
  <c r="CK133" i="4"/>
  <c r="CL133" i="4" s="1"/>
  <c r="CI162" i="4"/>
  <c r="CJ162" i="4" s="1"/>
  <c r="BV134" i="4" l="1"/>
  <c r="BX134" i="4" s="1"/>
  <c r="CM133" i="4"/>
  <c r="CN133" i="4" s="1"/>
  <c r="F152" i="4" s="1"/>
  <c r="CP133" i="4"/>
  <c r="CH134" i="4"/>
  <c r="CI134" i="4" s="1"/>
  <c r="CJ134" i="4" s="1"/>
  <c r="CF135" i="4" s="1"/>
  <c r="CG135" i="4" l="1"/>
  <c r="CQ133" i="4"/>
  <c r="G152" i="4" s="1"/>
  <c r="BR135" i="4"/>
  <c r="BS147" i="4" s="1"/>
  <c r="BT159" i="4" s="1"/>
  <c r="CC146" i="4"/>
  <c r="BZ146" i="4"/>
  <c r="CB146" i="4" s="1"/>
  <c r="BY134" i="4"/>
  <c r="CO134" i="4" s="1"/>
  <c r="CK134" i="4"/>
  <c r="CL134" i="4" s="1"/>
  <c r="BV135" i="4" l="1"/>
  <c r="BX135" i="4" s="1"/>
  <c r="CM134" i="4"/>
  <c r="CN134" i="4" s="1"/>
  <c r="F153" i="4" s="1"/>
  <c r="CP134" i="4"/>
  <c r="CH135" i="4"/>
  <c r="CI135" i="4" s="1"/>
  <c r="CJ135" i="4" s="1"/>
  <c r="CF136" i="4" s="1"/>
  <c r="CG136" i="4" l="1"/>
  <c r="CQ134" i="4"/>
  <c r="G153" i="4" s="1"/>
  <c r="BR136" i="4"/>
  <c r="BS148" i="4" s="1"/>
  <c r="BT160" i="4" s="1"/>
  <c r="CC147" i="4"/>
  <c r="BZ147" i="4"/>
  <c r="CB147" i="4" s="1"/>
  <c r="BY135" i="4"/>
  <c r="CO135" i="4" s="1"/>
  <c r="CK135" i="4"/>
  <c r="CL135" i="4" s="1"/>
  <c r="BV136" i="4" l="1"/>
  <c r="BX136" i="4" s="1"/>
  <c r="CM135" i="4"/>
  <c r="CN135" i="4" s="1"/>
  <c r="F154" i="4" s="1"/>
  <c r="CP135" i="4"/>
  <c r="CH136" i="4"/>
  <c r="CI136" i="4" s="1"/>
  <c r="CJ136" i="4" s="1"/>
  <c r="CF137" i="4" s="1"/>
  <c r="CG137" i="4" l="1"/>
  <c r="CQ135" i="4"/>
  <c r="G154" i="4" s="1"/>
  <c r="BY136" i="4"/>
  <c r="CO136" i="4" s="1"/>
  <c r="CK136" i="4"/>
  <c r="CL136" i="4" s="1"/>
  <c r="CC148" i="4"/>
  <c r="BZ148" i="4"/>
  <c r="CB148" i="4" s="1"/>
  <c r="BR137" i="4"/>
  <c r="BS149" i="4" s="1"/>
  <c r="BT161" i="4" s="1"/>
  <c r="CM136" i="4" l="1"/>
  <c r="CN136" i="4" s="1"/>
  <c r="F155" i="4" s="1"/>
  <c r="CP136" i="4"/>
  <c r="BV137" i="4"/>
  <c r="BX137" i="4" s="1"/>
  <c r="CH137" i="4"/>
  <c r="CI137" i="4" s="1"/>
  <c r="CJ137" i="4" s="1"/>
  <c r="CQ136" i="4" l="1"/>
  <c r="G155" i="4" s="1"/>
  <c r="CC149" i="4"/>
  <c r="BZ149" i="4"/>
  <c r="CB149" i="4" s="1"/>
  <c r="BY137" i="4"/>
  <c r="CO137" i="4" s="1"/>
  <c r="CK137" i="4"/>
  <c r="CL137" i="4" s="1"/>
  <c r="BR138" i="4"/>
  <c r="BS150" i="4" s="1"/>
  <c r="BT162" i="4" s="1"/>
  <c r="BV138" i="4" l="1"/>
  <c r="BX138" i="4" s="1"/>
  <c r="CE138" i="4" s="1"/>
  <c r="CM137" i="4"/>
  <c r="CN137" i="4" s="1"/>
  <c r="F156" i="4" s="1"/>
  <c r="CP137" i="4"/>
  <c r="CQ137" i="4" l="1"/>
  <c r="G156" i="4" s="1"/>
  <c r="BY138" i="4"/>
  <c r="CO138" i="4" s="1"/>
  <c r="CK138" i="4"/>
  <c r="CL138" i="4" s="1"/>
  <c r="CF138" i="4"/>
  <c r="CG138" i="4" s="1"/>
  <c r="CH138" i="4" s="1"/>
  <c r="CC150" i="4"/>
  <c r="BZ150" i="4"/>
  <c r="CB150" i="4" s="1"/>
  <c r="CI138" i="4" l="1"/>
  <c r="BR139" i="4" s="1"/>
  <c r="BS151" i="4" s="1"/>
  <c r="CM138" i="4"/>
  <c r="CN138" i="4" s="1"/>
  <c r="F17" i="4" s="1"/>
  <c r="P34" i="4" s="1"/>
  <c r="CP138" i="4"/>
  <c r="CJ138" i="4" l="1"/>
  <c r="CF139" i="4" s="1"/>
  <c r="F157" i="4"/>
  <c r="F31" i="4"/>
  <c r="P31" i="4" s="1"/>
  <c r="CQ138" i="4"/>
  <c r="G17" i="4" s="1"/>
  <c r="Q34" i="4" s="1"/>
  <c r="CG139" i="4"/>
  <c r="BV139" i="4"/>
  <c r="BX139" i="4" s="1"/>
  <c r="BY139" i="4" l="1"/>
  <c r="CO139" i="4" s="1"/>
  <c r="CK139" i="4"/>
  <c r="CL139" i="4" s="1"/>
  <c r="CC151" i="4"/>
  <c r="BZ151" i="4"/>
  <c r="CB151" i="4" s="1"/>
  <c r="CH139" i="4"/>
  <c r="CI139" i="4" s="1"/>
  <c r="CJ139" i="4" s="1"/>
  <c r="CF140" i="4" s="1"/>
  <c r="G157" i="4"/>
  <c r="G31" i="4"/>
  <c r="Q31" i="4" s="1"/>
  <c r="CG140" i="4" l="1"/>
  <c r="BR140" i="4"/>
  <c r="BS152" i="4" s="1"/>
  <c r="CM139" i="4"/>
  <c r="CN139" i="4" s="1"/>
  <c r="F158" i="4" s="1"/>
  <c r="CP139" i="4"/>
  <c r="CQ139" i="4" l="1"/>
  <c r="G158" i="4" s="1"/>
  <c r="BV140" i="4"/>
  <c r="BX140" i="4" s="1"/>
  <c r="CH140" i="4"/>
  <c r="CI140" i="4" s="1"/>
  <c r="CJ140" i="4" s="1"/>
  <c r="CF141" i="4" s="1"/>
  <c r="BR141" i="4" l="1"/>
  <c r="BS153" i="4" s="1"/>
  <c r="CC152" i="4"/>
  <c r="BZ152" i="4"/>
  <c r="CB152" i="4" s="1"/>
  <c r="CG141" i="4"/>
  <c r="BY140" i="4"/>
  <c r="CO140" i="4" s="1"/>
  <c r="CK140" i="4"/>
  <c r="CL140" i="4" s="1"/>
  <c r="CM140" i="4" l="1"/>
  <c r="CN140" i="4" s="1"/>
  <c r="F159" i="4" s="1"/>
  <c r="CP140" i="4"/>
  <c r="CH141" i="4"/>
  <c r="CI141" i="4" s="1"/>
  <c r="CJ141" i="4" s="1"/>
  <c r="CF142" i="4" s="1"/>
  <c r="BV141" i="4"/>
  <c r="BX141" i="4" s="1"/>
  <c r="CQ140" i="4" l="1"/>
  <c r="G159" i="4" s="1"/>
  <c r="CC153" i="4"/>
  <c r="BZ153" i="4"/>
  <c r="CB153" i="4" s="1"/>
  <c r="BR142" i="4"/>
  <c r="BS154" i="4" s="1"/>
  <c r="CG142" i="4"/>
  <c r="BY141" i="4"/>
  <c r="CO141" i="4" s="1"/>
  <c r="CK141" i="4"/>
  <c r="CL141" i="4" s="1"/>
  <c r="CM141" i="4" l="1"/>
  <c r="CN141" i="4" s="1"/>
  <c r="F160" i="4" s="1"/>
  <c r="CP141" i="4"/>
  <c r="CH142" i="4"/>
  <c r="CI142" i="4" s="1"/>
  <c r="CJ142" i="4" s="1"/>
  <c r="CF143" i="4" s="1"/>
  <c r="BV142" i="4"/>
  <c r="BX142" i="4" s="1"/>
  <c r="CQ141" i="4" l="1"/>
  <c r="G160" i="4" s="1"/>
  <c r="CC154" i="4"/>
  <c r="BZ154" i="4"/>
  <c r="CB154" i="4" s="1"/>
  <c r="BY142" i="4"/>
  <c r="CO142" i="4" s="1"/>
  <c r="CK142" i="4"/>
  <c r="CL142" i="4" s="1"/>
  <c r="CG143" i="4"/>
  <c r="BR143" i="4"/>
  <c r="BS155" i="4" s="1"/>
  <c r="CM142" i="4" l="1"/>
  <c r="CN142" i="4" s="1"/>
  <c r="F161" i="4" s="1"/>
  <c r="CP142" i="4"/>
  <c r="BV143" i="4"/>
  <c r="BX143" i="4" s="1"/>
  <c r="CH143" i="4"/>
  <c r="CI143" i="4" s="1"/>
  <c r="CJ143" i="4" s="1"/>
  <c r="CF144" i="4" s="1"/>
  <c r="CQ142" i="4" l="1"/>
  <c r="G161" i="4" s="1"/>
  <c r="CG144" i="4"/>
  <c r="BY143" i="4"/>
  <c r="CO143" i="4" s="1"/>
  <c r="CK143" i="4"/>
  <c r="CL143" i="4" s="1"/>
  <c r="BR144" i="4"/>
  <c r="BS156" i="4" s="1"/>
  <c r="CC155" i="4"/>
  <c r="BZ155" i="4"/>
  <c r="CB155" i="4" s="1"/>
  <c r="CM143" i="4" l="1"/>
  <c r="CN143" i="4" s="1"/>
  <c r="F162" i="4" s="1"/>
  <c r="CP143" i="4"/>
  <c r="BV144" i="4"/>
  <c r="BX144" i="4" s="1"/>
  <c r="CH144" i="4"/>
  <c r="CI144" i="4" s="1"/>
  <c r="CJ144" i="4" s="1"/>
  <c r="CF145" i="4" s="1"/>
  <c r="CQ143" i="4" l="1"/>
  <c r="G162" i="4" s="1"/>
  <c r="CG145" i="4"/>
  <c r="BR145" i="4"/>
  <c r="BS157" i="4" s="1"/>
  <c r="CC156" i="4"/>
  <c r="BZ156" i="4"/>
  <c r="CB156" i="4" s="1"/>
  <c r="BY144" i="4"/>
  <c r="CO144" i="4" s="1"/>
  <c r="CK144" i="4"/>
  <c r="CL144" i="4" s="1"/>
  <c r="CM144" i="4" l="1"/>
  <c r="CN144" i="4" s="1"/>
  <c r="F163" i="4" s="1"/>
  <c r="CP144" i="4"/>
  <c r="BV145" i="4"/>
  <c r="BX145" i="4" s="1"/>
  <c r="CH145" i="4"/>
  <c r="CI145" i="4" s="1"/>
  <c r="CJ145" i="4" s="1"/>
  <c r="CF146" i="4" s="1"/>
  <c r="CQ144" i="4" l="1"/>
  <c r="G163" i="4" s="1"/>
  <c r="BY145" i="4"/>
  <c r="CO145" i="4" s="1"/>
  <c r="CK145" i="4"/>
  <c r="CL145" i="4" s="1"/>
  <c r="CG146" i="4"/>
  <c r="CC157" i="4"/>
  <c r="BZ157" i="4"/>
  <c r="CB157" i="4" s="1"/>
  <c r="BR146" i="4"/>
  <c r="BS158" i="4" s="1"/>
  <c r="BV146" i="4" l="1"/>
  <c r="BX146" i="4" s="1"/>
  <c r="CH146" i="4"/>
  <c r="CI146" i="4" s="1"/>
  <c r="CJ146" i="4" s="1"/>
  <c r="CF147" i="4" s="1"/>
  <c r="CM145" i="4"/>
  <c r="CN145" i="4" s="1"/>
  <c r="F164" i="4" s="1"/>
  <c r="CP145" i="4"/>
  <c r="CQ145" i="4" l="1"/>
  <c r="G164" i="4" s="1"/>
  <c r="CG147" i="4"/>
  <c r="BR147" i="4"/>
  <c r="BS159" i="4" s="1"/>
  <c r="BY146" i="4"/>
  <c r="CO146" i="4" s="1"/>
  <c r="CK146" i="4"/>
  <c r="CL146" i="4" s="1"/>
  <c r="CC158" i="4"/>
  <c r="BZ158" i="4"/>
  <c r="CB158" i="4" s="1"/>
  <c r="CM146" i="4" l="1"/>
  <c r="CN146" i="4" s="1"/>
  <c r="F165" i="4" s="1"/>
  <c r="CP146" i="4"/>
  <c r="BV147" i="4"/>
  <c r="BX147" i="4" s="1"/>
  <c r="CH147" i="4"/>
  <c r="CI147" i="4" s="1"/>
  <c r="CJ147" i="4" s="1"/>
  <c r="CF148" i="4" s="1"/>
  <c r="BY147" i="4" l="1"/>
  <c r="CO147" i="4" s="1"/>
  <c r="CK147" i="4"/>
  <c r="CL147" i="4" s="1"/>
  <c r="BR148" i="4"/>
  <c r="BS160" i="4" s="1"/>
  <c r="CQ146" i="4"/>
  <c r="G165" i="4" s="1"/>
  <c r="CG148" i="4"/>
  <c r="CC159" i="4"/>
  <c r="BZ159" i="4"/>
  <c r="CB159" i="4" s="1"/>
  <c r="BV148" i="4" l="1"/>
  <c r="BX148" i="4" s="1"/>
  <c r="CH148" i="4"/>
  <c r="CI148" i="4" s="1"/>
  <c r="CJ148" i="4" s="1"/>
  <c r="CF149" i="4" s="1"/>
  <c r="CM147" i="4"/>
  <c r="CN147" i="4" s="1"/>
  <c r="F166" i="4" s="1"/>
  <c r="CP147" i="4"/>
  <c r="CQ147" i="4" l="1"/>
  <c r="G166" i="4" s="1"/>
  <c r="CG149" i="4"/>
  <c r="CH149" i="4" s="1"/>
  <c r="CI149" i="4" s="1"/>
  <c r="CJ149" i="4" s="1"/>
  <c r="BY148" i="4"/>
  <c r="CO148" i="4" s="1"/>
  <c r="CK148" i="4"/>
  <c r="CL148" i="4" s="1"/>
  <c r="CC160" i="4"/>
  <c r="BZ160" i="4"/>
  <c r="CB160" i="4" s="1"/>
  <c r="BR149" i="4"/>
  <c r="BS161" i="4" s="1"/>
  <c r="BV149" i="4" l="1"/>
  <c r="BX149" i="4" s="1"/>
  <c r="CM148" i="4"/>
  <c r="CN148" i="4" s="1"/>
  <c r="F167" i="4" s="1"/>
  <c r="CP148" i="4"/>
  <c r="BR150" i="4"/>
  <c r="BS162" i="4" s="1"/>
  <c r="BV150" i="4" l="1"/>
  <c r="BX150" i="4" s="1"/>
  <c r="CE150" i="4" s="1"/>
  <c r="CQ148" i="4"/>
  <c r="G167" i="4" s="1"/>
  <c r="CC161" i="4"/>
  <c r="BZ161" i="4"/>
  <c r="CB161" i="4" s="1"/>
  <c r="BY149" i="4"/>
  <c r="CO149" i="4" s="1"/>
  <c r="CK149" i="4"/>
  <c r="CL149" i="4" s="1"/>
  <c r="CM149" i="4" l="1"/>
  <c r="CN149" i="4" s="1"/>
  <c r="F168" i="4" s="1"/>
  <c r="CP149" i="4"/>
  <c r="CC162" i="4"/>
  <c r="BZ162" i="4"/>
  <c r="CB162" i="4" s="1"/>
  <c r="BY150" i="4"/>
  <c r="CO150" i="4" s="1"/>
  <c r="CF150" i="4"/>
  <c r="CG150" i="4" s="1"/>
  <c r="CH150" i="4" s="1"/>
  <c r="CK150" i="4"/>
  <c r="CL150" i="4" s="1"/>
  <c r="CQ149" i="4" l="1"/>
  <c r="G168" i="4" s="1"/>
  <c r="CI150" i="4"/>
  <c r="BR151" i="4" s="1"/>
  <c r="BV151" i="4" s="1"/>
  <c r="BX151" i="4" s="1"/>
  <c r="CM150" i="4"/>
  <c r="CP150" i="4"/>
  <c r="CQ150" i="4" l="1"/>
  <c r="G169" i="4" s="1"/>
  <c r="CJ150" i="4"/>
  <c r="CF151" i="4" s="1"/>
  <c r="G32" i="4"/>
  <c r="Q32" i="4" s="1"/>
  <c r="CN150" i="4"/>
  <c r="CG151" i="4"/>
  <c r="BY151" i="4"/>
  <c r="CO151" i="4" s="1"/>
  <c r="CK151" i="4" l="1"/>
  <c r="CH151" i="4"/>
  <c r="CI151" i="4" s="1"/>
  <c r="CJ151" i="4" s="1"/>
  <c r="CF152" i="4" s="1"/>
  <c r="F169" i="4"/>
  <c r="F32" i="4"/>
  <c r="P32" i="4" s="1"/>
  <c r="CL151" i="4" l="1"/>
  <c r="CM151" i="4" s="1"/>
  <c r="CN151" i="4" s="1"/>
  <c r="F170" i="4" s="1"/>
  <c r="CP151" i="4"/>
  <c r="BR152" i="4"/>
  <c r="BV152" i="4" s="1"/>
  <c r="BX152" i="4" s="1"/>
  <c r="CG152" i="4"/>
  <c r="CQ151" i="4" l="1"/>
  <c r="G170" i="4" s="1"/>
  <c r="CH152" i="4"/>
  <c r="CI152" i="4" s="1"/>
  <c r="CJ152" i="4" s="1"/>
  <c r="CF153" i="4" s="1"/>
  <c r="BY152" i="4"/>
  <c r="CO152" i="4" s="1"/>
  <c r="CK152" i="4"/>
  <c r="CL152" i="4" s="1"/>
  <c r="CM152" i="4" l="1"/>
  <c r="CN152" i="4" s="1"/>
  <c r="F171" i="4" s="1"/>
  <c r="CP152" i="4"/>
  <c r="CG153" i="4"/>
  <c r="BR153" i="4"/>
  <c r="BV153" i="4" s="1"/>
  <c r="BX153" i="4" s="1"/>
  <c r="CQ152" i="4" l="1"/>
  <c r="G171" i="4" s="1"/>
  <c r="BY153" i="4"/>
  <c r="CO153" i="4" s="1"/>
  <c r="CK153" i="4"/>
  <c r="CL153" i="4" s="1"/>
  <c r="CH153" i="4"/>
  <c r="CI153" i="4" s="1"/>
  <c r="CJ153" i="4" s="1"/>
  <c r="CF154" i="4" s="1"/>
  <c r="CG154" i="4" l="1"/>
  <c r="CM153" i="4"/>
  <c r="CN153" i="4" s="1"/>
  <c r="F172" i="4" s="1"/>
  <c r="CP153" i="4"/>
  <c r="BR154" i="4"/>
  <c r="BV154" i="4" s="1"/>
  <c r="BX154" i="4" s="1"/>
  <c r="CQ153" i="4" l="1"/>
  <c r="G172" i="4" s="1"/>
  <c r="BY154" i="4"/>
  <c r="CO154" i="4" s="1"/>
  <c r="CK154" i="4"/>
  <c r="CL154" i="4" s="1"/>
  <c r="CH154" i="4"/>
  <c r="CI154" i="4" s="1"/>
  <c r="CJ154" i="4" s="1"/>
  <c r="CF155" i="4" s="1"/>
  <c r="BR155" i="4" l="1"/>
  <c r="BV155" i="4" s="1"/>
  <c r="BX155" i="4" s="1"/>
  <c r="CM154" i="4"/>
  <c r="CN154" i="4" s="1"/>
  <c r="F173" i="4" s="1"/>
  <c r="CP154" i="4"/>
  <c r="CG155" i="4"/>
  <c r="CQ154" i="4" l="1"/>
  <c r="G173" i="4" s="1"/>
  <c r="CH155" i="4"/>
  <c r="CI155" i="4" s="1"/>
  <c r="CJ155" i="4" s="1"/>
  <c r="CF156" i="4" s="1"/>
  <c r="BY155" i="4"/>
  <c r="CO155" i="4" s="1"/>
  <c r="CK155" i="4"/>
  <c r="CL155" i="4" s="1"/>
  <c r="CM155" i="4" l="1"/>
  <c r="CN155" i="4" s="1"/>
  <c r="F174" i="4" s="1"/>
  <c r="CP155" i="4"/>
  <c r="CG156" i="4"/>
  <c r="CH156" i="4" s="1"/>
  <c r="CI156" i="4" s="1"/>
  <c r="CJ156" i="4" s="1"/>
  <c r="CF157" i="4" s="1"/>
  <c r="BR156" i="4"/>
  <c r="BV156" i="4" s="1"/>
  <c r="BX156" i="4" s="1"/>
  <c r="CQ155" i="4" l="1"/>
  <c r="G174" i="4" s="1"/>
  <c r="CG157" i="4"/>
  <c r="BY156" i="4"/>
  <c r="CO156" i="4" s="1"/>
  <c r="CK156" i="4"/>
  <c r="CL156" i="4" s="1"/>
  <c r="BR157" i="4"/>
  <c r="BV157" i="4" s="1"/>
  <c r="BX157" i="4" s="1"/>
  <c r="CM156" i="4" l="1"/>
  <c r="CN156" i="4" s="1"/>
  <c r="F175" i="4" s="1"/>
  <c r="CP156" i="4"/>
  <c r="BY157" i="4"/>
  <c r="CO157" i="4" s="1"/>
  <c r="CK157" i="4"/>
  <c r="CL157" i="4" s="1"/>
  <c r="CH157" i="4"/>
  <c r="CI157" i="4" s="1"/>
  <c r="CJ157" i="4" s="1"/>
  <c r="CF158" i="4" s="1"/>
  <c r="CQ156" i="4" l="1"/>
  <c r="G175" i="4" s="1"/>
  <c r="CG158" i="4"/>
  <c r="BR158" i="4"/>
  <c r="BV158" i="4" s="1"/>
  <c r="BX158" i="4" s="1"/>
  <c r="CM157" i="4"/>
  <c r="CN157" i="4" s="1"/>
  <c r="F176" i="4" s="1"/>
  <c r="CP157" i="4"/>
  <c r="CQ157" i="4" l="1"/>
  <c r="G176" i="4" s="1"/>
  <c r="BY158" i="4"/>
  <c r="CO158" i="4" s="1"/>
  <c r="CK158" i="4"/>
  <c r="CL158" i="4" s="1"/>
  <c r="CH158" i="4"/>
  <c r="CI158" i="4" s="1"/>
  <c r="CJ158" i="4" s="1"/>
  <c r="CF159" i="4" s="1"/>
  <c r="BR159" i="4" l="1"/>
  <c r="BV159" i="4" s="1"/>
  <c r="BX159" i="4" s="1"/>
  <c r="CM158" i="4"/>
  <c r="CN158" i="4" s="1"/>
  <c r="F177" i="4" s="1"/>
  <c r="CP158" i="4"/>
  <c r="CG159" i="4"/>
  <c r="CQ158" i="4" l="1"/>
  <c r="G177" i="4" s="1"/>
  <c r="CH159" i="4"/>
  <c r="CI159" i="4" s="1"/>
  <c r="CJ159" i="4" s="1"/>
  <c r="CF160" i="4" s="1"/>
  <c r="BY159" i="4"/>
  <c r="CO159" i="4" s="1"/>
  <c r="CK159" i="4"/>
  <c r="CL159" i="4" s="1"/>
  <c r="CM159" i="4" l="1"/>
  <c r="CN159" i="4" s="1"/>
  <c r="F178" i="4" s="1"/>
  <c r="CP159" i="4"/>
  <c r="CG160" i="4"/>
  <c r="CH160" i="4" s="1"/>
  <c r="CI160" i="4" s="1"/>
  <c r="CJ160" i="4" s="1"/>
  <c r="CF161" i="4" s="1"/>
  <c r="BR160" i="4"/>
  <c r="BV160" i="4" s="1"/>
  <c r="BX160" i="4" s="1"/>
  <c r="CQ159" i="4" l="1"/>
  <c r="G178" i="4" s="1"/>
  <c r="CG161" i="4"/>
  <c r="BR161" i="4"/>
  <c r="BV161" i="4" s="1"/>
  <c r="BX161" i="4" s="1"/>
  <c r="BY160" i="4"/>
  <c r="CO160" i="4" s="1"/>
  <c r="CK160" i="4"/>
  <c r="CL160" i="4" s="1"/>
  <c r="CM160" i="4" l="1"/>
  <c r="CN160" i="4" s="1"/>
  <c r="F179" i="4" s="1"/>
  <c r="CP160" i="4"/>
  <c r="BY161" i="4"/>
  <c r="CO161" i="4" s="1"/>
  <c r="CK161" i="4"/>
  <c r="CL161" i="4" s="1"/>
  <c r="CH161" i="4"/>
  <c r="CI161" i="4" s="1"/>
  <c r="CJ161" i="4" s="1"/>
  <c r="CQ160" i="4" l="1"/>
  <c r="G179" i="4" s="1"/>
  <c r="BR162" i="4"/>
  <c r="BV162" i="4" s="1"/>
  <c r="BX162" i="4" s="1"/>
  <c r="CM161" i="4"/>
  <c r="CN161" i="4" s="1"/>
  <c r="F180" i="4" s="1"/>
  <c r="CP161" i="4"/>
  <c r="CQ161" i="4" l="1"/>
  <c r="G180" i="4" s="1"/>
  <c r="BY162" i="4"/>
  <c r="CO162" i="4" s="1"/>
  <c r="CK162" i="4"/>
  <c r="CL162" i="4" s="1"/>
  <c r="CM162" i="4" l="1"/>
  <c r="CP162" i="4"/>
  <c r="CQ162" i="4" l="1"/>
  <c r="G181" i="4" s="1"/>
  <c r="G33" i="4"/>
  <c r="Q33" i="4" s="1"/>
  <c r="CN162" i="4"/>
  <c r="F181" i="4" l="1"/>
  <c r="F33" i="4"/>
  <c r="P33" i="4" s="1"/>
  <c r="AW150" i="4"/>
  <c r="AW144" i="4"/>
  <c r="AW138" i="4"/>
  <c r="AW132" i="4"/>
  <c r="AW120" i="4"/>
  <c r="AK151" i="4"/>
  <c r="AW114" i="4"/>
  <c r="AK139" i="4"/>
  <c r="AW102" i="4"/>
  <c r="AW96" i="4"/>
  <c r="AK127" i="4"/>
  <c r="AK121" i="4"/>
  <c r="AK115" i="4"/>
  <c r="AW78" i="4"/>
  <c r="AW72" i="4"/>
  <c r="AK103" i="4"/>
  <c r="AW66" i="4"/>
  <c r="AW60" i="4"/>
  <c r="AK91" i="4"/>
  <c r="AW48" i="4"/>
  <c r="AK79" i="4"/>
  <c r="AW42" i="4"/>
  <c r="AK77" i="4"/>
  <c r="AK76" i="4"/>
  <c r="AK75" i="4"/>
  <c r="AK74" i="4"/>
  <c r="AK73" i="4"/>
  <c r="AK72" i="4"/>
  <c r="AK71" i="4"/>
  <c r="AK70" i="4"/>
  <c r="AK68" i="4"/>
  <c r="AK69" i="4"/>
  <c r="AK67" i="4"/>
  <c r="AW31" i="4"/>
  <c r="AW32" i="4"/>
  <c r="AW30" i="4"/>
  <c r="AH31" i="4"/>
  <c r="AH32" i="4" s="1"/>
  <c r="AV30" i="4"/>
  <c r="AX30" i="4" l="1"/>
  <c r="AY30" i="4" s="1"/>
  <c r="AZ30" i="4" s="1"/>
  <c r="AL31" i="4"/>
  <c r="AN31" i="4" s="1"/>
  <c r="AO31" i="4" s="1"/>
  <c r="BE31" i="4" s="1"/>
  <c r="AH33" i="4"/>
  <c r="AI44" i="4"/>
  <c r="AL32" i="4"/>
  <c r="AN32" i="4" s="1"/>
  <c r="AI43" i="4"/>
  <c r="AV31" i="4" l="1"/>
  <c r="AX31" i="4" s="1"/>
  <c r="BA31" i="4"/>
  <c r="AJ55" i="4"/>
  <c r="AP43" i="4"/>
  <c r="AR43" i="4" s="1"/>
  <c r="AS43" i="4"/>
  <c r="AO32" i="4"/>
  <c r="BE32" i="4" s="1"/>
  <c r="AS44" i="4"/>
  <c r="AJ56" i="4"/>
  <c r="AP44" i="4"/>
  <c r="AR44" i="4" s="1"/>
  <c r="AI45" i="4"/>
  <c r="AL33" i="4"/>
  <c r="AN33" i="4" s="1"/>
  <c r="AO33" i="4" s="1"/>
  <c r="BE33" i="4" s="1"/>
  <c r="AS45" i="4" l="1"/>
  <c r="AP45" i="4"/>
  <c r="AR45" i="4" s="1"/>
  <c r="AJ57" i="4"/>
  <c r="BB31" i="4"/>
  <c r="BC31" i="4" s="1"/>
  <c r="BD31" i="4" s="1"/>
  <c r="D50" i="4" s="1"/>
  <c r="BF31" i="4"/>
  <c r="AY31" i="4"/>
  <c r="AZ31" i="4" s="1"/>
  <c r="AV32" i="4" l="1"/>
  <c r="AX32" i="4" s="1"/>
  <c r="BA32" i="4"/>
  <c r="BG31" i="4"/>
  <c r="E50" i="4" s="1"/>
  <c r="BF32" i="4" l="1"/>
  <c r="BB32" i="4"/>
  <c r="BC32" i="4" s="1"/>
  <c r="AY32" i="4"/>
  <c r="AZ32" i="4" s="1"/>
  <c r="BG32" i="4" l="1"/>
  <c r="E51" i="4" s="1"/>
  <c r="BA33" i="4"/>
  <c r="BD32" i="4"/>
  <c r="D51" i="4" s="1"/>
  <c r="BF33" i="4" l="1"/>
  <c r="BB33" i="4"/>
  <c r="BC33" i="4" s="1"/>
  <c r="BG33" i="4" l="1"/>
  <c r="E52" i="4" s="1"/>
  <c r="BD33" i="4"/>
  <c r="D52" i="4" s="1"/>
  <c r="AW36" i="4"/>
  <c r="AW35" i="4"/>
  <c r="AW38" i="4"/>
  <c r="AW33" i="4"/>
  <c r="AW37" i="4"/>
  <c r="AW39" i="4"/>
  <c r="AW34" i="4"/>
  <c r="AW40" i="4"/>
  <c r="AH34" i="4"/>
  <c r="AH35" i="4" s="1"/>
  <c r="AI47" i="4" s="1"/>
  <c r="AS47" i="4" s="1"/>
  <c r="AV33" i="4"/>
  <c r="AL34" i="4" l="1"/>
  <c r="AN34" i="4" s="1"/>
  <c r="AO34" i="4" s="1"/>
  <c r="BE34" i="4" s="1"/>
  <c r="AX33" i="4"/>
  <c r="AY33" i="4" s="1"/>
  <c r="AZ33" i="4" s="1"/>
  <c r="AV34" i="4" s="1"/>
  <c r="AX34" i="4" s="1"/>
  <c r="AY34" i="4" s="1"/>
  <c r="AZ34" i="4" s="1"/>
  <c r="AV35" i="4" s="1"/>
  <c r="AX35" i="4" s="1"/>
  <c r="AH36" i="4"/>
  <c r="AI48" i="4" s="1"/>
  <c r="AI46" i="4"/>
  <c r="AS46" i="4" s="1"/>
  <c r="AJ59" i="4"/>
  <c r="AP47" i="4"/>
  <c r="AR47" i="4" s="1"/>
  <c r="AL35" i="4"/>
  <c r="AN35" i="4" s="1"/>
  <c r="BA34" i="4" l="1"/>
  <c r="BF34" i="4" s="1"/>
  <c r="BA35" i="4"/>
  <c r="BB35" i="4" s="1"/>
  <c r="AJ58" i="4"/>
  <c r="AP46" i="4"/>
  <c r="AR46" i="4" s="1"/>
  <c r="AH37" i="4"/>
  <c r="AL36" i="4"/>
  <c r="AN36" i="4" s="1"/>
  <c r="AO36" i="4" s="1"/>
  <c r="BE36" i="4" s="1"/>
  <c r="AY35" i="4"/>
  <c r="AZ35" i="4" s="1"/>
  <c r="BB34" i="4"/>
  <c r="BC34" i="4" s="1"/>
  <c r="BD34" i="4" s="1"/>
  <c r="D53" i="4" s="1"/>
  <c r="AO35" i="4"/>
  <c r="BE35" i="4" s="1"/>
  <c r="AS48" i="4"/>
  <c r="AJ60" i="4"/>
  <c r="AP48" i="4"/>
  <c r="AR48" i="4" s="1"/>
  <c r="BF35" i="4" l="1"/>
  <c r="AH38" i="4"/>
  <c r="AL37" i="4"/>
  <c r="AN37" i="4" s="1"/>
  <c r="AO37" i="4" s="1"/>
  <c r="BE37" i="4" s="1"/>
  <c r="AI49" i="4"/>
  <c r="BG34" i="4"/>
  <c r="E53" i="4" s="1"/>
  <c r="BC35" i="4"/>
  <c r="AV36" i="4"/>
  <c r="AX36" i="4" s="1"/>
  <c r="BA36" i="4"/>
  <c r="AP49" i="4" l="1"/>
  <c r="AR49" i="4" s="1"/>
  <c r="AS49" i="4"/>
  <c r="AJ61" i="4"/>
  <c r="AI50" i="4"/>
  <c r="AH39" i="4"/>
  <c r="AL38" i="4"/>
  <c r="AN38" i="4" s="1"/>
  <c r="AO38" i="4" s="1"/>
  <c r="BE38" i="4" s="1"/>
  <c r="BD35" i="4"/>
  <c r="D54" i="4" s="1"/>
  <c r="BG35" i="4"/>
  <c r="E54" i="4" s="1"/>
  <c r="BF36" i="4"/>
  <c r="BB36" i="4"/>
  <c r="BC36" i="4" s="1"/>
  <c r="BD36" i="4" s="1"/>
  <c r="D55" i="4" s="1"/>
  <c r="AY36" i="4"/>
  <c r="AZ36" i="4" s="1"/>
  <c r="AH40" i="4" l="1"/>
  <c r="AL39" i="4"/>
  <c r="AN39" i="4" s="1"/>
  <c r="AO39" i="4" s="1"/>
  <c r="BE39" i="4" s="1"/>
  <c r="AI51" i="4"/>
  <c r="AJ62" i="4"/>
  <c r="AS50" i="4"/>
  <c r="AP50" i="4"/>
  <c r="AR50" i="4" s="1"/>
  <c r="AV37" i="4"/>
  <c r="AX37" i="4" s="1"/>
  <c r="BA37" i="4"/>
  <c r="BG36" i="4"/>
  <c r="E55" i="4" s="1"/>
  <c r="AS51" i="4" l="1"/>
  <c r="AP51" i="4"/>
  <c r="AR51" i="4" s="1"/>
  <c r="AJ63" i="4"/>
  <c r="AL40" i="4"/>
  <c r="AN40" i="4" s="1"/>
  <c r="AO40" i="4" s="1"/>
  <c r="BE40" i="4" s="1"/>
  <c r="AI52" i="4"/>
  <c r="AH41" i="4"/>
  <c r="BB37" i="4"/>
  <c r="BC37" i="4" s="1"/>
  <c r="BF37" i="4"/>
  <c r="AY37" i="4"/>
  <c r="AZ37" i="4" s="1"/>
  <c r="BG37" i="4" l="1"/>
  <c r="E56" i="4" s="1"/>
  <c r="AL41" i="4"/>
  <c r="AN41" i="4" s="1"/>
  <c r="AO41" i="4" s="1"/>
  <c r="BE41" i="4" s="1"/>
  <c r="AI53" i="4"/>
  <c r="AH42" i="4"/>
  <c r="AP52" i="4"/>
  <c r="AR52" i="4" s="1"/>
  <c r="AS52" i="4"/>
  <c r="AJ64" i="4"/>
  <c r="AV38" i="4"/>
  <c r="AX38" i="4" s="1"/>
  <c r="BA38" i="4"/>
  <c r="BD37" i="4"/>
  <c r="D56" i="4" s="1"/>
  <c r="AI54" i="4" l="1"/>
  <c r="AH43" i="4"/>
  <c r="AL42" i="4"/>
  <c r="AN42" i="4" s="1"/>
  <c r="AU42" i="4" s="1"/>
  <c r="AJ65" i="4"/>
  <c r="AP53" i="4"/>
  <c r="AR53" i="4" s="1"/>
  <c r="AS53" i="4"/>
  <c r="BB38" i="4"/>
  <c r="BC38" i="4" s="1"/>
  <c r="BD38" i="4" s="1"/>
  <c r="D57" i="4" s="1"/>
  <c r="BF38" i="4"/>
  <c r="AY38" i="4"/>
  <c r="AZ38" i="4" s="1"/>
  <c r="AJ66" i="4" l="1"/>
  <c r="AK78" i="4" s="1"/>
  <c r="AS54" i="4"/>
  <c r="AP54" i="4"/>
  <c r="AR54" i="4" s="1"/>
  <c r="AH44" i="4"/>
  <c r="AL43" i="4"/>
  <c r="AN43" i="4" s="1"/>
  <c r="AO43" i="4" s="1"/>
  <c r="BE43" i="4" s="1"/>
  <c r="AI55" i="4"/>
  <c r="AO42" i="4"/>
  <c r="BE42" i="4" s="1"/>
  <c r="BG38" i="4"/>
  <c r="E57" i="4" s="1"/>
  <c r="AV39" i="4"/>
  <c r="AX39" i="4" s="1"/>
  <c r="BA39" i="4"/>
  <c r="AS55" i="4" l="1"/>
  <c r="AP55" i="4"/>
  <c r="AR55" i="4" s="1"/>
  <c r="AJ67" i="4"/>
  <c r="AL44" i="4"/>
  <c r="AN44" i="4" s="1"/>
  <c r="AO44" i="4" s="1"/>
  <c r="BE44" i="4" s="1"/>
  <c r="AI56" i="4"/>
  <c r="AH45" i="4"/>
  <c r="AY39" i="4"/>
  <c r="AZ39" i="4" s="1"/>
  <c r="BB39" i="4"/>
  <c r="BC39" i="4" s="1"/>
  <c r="BD39" i="4" s="1"/>
  <c r="D58" i="4" s="1"/>
  <c r="BF39" i="4"/>
  <c r="AI57" i="4" l="1"/>
  <c r="AH46" i="4"/>
  <c r="AL45" i="4"/>
  <c r="AN45" i="4" s="1"/>
  <c r="AO45" i="4" s="1"/>
  <c r="BE45" i="4" s="1"/>
  <c r="AJ68" i="4"/>
  <c r="AK80" i="4" s="1"/>
  <c r="AP56" i="4"/>
  <c r="AR56" i="4" s="1"/>
  <c r="AS56" i="4"/>
  <c r="AV40" i="4"/>
  <c r="AX40" i="4" s="1"/>
  <c r="BA40" i="4"/>
  <c r="BG39" i="4"/>
  <c r="E58" i="4" s="1"/>
  <c r="AL46" i="4" l="1"/>
  <c r="AN46" i="4" s="1"/>
  <c r="AO46" i="4" s="1"/>
  <c r="BE46" i="4" s="1"/>
  <c r="AI58" i="4"/>
  <c r="AH47" i="4"/>
  <c r="AJ69" i="4"/>
  <c r="AK81" i="4" s="1"/>
  <c r="AS57" i="4"/>
  <c r="AP57" i="4"/>
  <c r="AR57" i="4" s="1"/>
  <c r="BB40" i="4"/>
  <c r="BC40" i="4" s="1"/>
  <c r="BD40" i="4" s="1"/>
  <c r="D59" i="4" s="1"/>
  <c r="BF40" i="4"/>
  <c r="AY40" i="4"/>
  <c r="AZ40" i="4" s="1"/>
  <c r="AP58" i="4" l="1"/>
  <c r="AR58" i="4" s="1"/>
  <c r="AJ70" i="4"/>
  <c r="AK82" i="4" s="1"/>
  <c r="AS58" i="4"/>
  <c r="AH48" i="4"/>
  <c r="AL47" i="4"/>
  <c r="AN47" i="4" s="1"/>
  <c r="AO47" i="4" s="1"/>
  <c r="BE47" i="4" s="1"/>
  <c r="AI59" i="4"/>
  <c r="AV41" i="4"/>
  <c r="AX41" i="4" s="1"/>
  <c r="BA41" i="4"/>
  <c r="BG40" i="4"/>
  <c r="E59" i="4" s="1"/>
  <c r="AH49" i="4" l="1"/>
  <c r="AI60" i="4"/>
  <c r="AL48" i="4"/>
  <c r="AN48" i="4" s="1"/>
  <c r="AO48" i="4" s="1"/>
  <c r="BE48" i="4" s="1"/>
  <c r="AP59" i="4"/>
  <c r="AR59" i="4" s="1"/>
  <c r="AS59" i="4"/>
  <c r="AJ71" i="4"/>
  <c r="AK83" i="4" s="1"/>
  <c r="BB41" i="4"/>
  <c r="BC41" i="4" s="1"/>
  <c r="BD41" i="4" s="1"/>
  <c r="D60" i="4" s="1"/>
  <c r="BF41" i="4"/>
  <c r="AY41" i="4"/>
  <c r="AZ41" i="4" s="1"/>
  <c r="BG41" i="4" l="1"/>
  <c r="E60" i="4" s="1"/>
  <c r="AJ72" i="4"/>
  <c r="AK84" i="4" s="1"/>
  <c r="AS60" i="4"/>
  <c r="AP60" i="4"/>
  <c r="AR60" i="4" s="1"/>
  <c r="AH50" i="4"/>
  <c r="AL49" i="4"/>
  <c r="AN49" i="4" s="1"/>
  <c r="AO49" i="4" s="1"/>
  <c r="BE49" i="4" s="1"/>
  <c r="AI61" i="4"/>
  <c r="AV42" i="4"/>
  <c r="AX42" i="4" s="1"/>
  <c r="BA42" i="4"/>
  <c r="AP61" i="4" l="1"/>
  <c r="AR61" i="4" s="1"/>
  <c r="AJ73" i="4"/>
  <c r="AK85" i="4" s="1"/>
  <c r="AS61" i="4"/>
  <c r="AI62" i="4"/>
  <c r="AH51" i="4"/>
  <c r="AL50" i="4"/>
  <c r="AN50" i="4" s="1"/>
  <c r="AO50" i="4" s="1"/>
  <c r="BE50" i="4" s="1"/>
  <c r="BB42" i="4"/>
  <c r="BC42" i="4" s="1"/>
  <c r="BF42" i="4"/>
  <c r="AY42" i="4"/>
  <c r="AZ42" i="4" s="1"/>
  <c r="BG42" i="4" l="1"/>
  <c r="AH52" i="4"/>
  <c r="AI63" i="4"/>
  <c r="AL51" i="4"/>
  <c r="AN51" i="4" s="1"/>
  <c r="AO51" i="4" s="1"/>
  <c r="BE51" i="4" s="1"/>
  <c r="AJ74" i="4"/>
  <c r="AK86" i="4" s="1"/>
  <c r="AS62" i="4"/>
  <c r="AP62" i="4"/>
  <c r="AR62" i="4" s="1"/>
  <c r="AV43" i="4"/>
  <c r="AX43" i="4" s="1"/>
  <c r="BA43" i="4"/>
  <c r="E23" i="4"/>
  <c r="O23" i="4" s="1"/>
  <c r="E61" i="4"/>
  <c r="BD42" i="4"/>
  <c r="AJ75" i="4" l="1"/>
  <c r="AK87" i="4" s="1"/>
  <c r="AP63" i="4"/>
  <c r="AR63" i="4" s="1"/>
  <c r="AS63" i="4"/>
  <c r="AL52" i="4"/>
  <c r="AN52" i="4" s="1"/>
  <c r="AO52" i="4" s="1"/>
  <c r="BE52" i="4" s="1"/>
  <c r="AH53" i="4"/>
  <c r="AI64" i="4"/>
  <c r="D23" i="4"/>
  <c r="N23" i="4" s="1"/>
  <c r="D61" i="4"/>
  <c r="BB43" i="4"/>
  <c r="BC43" i="4" s="1"/>
  <c r="BD43" i="4" s="1"/>
  <c r="D62" i="4" s="1"/>
  <c r="BF43" i="4"/>
  <c r="AY43" i="4"/>
  <c r="AZ43" i="4" s="1"/>
  <c r="AL53" i="4" l="1"/>
  <c r="AN53" i="4" s="1"/>
  <c r="AO53" i="4" s="1"/>
  <c r="BE53" i="4" s="1"/>
  <c r="AH54" i="4"/>
  <c r="AI65" i="4"/>
  <c r="AS64" i="4"/>
  <c r="AP64" i="4"/>
  <c r="AR64" i="4" s="1"/>
  <c r="AJ76" i="4"/>
  <c r="AK88" i="4" s="1"/>
  <c r="BG43" i="4"/>
  <c r="E62" i="4" s="1"/>
  <c r="AV44" i="4"/>
  <c r="AX44" i="4" s="1"/>
  <c r="BA44" i="4"/>
  <c r="AI66" i="4" l="1"/>
  <c r="AL54" i="4"/>
  <c r="AN54" i="4" s="1"/>
  <c r="AU54" i="4" s="1"/>
  <c r="AS65" i="4"/>
  <c r="AJ77" i="4"/>
  <c r="AK89" i="4" s="1"/>
  <c r="AP65" i="4"/>
  <c r="AR65" i="4" s="1"/>
  <c r="BF44" i="4"/>
  <c r="BB44" i="4"/>
  <c r="BC44" i="4" s="1"/>
  <c r="BD44" i="4" s="1"/>
  <c r="D63" i="4" s="1"/>
  <c r="AY44" i="4"/>
  <c r="AZ44" i="4" s="1"/>
  <c r="AO54" i="4" l="1"/>
  <c r="BE54" i="4" s="1"/>
  <c r="AJ78" i="4"/>
  <c r="AK90" i="4" s="1"/>
  <c r="AP66" i="4"/>
  <c r="AR66" i="4" s="1"/>
  <c r="AS66" i="4"/>
  <c r="AV45" i="4"/>
  <c r="AX45" i="4" s="1"/>
  <c r="BA45" i="4"/>
  <c r="BG44" i="4"/>
  <c r="E63" i="4" s="1"/>
  <c r="BB45" i="4" l="1"/>
  <c r="BC45" i="4" s="1"/>
  <c r="BD45" i="4" s="1"/>
  <c r="D64" i="4" s="1"/>
  <c r="BF45" i="4"/>
  <c r="AY45" i="4"/>
  <c r="AZ45" i="4" s="1"/>
  <c r="BG45" i="4" l="1"/>
  <c r="E64" i="4" s="1"/>
  <c r="AV46" i="4"/>
  <c r="AX46" i="4" s="1"/>
  <c r="BA46" i="4"/>
  <c r="BB46" i="4" l="1"/>
  <c r="BC46" i="4" s="1"/>
  <c r="BD46" i="4" s="1"/>
  <c r="D65" i="4" s="1"/>
  <c r="BF46" i="4"/>
  <c r="AY46" i="4"/>
  <c r="AZ46" i="4" s="1"/>
  <c r="BG46" i="4" l="1"/>
  <c r="E65" i="4" s="1"/>
  <c r="AV47" i="4"/>
  <c r="AX47" i="4" s="1"/>
  <c r="BA47" i="4"/>
  <c r="BB47" i="4" l="1"/>
  <c r="BC47" i="4" s="1"/>
  <c r="BD47" i="4" s="1"/>
  <c r="D66" i="4" s="1"/>
  <c r="BF47" i="4"/>
  <c r="AY47" i="4"/>
  <c r="AZ47" i="4" s="1"/>
  <c r="BG47" i="4" l="1"/>
  <c r="E66" i="4" s="1"/>
  <c r="AV48" i="4"/>
  <c r="AX48" i="4" s="1"/>
  <c r="BA48" i="4"/>
  <c r="BB48" i="4" l="1"/>
  <c r="BC48" i="4" s="1"/>
  <c r="BD48" i="4" s="1"/>
  <c r="D67" i="4" s="1"/>
  <c r="BF48" i="4"/>
  <c r="AY48" i="4"/>
  <c r="AZ48" i="4" s="1"/>
  <c r="BG48" i="4" l="1"/>
  <c r="E67" i="4" s="1"/>
  <c r="AV49" i="4"/>
  <c r="AX49" i="4" s="1"/>
  <c r="BA49" i="4"/>
  <c r="BB49" i="4" l="1"/>
  <c r="BC49" i="4" s="1"/>
  <c r="BD49" i="4" s="1"/>
  <c r="D68" i="4" s="1"/>
  <c r="BF49" i="4"/>
  <c r="AY49" i="4"/>
  <c r="AZ49" i="4" s="1"/>
  <c r="AV50" i="4" l="1"/>
  <c r="AX50" i="4" s="1"/>
  <c r="BA50" i="4"/>
  <c r="BG49" i="4"/>
  <c r="E68" i="4" s="1"/>
  <c r="BB50" i="4" l="1"/>
  <c r="BC50" i="4" s="1"/>
  <c r="BD50" i="4" s="1"/>
  <c r="D69" i="4" s="1"/>
  <c r="BF50" i="4"/>
  <c r="AY50" i="4"/>
  <c r="AZ50" i="4" s="1"/>
  <c r="AV51" i="4" l="1"/>
  <c r="AX51" i="4" s="1"/>
  <c r="BA51" i="4"/>
  <c r="BG50" i="4"/>
  <c r="E69" i="4" s="1"/>
  <c r="BF51" i="4" l="1"/>
  <c r="BB51" i="4"/>
  <c r="BC51" i="4" s="1"/>
  <c r="BD51" i="4" s="1"/>
  <c r="D70" i="4" s="1"/>
  <c r="AY51" i="4"/>
  <c r="AZ51" i="4" s="1"/>
  <c r="AV52" i="4" l="1"/>
  <c r="AX52" i="4" s="1"/>
  <c r="BA52" i="4"/>
  <c r="BG51" i="4"/>
  <c r="E70" i="4" s="1"/>
  <c r="BB52" i="4" l="1"/>
  <c r="BC52" i="4" s="1"/>
  <c r="BD52" i="4" s="1"/>
  <c r="D71" i="4" s="1"/>
  <c r="BF52" i="4"/>
  <c r="AY52" i="4"/>
  <c r="AZ52" i="4" s="1"/>
  <c r="AV53" i="4" l="1"/>
  <c r="AX53" i="4" s="1"/>
  <c r="BA53" i="4"/>
  <c r="BG52" i="4"/>
  <c r="E71" i="4" s="1"/>
  <c r="BB53" i="4" l="1"/>
  <c r="BC53" i="4" s="1"/>
  <c r="BD53" i="4" s="1"/>
  <c r="D72" i="4" s="1"/>
  <c r="BF53" i="4"/>
  <c r="AY53" i="4"/>
  <c r="AZ53" i="4" s="1"/>
  <c r="BG53" i="4" l="1"/>
  <c r="E72" i="4" s="1"/>
  <c r="AV54" i="4"/>
  <c r="BA54" i="4"/>
  <c r="AW54" i="4" l="1"/>
  <c r="BB54" i="4"/>
  <c r="BC54" i="4" s="1"/>
  <c r="BD54" i="4" s="1"/>
  <c r="BF54" i="4"/>
  <c r="AX54" i="4" l="1"/>
  <c r="D73" i="4"/>
  <c r="D24" i="4"/>
  <c r="N24" i="4" s="1"/>
  <c r="BG54" i="4"/>
  <c r="AY54" i="4" l="1"/>
  <c r="AH55" i="4" s="1"/>
  <c r="E24" i="4"/>
  <c r="O24" i="4" s="1"/>
  <c r="E73" i="4"/>
  <c r="AZ54" i="4" l="1"/>
  <c r="AV55" i="4" s="1"/>
  <c r="AX55" i="4" s="1"/>
  <c r="AY55" i="4" s="1"/>
  <c r="AZ55" i="4" s="1"/>
  <c r="AV56" i="4" s="1"/>
  <c r="AX56" i="4" s="1"/>
  <c r="AL55" i="4"/>
  <c r="AN55" i="4" s="1"/>
  <c r="AH56" i="4"/>
  <c r="AI67" i="4"/>
  <c r="AP67" i="4" l="1"/>
  <c r="AR67" i="4" s="1"/>
  <c r="AS67" i="4"/>
  <c r="AJ79" i="4"/>
  <c r="AH57" i="4"/>
  <c r="AI68" i="4"/>
  <c r="AL56" i="4"/>
  <c r="AN56" i="4" s="1"/>
  <c r="BA56" i="4" s="1"/>
  <c r="BB56" i="4" s="1"/>
  <c r="AO55" i="4"/>
  <c r="BE55" i="4" s="1"/>
  <c r="BA55" i="4"/>
  <c r="AY56" i="4"/>
  <c r="AZ56" i="4" s="1"/>
  <c r="AO56" i="4" l="1"/>
  <c r="BE56" i="4" s="1"/>
  <c r="BF56" i="4" s="1"/>
  <c r="BB55" i="4"/>
  <c r="BC55" i="4" s="1"/>
  <c r="BD55" i="4" s="1"/>
  <c r="D74" i="4" s="1"/>
  <c r="BF55" i="4"/>
  <c r="AH58" i="4"/>
  <c r="AL57" i="4"/>
  <c r="AN57" i="4" s="1"/>
  <c r="BA57" i="4" s="1"/>
  <c r="AI69" i="4"/>
  <c r="AP68" i="4"/>
  <c r="AR68" i="4" s="1"/>
  <c r="AS68" i="4"/>
  <c r="AJ80" i="4"/>
  <c r="AK92" i="4" s="1"/>
  <c r="AV57" i="4"/>
  <c r="AX57" i="4" s="1"/>
  <c r="BC56" i="4" l="1"/>
  <c r="BD56" i="4" s="1"/>
  <c r="D75" i="4" s="1"/>
  <c r="AO57" i="4"/>
  <c r="BE57" i="4" s="1"/>
  <c r="BF57" i="4" s="1"/>
  <c r="BG55" i="4"/>
  <c r="E74" i="4" s="1"/>
  <c r="AS69" i="4"/>
  <c r="AP69" i="4"/>
  <c r="AR69" i="4" s="1"/>
  <c r="AJ81" i="4"/>
  <c r="AK93" i="4" s="1"/>
  <c r="AL58" i="4"/>
  <c r="AN58" i="4" s="1"/>
  <c r="AO58" i="4" s="1"/>
  <c r="BE58" i="4" s="1"/>
  <c r="AI70" i="4"/>
  <c r="AH59" i="4"/>
  <c r="BG56" i="4"/>
  <c r="E75" i="4" s="1"/>
  <c r="BB57" i="4"/>
  <c r="BC57" i="4" s="1"/>
  <c r="AY57" i="4"/>
  <c r="AZ57" i="4" s="1"/>
  <c r="BG57" i="4" l="1"/>
  <c r="E76" i="4" s="1"/>
  <c r="AJ82" i="4"/>
  <c r="AK94" i="4" s="1"/>
  <c r="AS70" i="4"/>
  <c r="AP70" i="4"/>
  <c r="AR70" i="4" s="1"/>
  <c r="AH60" i="4"/>
  <c r="AL59" i="4"/>
  <c r="AN59" i="4" s="1"/>
  <c r="AO59" i="4" s="1"/>
  <c r="BE59" i="4" s="1"/>
  <c r="AI71" i="4"/>
  <c r="AV58" i="4"/>
  <c r="AX58" i="4" s="1"/>
  <c r="BA58" i="4"/>
  <c r="BD57" i="4"/>
  <c r="D76" i="4" s="1"/>
  <c r="AL60" i="4" l="1"/>
  <c r="AN60" i="4" s="1"/>
  <c r="AO60" i="4" s="1"/>
  <c r="BE60" i="4" s="1"/>
  <c r="AI72" i="4"/>
  <c r="AH61" i="4"/>
  <c r="AS71" i="4"/>
  <c r="AP71" i="4"/>
  <c r="AR71" i="4" s="1"/>
  <c r="AJ83" i="4"/>
  <c r="AK95" i="4" s="1"/>
  <c r="BB58" i="4"/>
  <c r="BC58" i="4" s="1"/>
  <c r="BF58" i="4"/>
  <c r="AY58" i="4"/>
  <c r="AZ58" i="4" s="1"/>
  <c r="BG58" i="4" l="1"/>
  <c r="E77" i="4" s="1"/>
  <c r="BD58" i="4"/>
  <c r="D77" i="4" s="1"/>
  <c r="AP72" i="4"/>
  <c r="AR72" i="4" s="1"/>
  <c r="AJ84" i="4"/>
  <c r="AK96" i="4" s="1"/>
  <c r="AS72" i="4"/>
  <c r="AH62" i="4"/>
  <c r="AL61" i="4"/>
  <c r="AN61" i="4" s="1"/>
  <c r="AO61" i="4" s="1"/>
  <c r="BE61" i="4" s="1"/>
  <c r="AI73" i="4"/>
  <c r="AV59" i="4"/>
  <c r="AX59" i="4" s="1"/>
  <c r="BA59" i="4"/>
  <c r="AJ85" i="4" l="1"/>
  <c r="AK97" i="4" s="1"/>
  <c r="AS73" i="4"/>
  <c r="AP73" i="4"/>
  <c r="AR73" i="4" s="1"/>
  <c r="AI74" i="4"/>
  <c r="AL62" i="4"/>
  <c r="AN62" i="4" s="1"/>
  <c r="AO62" i="4" s="1"/>
  <c r="BE62" i="4" s="1"/>
  <c r="AH63" i="4"/>
  <c r="BB59" i="4"/>
  <c r="BC59" i="4" s="1"/>
  <c r="BD59" i="4" s="1"/>
  <c r="D78" i="4" s="1"/>
  <c r="BF59" i="4"/>
  <c r="AY59" i="4"/>
  <c r="AZ59" i="4" s="1"/>
  <c r="BG59" i="4" l="1"/>
  <c r="E78" i="4" s="1"/>
  <c r="AJ86" i="4"/>
  <c r="AK98" i="4" s="1"/>
  <c r="AP74" i="4"/>
  <c r="AR74" i="4" s="1"/>
  <c r="AS74" i="4"/>
  <c r="AI75" i="4"/>
  <c r="AH64" i="4"/>
  <c r="AL63" i="4"/>
  <c r="AN63" i="4" s="1"/>
  <c r="AO63" i="4" s="1"/>
  <c r="BE63" i="4" s="1"/>
  <c r="AV60" i="4"/>
  <c r="AX60" i="4" s="1"/>
  <c r="BA60" i="4"/>
  <c r="AH65" i="4" l="1"/>
  <c r="AL64" i="4"/>
  <c r="AN64" i="4" s="1"/>
  <c r="AO64" i="4" s="1"/>
  <c r="BE64" i="4" s="1"/>
  <c r="AI76" i="4"/>
  <c r="AP75" i="4"/>
  <c r="AR75" i="4" s="1"/>
  <c r="AJ87" i="4"/>
  <c r="AK99" i="4" s="1"/>
  <c r="AS75" i="4"/>
  <c r="BB60" i="4"/>
  <c r="BC60" i="4" s="1"/>
  <c r="BF60" i="4"/>
  <c r="AY60" i="4"/>
  <c r="AZ60" i="4" s="1"/>
  <c r="AJ88" i="4" l="1"/>
  <c r="AK100" i="4" s="1"/>
  <c r="AS76" i="4"/>
  <c r="AP76" i="4"/>
  <c r="AR76" i="4" s="1"/>
  <c r="BG60" i="4"/>
  <c r="E79" i="4" s="1"/>
  <c r="AH66" i="4"/>
  <c r="AI77" i="4"/>
  <c r="AL65" i="4"/>
  <c r="AN65" i="4" s="1"/>
  <c r="AO65" i="4" s="1"/>
  <c r="BE65" i="4" s="1"/>
  <c r="BD60" i="4"/>
  <c r="D79" i="4" s="1"/>
  <c r="AV61" i="4"/>
  <c r="AX61" i="4" s="1"/>
  <c r="BA61" i="4"/>
  <c r="AI78" i="4" l="1"/>
  <c r="AL66" i="4"/>
  <c r="AN66" i="4" s="1"/>
  <c r="AH67" i="4"/>
  <c r="AJ89" i="4"/>
  <c r="AK101" i="4" s="1"/>
  <c r="AP77" i="4"/>
  <c r="AR77" i="4" s="1"/>
  <c r="AS77" i="4"/>
  <c r="BF61" i="4"/>
  <c r="BB61" i="4"/>
  <c r="BC61" i="4" s="1"/>
  <c r="BD61" i="4" s="1"/>
  <c r="D80" i="4" s="1"/>
  <c r="AY61" i="4"/>
  <c r="AZ61" i="4" s="1"/>
  <c r="AO66" i="4" l="1"/>
  <c r="BE66" i="4" s="1"/>
  <c r="AU66" i="4"/>
  <c r="AL67" i="4"/>
  <c r="AN67" i="4" s="1"/>
  <c r="AO67" i="4" s="1"/>
  <c r="BE67" i="4" s="1"/>
  <c r="AH68" i="4"/>
  <c r="AI79" i="4"/>
  <c r="AS78" i="4"/>
  <c r="AP78" i="4"/>
  <c r="AR78" i="4" s="1"/>
  <c r="AJ90" i="4"/>
  <c r="AK102" i="4" s="1"/>
  <c r="BA62" i="4"/>
  <c r="AV62" i="4"/>
  <c r="AX62" i="4" s="1"/>
  <c r="BG61" i="4"/>
  <c r="E80" i="4" s="1"/>
  <c r="AI80" i="4" l="1"/>
  <c r="AH69" i="4"/>
  <c r="AL68" i="4"/>
  <c r="AN68" i="4" s="1"/>
  <c r="AO68" i="4" s="1"/>
  <c r="BE68" i="4" s="1"/>
  <c r="AS79" i="4"/>
  <c r="AP79" i="4"/>
  <c r="AR79" i="4" s="1"/>
  <c r="AJ91" i="4"/>
  <c r="AY62" i="4"/>
  <c r="AZ62" i="4" s="1"/>
  <c r="BB62" i="4"/>
  <c r="BC62" i="4" s="1"/>
  <c r="BD62" i="4" s="1"/>
  <c r="D81" i="4" s="1"/>
  <c r="BF62" i="4"/>
  <c r="AI81" i="4" l="1"/>
  <c r="AL69" i="4"/>
  <c r="AN69" i="4" s="1"/>
  <c r="AO69" i="4" s="1"/>
  <c r="BE69" i="4" s="1"/>
  <c r="AH70" i="4"/>
  <c r="AS80" i="4"/>
  <c r="AP80" i="4"/>
  <c r="AR80" i="4" s="1"/>
  <c r="AJ92" i="4"/>
  <c r="AK104" i="4" s="1"/>
  <c r="BG62" i="4"/>
  <c r="E81" i="4" s="1"/>
  <c r="BA63" i="4"/>
  <c r="AV63" i="4"/>
  <c r="AX63" i="4" s="1"/>
  <c r="AI82" i="4" l="1"/>
  <c r="AL70" i="4"/>
  <c r="AN70" i="4" s="1"/>
  <c r="AO70" i="4" s="1"/>
  <c r="BE70" i="4" s="1"/>
  <c r="AH71" i="4"/>
  <c r="AS81" i="4"/>
  <c r="AP81" i="4"/>
  <c r="AR81" i="4" s="1"/>
  <c r="AJ93" i="4"/>
  <c r="AK105" i="4" s="1"/>
  <c r="AY63" i="4"/>
  <c r="AZ63" i="4" s="1"/>
  <c r="BB63" i="4"/>
  <c r="BC63" i="4" s="1"/>
  <c r="BF63" i="4"/>
  <c r="BG63" i="4" l="1"/>
  <c r="E82" i="4" s="1"/>
  <c r="AL71" i="4"/>
  <c r="AN71" i="4" s="1"/>
  <c r="AO71" i="4" s="1"/>
  <c r="BE71" i="4" s="1"/>
  <c r="AH72" i="4"/>
  <c r="AI83" i="4"/>
  <c r="AS82" i="4"/>
  <c r="AP82" i="4"/>
  <c r="AR82" i="4" s="1"/>
  <c r="AJ94" i="4"/>
  <c r="AK106" i="4" s="1"/>
  <c r="BD63" i="4"/>
  <c r="D82" i="4" s="1"/>
  <c r="BA64" i="4"/>
  <c r="AV64" i="4"/>
  <c r="AX64" i="4" s="1"/>
  <c r="AH73" i="4" l="1"/>
  <c r="AL72" i="4"/>
  <c r="AN72" i="4" s="1"/>
  <c r="AO72" i="4" s="1"/>
  <c r="BE72" i="4" s="1"/>
  <c r="AI84" i="4"/>
  <c r="AJ95" i="4"/>
  <c r="AK107" i="4" s="1"/>
  <c r="AP83" i="4"/>
  <c r="AR83" i="4" s="1"/>
  <c r="AS83" i="4"/>
  <c r="AY64" i="4"/>
  <c r="AZ64" i="4" s="1"/>
  <c r="BB64" i="4"/>
  <c r="BC64" i="4" s="1"/>
  <c r="BF64" i="4"/>
  <c r="BG64" i="4" l="1"/>
  <c r="E83" i="4" s="1"/>
  <c r="AJ96" i="4"/>
  <c r="AK108" i="4" s="1"/>
  <c r="AS84" i="4"/>
  <c r="AP84" i="4"/>
  <c r="AR84" i="4" s="1"/>
  <c r="AI85" i="4"/>
  <c r="AL73" i="4"/>
  <c r="AN73" i="4" s="1"/>
  <c r="AO73" i="4" s="1"/>
  <c r="BE73" i="4" s="1"/>
  <c r="AH74" i="4"/>
  <c r="BA65" i="4"/>
  <c r="AV65" i="4"/>
  <c r="AX65" i="4" s="1"/>
  <c r="BD64" i="4"/>
  <c r="D83" i="4" s="1"/>
  <c r="AI86" i="4" l="1"/>
  <c r="AH75" i="4"/>
  <c r="AL74" i="4"/>
  <c r="AN74" i="4" s="1"/>
  <c r="AO74" i="4" s="1"/>
  <c r="BE74" i="4" s="1"/>
  <c r="AJ97" i="4"/>
  <c r="AK109" i="4" s="1"/>
  <c r="AP85" i="4"/>
  <c r="AR85" i="4" s="1"/>
  <c r="AS85" i="4"/>
  <c r="AY65" i="4"/>
  <c r="AZ65" i="4" s="1"/>
  <c r="BB65" i="4"/>
  <c r="BC65" i="4" s="1"/>
  <c r="BF65" i="4"/>
  <c r="BG65" i="4" l="1"/>
  <c r="E84" i="4" s="1"/>
  <c r="BD65" i="4"/>
  <c r="D84" i="4" s="1"/>
  <c r="AL75" i="4"/>
  <c r="AN75" i="4" s="1"/>
  <c r="AO75" i="4" s="1"/>
  <c r="BE75" i="4" s="1"/>
  <c r="AH76" i="4"/>
  <c r="AI87" i="4"/>
  <c r="AS86" i="4"/>
  <c r="AJ98" i="4"/>
  <c r="AK110" i="4" s="1"/>
  <c r="AP86" i="4"/>
  <c r="AR86" i="4" s="1"/>
  <c r="AV66" i="4"/>
  <c r="AX66" i="4" s="1"/>
  <c r="BA66" i="4"/>
  <c r="AL76" i="4" l="1"/>
  <c r="AN76" i="4" s="1"/>
  <c r="AO76" i="4" s="1"/>
  <c r="BE76" i="4" s="1"/>
  <c r="AI88" i="4"/>
  <c r="AH77" i="4"/>
  <c r="AS87" i="4"/>
  <c r="AP87" i="4"/>
  <c r="AR87" i="4" s="1"/>
  <c r="AJ99" i="4"/>
  <c r="AK111" i="4" s="1"/>
  <c r="BF66" i="4"/>
  <c r="BB66" i="4"/>
  <c r="BC66" i="4" s="1"/>
  <c r="AY66" i="4"/>
  <c r="AZ66" i="4" s="1"/>
  <c r="BG66" i="4" l="1"/>
  <c r="E85" i="4" s="1"/>
  <c r="AS88" i="4"/>
  <c r="AJ100" i="4"/>
  <c r="AK112" i="4" s="1"/>
  <c r="AP88" i="4"/>
  <c r="AR88" i="4" s="1"/>
  <c r="AL77" i="4"/>
  <c r="AN77" i="4" s="1"/>
  <c r="AO77" i="4" s="1"/>
  <c r="BE77" i="4" s="1"/>
  <c r="AH78" i="4"/>
  <c r="AI89" i="4"/>
  <c r="E25" i="4"/>
  <c r="O25" i="4" s="1"/>
  <c r="BA67" i="4"/>
  <c r="AV67" i="4"/>
  <c r="AX67" i="4" s="1"/>
  <c r="BD66" i="4"/>
  <c r="AP89" i="4" l="1"/>
  <c r="AR89" i="4" s="1"/>
  <c r="AS89" i="4"/>
  <c r="AJ101" i="4"/>
  <c r="AK113" i="4" s="1"/>
  <c r="AL78" i="4"/>
  <c r="AN78" i="4" s="1"/>
  <c r="AI90" i="4"/>
  <c r="AH79" i="4"/>
  <c r="D85" i="4"/>
  <c r="D25" i="4"/>
  <c r="N25" i="4" s="1"/>
  <c r="AY67" i="4"/>
  <c r="AZ67" i="4" s="1"/>
  <c r="BB67" i="4"/>
  <c r="BC67" i="4" s="1"/>
  <c r="BF67" i="4"/>
  <c r="BG67" i="4" l="1"/>
  <c r="E86" i="4" s="1"/>
  <c r="AO78" i="4"/>
  <c r="BE78" i="4" s="1"/>
  <c r="AU78" i="4"/>
  <c r="AL79" i="4"/>
  <c r="AN79" i="4" s="1"/>
  <c r="AO79" i="4" s="1"/>
  <c r="BE79" i="4" s="1"/>
  <c r="AH80" i="4"/>
  <c r="AH81" i="4" s="1"/>
  <c r="AI91" i="4"/>
  <c r="AP90" i="4"/>
  <c r="AR90" i="4" s="1"/>
  <c r="AJ102" i="4"/>
  <c r="AK114" i="4" s="1"/>
  <c r="AS90" i="4"/>
  <c r="BD67" i="4"/>
  <c r="D86" i="4" s="1"/>
  <c r="AV68" i="4"/>
  <c r="AX68" i="4" s="1"/>
  <c r="BA68" i="4"/>
  <c r="AL81" i="4" l="1"/>
  <c r="AN81" i="4" s="1"/>
  <c r="AO81" i="4" s="1"/>
  <c r="BE81" i="4" s="1"/>
  <c r="AH82" i="4"/>
  <c r="AI93" i="4"/>
  <c r="AL80" i="4"/>
  <c r="AN80" i="4" s="1"/>
  <c r="AO80" i="4" s="1"/>
  <c r="BE80" i="4" s="1"/>
  <c r="AI92" i="4"/>
  <c r="AS91" i="4"/>
  <c r="AP91" i="4"/>
  <c r="AR91" i="4" s="1"/>
  <c r="AJ103" i="4"/>
  <c r="BF68" i="4"/>
  <c r="BB68" i="4"/>
  <c r="BC68" i="4" s="1"/>
  <c r="BD68" i="4" s="1"/>
  <c r="D87" i="4" s="1"/>
  <c r="AY68" i="4"/>
  <c r="AZ68" i="4" s="1"/>
  <c r="AJ105" i="4" l="1"/>
  <c r="AK117" i="4" s="1"/>
  <c r="AP93" i="4"/>
  <c r="AR93" i="4" s="1"/>
  <c r="AS93" i="4"/>
  <c r="AI94" i="4"/>
  <c r="AH83" i="4"/>
  <c r="AL82" i="4"/>
  <c r="AN82" i="4" s="1"/>
  <c r="AO82" i="4" s="1"/>
  <c r="BE82" i="4" s="1"/>
  <c r="AS92" i="4"/>
  <c r="AP92" i="4"/>
  <c r="AR92" i="4" s="1"/>
  <c r="AJ104" i="4"/>
  <c r="AK116" i="4" s="1"/>
  <c r="AV69" i="4"/>
  <c r="AX69" i="4" s="1"/>
  <c r="BA69" i="4"/>
  <c r="BG68" i="4"/>
  <c r="E87" i="4" s="1"/>
  <c r="AH84" i="4" l="1"/>
  <c r="AL83" i="4"/>
  <c r="AN83" i="4" s="1"/>
  <c r="AO83" i="4" s="1"/>
  <c r="BE83" i="4" s="1"/>
  <c r="AI95" i="4"/>
  <c r="AJ106" i="4"/>
  <c r="AK118" i="4" s="1"/>
  <c r="AP94" i="4"/>
  <c r="AR94" i="4" s="1"/>
  <c r="AS94" i="4"/>
  <c r="BF69" i="4"/>
  <c r="BB69" i="4"/>
  <c r="BC69" i="4" s="1"/>
  <c r="AY69" i="4"/>
  <c r="AZ69" i="4" s="1"/>
  <c r="BG69" i="4" l="1"/>
  <c r="E88" i="4" s="1"/>
  <c r="AP95" i="4"/>
  <c r="AR95" i="4" s="1"/>
  <c r="AS95" i="4"/>
  <c r="AJ107" i="4"/>
  <c r="AK119" i="4" s="1"/>
  <c r="AI96" i="4"/>
  <c r="AL84" i="4"/>
  <c r="AN84" i="4" s="1"/>
  <c r="AO84" i="4" s="1"/>
  <c r="BE84" i="4" s="1"/>
  <c r="AH85" i="4"/>
  <c r="BA70" i="4"/>
  <c r="AV70" i="4"/>
  <c r="AX70" i="4" s="1"/>
  <c r="BD69" i="4"/>
  <c r="D88" i="4" s="1"/>
  <c r="AJ108" i="4" l="1"/>
  <c r="AK120" i="4" s="1"/>
  <c r="AS96" i="4"/>
  <c r="AP96" i="4"/>
  <c r="AR96" i="4" s="1"/>
  <c r="AI97" i="4"/>
  <c r="AL85" i="4"/>
  <c r="AN85" i="4" s="1"/>
  <c r="AO85" i="4" s="1"/>
  <c r="BE85" i="4" s="1"/>
  <c r="AH86" i="4"/>
  <c r="AY70" i="4"/>
  <c r="AZ70" i="4" s="1"/>
  <c r="BF70" i="4"/>
  <c r="BB70" i="4"/>
  <c r="BC70" i="4" s="1"/>
  <c r="BD70" i="4" s="1"/>
  <c r="D89" i="4" s="1"/>
  <c r="AJ109" i="4" l="1"/>
  <c r="AP97" i="4"/>
  <c r="AR97" i="4" s="1"/>
  <c r="AS97" i="4"/>
  <c r="AL86" i="4"/>
  <c r="AN86" i="4" s="1"/>
  <c r="AO86" i="4" s="1"/>
  <c r="BE86" i="4" s="1"/>
  <c r="AI98" i="4"/>
  <c r="AH87" i="4"/>
  <c r="BG70" i="4"/>
  <c r="E89" i="4" s="1"/>
  <c r="BA71" i="4"/>
  <c r="AV71" i="4"/>
  <c r="AX71" i="4" s="1"/>
  <c r="AJ110" i="4" l="1"/>
  <c r="AK122" i="4" s="1"/>
  <c r="AP98" i="4"/>
  <c r="AR98" i="4" s="1"/>
  <c r="AS98" i="4"/>
  <c r="AH88" i="4"/>
  <c r="AI99" i="4"/>
  <c r="AL87" i="4"/>
  <c r="AN87" i="4" s="1"/>
  <c r="AO87" i="4" s="1"/>
  <c r="BE87" i="4" s="1"/>
  <c r="AY71" i="4"/>
  <c r="AZ71" i="4" s="1"/>
  <c r="BB71" i="4"/>
  <c r="BC71" i="4" s="1"/>
  <c r="BD71" i="4" s="1"/>
  <c r="D90" i="4" s="1"/>
  <c r="BF71" i="4"/>
  <c r="AP99" i="4" l="1"/>
  <c r="AR99" i="4" s="1"/>
  <c r="AS99" i="4"/>
  <c r="AJ111" i="4"/>
  <c r="AK123" i="4" s="1"/>
  <c r="AL88" i="4"/>
  <c r="AN88" i="4" s="1"/>
  <c r="AO88" i="4" s="1"/>
  <c r="BE88" i="4" s="1"/>
  <c r="AH89" i="4"/>
  <c r="AI100" i="4"/>
  <c r="BG71" i="4"/>
  <c r="E90" i="4" s="1"/>
  <c r="BA72" i="4"/>
  <c r="AV72" i="4"/>
  <c r="AX72" i="4" s="1"/>
  <c r="AP100" i="4" l="1"/>
  <c r="AR100" i="4" s="1"/>
  <c r="AJ112" i="4"/>
  <c r="AK124" i="4" s="1"/>
  <c r="AS100" i="4"/>
  <c r="AH90" i="4"/>
  <c r="AI101" i="4"/>
  <c r="AL89" i="4"/>
  <c r="AN89" i="4" s="1"/>
  <c r="AO89" i="4" s="1"/>
  <c r="BE89" i="4" s="1"/>
  <c r="AY72" i="4"/>
  <c r="AZ72" i="4" s="1"/>
  <c r="BF72" i="4"/>
  <c r="BB72" i="4"/>
  <c r="BC72" i="4" s="1"/>
  <c r="AJ113" i="4" l="1"/>
  <c r="AK125" i="4" s="1"/>
  <c r="AP101" i="4"/>
  <c r="AR101" i="4" s="1"/>
  <c r="AS101" i="4"/>
  <c r="AL90" i="4"/>
  <c r="AN90" i="4" s="1"/>
  <c r="AI102" i="4"/>
  <c r="BG72" i="4"/>
  <c r="E91" i="4" s="1"/>
  <c r="BD72" i="4"/>
  <c r="D91" i="4" s="1"/>
  <c r="AV73" i="4"/>
  <c r="AX73" i="4" s="1"/>
  <c r="BA73" i="4"/>
  <c r="AS102" i="4" l="1"/>
  <c r="AP102" i="4"/>
  <c r="AR102" i="4" s="1"/>
  <c r="AJ114" i="4"/>
  <c r="AK126" i="4" s="1"/>
  <c r="AO90" i="4"/>
  <c r="BE90" i="4" s="1"/>
  <c r="AU90" i="4"/>
  <c r="BB73" i="4"/>
  <c r="BC73" i="4" s="1"/>
  <c r="BD73" i="4" s="1"/>
  <c r="D92" i="4" s="1"/>
  <c r="BF73" i="4"/>
  <c r="AY73" i="4"/>
  <c r="AZ73" i="4" s="1"/>
  <c r="BG73" i="4" l="1"/>
  <c r="E92" i="4" s="1"/>
  <c r="AV74" i="4"/>
  <c r="AX74" i="4" s="1"/>
  <c r="BA74" i="4"/>
  <c r="BB74" i="4" l="1"/>
  <c r="BC74" i="4" s="1"/>
  <c r="BD74" i="4" s="1"/>
  <c r="D93" i="4" s="1"/>
  <c r="BF74" i="4"/>
  <c r="AY74" i="4"/>
  <c r="AZ74" i="4" s="1"/>
  <c r="BA75" i="4" l="1"/>
  <c r="AV75" i="4"/>
  <c r="AX75" i="4" s="1"/>
  <c r="BG74" i="4"/>
  <c r="E93" i="4" s="1"/>
  <c r="AY75" i="4" l="1"/>
  <c r="AZ75" i="4" s="1"/>
  <c r="BB75" i="4"/>
  <c r="BC75" i="4" s="1"/>
  <c r="BD75" i="4" s="1"/>
  <c r="D94" i="4" s="1"/>
  <c r="BF75" i="4"/>
  <c r="BG75" i="4" l="1"/>
  <c r="E94" i="4" s="1"/>
  <c r="AV76" i="4"/>
  <c r="AX76" i="4" s="1"/>
  <c r="BA76" i="4"/>
  <c r="BF76" i="4" l="1"/>
  <c r="BB76" i="4"/>
  <c r="BC76" i="4" s="1"/>
  <c r="BD76" i="4" s="1"/>
  <c r="D95" i="4" s="1"/>
  <c r="AY76" i="4"/>
  <c r="AZ76" i="4" s="1"/>
  <c r="AV77" i="4" l="1"/>
  <c r="AX77" i="4" s="1"/>
  <c r="BA77" i="4"/>
  <c r="BG76" i="4"/>
  <c r="E95" i="4" s="1"/>
  <c r="BB77" i="4" l="1"/>
  <c r="BC77" i="4" s="1"/>
  <c r="BD77" i="4" s="1"/>
  <c r="D96" i="4" s="1"/>
  <c r="BF77" i="4"/>
  <c r="AY77" i="4"/>
  <c r="AZ77" i="4" s="1"/>
  <c r="BA78" i="4" l="1"/>
  <c r="AV78" i="4"/>
  <c r="AX78" i="4" s="1"/>
  <c r="BG77" i="4"/>
  <c r="E96" i="4" s="1"/>
  <c r="AY78" i="4" l="1"/>
  <c r="AZ78" i="4" s="1"/>
  <c r="BB78" i="4"/>
  <c r="BC78" i="4" s="1"/>
  <c r="BD78" i="4" s="1"/>
  <c r="BF78" i="4"/>
  <c r="D26" i="4" l="1"/>
  <c r="N26" i="4" s="1"/>
  <c r="D97" i="4"/>
  <c r="BG78" i="4"/>
  <c r="BA79" i="4"/>
  <c r="AV79" i="4"/>
  <c r="AX79" i="4" s="1"/>
  <c r="AY79" i="4" l="1"/>
  <c r="AZ79" i="4" s="1"/>
  <c r="BF79" i="4"/>
  <c r="BB79" i="4"/>
  <c r="BC79" i="4" s="1"/>
  <c r="E26" i="4"/>
  <c r="O26" i="4" s="1"/>
  <c r="E97" i="4"/>
  <c r="BG79" i="4" l="1"/>
  <c r="E98" i="4" s="1"/>
  <c r="BD79" i="4"/>
  <c r="D98" i="4" s="1"/>
  <c r="AV80" i="4"/>
  <c r="AX80" i="4" s="1"/>
  <c r="BA80" i="4"/>
  <c r="BB80" i="4" l="1"/>
  <c r="BC80" i="4" s="1"/>
  <c r="BF80" i="4"/>
  <c r="AY80" i="4"/>
  <c r="AZ80" i="4" s="1"/>
  <c r="BG80" i="4" l="1"/>
  <c r="E99" i="4" s="1"/>
  <c r="BA81" i="4"/>
  <c r="AV81" i="4"/>
  <c r="AX81" i="4" s="1"/>
  <c r="BD80" i="4"/>
  <c r="D99" i="4" s="1"/>
  <c r="AY81" i="4" l="1"/>
  <c r="AZ81" i="4" s="1"/>
  <c r="BB81" i="4"/>
  <c r="BC81" i="4" s="1"/>
  <c r="BD81" i="4" s="1"/>
  <c r="D100" i="4" s="1"/>
  <c r="BF81" i="4"/>
  <c r="BG81" i="4" l="1"/>
  <c r="E100" i="4" s="1"/>
  <c r="BA82" i="4"/>
  <c r="AV82" i="4"/>
  <c r="AX82" i="4" s="1"/>
  <c r="AY82" i="4" l="1"/>
  <c r="AZ82" i="4" s="1"/>
  <c r="BB82" i="4"/>
  <c r="BC82" i="4" s="1"/>
  <c r="BF82" i="4"/>
  <c r="BG82" i="4" l="1"/>
  <c r="E101" i="4" s="1"/>
  <c r="BD82" i="4"/>
  <c r="D101" i="4" s="1"/>
  <c r="BA83" i="4"/>
  <c r="AV83" i="4"/>
  <c r="AX83" i="4" s="1"/>
  <c r="AY83" i="4" l="1"/>
  <c r="AZ83" i="4" s="1"/>
  <c r="BF83" i="4"/>
  <c r="BB83" i="4"/>
  <c r="BC83" i="4" s="1"/>
  <c r="BD83" i="4" s="1"/>
  <c r="D102" i="4" s="1"/>
  <c r="BG83" i="4" l="1"/>
  <c r="E102" i="4" s="1"/>
  <c r="AV84" i="4"/>
  <c r="AX84" i="4" s="1"/>
  <c r="BA84" i="4"/>
  <c r="BF84" i="4" l="1"/>
  <c r="BB84" i="4"/>
  <c r="BC84" i="4" s="1"/>
  <c r="BD84" i="4" s="1"/>
  <c r="D103" i="4" s="1"/>
  <c r="AY84" i="4"/>
  <c r="AZ84" i="4" s="1"/>
  <c r="BA85" i="4" l="1"/>
  <c r="AV85" i="4"/>
  <c r="AX85" i="4" s="1"/>
  <c r="BG84" i="4"/>
  <c r="E103" i="4" s="1"/>
  <c r="AY85" i="4" l="1"/>
  <c r="AZ85" i="4" s="1"/>
  <c r="BB85" i="4"/>
  <c r="BC85" i="4" s="1"/>
  <c r="BD85" i="4" s="1"/>
  <c r="D104" i="4" s="1"/>
  <c r="BF85" i="4"/>
  <c r="BG85" i="4" l="1"/>
  <c r="E104" i="4" s="1"/>
  <c r="AV86" i="4"/>
  <c r="AX86" i="4" s="1"/>
  <c r="BA86" i="4"/>
  <c r="BF86" i="4" l="1"/>
  <c r="BB86" i="4"/>
  <c r="BC86" i="4" s="1"/>
  <c r="BD86" i="4" s="1"/>
  <c r="D105" i="4" s="1"/>
  <c r="AY86" i="4"/>
  <c r="AZ86" i="4" s="1"/>
  <c r="BA87" i="4" l="1"/>
  <c r="AV87" i="4"/>
  <c r="AX87" i="4" s="1"/>
  <c r="BG86" i="4"/>
  <c r="E105" i="4" s="1"/>
  <c r="AY87" i="4" l="1"/>
  <c r="AZ87" i="4" s="1"/>
  <c r="BB87" i="4"/>
  <c r="BC87" i="4" s="1"/>
  <c r="BF87" i="4"/>
  <c r="BG87" i="4" l="1"/>
  <c r="E106" i="4" s="1"/>
  <c r="BD87" i="4"/>
  <c r="D106" i="4" s="1"/>
  <c r="BA88" i="4"/>
  <c r="AV88" i="4"/>
  <c r="AX88" i="4" s="1"/>
  <c r="AY88" i="4" l="1"/>
  <c r="AZ88" i="4" s="1"/>
  <c r="BB88" i="4"/>
  <c r="BC88" i="4" s="1"/>
  <c r="BD88" i="4" s="1"/>
  <c r="D107" i="4" s="1"/>
  <c r="BF88" i="4"/>
  <c r="BG88" i="4" l="1"/>
  <c r="E107" i="4" s="1"/>
  <c r="BA89" i="4"/>
  <c r="AV89" i="4"/>
  <c r="AX89" i="4" s="1"/>
  <c r="AY89" i="4" l="1"/>
  <c r="AZ89" i="4" s="1"/>
  <c r="BB89" i="4"/>
  <c r="BC89" i="4" s="1"/>
  <c r="BD89" i="4" s="1"/>
  <c r="D108" i="4" s="1"/>
  <c r="BF89" i="4"/>
  <c r="BG89" i="4" l="1"/>
  <c r="E108" i="4" s="1"/>
  <c r="AV90" i="4"/>
  <c r="BA90" i="4"/>
  <c r="AW90" i="4" l="1"/>
  <c r="BB90" i="4"/>
  <c r="BC90" i="4" s="1"/>
  <c r="BD90" i="4" s="1"/>
  <c r="BF90" i="4"/>
  <c r="AX90" i="4" l="1"/>
  <c r="D27" i="4"/>
  <c r="N27" i="4" s="1"/>
  <c r="D109" i="4"/>
  <c r="BG90" i="4"/>
  <c r="AY90" i="4" l="1"/>
  <c r="AH91" i="4" s="1"/>
  <c r="E109" i="4"/>
  <c r="E27" i="4"/>
  <c r="O27" i="4" s="1"/>
  <c r="AZ90" i="4" l="1"/>
  <c r="AV91" i="4" s="1"/>
  <c r="AX91" i="4" s="1"/>
  <c r="AY91" i="4" s="1"/>
  <c r="AH92" i="4"/>
  <c r="AL91" i="4"/>
  <c r="AN91" i="4" s="1"/>
  <c r="AI103" i="4"/>
  <c r="AZ91" i="4" l="1"/>
  <c r="AV92" i="4" s="1"/>
  <c r="AX92" i="4" s="1"/>
  <c r="AY92" i="4" s="1"/>
  <c r="AZ92" i="4" s="1"/>
  <c r="AJ115" i="4"/>
  <c r="AP103" i="4"/>
  <c r="AR103" i="4" s="1"/>
  <c r="AS103" i="4"/>
  <c r="AO91" i="4"/>
  <c r="BE91" i="4" s="1"/>
  <c r="BA91" i="4"/>
  <c r="AH93" i="4"/>
  <c r="AI104" i="4"/>
  <c r="AL92" i="4"/>
  <c r="AN92" i="4" s="1"/>
  <c r="BA92" i="4" s="1"/>
  <c r="BB92" i="4" s="1"/>
  <c r="AO92" i="4" l="1"/>
  <c r="BE92" i="4" s="1"/>
  <c r="BF92" i="4" s="1"/>
  <c r="AS104" i="4"/>
  <c r="AP104" i="4"/>
  <c r="AR104" i="4" s="1"/>
  <c r="AJ116" i="4"/>
  <c r="AK128" i="4" s="1"/>
  <c r="AH94" i="4"/>
  <c r="AL93" i="4"/>
  <c r="AN93" i="4" s="1"/>
  <c r="BA93" i="4" s="1"/>
  <c r="AI105" i="4"/>
  <c r="BB91" i="4"/>
  <c r="BC91" i="4" s="1"/>
  <c r="BF91" i="4"/>
  <c r="AV93" i="4"/>
  <c r="AX93" i="4" s="1"/>
  <c r="BG91" i="4" l="1"/>
  <c r="E110" i="4" s="1"/>
  <c r="AO93" i="4"/>
  <c r="BE93" i="4" s="1"/>
  <c r="BF93" i="4" s="1"/>
  <c r="BD91" i="4"/>
  <c r="D110" i="4" s="1"/>
  <c r="AJ117" i="4"/>
  <c r="AK129" i="4" s="1"/>
  <c r="AS105" i="4"/>
  <c r="AP105" i="4"/>
  <c r="AR105" i="4" s="1"/>
  <c r="AI106" i="4"/>
  <c r="AL94" i="4"/>
  <c r="AN94" i="4" s="1"/>
  <c r="AO94" i="4" s="1"/>
  <c r="BE94" i="4" s="1"/>
  <c r="AH95" i="4"/>
  <c r="BC92" i="4"/>
  <c r="AY93" i="4"/>
  <c r="AZ93" i="4" s="1"/>
  <c r="BB93" i="4"/>
  <c r="BC93" i="4" s="1"/>
  <c r="BD93" i="4" s="1"/>
  <c r="D112" i="4" s="1"/>
  <c r="BD92" i="4" l="1"/>
  <c r="D111" i="4" s="1"/>
  <c r="BG92" i="4"/>
  <c r="E111" i="4" s="1"/>
  <c r="AJ118" i="4"/>
  <c r="AK130" i="4" s="1"/>
  <c r="AS106" i="4"/>
  <c r="AP106" i="4"/>
  <c r="AR106" i="4" s="1"/>
  <c r="AL95" i="4"/>
  <c r="AN95" i="4" s="1"/>
  <c r="AO95" i="4" s="1"/>
  <c r="BE95" i="4" s="1"/>
  <c r="AI107" i="4"/>
  <c r="AH96" i="4"/>
  <c r="BG93" i="4"/>
  <c r="E112" i="4" s="1"/>
  <c r="BA94" i="4"/>
  <c r="AV94" i="4"/>
  <c r="AX94" i="4" s="1"/>
  <c r="AH97" i="4" l="1"/>
  <c r="AL96" i="4"/>
  <c r="AN96" i="4" s="1"/>
  <c r="AO96" i="4" s="1"/>
  <c r="BE96" i="4" s="1"/>
  <c r="AI108" i="4"/>
  <c r="AJ119" i="4"/>
  <c r="AK131" i="4" s="1"/>
  <c r="AP107" i="4"/>
  <c r="AR107" i="4" s="1"/>
  <c r="AS107" i="4"/>
  <c r="AY94" i="4"/>
  <c r="AZ94" i="4" s="1"/>
  <c r="BF94" i="4"/>
  <c r="BB94" i="4"/>
  <c r="BC94" i="4" s="1"/>
  <c r="BG94" i="4" l="1"/>
  <c r="E113" i="4" s="1"/>
  <c r="AJ120" i="4"/>
  <c r="AK132" i="4" s="1"/>
  <c r="AS108" i="4"/>
  <c r="AP108" i="4"/>
  <c r="AR108" i="4" s="1"/>
  <c r="AL97" i="4"/>
  <c r="AN97" i="4" s="1"/>
  <c r="AO97" i="4" s="1"/>
  <c r="BE97" i="4" s="1"/>
  <c r="AI109" i="4"/>
  <c r="AH98" i="4"/>
  <c r="BD94" i="4"/>
  <c r="D113" i="4" s="1"/>
  <c r="BA95" i="4"/>
  <c r="AV95" i="4"/>
  <c r="AX95" i="4" s="1"/>
  <c r="AH99" i="4" l="1"/>
  <c r="AI110" i="4"/>
  <c r="AL98" i="4"/>
  <c r="AN98" i="4" s="1"/>
  <c r="AO98" i="4" s="1"/>
  <c r="BE98" i="4" s="1"/>
  <c r="AJ121" i="4"/>
  <c r="AK133" i="4" s="1"/>
  <c r="AP109" i="4"/>
  <c r="AR109" i="4" s="1"/>
  <c r="AS109" i="4"/>
  <c r="AY95" i="4"/>
  <c r="AZ95" i="4" s="1"/>
  <c r="BB95" i="4"/>
  <c r="BC95" i="4" s="1"/>
  <c r="BD95" i="4" s="1"/>
  <c r="D114" i="4" s="1"/>
  <c r="BF95" i="4"/>
  <c r="AJ122" i="4" l="1"/>
  <c r="AK134" i="4" s="1"/>
  <c r="AP110" i="4"/>
  <c r="AR110" i="4" s="1"/>
  <c r="AS110" i="4"/>
  <c r="AL99" i="4"/>
  <c r="AN99" i="4" s="1"/>
  <c r="AO99" i="4" s="1"/>
  <c r="BE99" i="4" s="1"/>
  <c r="AI111" i="4"/>
  <c r="AH100" i="4"/>
  <c r="BG95" i="4"/>
  <c r="E114" i="4" s="1"/>
  <c r="AV96" i="4"/>
  <c r="AX96" i="4" s="1"/>
  <c r="BA96" i="4"/>
  <c r="AS111" i="4" l="1"/>
  <c r="AP111" i="4"/>
  <c r="AR111" i="4" s="1"/>
  <c r="AJ123" i="4"/>
  <c r="AK135" i="4" s="1"/>
  <c r="AH101" i="4"/>
  <c r="AL100" i="4"/>
  <c r="AN100" i="4" s="1"/>
  <c r="AO100" i="4" s="1"/>
  <c r="BE100" i="4" s="1"/>
  <c r="AI112" i="4"/>
  <c r="BB96" i="4"/>
  <c r="BC96" i="4" s="1"/>
  <c r="BF96" i="4"/>
  <c r="AY96" i="4"/>
  <c r="AZ96" i="4" s="1"/>
  <c r="AS112" i="4" l="1"/>
  <c r="AP112" i="4"/>
  <c r="AR112" i="4" s="1"/>
  <c r="AJ124" i="4"/>
  <c r="AK136" i="4" s="1"/>
  <c r="AI113" i="4"/>
  <c r="AH102" i="4"/>
  <c r="AL101" i="4"/>
  <c r="AN101" i="4" s="1"/>
  <c r="AO101" i="4" s="1"/>
  <c r="BE101" i="4" s="1"/>
  <c r="BG96" i="4"/>
  <c r="E115" i="4" s="1"/>
  <c r="BA97" i="4"/>
  <c r="AV97" i="4"/>
  <c r="AX97" i="4" s="1"/>
  <c r="BD96" i="4"/>
  <c r="D115" i="4" s="1"/>
  <c r="AL102" i="4" l="1"/>
  <c r="AN102" i="4" s="1"/>
  <c r="AU102" i="4" s="1"/>
  <c r="AI114" i="4"/>
  <c r="AH103" i="4"/>
  <c r="AP113" i="4"/>
  <c r="AR113" i="4" s="1"/>
  <c r="AJ125" i="4"/>
  <c r="AK137" i="4" s="1"/>
  <c r="AS113" i="4"/>
  <c r="AY97" i="4"/>
  <c r="AZ97" i="4" s="1"/>
  <c r="BB97" i="4"/>
  <c r="BC97" i="4" s="1"/>
  <c r="BD97" i="4" s="1"/>
  <c r="D116" i="4" s="1"/>
  <c r="BF97" i="4"/>
  <c r="AO102" i="4" l="1"/>
  <c r="BE102" i="4" s="1"/>
  <c r="AL103" i="4"/>
  <c r="AN103" i="4" s="1"/>
  <c r="AO103" i="4" s="1"/>
  <c r="BE103" i="4" s="1"/>
  <c r="AH104" i="4"/>
  <c r="AI115" i="4"/>
  <c r="AJ126" i="4"/>
  <c r="AK138" i="4" s="1"/>
  <c r="AS114" i="4"/>
  <c r="AP114" i="4"/>
  <c r="AR114" i="4" s="1"/>
  <c r="BG97" i="4"/>
  <c r="E116" i="4" s="1"/>
  <c r="BA98" i="4"/>
  <c r="AV98" i="4"/>
  <c r="AX98" i="4" s="1"/>
  <c r="AL104" i="4" l="1"/>
  <c r="AN104" i="4" s="1"/>
  <c r="AO104" i="4" s="1"/>
  <c r="BE104" i="4" s="1"/>
  <c r="AH105" i="4"/>
  <c r="AI116" i="4"/>
  <c r="AP115" i="4"/>
  <c r="AR115" i="4" s="1"/>
  <c r="AS115" i="4"/>
  <c r="AJ127" i="4"/>
  <c r="AY98" i="4"/>
  <c r="AZ98" i="4" s="1"/>
  <c r="BB98" i="4"/>
  <c r="BC98" i="4" s="1"/>
  <c r="BF98" i="4"/>
  <c r="AL105" i="4" l="1"/>
  <c r="AN105" i="4" s="1"/>
  <c r="AO105" i="4" s="1"/>
  <c r="BE105" i="4" s="1"/>
  <c r="AH106" i="4"/>
  <c r="AI117" i="4"/>
  <c r="AP116" i="4"/>
  <c r="AR116" i="4" s="1"/>
  <c r="AS116" i="4"/>
  <c r="AJ128" i="4"/>
  <c r="AK140" i="4" s="1"/>
  <c r="BG98" i="4"/>
  <c r="E117" i="4" s="1"/>
  <c r="BD98" i="4"/>
  <c r="D117" i="4" s="1"/>
  <c r="BA99" i="4"/>
  <c r="AV99" i="4"/>
  <c r="AX99" i="4" s="1"/>
  <c r="AI118" i="4" l="1"/>
  <c r="AL106" i="4"/>
  <c r="AN106" i="4" s="1"/>
  <c r="AO106" i="4" s="1"/>
  <c r="BE106" i="4" s="1"/>
  <c r="AH107" i="4"/>
  <c r="AJ129" i="4"/>
  <c r="AK141" i="4" s="1"/>
  <c r="AP117" i="4"/>
  <c r="AR117" i="4" s="1"/>
  <c r="AS117" i="4"/>
  <c r="AY99" i="4"/>
  <c r="AZ99" i="4" s="1"/>
  <c r="BB99" i="4"/>
  <c r="BC99" i="4" s="1"/>
  <c r="BD99" i="4" s="1"/>
  <c r="D118" i="4" s="1"/>
  <c r="BF99" i="4"/>
  <c r="AL107" i="4" l="1"/>
  <c r="AN107" i="4" s="1"/>
  <c r="AO107" i="4" s="1"/>
  <c r="BE107" i="4" s="1"/>
  <c r="AI119" i="4"/>
  <c r="AH108" i="4"/>
  <c r="AS118" i="4"/>
  <c r="AJ130" i="4"/>
  <c r="AK142" i="4" s="1"/>
  <c r="AP118" i="4"/>
  <c r="AR118" i="4" s="1"/>
  <c r="BG99" i="4"/>
  <c r="E118" i="4" s="1"/>
  <c r="BA100" i="4"/>
  <c r="AV100" i="4"/>
  <c r="AX100" i="4" s="1"/>
  <c r="AP119" i="4" l="1"/>
  <c r="AR119" i="4" s="1"/>
  <c r="AS119" i="4"/>
  <c r="AJ131" i="4"/>
  <c r="AK143" i="4" s="1"/>
  <c r="AH109" i="4"/>
  <c r="AI120" i="4"/>
  <c r="AL108" i="4"/>
  <c r="AN108" i="4" s="1"/>
  <c r="AO108" i="4" s="1"/>
  <c r="BE108" i="4" s="1"/>
  <c r="AY100" i="4"/>
  <c r="AZ100" i="4" s="1"/>
  <c r="BB100" i="4"/>
  <c r="BC100" i="4" s="1"/>
  <c r="BF100" i="4"/>
  <c r="AL109" i="4" l="1"/>
  <c r="AN109" i="4" s="1"/>
  <c r="AO109" i="4" s="1"/>
  <c r="BE109" i="4" s="1"/>
  <c r="AH110" i="4"/>
  <c r="AI121" i="4"/>
  <c r="AJ132" i="4"/>
  <c r="AK144" i="4" s="1"/>
  <c r="AP120" i="4"/>
  <c r="AR120" i="4" s="1"/>
  <c r="AS120" i="4"/>
  <c r="BG100" i="4"/>
  <c r="E119" i="4" s="1"/>
  <c r="BD100" i="4"/>
  <c r="D119" i="4" s="1"/>
  <c r="BA101" i="4"/>
  <c r="AV101" i="4"/>
  <c r="AX101" i="4" s="1"/>
  <c r="AL110" i="4" l="1"/>
  <c r="AN110" i="4" s="1"/>
  <c r="AO110" i="4" s="1"/>
  <c r="BE110" i="4" s="1"/>
  <c r="AH111" i="4"/>
  <c r="AI122" i="4"/>
  <c r="AJ133" i="4"/>
  <c r="AK145" i="4" s="1"/>
  <c r="AS121" i="4"/>
  <c r="AP121" i="4"/>
  <c r="AR121" i="4" s="1"/>
  <c r="BF101" i="4"/>
  <c r="BB101" i="4"/>
  <c r="BC101" i="4" s="1"/>
  <c r="AY101" i="4"/>
  <c r="AZ101" i="4" s="1"/>
  <c r="BG101" i="4" l="1"/>
  <c r="E120" i="4" s="1"/>
  <c r="AL111" i="4"/>
  <c r="AN111" i="4" s="1"/>
  <c r="AO111" i="4" s="1"/>
  <c r="BE111" i="4" s="1"/>
  <c r="AH112" i="4"/>
  <c r="AI123" i="4"/>
  <c r="AS122" i="4"/>
  <c r="AP122" i="4"/>
  <c r="AR122" i="4" s="1"/>
  <c r="AJ134" i="4"/>
  <c r="AK146" i="4" s="1"/>
  <c r="BA102" i="4"/>
  <c r="AV102" i="4"/>
  <c r="AX102" i="4" s="1"/>
  <c r="BD101" i="4"/>
  <c r="D120" i="4" s="1"/>
  <c r="AH113" i="4" l="1"/>
  <c r="AI124" i="4"/>
  <c r="AL112" i="4"/>
  <c r="AN112" i="4" s="1"/>
  <c r="AO112" i="4" s="1"/>
  <c r="BE112" i="4" s="1"/>
  <c r="AJ135" i="4"/>
  <c r="AK147" i="4" s="1"/>
  <c r="AP123" i="4"/>
  <c r="AR123" i="4" s="1"/>
  <c r="AS123" i="4"/>
  <c r="AY102" i="4"/>
  <c r="AZ102" i="4" s="1"/>
  <c r="BF102" i="4"/>
  <c r="BB102" i="4"/>
  <c r="BC102" i="4" s="1"/>
  <c r="BD102" i="4" s="1"/>
  <c r="AJ136" i="4" l="1"/>
  <c r="AK148" i="4" s="1"/>
  <c r="AS124" i="4"/>
  <c r="AP124" i="4"/>
  <c r="AR124" i="4" s="1"/>
  <c r="AH114" i="4"/>
  <c r="AL113" i="4"/>
  <c r="AN113" i="4" s="1"/>
  <c r="AO113" i="4" s="1"/>
  <c r="BE113" i="4" s="1"/>
  <c r="AI125" i="4"/>
  <c r="D121" i="4"/>
  <c r="D28" i="4"/>
  <c r="N28" i="4" s="1"/>
  <c r="BG102" i="4"/>
  <c r="BA103" i="4"/>
  <c r="AV103" i="4"/>
  <c r="AX103" i="4" s="1"/>
  <c r="AJ137" i="4" l="1"/>
  <c r="AK149" i="4" s="1"/>
  <c r="AP125" i="4"/>
  <c r="AR125" i="4" s="1"/>
  <c r="AS125" i="4"/>
  <c r="AI126" i="4"/>
  <c r="AL114" i="4"/>
  <c r="AN114" i="4" s="1"/>
  <c r="AU114" i="4" s="1"/>
  <c r="AH115" i="4"/>
  <c r="AY103" i="4"/>
  <c r="AZ103" i="4" s="1"/>
  <c r="BF103" i="4"/>
  <c r="BB103" i="4"/>
  <c r="BC103" i="4" s="1"/>
  <c r="E28" i="4"/>
  <c r="O28" i="4" s="1"/>
  <c r="E121" i="4"/>
  <c r="BG103" i="4" l="1"/>
  <c r="E122" i="4" s="1"/>
  <c r="AL115" i="4"/>
  <c r="AN115" i="4" s="1"/>
  <c r="AO115" i="4" s="1"/>
  <c r="BE115" i="4" s="1"/>
  <c r="AH116" i="4"/>
  <c r="AI127" i="4"/>
  <c r="AO114" i="4"/>
  <c r="BE114" i="4" s="1"/>
  <c r="AJ138" i="4"/>
  <c r="AK150" i="4" s="1"/>
  <c r="AS126" i="4"/>
  <c r="AP126" i="4"/>
  <c r="AR126" i="4" s="1"/>
  <c r="BD103" i="4"/>
  <c r="D122" i="4" s="1"/>
  <c r="BA104" i="4"/>
  <c r="AV104" i="4"/>
  <c r="AX104" i="4" s="1"/>
  <c r="AJ139" i="4" l="1"/>
  <c r="AP127" i="4"/>
  <c r="AR127" i="4" s="1"/>
  <c r="AS127" i="4"/>
  <c r="AL116" i="4"/>
  <c r="AN116" i="4" s="1"/>
  <c r="AO116" i="4" s="1"/>
  <c r="BE116" i="4" s="1"/>
  <c r="AH117" i="4"/>
  <c r="AI128" i="4"/>
  <c r="AY104" i="4"/>
  <c r="AZ104" i="4" s="1"/>
  <c r="BF104" i="4"/>
  <c r="BB104" i="4"/>
  <c r="BC104" i="4" s="1"/>
  <c r="BD104" i="4" s="1"/>
  <c r="D123" i="4" s="1"/>
  <c r="AJ140" i="4" l="1"/>
  <c r="AK152" i="4" s="1"/>
  <c r="AP128" i="4"/>
  <c r="AR128" i="4" s="1"/>
  <c r="AS128" i="4"/>
  <c r="AI129" i="4"/>
  <c r="AL117" i="4"/>
  <c r="AN117" i="4" s="1"/>
  <c r="AO117" i="4" s="1"/>
  <c r="BE117" i="4" s="1"/>
  <c r="AH118" i="4"/>
  <c r="BG104" i="4"/>
  <c r="E123" i="4" s="1"/>
  <c r="BA105" i="4"/>
  <c r="AV105" i="4"/>
  <c r="AX105" i="4" s="1"/>
  <c r="AL118" i="4" l="1"/>
  <c r="AN118" i="4" s="1"/>
  <c r="AO118" i="4" s="1"/>
  <c r="BE118" i="4" s="1"/>
  <c r="AI130" i="4"/>
  <c r="AH119" i="4"/>
  <c r="AS129" i="4"/>
  <c r="AJ141" i="4"/>
  <c r="AK153" i="4" s="1"/>
  <c r="AP129" i="4"/>
  <c r="AR129" i="4" s="1"/>
  <c r="AY105" i="4"/>
  <c r="AZ105" i="4" s="1"/>
  <c r="BB105" i="4"/>
  <c r="BC105" i="4" s="1"/>
  <c r="BD105" i="4" s="1"/>
  <c r="D124" i="4" s="1"/>
  <c r="BF105" i="4"/>
  <c r="AI131" i="4" l="1"/>
  <c r="AL119" i="4"/>
  <c r="AN119" i="4" s="1"/>
  <c r="AO119" i="4" s="1"/>
  <c r="BE119" i="4" s="1"/>
  <c r="AH120" i="4"/>
  <c r="AP130" i="4"/>
  <c r="AR130" i="4" s="1"/>
  <c r="AJ142" i="4"/>
  <c r="AK154" i="4" s="1"/>
  <c r="AS130" i="4"/>
  <c r="BG105" i="4"/>
  <c r="E124" i="4" s="1"/>
  <c r="BA106" i="4"/>
  <c r="AV106" i="4"/>
  <c r="AX106" i="4" s="1"/>
  <c r="AH121" i="4" l="1"/>
  <c r="AI132" i="4"/>
  <c r="AL120" i="4"/>
  <c r="AN120" i="4" s="1"/>
  <c r="AO120" i="4" s="1"/>
  <c r="BE120" i="4" s="1"/>
  <c r="AS131" i="4"/>
  <c r="AP131" i="4"/>
  <c r="AR131" i="4" s="1"/>
  <c r="AJ143" i="4"/>
  <c r="AK155" i="4" s="1"/>
  <c r="AY106" i="4"/>
  <c r="AZ106" i="4" s="1"/>
  <c r="BB106" i="4"/>
  <c r="BC106" i="4" s="1"/>
  <c r="BF106" i="4"/>
  <c r="AS132" i="4" l="1"/>
  <c r="AJ144" i="4"/>
  <c r="AK156" i="4" s="1"/>
  <c r="AP132" i="4"/>
  <c r="AR132" i="4" s="1"/>
  <c r="AL121" i="4"/>
  <c r="AN121" i="4" s="1"/>
  <c r="AO121" i="4" s="1"/>
  <c r="BE121" i="4" s="1"/>
  <c r="AI133" i="4"/>
  <c r="AH122" i="4"/>
  <c r="BG106" i="4"/>
  <c r="E125" i="4" s="1"/>
  <c r="BD106" i="4"/>
  <c r="D125" i="4" s="1"/>
  <c r="BA107" i="4"/>
  <c r="AV107" i="4"/>
  <c r="AX107" i="4" s="1"/>
  <c r="AL122" i="4" l="1"/>
  <c r="AN122" i="4" s="1"/>
  <c r="AO122" i="4" s="1"/>
  <c r="BE122" i="4" s="1"/>
  <c r="AI134" i="4"/>
  <c r="AH123" i="4"/>
  <c r="AS133" i="4"/>
  <c r="AJ145" i="4"/>
  <c r="AK157" i="4" s="1"/>
  <c r="AP133" i="4"/>
  <c r="AR133" i="4" s="1"/>
  <c r="AY107" i="4"/>
  <c r="AZ107" i="4" s="1"/>
  <c r="BF107" i="4"/>
  <c r="BB107" i="4"/>
  <c r="BC107" i="4" s="1"/>
  <c r="BD107" i="4" s="1"/>
  <c r="D126" i="4" s="1"/>
  <c r="AS134" i="4" l="1"/>
  <c r="AJ146" i="4"/>
  <c r="AK158" i="4" s="1"/>
  <c r="AP134" i="4"/>
  <c r="AR134" i="4" s="1"/>
  <c r="AL123" i="4"/>
  <c r="AN123" i="4" s="1"/>
  <c r="AO123" i="4" s="1"/>
  <c r="BE123" i="4" s="1"/>
  <c r="AI135" i="4"/>
  <c r="AH124" i="4"/>
  <c r="BG107" i="4"/>
  <c r="E126" i="4" s="1"/>
  <c r="AV108" i="4"/>
  <c r="AX108" i="4" s="1"/>
  <c r="BA108" i="4"/>
  <c r="AJ147" i="4" l="1"/>
  <c r="AK159" i="4" s="1"/>
  <c r="AS135" i="4"/>
  <c r="AP135" i="4"/>
  <c r="AR135" i="4" s="1"/>
  <c r="AI136" i="4"/>
  <c r="AL124" i="4"/>
  <c r="AN124" i="4" s="1"/>
  <c r="AO124" i="4" s="1"/>
  <c r="BE124" i="4" s="1"/>
  <c r="AH125" i="4"/>
  <c r="BB108" i="4"/>
  <c r="BC108" i="4" s="1"/>
  <c r="BD108" i="4" s="1"/>
  <c r="D127" i="4" s="1"/>
  <c r="BF108" i="4"/>
  <c r="AY108" i="4"/>
  <c r="AZ108" i="4" s="1"/>
  <c r="BG108" i="4" l="1"/>
  <c r="E127" i="4" s="1"/>
  <c r="AP136" i="4"/>
  <c r="AR136" i="4" s="1"/>
  <c r="AS136" i="4"/>
  <c r="AJ148" i="4"/>
  <c r="AK160" i="4" s="1"/>
  <c r="AH126" i="4"/>
  <c r="AI137" i="4"/>
  <c r="AL125" i="4"/>
  <c r="AN125" i="4" s="1"/>
  <c r="AO125" i="4" s="1"/>
  <c r="BE125" i="4" s="1"/>
  <c r="BA109" i="4"/>
  <c r="AV109" i="4"/>
  <c r="AX109" i="4" s="1"/>
  <c r="AP137" i="4" l="1"/>
  <c r="AR137" i="4" s="1"/>
  <c r="AJ149" i="4"/>
  <c r="AK161" i="4" s="1"/>
  <c r="AS137" i="4"/>
  <c r="AI138" i="4"/>
  <c r="AL126" i="4"/>
  <c r="AN126" i="4" s="1"/>
  <c r="AU126" i="4" s="1"/>
  <c r="AY109" i="4"/>
  <c r="AZ109" i="4" s="1"/>
  <c r="BB109" i="4"/>
  <c r="BC109" i="4" s="1"/>
  <c r="BF109" i="4"/>
  <c r="AO126" i="4" l="1"/>
  <c r="BE126" i="4" s="1"/>
  <c r="AJ150" i="4"/>
  <c r="AK162" i="4" s="1"/>
  <c r="AS138" i="4"/>
  <c r="AP138" i="4"/>
  <c r="AR138" i="4" s="1"/>
  <c r="BG109" i="4"/>
  <c r="E128" i="4" s="1"/>
  <c r="BD109" i="4"/>
  <c r="D128" i="4" s="1"/>
  <c r="BA110" i="4"/>
  <c r="AV110" i="4"/>
  <c r="AX110" i="4" s="1"/>
  <c r="AY110" i="4" l="1"/>
  <c r="AZ110" i="4" s="1"/>
  <c r="BF110" i="4"/>
  <c r="BB110" i="4"/>
  <c r="BC110" i="4" s="1"/>
  <c r="BD110" i="4" s="1"/>
  <c r="D129" i="4" s="1"/>
  <c r="BG110" i="4" l="1"/>
  <c r="E129" i="4" s="1"/>
  <c r="BA111" i="4"/>
  <c r="AV111" i="4"/>
  <c r="AX111" i="4" s="1"/>
  <c r="AY111" i="4" l="1"/>
  <c r="AZ111" i="4" s="1"/>
  <c r="BF111" i="4"/>
  <c r="BB111" i="4"/>
  <c r="BC111" i="4" s="1"/>
  <c r="BG111" i="4" l="1"/>
  <c r="E130" i="4" s="1"/>
  <c r="BD111" i="4"/>
  <c r="D130" i="4" s="1"/>
  <c r="BA112" i="4"/>
  <c r="AV112" i="4"/>
  <c r="AX112" i="4" s="1"/>
  <c r="AY112" i="4" l="1"/>
  <c r="AZ112" i="4" s="1"/>
  <c r="BF112" i="4"/>
  <c r="BB112" i="4"/>
  <c r="BC112" i="4" s="1"/>
  <c r="BD112" i="4" s="1"/>
  <c r="D131" i="4" s="1"/>
  <c r="BG112" i="4" l="1"/>
  <c r="E131" i="4" s="1"/>
  <c r="BA113" i="4"/>
  <c r="AV113" i="4"/>
  <c r="AX113" i="4" s="1"/>
  <c r="AY113" i="4" l="1"/>
  <c r="AZ113" i="4" s="1"/>
  <c r="BF113" i="4"/>
  <c r="BB113" i="4"/>
  <c r="BC113" i="4" s="1"/>
  <c r="BG113" i="4" l="1"/>
  <c r="E132" i="4" s="1"/>
  <c r="BD113" i="4"/>
  <c r="D132" i="4" s="1"/>
  <c r="BA114" i="4"/>
  <c r="AV114" i="4"/>
  <c r="AX114" i="4" s="1"/>
  <c r="AY114" i="4" l="1"/>
  <c r="AZ114" i="4" s="1"/>
  <c r="BB114" i="4"/>
  <c r="BC114" i="4" s="1"/>
  <c r="BD114" i="4" s="1"/>
  <c r="BF114" i="4"/>
  <c r="D29" i="4" l="1"/>
  <c r="N29" i="4" s="1"/>
  <c r="D133" i="4"/>
  <c r="BG114" i="4"/>
  <c r="BA115" i="4"/>
  <c r="AV115" i="4"/>
  <c r="AX115" i="4" s="1"/>
  <c r="AY115" i="4" l="1"/>
  <c r="AZ115" i="4" s="1"/>
  <c r="BF115" i="4"/>
  <c r="BB115" i="4"/>
  <c r="BC115" i="4" s="1"/>
  <c r="BD115" i="4" s="1"/>
  <c r="D134" i="4" s="1"/>
  <c r="E133" i="4"/>
  <c r="E29" i="4"/>
  <c r="O29" i="4" s="1"/>
  <c r="BA116" i="4" l="1"/>
  <c r="AV116" i="4"/>
  <c r="AX116" i="4" s="1"/>
  <c r="BG115" i="4"/>
  <c r="E134" i="4" s="1"/>
  <c r="AY116" i="4" l="1"/>
  <c r="AZ116" i="4" s="1"/>
  <c r="BF116" i="4"/>
  <c r="BB116" i="4"/>
  <c r="BC116" i="4" s="1"/>
  <c r="BG116" i="4" l="1"/>
  <c r="E135" i="4" s="1"/>
  <c r="BD116" i="4"/>
  <c r="D135" i="4" s="1"/>
  <c r="BA117" i="4"/>
  <c r="AV117" i="4"/>
  <c r="AX117" i="4" s="1"/>
  <c r="AY117" i="4" l="1"/>
  <c r="AZ117" i="4" s="1"/>
  <c r="BF117" i="4"/>
  <c r="BB117" i="4"/>
  <c r="BC117" i="4" s="1"/>
  <c r="BG117" i="4" l="1"/>
  <c r="E136" i="4" s="1"/>
  <c r="BD117" i="4"/>
  <c r="D136" i="4" s="1"/>
  <c r="BA118" i="4"/>
  <c r="AV118" i="4"/>
  <c r="AX118" i="4" s="1"/>
  <c r="AY118" i="4" l="1"/>
  <c r="AZ118" i="4" s="1"/>
  <c r="BB118" i="4"/>
  <c r="BC118" i="4" s="1"/>
  <c r="BD118" i="4" s="1"/>
  <c r="D137" i="4" s="1"/>
  <c r="BF118" i="4"/>
  <c r="BG118" i="4" l="1"/>
  <c r="E137" i="4" s="1"/>
  <c r="BA119" i="4"/>
  <c r="AV119" i="4"/>
  <c r="AX119" i="4" s="1"/>
  <c r="AY119" i="4" l="1"/>
  <c r="AZ119" i="4" s="1"/>
  <c r="BB119" i="4"/>
  <c r="BC119" i="4" s="1"/>
  <c r="BD119" i="4" s="1"/>
  <c r="D138" i="4" s="1"/>
  <c r="BF119" i="4"/>
  <c r="BG119" i="4" l="1"/>
  <c r="E138" i="4" s="1"/>
  <c r="AV120" i="4"/>
  <c r="AX120" i="4" s="1"/>
  <c r="BA120" i="4"/>
  <c r="BB120" i="4" l="1"/>
  <c r="BC120" i="4" s="1"/>
  <c r="BD120" i="4" s="1"/>
  <c r="D139" i="4" s="1"/>
  <c r="BF120" i="4"/>
  <c r="AY120" i="4"/>
  <c r="AZ120" i="4" s="1"/>
  <c r="BA121" i="4" l="1"/>
  <c r="AV121" i="4"/>
  <c r="AX121" i="4" s="1"/>
  <c r="BG120" i="4"/>
  <c r="E139" i="4" s="1"/>
  <c r="AY121" i="4" l="1"/>
  <c r="AZ121" i="4" s="1"/>
  <c r="BB121" i="4"/>
  <c r="BC121" i="4" s="1"/>
  <c r="BF121" i="4"/>
  <c r="BG121" i="4" l="1"/>
  <c r="E140" i="4" s="1"/>
  <c r="BD121" i="4"/>
  <c r="D140" i="4" s="1"/>
  <c r="BA122" i="4"/>
  <c r="AV122" i="4"/>
  <c r="AX122" i="4" s="1"/>
  <c r="AY122" i="4" l="1"/>
  <c r="AZ122" i="4" s="1"/>
  <c r="BB122" i="4"/>
  <c r="BC122" i="4" s="1"/>
  <c r="BD122" i="4" s="1"/>
  <c r="D141" i="4" s="1"/>
  <c r="BF122" i="4"/>
  <c r="BG122" i="4" l="1"/>
  <c r="E141" i="4" s="1"/>
  <c r="BA123" i="4"/>
  <c r="AV123" i="4"/>
  <c r="AX123" i="4" s="1"/>
  <c r="AY123" i="4" l="1"/>
  <c r="AZ123" i="4" s="1"/>
  <c r="BB123" i="4"/>
  <c r="BC123" i="4" s="1"/>
  <c r="BD123" i="4" s="1"/>
  <c r="D142" i="4" s="1"/>
  <c r="BF123" i="4"/>
  <c r="BG123" i="4" l="1"/>
  <c r="E142" i="4" s="1"/>
  <c r="AV124" i="4"/>
  <c r="AX124" i="4" s="1"/>
  <c r="BA124" i="4"/>
  <c r="BB124" i="4" l="1"/>
  <c r="BC124" i="4" s="1"/>
  <c r="BD124" i="4" s="1"/>
  <c r="D143" i="4" s="1"/>
  <c r="BF124" i="4"/>
  <c r="AY124" i="4"/>
  <c r="AZ124" i="4" s="1"/>
  <c r="BG124" i="4" l="1"/>
  <c r="E143" i="4" s="1"/>
  <c r="BA125" i="4"/>
  <c r="AV125" i="4"/>
  <c r="AX125" i="4" s="1"/>
  <c r="AY125" i="4" l="1"/>
  <c r="AZ125" i="4" s="1"/>
  <c r="BF125" i="4"/>
  <c r="BB125" i="4"/>
  <c r="BC125" i="4" s="1"/>
  <c r="BG125" i="4" l="1"/>
  <c r="E144" i="4" s="1"/>
  <c r="BD125" i="4"/>
  <c r="D144" i="4" s="1"/>
  <c r="BA126" i="4"/>
  <c r="AV126" i="4"/>
  <c r="AW126" i="4" l="1"/>
  <c r="BF126" i="4"/>
  <c r="BB126" i="4"/>
  <c r="BC126" i="4" s="1"/>
  <c r="BD126" i="4" s="1"/>
  <c r="AX126" i="4" l="1"/>
  <c r="D145" i="4"/>
  <c r="D30" i="4"/>
  <c r="N30" i="4" s="1"/>
  <c r="BG126" i="4"/>
  <c r="AY126" i="4" l="1"/>
  <c r="AH127" i="4" s="1"/>
  <c r="E30" i="4"/>
  <c r="O30" i="4" s="1"/>
  <c r="E145" i="4"/>
  <c r="AZ126" i="4" l="1"/>
  <c r="AV127" i="4" s="1"/>
  <c r="AX127" i="4" s="1"/>
  <c r="AY127" i="4" s="1"/>
  <c r="AL127" i="4"/>
  <c r="AN127" i="4" s="1"/>
  <c r="AH128" i="4"/>
  <c r="AI139" i="4"/>
  <c r="BA127" i="4" l="1"/>
  <c r="BB127" i="4" s="1"/>
  <c r="BC127" i="4" s="1"/>
  <c r="AO127" i="4"/>
  <c r="BE127" i="4" s="1"/>
  <c r="AZ127" i="4"/>
  <c r="AV128" i="4" s="1"/>
  <c r="AX128" i="4" s="1"/>
  <c r="AY128" i="4" s="1"/>
  <c r="AZ128" i="4" s="1"/>
  <c r="AI140" i="4"/>
  <c r="AL128" i="4"/>
  <c r="AN128" i="4" s="1"/>
  <c r="AH129" i="4"/>
  <c r="AS139" i="4"/>
  <c r="AP139" i="4"/>
  <c r="AR139" i="4" s="1"/>
  <c r="AJ151" i="4"/>
  <c r="BF127" i="4" l="1"/>
  <c r="BA128" i="4"/>
  <c r="BB128" i="4" s="1"/>
  <c r="BC128" i="4" s="1"/>
  <c r="BD128" i="4" s="1"/>
  <c r="D147" i="4" s="1"/>
  <c r="BD127" i="4"/>
  <c r="D146" i="4" s="1"/>
  <c r="BG127" i="4"/>
  <c r="E146" i="4" s="1"/>
  <c r="AO128" i="4"/>
  <c r="BE128" i="4" s="1"/>
  <c r="BF128" i="4" s="1"/>
  <c r="AI141" i="4"/>
  <c r="AL129" i="4"/>
  <c r="AN129" i="4" s="1"/>
  <c r="BA129" i="4" s="1"/>
  <c r="AH130" i="4"/>
  <c r="AJ152" i="4"/>
  <c r="AP140" i="4"/>
  <c r="AR140" i="4" s="1"/>
  <c r="AS140" i="4"/>
  <c r="AV129" i="4"/>
  <c r="AX129" i="4" s="1"/>
  <c r="BG128" i="4" l="1"/>
  <c r="E147" i="4" s="1"/>
  <c r="AO129" i="4"/>
  <c r="BE129" i="4" s="1"/>
  <c r="BF129" i="4" s="1"/>
  <c r="AI142" i="4"/>
  <c r="AL130" i="4"/>
  <c r="AN130" i="4" s="1"/>
  <c r="AO130" i="4" s="1"/>
  <c r="BE130" i="4" s="1"/>
  <c r="AH131" i="4"/>
  <c r="AS141" i="4"/>
  <c r="AJ153" i="4"/>
  <c r="AP141" i="4"/>
  <c r="AR141" i="4" s="1"/>
  <c r="AY129" i="4"/>
  <c r="AZ129" i="4" s="1"/>
  <c r="BB129" i="4"/>
  <c r="BC129" i="4" s="1"/>
  <c r="BG129" i="4" l="1"/>
  <c r="E148" i="4" s="1"/>
  <c r="AI143" i="4"/>
  <c r="AL131" i="4"/>
  <c r="AN131" i="4" s="1"/>
  <c r="AO131" i="4" s="1"/>
  <c r="BE131" i="4" s="1"/>
  <c r="AH132" i="4"/>
  <c r="AJ154" i="4"/>
  <c r="AP142" i="4"/>
  <c r="AR142" i="4" s="1"/>
  <c r="AS142" i="4"/>
  <c r="BD129" i="4"/>
  <c r="D148" i="4" s="1"/>
  <c r="AV130" i="4"/>
  <c r="AX130" i="4" s="1"/>
  <c r="BA130" i="4"/>
  <c r="AI144" i="4" l="1"/>
  <c r="AL132" i="4"/>
  <c r="AN132" i="4" s="1"/>
  <c r="AO132" i="4" s="1"/>
  <c r="BE132" i="4" s="1"/>
  <c r="AH133" i="4"/>
  <c r="AS143" i="4"/>
  <c r="AP143" i="4"/>
  <c r="AR143" i="4" s="1"/>
  <c r="AJ155" i="4"/>
  <c r="BB130" i="4"/>
  <c r="BC130" i="4" s="1"/>
  <c r="BF130" i="4"/>
  <c r="AY130" i="4"/>
  <c r="AZ130" i="4" s="1"/>
  <c r="AH134" i="4" l="1"/>
  <c r="AL133" i="4"/>
  <c r="AN133" i="4" s="1"/>
  <c r="AO133" i="4" s="1"/>
  <c r="BE133" i="4" s="1"/>
  <c r="AI145" i="4"/>
  <c r="AJ156" i="4"/>
  <c r="AP144" i="4"/>
  <c r="AR144" i="4" s="1"/>
  <c r="AS144" i="4"/>
  <c r="BG130" i="4"/>
  <c r="E149" i="4" s="1"/>
  <c r="BA131" i="4"/>
  <c r="AV131" i="4"/>
  <c r="AX131" i="4" s="1"/>
  <c r="BD130" i="4"/>
  <c r="D149" i="4" s="1"/>
  <c r="AS145" i="4" l="1"/>
  <c r="AJ157" i="4"/>
  <c r="AP145" i="4"/>
  <c r="AR145" i="4" s="1"/>
  <c r="AI146" i="4"/>
  <c r="AL134" i="4"/>
  <c r="AN134" i="4" s="1"/>
  <c r="AO134" i="4" s="1"/>
  <c r="BE134" i="4" s="1"/>
  <c r="AH135" i="4"/>
  <c r="AY131" i="4"/>
  <c r="AZ131" i="4" s="1"/>
  <c r="BB131" i="4"/>
  <c r="BC131" i="4" s="1"/>
  <c r="BF131" i="4"/>
  <c r="AI147" i="4" l="1"/>
  <c r="AH136" i="4"/>
  <c r="AL135" i="4"/>
  <c r="AN135" i="4" s="1"/>
  <c r="AO135" i="4" s="1"/>
  <c r="BE135" i="4" s="1"/>
  <c r="AJ158" i="4"/>
  <c r="AP146" i="4"/>
  <c r="AR146" i="4" s="1"/>
  <c r="AS146" i="4"/>
  <c r="BG131" i="4"/>
  <c r="E150" i="4" s="1"/>
  <c r="BD131" i="4"/>
  <c r="D150" i="4" s="1"/>
  <c r="BA132" i="4"/>
  <c r="AV132" i="4"/>
  <c r="AX132" i="4" s="1"/>
  <c r="AI148" i="4" l="1"/>
  <c r="AL136" i="4"/>
  <c r="AN136" i="4" s="1"/>
  <c r="AO136" i="4" s="1"/>
  <c r="BE136" i="4" s="1"/>
  <c r="AH137" i="4"/>
  <c r="AJ159" i="4"/>
  <c r="AS147" i="4"/>
  <c r="AP147" i="4"/>
  <c r="AR147" i="4" s="1"/>
  <c r="AY132" i="4"/>
  <c r="AZ132" i="4" s="1"/>
  <c r="BB132" i="4"/>
  <c r="BC132" i="4" s="1"/>
  <c r="BF132" i="4"/>
  <c r="AI149" i="4" l="1"/>
  <c r="AL137" i="4"/>
  <c r="AN137" i="4" s="1"/>
  <c r="AO137" i="4" s="1"/>
  <c r="BE137" i="4" s="1"/>
  <c r="AH138" i="4"/>
  <c r="AP148" i="4"/>
  <c r="AR148" i="4" s="1"/>
  <c r="AJ160" i="4"/>
  <c r="AS148" i="4"/>
  <c r="BG132" i="4"/>
  <c r="E151" i="4" s="1"/>
  <c r="BD132" i="4"/>
  <c r="D151" i="4" s="1"/>
  <c r="BA133" i="4"/>
  <c r="AV133" i="4"/>
  <c r="AX133" i="4" s="1"/>
  <c r="AI150" i="4" l="1"/>
  <c r="AL138" i="4"/>
  <c r="AN138" i="4" s="1"/>
  <c r="AU138" i="4" s="1"/>
  <c r="AH139" i="4"/>
  <c r="AJ161" i="4"/>
  <c r="AS149" i="4"/>
  <c r="AP149" i="4"/>
  <c r="AR149" i="4" s="1"/>
  <c r="AY133" i="4"/>
  <c r="AZ133" i="4" s="1"/>
  <c r="BB133" i="4"/>
  <c r="BC133" i="4" s="1"/>
  <c r="BD133" i="4" s="1"/>
  <c r="D152" i="4" s="1"/>
  <c r="BF133" i="4"/>
  <c r="AH140" i="4" l="1"/>
  <c r="AI151" i="4"/>
  <c r="AL139" i="4"/>
  <c r="AN139" i="4" s="1"/>
  <c r="AO139" i="4" s="1"/>
  <c r="BE139" i="4" s="1"/>
  <c r="AO138" i="4"/>
  <c r="BE138" i="4" s="1"/>
  <c r="AP150" i="4"/>
  <c r="AR150" i="4" s="1"/>
  <c r="AJ162" i="4"/>
  <c r="AS150" i="4"/>
  <c r="BG133" i="4"/>
  <c r="E152" i="4" s="1"/>
  <c r="BA134" i="4"/>
  <c r="AV134" i="4"/>
  <c r="AX134" i="4" s="1"/>
  <c r="AP151" i="4" l="1"/>
  <c r="AR151" i="4" s="1"/>
  <c r="AS151" i="4"/>
  <c r="AH141" i="4"/>
  <c r="AI152" i="4"/>
  <c r="AL140" i="4"/>
  <c r="AN140" i="4" s="1"/>
  <c r="AO140" i="4" s="1"/>
  <c r="BE140" i="4" s="1"/>
  <c r="AY134" i="4"/>
  <c r="AZ134" i="4" s="1"/>
  <c r="BB134" i="4"/>
  <c r="BC134" i="4" s="1"/>
  <c r="BF134" i="4"/>
  <c r="AS152" i="4" l="1"/>
  <c r="AP152" i="4"/>
  <c r="AR152" i="4" s="1"/>
  <c r="AI153" i="4"/>
  <c r="AL141" i="4"/>
  <c r="AN141" i="4" s="1"/>
  <c r="AO141" i="4" s="1"/>
  <c r="BE141" i="4" s="1"/>
  <c r="AH142" i="4"/>
  <c r="BG134" i="4"/>
  <c r="E153" i="4" s="1"/>
  <c r="BA135" i="4"/>
  <c r="AV135" i="4"/>
  <c r="AX135" i="4" s="1"/>
  <c r="BD134" i="4"/>
  <c r="D153" i="4" s="1"/>
  <c r="AP153" i="4" l="1"/>
  <c r="AR153" i="4" s="1"/>
  <c r="AS153" i="4"/>
  <c r="AI154" i="4"/>
  <c r="AL142" i="4"/>
  <c r="AN142" i="4" s="1"/>
  <c r="AO142" i="4" s="1"/>
  <c r="BE142" i="4" s="1"/>
  <c r="AH143" i="4"/>
  <c r="AY135" i="4"/>
  <c r="AZ135" i="4" s="1"/>
  <c r="BF135" i="4"/>
  <c r="BB135" i="4"/>
  <c r="BC135" i="4" s="1"/>
  <c r="BD135" i="4" s="1"/>
  <c r="D154" i="4" s="1"/>
  <c r="AL143" i="4" l="1"/>
  <c r="AN143" i="4" s="1"/>
  <c r="AO143" i="4" s="1"/>
  <c r="BE143" i="4" s="1"/>
  <c r="AH144" i="4"/>
  <c r="AI155" i="4"/>
  <c r="AS154" i="4"/>
  <c r="AP154" i="4"/>
  <c r="AR154" i="4" s="1"/>
  <c r="BG135" i="4"/>
  <c r="E154" i="4" s="1"/>
  <c r="BA136" i="4"/>
  <c r="AV136" i="4"/>
  <c r="AX136" i="4" s="1"/>
  <c r="AH145" i="4" l="1"/>
  <c r="AI156" i="4"/>
  <c r="AL144" i="4"/>
  <c r="AN144" i="4" s="1"/>
  <c r="AO144" i="4" s="1"/>
  <c r="BE144" i="4" s="1"/>
  <c r="AP155" i="4"/>
  <c r="AR155" i="4" s="1"/>
  <c r="AS155" i="4"/>
  <c r="AY136" i="4"/>
  <c r="AZ136" i="4" s="1"/>
  <c r="BB136" i="4"/>
  <c r="BC136" i="4" s="1"/>
  <c r="BD136" i="4" s="1"/>
  <c r="D155" i="4" s="1"/>
  <c r="BF136" i="4"/>
  <c r="AP156" i="4" l="1"/>
  <c r="AR156" i="4" s="1"/>
  <c r="AS156" i="4"/>
  <c r="AI157" i="4"/>
  <c r="AL145" i="4"/>
  <c r="AN145" i="4" s="1"/>
  <c r="AO145" i="4" s="1"/>
  <c r="BE145" i="4" s="1"/>
  <c r="AH146" i="4"/>
  <c r="BG136" i="4"/>
  <c r="E155" i="4" s="1"/>
  <c r="BA137" i="4"/>
  <c r="AV137" i="4"/>
  <c r="AX137" i="4" s="1"/>
  <c r="AI158" i="4" l="1"/>
  <c r="AL146" i="4"/>
  <c r="AN146" i="4" s="1"/>
  <c r="AO146" i="4" s="1"/>
  <c r="BE146" i="4" s="1"/>
  <c r="AH147" i="4"/>
  <c r="AS157" i="4"/>
  <c r="AP157" i="4"/>
  <c r="AR157" i="4" s="1"/>
  <c r="AY137" i="4"/>
  <c r="AZ137" i="4" s="1"/>
  <c r="BF137" i="4"/>
  <c r="BB137" i="4"/>
  <c r="BC137" i="4" s="1"/>
  <c r="BD137" i="4" s="1"/>
  <c r="D156" i="4" s="1"/>
  <c r="AI159" i="4" l="1"/>
  <c r="AH148" i="4"/>
  <c r="AL147" i="4"/>
  <c r="AN147" i="4" s="1"/>
  <c r="AO147" i="4" s="1"/>
  <c r="BE147" i="4" s="1"/>
  <c r="AP158" i="4"/>
  <c r="AR158" i="4" s="1"/>
  <c r="AS158" i="4"/>
  <c r="AV138" i="4"/>
  <c r="AX138" i="4" s="1"/>
  <c r="BA138" i="4"/>
  <c r="BG137" i="4"/>
  <c r="E156" i="4" s="1"/>
  <c r="AL148" i="4" l="1"/>
  <c r="AN148" i="4" s="1"/>
  <c r="AO148" i="4" s="1"/>
  <c r="BE148" i="4" s="1"/>
  <c r="AH149" i="4"/>
  <c r="AI160" i="4"/>
  <c r="AP159" i="4"/>
  <c r="AR159" i="4" s="1"/>
  <c r="AS159" i="4"/>
  <c r="BB138" i="4"/>
  <c r="BC138" i="4" s="1"/>
  <c r="BF138" i="4"/>
  <c r="AY138" i="4"/>
  <c r="AZ138" i="4" s="1"/>
  <c r="BG138" i="4" l="1"/>
  <c r="E157" i="4" s="1"/>
  <c r="AI161" i="4"/>
  <c r="AL149" i="4"/>
  <c r="AN149" i="4" s="1"/>
  <c r="AO149" i="4" s="1"/>
  <c r="BE149" i="4" s="1"/>
  <c r="AH150" i="4"/>
  <c r="AP160" i="4"/>
  <c r="AR160" i="4" s="1"/>
  <c r="AS160" i="4"/>
  <c r="E17" i="4"/>
  <c r="O34" i="4" s="1"/>
  <c r="E31" i="4"/>
  <c r="O31" i="4" s="1"/>
  <c r="BD138" i="4"/>
  <c r="BA139" i="4"/>
  <c r="AV139" i="4"/>
  <c r="AX139" i="4" s="1"/>
  <c r="AL150" i="4" l="1"/>
  <c r="AN150" i="4" s="1"/>
  <c r="AI162" i="4"/>
  <c r="AH151" i="4"/>
  <c r="AP161" i="4"/>
  <c r="AR161" i="4" s="1"/>
  <c r="AS161" i="4"/>
  <c r="BF139" i="4"/>
  <c r="BB139" i="4"/>
  <c r="BC139" i="4" s="1"/>
  <c r="AY139" i="4"/>
  <c r="AZ139" i="4" s="1"/>
  <c r="D17" i="4"/>
  <c r="N34" i="4" s="1"/>
  <c r="D31" i="4"/>
  <c r="N31" i="4" s="1"/>
  <c r="D157" i="4"/>
  <c r="BG139" i="4" l="1"/>
  <c r="E158" i="4" s="1"/>
  <c r="AS162" i="4"/>
  <c r="AP162" i="4"/>
  <c r="AR162" i="4" s="1"/>
  <c r="AH152" i="4"/>
  <c r="AL151" i="4"/>
  <c r="AN151" i="4" s="1"/>
  <c r="AO151" i="4" s="1"/>
  <c r="BE151" i="4" s="1"/>
  <c r="AO150" i="4"/>
  <c r="BE150" i="4" s="1"/>
  <c r="AU150" i="4"/>
  <c r="BA140" i="4"/>
  <c r="AV140" i="4"/>
  <c r="AX140" i="4" s="1"/>
  <c r="BD139" i="4"/>
  <c r="D158" i="4" s="1"/>
  <c r="AL152" i="4" l="1"/>
  <c r="AN152" i="4" s="1"/>
  <c r="AO152" i="4" s="1"/>
  <c r="BE152" i="4" s="1"/>
  <c r="AH153" i="4"/>
  <c r="AY140" i="4"/>
  <c r="AZ140" i="4" s="1"/>
  <c r="BF140" i="4"/>
  <c r="BB140" i="4"/>
  <c r="BC140" i="4" s="1"/>
  <c r="BD140" i="4" s="1"/>
  <c r="D159" i="4" s="1"/>
  <c r="AH154" i="4" l="1"/>
  <c r="AL153" i="4"/>
  <c r="AN153" i="4" s="1"/>
  <c r="AO153" i="4" s="1"/>
  <c r="BE153" i="4" s="1"/>
  <c r="BG140" i="4"/>
  <c r="E159" i="4" s="1"/>
  <c r="BA141" i="4"/>
  <c r="AV141" i="4"/>
  <c r="AX141" i="4" s="1"/>
  <c r="AL154" i="4" l="1"/>
  <c r="AN154" i="4" s="1"/>
  <c r="AO154" i="4" s="1"/>
  <c r="BE154" i="4" s="1"/>
  <c r="AH155" i="4"/>
  <c r="AY141" i="4"/>
  <c r="AZ141" i="4" s="1"/>
  <c r="BB141" i="4"/>
  <c r="BC141" i="4" s="1"/>
  <c r="BF141" i="4"/>
  <c r="AL155" i="4" l="1"/>
  <c r="AN155" i="4" s="1"/>
  <c r="AO155" i="4" s="1"/>
  <c r="BE155" i="4" s="1"/>
  <c r="AH156" i="4"/>
  <c r="BG141" i="4"/>
  <c r="E160" i="4" s="1"/>
  <c r="BA142" i="4"/>
  <c r="AV142" i="4"/>
  <c r="AX142" i="4" s="1"/>
  <c r="BD141" i="4"/>
  <c r="D160" i="4" s="1"/>
  <c r="AH157" i="4" l="1"/>
  <c r="AL156" i="4"/>
  <c r="AN156" i="4" s="1"/>
  <c r="AO156" i="4" s="1"/>
  <c r="BE156" i="4" s="1"/>
  <c r="AY142" i="4"/>
  <c r="AZ142" i="4" s="1"/>
  <c r="BF142" i="4"/>
  <c r="BB142" i="4"/>
  <c r="BC142" i="4" s="1"/>
  <c r="BD142" i="4" s="1"/>
  <c r="D161" i="4" s="1"/>
  <c r="AL157" i="4" l="1"/>
  <c r="AN157" i="4" s="1"/>
  <c r="AO157" i="4" s="1"/>
  <c r="BE157" i="4" s="1"/>
  <c r="AH158" i="4"/>
  <c r="AV143" i="4"/>
  <c r="AX143" i="4" s="1"/>
  <c r="BA143" i="4"/>
  <c r="BG142" i="4"/>
  <c r="E161" i="4" s="1"/>
  <c r="AH159" i="4" l="1"/>
  <c r="AL158" i="4"/>
  <c r="AN158" i="4" s="1"/>
  <c r="AO158" i="4" s="1"/>
  <c r="BE158" i="4" s="1"/>
  <c r="BB143" i="4"/>
  <c r="BC143" i="4" s="1"/>
  <c r="BD143" i="4" s="1"/>
  <c r="D162" i="4" s="1"/>
  <c r="BF143" i="4"/>
  <c r="AY143" i="4"/>
  <c r="AZ143" i="4" s="1"/>
  <c r="BG143" i="4" l="1"/>
  <c r="E162" i="4" s="1"/>
  <c r="AL159" i="4"/>
  <c r="AN159" i="4" s="1"/>
  <c r="AO159" i="4" s="1"/>
  <c r="BE159" i="4" s="1"/>
  <c r="AH160" i="4"/>
  <c r="BA144" i="4"/>
  <c r="AV144" i="4"/>
  <c r="AX144" i="4" s="1"/>
  <c r="AL160" i="4" l="1"/>
  <c r="AN160" i="4" s="1"/>
  <c r="AO160" i="4" s="1"/>
  <c r="BE160" i="4" s="1"/>
  <c r="AH161" i="4"/>
  <c r="AY144" i="4"/>
  <c r="AZ144" i="4" s="1"/>
  <c r="BF144" i="4"/>
  <c r="BB144" i="4"/>
  <c r="BC144" i="4" s="1"/>
  <c r="BG144" i="4" l="1"/>
  <c r="E163" i="4" s="1"/>
  <c r="AL161" i="4"/>
  <c r="AN161" i="4" s="1"/>
  <c r="AO161" i="4" s="1"/>
  <c r="BE161" i="4" s="1"/>
  <c r="AH162" i="4"/>
  <c r="BD144" i="4"/>
  <c r="D163" i="4" s="1"/>
  <c r="BA145" i="4"/>
  <c r="AV145" i="4"/>
  <c r="AX145" i="4" s="1"/>
  <c r="AL162" i="4" l="1"/>
  <c r="AN162" i="4" s="1"/>
  <c r="AO162" i="4" s="1"/>
  <c r="BE162" i="4" s="1"/>
  <c r="AY145" i="4"/>
  <c r="AZ145" i="4" s="1"/>
  <c r="BB145" i="4"/>
  <c r="BC145" i="4" s="1"/>
  <c r="BD145" i="4" s="1"/>
  <c r="D164" i="4" s="1"/>
  <c r="BF145" i="4"/>
  <c r="BG145" i="4" l="1"/>
  <c r="E164" i="4" s="1"/>
  <c r="AV146" i="4"/>
  <c r="AX146" i="4" s="1"/>
  <c r="BA146" i="4"/>
  <c r="BB146" i="4" l="1"/>
  <c r="BC146" i="4" s="1"/>
  <c r="BD146" i="4" s="1"/>
  <c r="D165" i="4" s="1"/>
  <c r="BF146" i="4"/>
  <c r="AY146" i="4"/>
  <c r="AZ146" i="4" s="1"/>
  <c r="BG146" i="4" l="1"/>
  <c r="E165" i="4" s="1"/>
  <c r="BA147" i="4"/>
  <c r="AV147" i="4"/>
  <c r="AX147" i="4" s="1"/>
  <c r="AY147" i="4" l="1"/>
  <c r="AZ147" i="4" s="1"/>
  <c r="BF147" i="4"/>
  <c r="BB147" i="4"/>
  <c r="BC147" i="4" s="1"/>
  <c r="BG147" i="4" l="1"/>
  <c r="E166" i="4" s="1"/>
  <c r="BD147" i="4"/>
  <c r="D166" i="4" s="1"/>
  <c r="BA148" i="4"/>
  <c r="AV148" i="4"/>
  <c r="AX148" i="4" s="1"/>
  <c r="AY148" i="4" l="1"/>
  <c r="AZ148" i="4" s="1"/>
  <c r="BF148" i="4"/>
  <c r="BB148" i="4"/>
  <c r="BC148" i="4" s="1"/>
  <c r="BG148" i="4" l="1"/>
  <c r="E167" i="4" s="1"/>
  <c r="BD148" i="4"/>
  <c r="D167" i="4" s="1"/>
  <c r="BA149" i="4"/>
  <c r="AV149" i="4"/>
  <c r="AX149" i="4" s="1"/>
  <c r="AY149" i="4" l="1"/>
  <c r="AZ149" i="4" s="1"/>
  <c r="BB149" i="4"/>
  <c r="BC149" i="4" s="1"/>
  <c r="BD149" i="4" s="1"/>
  <c r="D168" i="4" s="1"/>
  <c r="BF149" i="4"/>
  <c r="BG149" i="4" l="1"/>
  <c r="E168" i="4" s="1"/>
  <c r="AV150" i="4"/>
  <c r="AX150" i="4" s="1"/>
  <c r="BA150" i="4"/>
  <c r="BF150" i="4" l="1"/>
  <c r="BB150" i="4"/>
  <c r="BC150" i="4" s="1"/>
  <c r="BD150" i="4" s="1"/>
  <c r="AY150" i="4"/>
  <c r="AZ150" i="4" s="1"/>
  <c r="D169" i="4" l="1"/>
  <c r="D32" i="4"/>
  <c r="N32" i="4" s="1"/>
  <c r="AV151" i="4"/>
  <c r="AX151" i="4" s="1"/>
  <c r="BA151" i="4"/>
  <c r="BG150" i="4"/>
  <c r="E169" i="4" l="1"/>
  <c r="E32" i="4"/>
  <c r="O32" i="4" s="1"/>
  <c r="BB151" i="4"/>
  <c r="BC151" i="4" s="1"/>
  <c r="BF151" i="4"/>
  <c r="AY151" i="4"/>
  <c r="AZ151" i="4" s="1"/>
  <c r="BG151" i="4" l="1"/>
  <c r="E170" i="4" s="1"/>
  <c r="BA152" i="4"/>
  <c r="AV152" i="4"/>
  <c r="AX152" i="4" s="1"/>
  <c r="BD151" i="4"/>
  <c r="D170" i="4" s="1"/>
  <c r="AY152" i="4" l="1"/>
  <c r="AZ152" i="4" s="1"/>
  <c r="BB152" i="4"/>
  <c r="BC152" i="4" s="1"/>
  <c r="BD152" i="4" s="1"/>
  <c r="D171" i="4" s="1"/>
  <c r="BF152" i="4"/>
  <c r="BG152" i="4" l="1"/>
  <c r="E171" i="4" s="1"/>
  <c r="BA153" i="4"/>
  <c r="AV153" i="4"/>
  <c r="AX153" i="4" s="1"/>
  <c r="AY153" i="4" l="1"/>
  <c r="AZ153" i="4" s="1"/>
  <c r="BB153" i="4"/>
  <c r="BC153" i="4" s="1"/>
  <c r="BF153" i="4"/>
  <c r="BG153" i="4" l="1"/>
  <c r="E172" i="4" s="1"/>
  <c r="BD153" i="4"/>
  <c r="D172" i="4" s="1"/>
  <c r="BA154" i="4"/>
  <c r="AV154" i="4"/>
  <c r="AX154" i="4" s="1"/>
  <c r="AY154" i="4" l="1"/>
  <c r="AZ154" i="4" s="1"/>
  <c r="BF154" i="4"/>
  <c r="BB154" i="4"/>
  <c r="BC154" i="4" s="1"/>
  <c r="BD154" i="4" s="1"/>
  <c r="D173" i="4" s="1"/>
  <c r="BG154" i="4" l="1"/>
  <c r="E173" i="4" s="1"/>
  <c r="BA155" i="4"/>
  <c r="AV155" i="4"/>
  <c r="AX155" i="4" s="1"/>
  <c r="AY155" i="4" l="1"/>
  <c r="AZ155" i="4" s="1"/>
  <c r="BB155" i="4"/>
  <c r="BC155" i="4" s="1"/>
  <c r="BD155" i="4" s="1"/>
  <c r="D174" i="4" s="1"/>
  <c r="BF155" i="4"/>
  <c r="BG155" i="4" l="1"/>
  <c r="E174" i="4" s="1"/>
  <c r="BA156" i="4"/>
  <c r="AV156" i="4"/>
  <c r="AX156" i="4" s="1"/>
  <c r="AY156" i="4" l="1"/>
  <c r="AZ156" i="4" s="1"/>
  <c r="BB156" i="4"/>
  <c r="BC156" i="4" s="1"/>
  <c r="BD156" i="4" s="1"/>
  <c r="D175" i="4" s="1"/>
  <c r="BF156" i="4"/>
  <c r="BG156" i="4" l="1"/>
  <c r="E175" i="4" s="1"/>
  <c r="BA157" i="4"/>
  <c r="AV157" i="4"/>
  <c r="AX157" i="4" s="1"/>
  <c r="AY157" i="4" l="1"/>
  <c r="AZ157" i="4" s="1"/>
  <c r="BF157" i="4"/>
  <c r="BB157" i="4"/>
  <c r="BC157" i="4" s="1"/>
  <c r="BG157" i="4" l="1"/>
  <c r="E176" i="4" s="1"/>
  <c r="BD157" i="4"/>
  <c r="D176" i="4" s="1"/>
  <c r="BA158" i="4"/>
  <c r="AV158" i="4"/>
  <c r="AX158" i="4" s="1"/>
  <c r="AY158" i="4" l="1"/>
  <c r="AZ158" i="4" s="1"/>
  <c r="BB158" i="4"/>
  <c r="BC158" i="4" s="1"/>
  <c r="BF158" i="4"/>
  <c r="BG158" i="4" l="1"/>
  <c r="E177" i="4" s="1"/>
  <c r="BD158" i="4"/>
  <c r="D177" i="4" s="1"/>
  <c r="BA159" i="4"/>
  <c r="AV159" i="4"/>
  <c r="AX159" i="4" s="1"/>
  <c r="AY159" i="4" l="1"/>
  <c r="AZ159" i="4" s="1"/>
  <c r="BF159" i="4"/>
  <c r="BB159" i="4"/>
  <c r="BC159" i="4" s="1"/>
  <c r="BD159" i="4" s="1"/>
  <c r="D178" i="4" s="1"/>
  <c r="BG159" i="4" l="1"/>
  <c r="E178" i="4" s="1"/>
  <c r="BA160" i="4"/>
  <c r="AV160" i="4"/>
  <c r="AX160" i="4" s="1"/>
  <c r="AY160" i="4" l="1"/>
  <c r="AZ160" i="4" s="1"/>
  <c r="BB160" i="4"/>
  <c r="BC160" i="4" s="1"/>
  <c r="BD160" i="4" s="1"/>
  <c r="D179" i="4" s="1"/>
  <c r="BF160" i="4"/>
  <c r="BG160" i="4" l="1"/>
  <c r="E179" i="4" s="1"/>
  <c r="BA161" i="4"/>
  <c r="AV161" i="4"/>
  <c r="AX161" i="4" s="1"/>
  <c r="AY161" i="4" l="1"/>
  <c r="AZ161" i="4" s="1"/>
  <c r="BA162" i="4" s="1"/>
  <c r="BB161" i="4"/>
  <c r="BC161" i="4" s="1"/>
  <c r="BF161" i="4"/>
  <c r="BG161" i="4" l="1"/>
  <c r="E180" i="4" s="1"/>
  <c r="BD161" i="4"/>
  <c r="D180" i="4" s="1"/>
  <c r="BB162" i="4"/>
  <c r="BC162" i="4" s="1"/>
  <c r="BD162" i="4" s="1"/>
  <c r="BF162" i="4"/>
  <c r="D181" i="4" l="1"/>
  <c r="D33" i="4"/>
  <c r="N33" i="4" s="1"/>
  <c r="BG162" i="4"/>
  <c r="E33" i="4" l="1"/>
  <c r="O33" i="4" s="1"/>
  <c r="E181" i="4"/>
  <c r="AL53" i="5"/>
  <c r="AM53" i="5" s="1"/>
  <c r="AQ53" i="5" s="1"/>
  <c r="C54" i="5" s="1"/>
  <c r="O54" i="5" s="1"/>
  <c r="AL51" i="5"/>
  <c r="AM51" i="5" s="1"/>
  <c r="AQ51" i="5" s="1"/>
  <c r="C52" i="5" s="1"/>
  <c r="O52" i="5" s="1"/>
  <c r="AL52" i="5"/>
  <c r="AM52" i="5" s="1"/>
  <c r="AQ52" i="5" s="1"/>
  <c r="C53" i="5" s="1"/>
  <c r="O53" i="5" s="1"/>
  <c r="AL45" i="5"/>
  <c r="AM45" i="5" s="1"/>
  <c r="AQ45" i="5" s="1"/>
  <c r="C46" i="5" s="1"/>
  <c r="O46" i="5" s="1"/>
  <c r="AL47" i="5"/>
  <c r="AM47" i="5" s="1"/>
  <c r="AQ47" i="5" s="1"/>
  <c r="C48" i="5" s="1"/>
  <c r="O48" i="5" s="1"/>
  <c r="AL48" i="5"/>
  <c r="AM48" i="5" s="1"/>
  <c r="AQ48" i="5" s="1"/>
  <c r="C49" i="5" s="1"/>
  <c r="O49" i="5" s="1"/>
  <c r="AL50" i="5"/>
  <c r="AM50" i="5" s="1"/>
  <c r="AQ50" i="5" s="1"/>
  <c r="C51" i="5" s="1"/>
  <c r="O51" i="5" s="1"/>
  <c r="AL46" i="5"/>
  <c r="AM46" i="5" s="1"/>
  <c r="AQ46" i="5" s="1"/>
  <c r="C47" i="5" s="1"/>
  <c r="O47" i="5" s="1"/>
  <c r="AL54" i="5"/>
  <c r="AM54" i="5" s="1"/>
  <c r="AQ54" i="5" s="1"/>
  <c r="C55" i="5" s="1"/>
  <c r="O55" i="5" s="1"/>
  <c r="AL49" i="5"/>
  <c r="AM49" i="5" s="1"/>
  <c r="AQ49" i="5" s="1"/>
  <c r="C50" i="5" s="1"/>
  <c r="O50" i="5" s="1"/>
  <c r="AE56" i="5" l="1"/>
  <c r="AF56" i="5"/>
  <c r="AF57" i="5" s="1"/>
  <c r="AF58" i="5" s="1"/>
  <c r="AF59" i="5" s="1"/>
  <c r="AF60" i="5" s="1"/>
  <c r="AF61" i="5" s="1"/>
  <c r="AF62" i="5" s="1"/>
  <c r="AF63" i="5" s="1"/>
  <c r="AF64" i="5" s="1"/>
  <c r="AF65" i="5" s="1"/>
  <c r="AF66" i="5" s="1"/>
  <c r="AF67" i="5" s="1"/>
  <c r="AE57" i="5" l="1"/>
  <c r="AG56" i="5"/>
  <c r="AH56" i="5" l="1"/>
  <c r="AJ56" i="5" s="1"/>
  <c r="AG57" i="5"/>
  <c r="AE58" i="5"/>
  <c r="AL57" i="5"/>
  <c r="AE59" i="5" l="1"/>
  <c r="AL58" i="5"/>
  <c r="AH57" i="5"/>
  <c r="AJ57" i="5" s="1"/>
  <c r="AG58" i="5"/>
  <c r="AN56" i="5"/>
  <c r="AP56" i="5" s="1"/>
  <c r="AL56" i="5"/>
  <c r="AM56" i="5" s="1"/>
  <c r="AQ56" i="5" s="1"/>
  <c r="C57" i="5" s="1"/>
  <c r="O57" i="5" s="1"/>
  <c r="AG59" i="5" l="1"/>
  <c r="AH58" i="5"/>
  <c r="AJ58" i="5" s="1"/>
  <c r="AN57" i="5"/>
  <c r="AP57" i="5" s="1"/>
  <c r="AM57" i="5"/>
  <c r="AQ57" i="5" s="1"/>
  <c r="C58" i="5" s="1"/>
  <c r="O58" i="5" s="1"/>
  <c r="AE60" i="5"/>
  <c r="AL59" i="5"/>
  <c r="AN58" i="5" l="1"/>
  <c r="AP58" i="5" s="1"/>
  <c r="AM58" i="5"/>
  <c r="AQ58" i="5" s="1"/>
  <c r="C59" i="5" s="1"/>
  <c r="O59" i="5" s="1"/>
  <c r="AE61" i="5"/>
  <c r="AL60" i="5"/>
  <c r="AH59" i="5"/>
  <c r="AJ59" i="5" s="1"/>
  <c r="AG60" i="5"/>
  <c r="AN59" i="5" l="1"/>
  <c r="AP59" i="5" s="1"/>
  <c r="AM59" i="5"/>
  <c r="AQ59" i="5" s="1"/>
  <c r="C60" i="5" s="1"/>
  <c r="O60" i="5" s="1"/>
  <c r="AG61" i="5"/>
  <c r="AH60" i="5"/>
  <c r="AJ60" i="5" s="1"/>
  <c r="AE62" i="5"/>
  <c r="AL61" i="5"/>
  <c r="AN60" i="5" l="1"/>
  <c r="AP60" i="5" s="1"/>
  <c r="AM60" i="5"/>
  <c r="AQ60" i="5" s="1"/>
  <c r="C61" i="5" s="1"/>
  <c r="O61" i="5" s="1"/>
  <c r="AG62" i="5"/>
  <c r="AH61" i="5"/>
  <c r="AJ61" i="5" s="1"/>
  <c r="AE63" i="5"/>
  <c r="AL62" i="5"/>
  <c r="AE64" i="5" l="1"/>
  <c r="AL63" i="5"/>
  <c r="AN61" i="5"/>
  <c r="AP61" i="5" s="1"/>
  <c r="AM61" i="5"/>
  <c r="AQ61" i="5" s="1"/>
  <c r="C62" i="5" s="1"/>
  <c r="O62" i="5" s="1"/>
  <c r="AG63" i="5"/>
  <c r="AH62" i="5"/>
  <c r="AJ62" i="5" s="1"/>
  <c r="AG64" i="5" l="1"/>
  <c r="AH63" i="5"/>
  <c r="AJ63" i="5" s="1"/>
  <c r="AE65" i="5"/>
  <c r="AL64" i="5"/>
  <c r="AN62" i="5"/>
  <c r="AP62" i="5" s="1"/>
  <c r="AM62" i="5"/>
  <c r="AQ62" i="5" s="1"/>
  <c r="C63" i="5" s="1"/>
  <c r="O63" i="5" s="1"/>
  <c r="AE66" i="5" l="1"/>
  <c r="AL65" i="5"/>
  <c r="AN63" i="5"/>
  <c r="AP63" i="5" s="1"/>
  <c r="AM63" i="5"/>
  <c r="AQ63" i="5" s="1"/>
  <c r="C64" i="5" s="1"/>
  <c r="O64" i="5" s="1"/>
  <c r="AG65" i="5"/>
  <c r="AH64" i="5"/>
  <c r="AJ64" i="5" s="1"/>
  <c r="AN64" i="5" l="1"/>
  <c r="AP64" i="5" s="1"/>
  <c r="AM64" i="5"/>
  <c r="AQ64" i="5" s="1"/>
  <c r="C65" i="5" s="1"/>
  <c r="O65" i="5" s="1"/>
  <c r="AG66" i="5"/>
  <c r="AH65" i="5"/>
  <c r="AJ65" i="5" s="1"/>
  <c r="AE67" i="5"/>
  <c r="AL66" i="5"/>
  <c r="AN65" i="5" l="1"/>
  <c r="AP65" i="5" s="1"/>
  <c r="AM65" i="5"/>
  <c r="AQ65" i="5" s="1"/>
  <c r="C66" i="5" s="1"/>
  <c r="O66" i="5" s="1"/>
  <c r="AG67" i="5"/>
  <c r="AH67" i="5" s="1"/>
  <c r="AJ67" i="5" s="1"/>
  <c r="AH66" i="5"/>
  <c r="AJ66" i="5" s="1"/>
  <c r="AN67" i="5" l="1"/>
  <c r="AM67" i="5"/>
  <c r="AN66" i="5"/>
  <c r="AP66" i="5" s="1"/>
  <c r="AM66" i="5"/>
  <c r="AQ66" i="5" s="1"/>
  <c r="C67" i="5" s="1"/>
  <c r="O67" i="5" s="1"/>
  <c r="AP67" i="5" l="1"/>
  <c r="AQ67" i="5"/>
  <c r="C68" i="5" s="1"/>
  <c r="O68" i="5" s="1"/>
  <c r="C10" i="5" l="1"/>
  <c r="C26" i="5" s="1"/>
  <c r="AE68" i="5"/>
  <c r="AE69" i="5" s="1"/>
  <c r="AE70" i="5" s="1"/>
  <c r="AE71" i="5" s="1"/>
  <c r="AE72" i="5" s="1"/>
  <c r="AE73" i="5" s="1"/>
  <c r="AE74" i="5" s="1"/>
  <c r="AE75" i="5" s="1"/>
  <c r="AE76" i="5" s="1"/>
  <c r="AE77" i="5" s="1"/>
  <c r="AE78" i="5" s="1"/>
  <c r="AE79" i="5" s="1"/>
  <c r="AF68" i="5"/>
  <c r="AF69" i="5" s="1"/>
  <c r="AF70" i="5" s="1"/>
  <c r="AF71" i="5" s="1"/>
  <c r="AF72" i="5" s="1"/>
  <c r="AF73" i="5" s="1"/>
  <c r="AF74" i="5" s="1"/>
  <c r="AF75" i="5" s="1"/>
  <c r="AF76" i="5" s="1"/>
  <c r="AF77" i="5" s="1"/>
  <c r="AF78" i="5" s="1"/>
  <c r="AF79" i="5" s="1"/>
  <c r="AL70" i="5" l="1"/>
  <c r="AL69" i="5"/>
  <c r="AG68" i="5"/>
  <c r="AG69" i="5" s="1"/>
  <c r="AG70" i="5" s="1"/>
  <c r="AH70" i="5" s="1"/>
  <c r="AJ70" i="5" s="1"/>
  <c r="AN70" i="5" s="1"/>
  <c r="AL71" i="5"/>
  <c r="AG71" i="5" l="1"/>
  <c r="AH68" i="5"/>
  <c r="AJ68" i="5" s="1"/>
  <c r="AN68" i="5" s="1"/>
  <c r="AP68" i="5" s="1"/>
  <c r="AH69" i="5"/>
  <c r="AJ69" i="5" s="1"/>
  <c r="AN69" i="5" s="1"/>
  <c r="AL72" i="5"/>
  <c r="AM70" i="5"/>
  <c r="AG72" i="5"/>
  <c r="AH71" i="5"/>
  <c r="AJ71" i="5" s="1"/>
  <c r="AN71" i="5" s="1"/>
  <c r="AL68" i="5" l="1"/>
  <c r="AM68" i="5" s="1"/>
  <c r="AQ68" i="5" s="1"/>
  <c r="C69" i="5" s="1"/>
  <c r="O69" i="5" s="1"/>
  <c r="AP69" i="5"/>
  <c r="AP70" i="5" s="1"/>
  <c r="AP71" i="5" s="1"/>
  <c r="AM69" i="5"/>
  <c r="AQ69" i="5" s="1"/>
  <c r="C70" i="5" s="1"/>
  <c r="O70" i="5" s="1"/>
  <c r="AG73" i="5"/>
  <c r="AH72" i="5"/>
  <c r="AJ72" i="5" s="1"/>
  <c r="AN72" i="5" s="1"/>
  <c r="AM71" i="5"/>
  <c r="AL73" i="5"/>
  <c r="AQ71" i="5" l="1"/>
  <c r="C72" i="5" s="1"/>
  <c r="O72" i="5" s="1"/>
  <c r="AQ70" i="5"/>
  <c r="C71" i="5" s="1"/>
  <c r="O71" i="5" s="1"/>
  <c r="AP72" i="5"/>
  <c r="AL74" i="5"/>
  <c r="AM72" i="5"/>
  <c r="AQ72" i="5" s="1"/>
  <c r="C73" i="5" s="1"/>
  <c r="O73" i="5" s="1"/>
  <c r="AH73" i="5"/>
  <c r="AJ73" i="5" s="1"/>
  <c r="AN73" i="5" s="1"/>
  <c r="AG74" i="5"/>
  <c r="AP73" i="5" l="1"/>
  <c r="AH74" i="5"/>
  <c r="AJ74" i="5" s="1"/>
  <c r="AN74" i="5" s="1"/>
  <c r="AG75" i="5"/>
  <c r="AM73" i="5"/>
  <c r="AQ73" i="5" s="1"/>
  <c r="C74" i="5" s="1"/>
  <c r="O74" i="5" s="1"/>
  <c r="AL75" i="5"/>
  <c r="AP74" i="5" l="1"/>
  <c r="AL76" i="5"/>
  <c r="AG76" i="5"/>
  <c r="AH75" i="5"/>
  <c r="AJ75" i="5" s="1"/>
  <c r="AN75" i="5" s="1"/>
  <c r="AM74" i="5"/>
  <c r="AQ74" i="5" s="1"/>
  <c r="C75" i="5" s="1"/>
  <c r="O75" i="5" s="1"/>
  <c r="AP75" i="5" l="1"/>
  <c r="AG77" i="5"/>
  <c r="AH76" i="5"/>
  <c r="AJ76" i="5" s="1"/>
  <c r="AN76" i="5" s="1"/>
  <c r="AM75" i="5"/>
  <c r="AQ75" i="5" s="1"/>
  <c r="C76" i="5" s="1"/>
  <c r="O76" i="5" s="1"/>
  <c r="AL77" i="5"/>
  <c r="AP76" i="5" l="1"/>
  <c r="AL78" i="5"/>
  <c r="AM76" i="5"/>
  <c r="AQ76" i="5" s="1"/>
  <c r="C77" i="5" s="1"/>
  <c r="O77" i="5" s="1"/>
  <c r="AG78" i="5"/>
  <c r="AH77" i="5"/>
  <c r="AJ77" i="5" s="1"/>
  <c r="AN77" i="5" s="1"/>
  <c r="AP77" i="5" l="1"/>
  <c r="AM77" i="5"/>
  <c r="AQ77" i="5" s="1"/>
  <c r="C78" i="5" s="1"/>
  <c r="O78" i="5" s="1"/>
  <c r="AH78" i="5"/>
  <c r="AJ78" i="5" s="1"/>
  <c r="AN78" i="5" s="1"/>
  <c r="AG79" i="5"/>
  <c r="AH79" i="5" s="1"/>
  <c r="AJ79" i="5" s="1"/>
  <c r="AN79" i="5" s="1"/>
  <c r="AP78" i="5" l="1"/>
  <c r="AP79" i="5" s="1"/>
  <c r="AM79" i="5"/>
  <c r="AM78" i="5"/>
  <c r="AQ78" i="5" s="1"/>
  <c r="C79" i="5" s="1"/>
  <c r="O79" i="5" s="1"/>
  <c r="AQ79" i="5" l="1"/>
  <c r="C11" i="5" l="1"/>
  <c r="C27" i="5" s="1"/>
  <c r="C80" i="5"/>
  <c r="O80" i="5" s="1"/>
  <c r="AE80" i="5" l="1"/>
  <c r="AF80" i="5"/>
  <c r="AF81" i="5" s="1"/>
  <c r="AF82" i="5" s="1"/>
  <c r="AF83" i="5" s="1"/>
  <c r="AF84" i="5" s="1"/>
  <c r="AF85" i="5" s="1"/>
  <c r="AF86" i="5" s="1"/>
  <c r="AF87" i="5" s="1"/>
  <c r="AF88" i="5" s="1"/>
  <c r="AF89" i="5" s="1"/>
  <c r="AF90" i="5" s="1"/>
  <c r="AF91" i="5" s="1"/>
  <c r="AE81" i="5" l="1"/>
  <c r="AG80" i="5"/>
  <c r="AH80" i="5" l="1"/>
  <c r="AJ80" i="5" s="1"/>
  <c r="AG81" i="5"/>
  <c r="AE82" i="5"/>
  <c r="AL81" i="5"/>
  <c r="AE83" i="5" l="1"/>
  <c r="AL82" i="5"/>
  <c r="AG82" i="5"/>
  <c r="AH81" i="5"/>
  <c r="AJ81" i="5" s="1"/>
  <c r="AN80" i="5"/>
  <c r="AP80" i="5" s="1"/>
  <c r="AL80" i="5"/>
  <c r="AM80" i="5" s="1"/>
  <c r="AQ80" i="5" s="1"/>
  <c r="C81" i="5" s="1"/>
  <c r="O81" i="5" s="1"/>
  <c r="AN81" i="5" l="1"/>
  <c r="AP81" i="5" s="1"/>
  <c r="AM81" i="5"/>
  <c r="AQ81" i="5" s="1"/>
  <c r="C82" i="5" s="1"/>
  <c r="O82" i="5" s="1"/>
  <c r="AG83" i="5"/>
  <c r="AH82" i="5"/>
  <c r="AJ82" i="5" s="1"/>
  <c r="AE84" i="5"/>
  <c r="AL83" i="5"/>
  <c r="AN82" i="5" l="1"/>
  <c r="AP82" i="5" s="1"/>
  <c r="AM82" i="5"/>
  <c r="AQ82" i="5" s="1"/>
  <c r="C83" i="5" s="1"/>
  <c r="O83" i="5" s="1"/>
  <c r="AE85" i="5"/>
  <c r="AL84" i="5"/>
  <c r="AG84" i="5"/>
  <c r="AH83" i="5"/>
  <c r="AJ83" i="5" s="1"/>
  <c r="AN83" i="5" l="1"/>
  <c r="AP83" i="5" s="1"/>
  <c r="AM83" i="5"/>
  <c r="AQ83" i="5" s="1"/>
  <c r="C84" i="5" s="1"/>
  <c r="O84" i="5" s="1"/>
  <c r="AE86" i="5"/>
  <c r="AL85" i="5"/>
  <c r="AH84" i="5"/>
  <c r="AJ84" i="5" s="1"/>
  <c r="AG85" i="5"/>
  <c r="AH85" i="5" l="1"/>
  <c r="AJ85" i="5" s="1"/>
  <c r="AG86" i="5"/>
  <c r="AN84" i="5"/>
  <c r="AP84" i="5" s="1"/>
  <c r="AM84" i="5"/>
  <c r="AQ84" i="5" s="1"/>
  <c r="C85" i="5" s="1"/>
  <c r="O85" i="5" s="1"/>
  <c r="AE87" i="5"/>
  <c r="AL86" i="5"/>
  <c r="AN85" i="5" l="1"/>
  <c r="AP85" i="5" s="1"/>
  <c r="AM85" i="5"/>
  <c r="AQ85" i="5" s="1"/>
  <c r="C86" i="5" s="1"/>
  <c r="O86" i="5" s="1"/>
  <c r="AE88" i="5"/>
  <c r="AL87" i="5"/>
  <c r="AH86" i="5"/>
  <c r="AJ86" i="5" s="1"/>
  <c r="AG87" i="5"/>
  <c r="AN86" i="5" l="1"/>
  <c r="AP86" i="5" s="1"/>
  <c r="AM86" i="5"/>
  <c r="AQ86" i="5" s="1"/>
  <c r="C87" i="5" s="1"/>
  <c r="O87" i="5" s="1"/>
  <c r="AG88" i="5"/>
  <c r="AH87" i="5"/>
  <c r="AJ87" i="5" s="1"/>
  <c r="AE89" i="5"/>
  <c r="AL88" i="5"/>
  <c r="AN87" i="5" l="1"/>
  <c r="AP87" i="5" s="1"/>
  <c r="AM87" i="5"/>
  <c r="AQ87" i="5" s="1"/>
  <c r="C88" i="5" s="1"/>
  <c r="O88" i="5" s="1"/>
  <c r="AG89" i="5"/>
  <c r="AH88" i="5"/>
  <c r="AJ88" i="5" s="1"/>
  <c r="AE90" i="5"/>
  <c r="AL89" i="5"/>
  <c r="AN88" i="5" l="1"/>
  <c r="AP88" i="5" s="1"/>
  <c r="AM88" i="5"/>
  <c r="AQ88" i="5" s="1"/>
  <c r="C89" i="5" s="1"/>
  <c r="O89" i="5" s="1"/>
  <c r="AG90" i="5"/>
  <c r="AH89" i="5"/>
  <c r="AJ89" i="5" s="1"/>
  <c r="AE91" i="5"/>
  <c r="AL90" i="5"/>
  <c r="AN89" i="5" l="1"/>
  <c r="AP89" i="5" s="1"/>
  <c r="AM89" i="5"/>
  <c r="AQ89" i="5" s="1"/>
  <c r="C90" i="5" s="1"/>
  <c r="O90" i="5" s="1"/>
  <c r="AG91" i="5"/>
  <c r="AH91" i="5" s="1"/>
  <c r="AJ91" i="5" s="1"/>
  <c r="AH90" i="5"/>
  <c r="AJ90" i="5" s="1"/>
  <c r="AN91" i="5" l="1"/>
  <c r="AM91" i="5"/>
  <c r="AN90" i="5"/>
  <c r="AP90" i="5" s="1"/>
  <c r="AM90" i="5"/>
  <c r="AQ90" i="5" s="1"/>
  <c r="C91" i="5" s="1"/>
  <c r="O91" i="5" s="1"/>
  <c r="AP91" i="5" l="1"/>
  <c r="AF92" i="5" s="1"/>
  <c r="AF93" i="5" s="1"/>
  <c r="AF94" i="5" s="1"/>
  <c r="AF95" i="5" s="1"/>
  <c r="AF96" i="5" s="1"/>
  <c r="AF97" i="5" s="1"/>
  <c r="AF98" i="5" s="1"/>
  <c r="AF99" i="5" s="1"/>
  <c r="AF100" i="5" s="1"/>
  <c r="AF101" i="5" s="1"/>
  <c r="AF102" i="5" s="1"/>
  <c r="AF103" i="5" s="1"/>
  <c r="AQ91" i="5"/>
  <c r="AE92" i="5" l="1"/>
  <c r="AE93" i="5" s="1"/>
  <c r="C92" i="5"/>
  <c r="O92" i="5" s="1"/>
  <c r="C12" i="5"/>
  <c r="C28" i="5" s="1"/>
  <c r="AG92" i="5" l="1"/>
  <c r="AG93" i="5" s="1"/>
  <c r="AE94" i="5"/>
  <c r="AL93" i="5"/>
  <c r="AH92" i="5" l="1"/>
  <c r="AJ92" i="5" s="1"/>
  <c r="AN92" i="5" s="1"/>
  <c r="AP92" i="5" s="1"/>
  <c r="AE95" i="5"/>
  <c r="AL94" i="5"/>
  <c r="AL92" i="5"/>
  <c r="AM92" i="5" s="1"/>
  <c r="AQ92" i="5" s="1"/>
  <c r="C93" i="5" s="1"/>
  <c r="O93" i="5" s="1"/>
  <c r="AH93" i="5"/>
  <c r="AJ93" i="5" s="1"/>
  <c r="AG94" i="5"/>
  <c r="AN93" i="5" l="1"/>
  <c r="AP93" i="5" s="1"/>
  <c r="AM93" i="5"/>
  <c r="AQ93" i="5" s="1"/>
  <c r="AH94" i="5"/>
  <c r="AJ94" i="5" s="1"/>
  <c r="AG95" i="5"/>
  <c r="AE96" i="5"/>
  <c r="AL95" i="5"/>
  <c r="AN94" i="5" l="1"/>
  <c r="AP94" i="5" s="1"/>
  <c r="AM94" i="5"/>
  <c r="AQ94" i="5" s="1"/>
  <c r="C95" i="5" s="1"/>
  <c r="O95" i="5" s="1"/>
  <c r="AE97" i="5"/>
  <c r="AL96" i="5"/>
  <c r="AG96" i="5"/>
  <c r="AH95" i="5"/>
  <c r="AJ95" i="5" s="1"/>
  <c r="C4" i="5"/>
  <c r="C94" i="5"/>
  <c r="O94" i="5" s="1"/>
  <c r="AG97" i="5" l="1"/>
  <c r="AH96" i="5"/>
  <c r="AJ96" i="5" s="1"/>
  <c r="AE98" i="5"/>
  <c r="AL97" i="5"/>
  <c r="AN95" i="5"/>
  <c r="AP95" i="5" s="1"/>
  <c r="AM95" i="5"/>
  <c r="AQ95" i="5" s="1"/>
  <c r="C96" i="5" s="1"/>
  <c r="O96" i="5" s="1"/>
  <c r="AN96" i="5" l="1"/>
  <c r="AP96" i="5" s="1"/>
  <c r="AM96" i="5"/>
  <c r="AQ96" i="5" s="1"/>
  <c r="C97" i="5" s="1"/>
  <c r="O97" i="5" s="1"/>
  <c r="AE99" i="5"/>
  <c r="AL98" i="5"/>
  <c r="AG98" i="5"/>
  <c r="AH97" i="5"/>
  <c r="AJ97" i="5" s="1"/>
  <c r="AG99" i="5" l="1"/>
  <c r="AH98" i="5"/>
  <c r="AJ98" i="5" s="1"/>
  <c r="AE100" i="5"/>
  <c r="AL99" i="5"/>
  <c r="AN97" i="5"/>
  <c r="AP97" i="5" s="1"/>
  <c r="AM97" i="5"/>
  <c r="AQ97" i="5" s="1"/>
  <c r="C98" i="5" s="1"/>
  <c r="O98" i="5" s="1"/>
  <c r="AE101" i="5" l="1"/>
  <c r="AL100" i="5"/>
  <c r="AG100" i="5"/>
  <c r="AH99" i="5"/>
  <c r="AJ99" i="5" s="1"/>
  <c r="AN98" i="5"/>
  <c r="AP98" i="5" s="1"/>
  <c r="AM98" i="5"/>
  <c r="AQ98" i="5" s="1"/>
  <c r="C99" i="5" s="1"/>
  <c r="O99" i="5" s="1"/>
  <c r="AN99" i="5" l="1"/>
  <c r="AP99" i="5" s="1"/>
  <c r="AM99" i="5"/>
  <c r="AQ99" i="5" s="1"/>
  <c r="C100" i="5" s="1"/>
  <c r="O100" i="5" s="1"/>
  <c r="AG101" i="5"/>
  <c r="AH100" i="5"/>
  <c r="AJ100" i="5" s="1"/>
  <c r="AE102" i="5"/>
  <c r="AL101" i="5"/>
  <c r="AN100" i="5" l="1"/>
  <c r="AP100" i="5" s="1"/>
  <c r="AM100" i="5"/>
  <c r="AQ100" i="5" s="1"/>
  <c r="C101" i="5" s="1"/>
  <c r="O101" i="5" s="1"/>
  <c r="AG102" i="5"/>
  <c r="AH101" i="5"/>
  <c r="AJ101" i="5" s="1"/>
  <c r="AE103" i="5"/>
  <c r="AL102" i="5"/>
  <c r="AG103" i="5" l="1"/>
  <c r="AH103" i="5" s="1"/>
  <c r="AJ103" i="5" s="1"/>
  <c r="AH102" i="5"/>
  <c r="AJ102" i="5" s="1"/>
  <c r="AN101" i="5"/>
  <c r="AP101" i="5" s="1"/>
  <c r="AM101" i="5"/>
  <c r="AQ101" i="5" s="1"/>
  <c r="C102" i="5" s="1"/>
  <c r="O102" i="5" s="1"/>
  <c r="AN102" i="5" l="1"/>
  <c r="AP102" i="5" s="1"/>
  <c r="AM102" i="5"/>
  <c r="AQ102" i="5" s="1"/>
  <c r="C103" i="5" s="1"/>
  <c r="O103" i="5" s="1"/>
  <c r="AN103" i="5"/>
  <c r="AM103" i="5"/>
  <c r="AP103" i="5" l="1"/>
  <c r="AE104" i="5" s="1"/>
  <c r="AQ103" i="5"/>
  <c r="AF104" i="5" l="1"/>
  <c r="AF105" i="5" s="1"/>
  <c r="AF106" i="5" s="1"/>
  <c r="AF107" i="5" s="1"/>
  <c r="AF108" i="5" s="1"/>
  <c r="AF109" i="5" s="1"/>
  <c r="AF110" i="5" s="1"/>
  <c r="AF111" i="5" s="1"/>
  <c r="AF112" i="5" s="1"/>
  <c r="AF113" i="5" s="1"/>
  <c r="AF114" i="5" s="1"/>
  <c r="AF115" i="5" s="1"/>
  <c r="AE105" i="5"/>
  <c r="AG104" i="5"/>
  <c r="C104" i="5"/>
  <c r="O104" i="5" s="1"/>
  <c r="C13" i="5"/>
  <c r="C29" i="5" s="1"/>
  <c r="AH104" i="5" l="1"/>
  <c r="AJ104" i="5" s="1"/>
  <c r="AG105" i="5"/>
  <c r="AE106" i="5"/>
  <c r="AL105" i="5"/>
  <c r="AE107" i="5" l="1"/>
  <c r="AL106" i="5"/>
  <c r="AG106" i="5"/>
  <c r="AH105" i="5"/>
  <c r="AJ105" i="5" s="1"/>
  <c r="AN104" i="5"/>
  <c r="AP104" i="5" s="1"/>
  <c r="AL104" i="5"/>
  <c r="AM104" i="5" s="1"/>
  <c r="AQ104" i="5" s="1"/>
  <c r="C105" i="5" s="1"/>
  <c r="O105" i="5" s="1"/>
  <c r="AN105" i="5" l="1"/>
  <c r="AP105" i="5" s="1"/>
  <c r="AM105" i="5"/>
  <c r="AQ105" i="5" s="1"/>
  <c r="C106" i="5" s="1"/>
  <c r="O106" i="5" s="1"/>
  <c r="AG107" i="5"/>
  <c r="AH106" i="5"/>
  <c r="AJ106" i="5" s="1"/>
  <c r="AE108" i="5"/>
  <c r="AL107" i="5"/>
  <c r="AE109" i="5" l="1"/>
  <c r="AL108" i="5"/>
  <c r="AN106" i="5"/>
  <c r="AP106" i="5" s="1"/>
  <c r="AM106" i="5"/>
  <c r="AQ106" i="5" s="1"/>
  <c r="C107" i="5" s="1"/>
  <c r="O107" i="5" s="1"/>
  <c r="AG108" i="5"/>
  <c r="AH107" i="5"/>
  <c r="AJ107" i="5" s="1"/>
  <c r="AN107" i="5" l="1"/>
  <c r="AP107" i="5" s="1"/>
  <c r="AM107" i="5"/>
  <c r="AQ107" i="5" s="1"/>
  <c r="C108" i="5" s="1"/>
  <c r="O108" i="5" s="1"/>
  <c r="AH108" i="5"/>
  <c r="AJ108" i="5" s="1"/>
  <c r="AG109" i="5"/>
  <c r="AE110" i="5"/>
  <c r="AL109" i="5"/>
  <c r="AG110" i="5" l="1"/>
  <c r="AH109" i="5"/>
  <c r="AJ109" i="5" s="1"/>
  <c r="AE111" i="5"/>
  <c r="AL110" i="5"/>
  <c r="AN108" i="5"/>
  <c r="AP108" i="5" s="1"/>
  <c r="AM108" i="5"/>
  <c r="AQ108" i="5" s="1"/>
  <c r="C109" i="5" s="1"/>
  <c r="O109" i="5" s="1"/>
  <c r="AE112" i="5" l="1"/>
  <c r="AL111" i="5"/>
  <c r="AG111" i="5"/>
  <c r="AH110" i="5"/>
  <c r="AJ110" i="5" s="1"/>
  <c r="AN109" i="5"/>
  <c r="AP109" i="5" s="1"/>
  <c r="AM109" i="5"/>
  <c r="AQ109" i="5" s="1"/>
  <c r="C110" i="5" s="1"/>
  <c r="O110" i="5" s="1"/>
  <c r="AN110" i="5" l="1"/>
  <c r="AP110" i="5" s="1"/>
  <c r="AM110" i="5"/>
  <c r="AQ110" i="5" s="1"/>
  <c r="C111" i="5" s="1"/>
  <c r="O111" i="5" s="1"/>
  <c r="AH111" i="5"/>
  <c r="AJ111" i="5" s="1"/>
  <c r="AG112" i="5"/>
  <c r="AE113" i="5"/>
  <c r="AL112" i="5"/>
  <c r="AE114" i="5" l="1"/>
  <c r="AL113" i="5"/>
  <c r="AN111" i="5"/>
  <c r="AP111" i="5" s="1"/>
  <c r="AM111" i="5"/>
  <c r="AQ111" i="5" s="1"/>
  <c r="C112" i="5" s="1"/>
  <c r="O112" i="5" s="1"/>
  <c r="AG113" i="5"/>
  <c r="AH112" i="5"/>
  <c r="AJ112" i="5" s="1"/>
  <c r="AN112" i="5" l="1"/>
  <c r="AP112" i="5" s="1"/>
  <c r="AM112" i="5"/>
  <c r="AQ112" i="5" s="1"/>
  <c r="C113" i="5" s="1"/>
  <c r="O113" i="5" s="1"/>
  <c r="AE115" i="5"/>
  <c r="AL114" i="5"/>
  <c r="AG114" i="5"/>
  <c r="AH113" i="5"/>
  <c r="AJ113" i="5" s="1"/>
  <c r="AN113" i="5" l="1"/>
  <c r="AP113" i="5" s="1"/>
  <c r="AM113" i="5"/>
  <c r="AQ113" i="5" s="1"/>
  <c r="C114" i="5" s="1"/>
  <c r="O114" i="5" s="1"/>
  <c r="AG115" i="5"/>
  <c r="AH115" i="5" s="1"/>
  <c r="AJ115" i="5" s="1"/>
  <c r="AH114" i="5"/>
  <c r="AJ114" i="5" s="1"/>
  <c r="AN114" i="5" l="1"/>
  <c r="AP114" i="5" s="1"/>
  <c r="AM114" i="5"/>
  <c r="AQ114" i="5" s="1"/>
  <c r="C115" i="5" s="1"/>
  <c r="O115" i="5" s="1"/>
  <c r="AN115" i="5"/>
  <c r="AM115" i="5"/>
  <c r="AP115" i="5" l="1"/>
  <c r="AF116" i="5" s="1"/>
  <c r="AF117" i="5" s="1"/>
  <c r="AF118" i="5" s="1"/>
  <c r="AF119" i="5" s="1"/>
  <c r="AF120" i="5" s="1"/>
  <c r="AF121" i="5" s="1"/>
  <c r="AF122" i="5" s="1"/>
  <c r="AF123" i="5" s="1"/>
  <c r="AF124" i="5" s="1"/>
  <c r="AF125" i="5" s="1"/>
  <c r="AF126" i="5" s="1"/>
  <c r="AF127" i="5" s="1"/>
  <c r="AQ115" i="5"/>
  <c r="AE116" i="5" l="1"/>
  <c r="AE117" i="5" s="1"/>
  <c r="C14" i="5"/>
  <c r="C30" i="5" s="1"/>
  <c r="C116" i="5"/>
  <c r="O116" i="5" s="1"/>
  <c r="AG116" i="5" l="1"/>
  <c r="AH116" i="5" s="1"/>
  <c r="AJ116" i="5" s="1"/>
  <c r="AE118" i="5"/>
  <c r="AL117" i="5"/>
  <c r="AG117" i="5" l="1"/>
  <c r="AE119" i="5"/>
  <c r="AL118" i="5"/>
  <c r="AH117" i="5"/>
  <c r="AJ117" i="5" s="1"/>
  <c r="AG118" i="5"/>
  <c r="AN116" i="5"/>
  <c r="AP116" i="5" s="1"/>
  <c r="AL116" i="5"/>
  <c r="AM116" i="5" s="1"/>
  <c r="AQ116" i="5" s="1"/>
  <c r="C117" i="5" s="1"/>
  <c r="O117" i="5" s="1"/>
  <c r="AH118" i="5" l="1"/>
  <c r="AJ118" i="5" s="1"/>
  <c r="AG119" i="5"/>
  <c r="AN117" i="5"/>
  <c r="AP117" i="5" s="1"/>
  <c r="AM117" i="5"/>
  <c r="AQ117" i="5" s="1"/>
  <c r="C118" i="5" s="1"/>
  <c r="O118" i="5" s="1"/>
  <c r="AE120" i="5"/>
  <c r="AL119" i="5"/>
  <c r="AH119" i="5" l="1"/>
  <c r="AJ119" i="5" s="1"/>
  <c r="AG120" i="5"/>
  <c r="AN118" i="5"/>
  <c r="AP118" i="5" s="1"/>
  <c r="AM118" i="5"/>
  <c r="AQ118" i="5" s="1"/>
  <c r="C119" i="5" s="1"/>
  <c r="O119" i="5" s="1"/>
  <c r="AE121" i="5"/>
  <c r="AL120" i="5"/>
  <c r="AG121" i="5" l="1"/>
  <c r="AH120" i="5"/>
  <c r="AJ120" i="5" s="1"/>
  <c r="AE122" i="5"/>
  <c r="AL121" i="5"/>
  <c r="AN119" i="5"/>
  <c r="AP119" i="5" s="1"/>
  <c r="AM119" i="5"/>
  <c r="AQ119" i="5" s="1"/>
  <c r="C120" i="5" s="1"/>
  <c r="O120" i="5" s="1"/>
  <c r="AN120" i="5" l="1"/>
  <c r="AP120" i="5" s="1"/>
  <c r="AM120" i="5"/>
  <c r="AQ120" i="5" s="1"/>
  <c r="C121" i="5" s="1"/>
  <c r="O121" i="5" s="1"/>
  <c r="AH121" i="5"/>
  <c r="AJ121" i="5" s="1"/>
  <c r="AG122" i="5"/>
  <c r="AE123" i="5"/>
  <c r="AL122" i="5"/>
  <c r="AE124" i="5" l="1"/>
  <c r="AL123" i="5"/>
  <c r="AN121" i="5"/>
  <c r="AP121" i="5" s="1"/>
  <c r="AM121" i="5"/>
  <c r="AQ121" i="5" s="1"/>
  <c r="C122" i="5" s="1"/>
  <c r="O122" i="5" s="1"/>
  <c r="AH122" i="5"/>
  <c r="AJ122" i="5" s="1"/>
  <c r="AG123" i="5"/>
  <c r="AG124" i="5" l="1"/>
  <c r="AH123" i="5"/>
  <c r="AJ123" i="5" s="1"/>
  <c r="AN122" i="5"/>
  <c r="AP122" i="5" s="1"/>
  <c r="AM122" i="5"/>
  <c r="AQ122" i="5" s="1"/>
  <c r="C123" i="5" s="1"/>
  <c r="O123" i="5" s="1"/>
  <c r="AE125" i="5"/>
  <c r="AL124" i="5"/>
  <c r="AN123" i="5" l="1"/>
  <c r="AP123" i="5" s="1"/>
  <c r="AM123" i="5"/>
  <c r="AQ123" i="5" s="1"/>
  <c r="C124" i="5" s="1"/>
  <c r="O124" i="5" s="1"/>
  <c r="AH124" i="5"/>
  <c r="AJ124" i="5" s="1"/>
  <c r="AG125" i="5"/>
  <c r="AE126" i="5"/>
  <c r="AL125" i="5"/>
  <c r="AE127" i="5" l="1"/>
  <c r="AL126" i="5"/>
  <c r="AG126" i="5"/>
  <c r="AH125" i="5"/>
  <c r="AJ125" i="5" s="1"/>
  <c r="AN124" i="5"/>
  <c r="AP124" i="5" s="1"/>
  <c r="AM124" i="5"/>
  <c r="AQ124" i="5" s="1"/>
  <c r="C125" i="5" s="1"/>
  <c r="O125" i="5" s="1"/>
  <c r="AN125" i="5" l="1"/>
  <c r="AP125" i="5" s="1"/>
  <c r="AM125" i="5"/>
  <c r="AQ125" i="5" s="1"/>
  <c r="C126" i="5" s="1"/>
  <c r="O126" i="5" s="1"/>
  <c r="AG127" i="5"/>
  <c r="AH127" i="5" s="1"/>
  <c r="AJ127" i="5" s="1"/>
  <c r="AH126" i="5"/>
  <c r="AJ126" i="5" s="1"/>
  <c r="AN126" i="5" l="1"/>
  <c r="AP126" i="5" s="1"/>
  <c r="AM126" i="5"/>
  <c r="AQ126" i="5" s="1"/>
  <c r="C127" i="5" s="1"/>
  <c r="O127" i="5" s="1"/>
  <c r="AN127" i="5"/>
  <c r="AM127" i="5"/>
  <c r="AP127" i="5" l="1"/>
  <c r="AF128" i="5" s="1"/>
  <c r="AF129" i="5" s="1"/>
  <c r="AF130" i="5" s="1"/>
  <c r="AF131" i="5" s="1"/>
  <c r="AF132" i="5" s="1"/>
  <c r="AF133" i="5" s="1"/>
  <c r="AF134" i="5" s="1"/>
  <c r="AF135" i="5" s="1"/>
  <c r="AF136" i="5" s="1"/>
  <c r="AF137" i="5" s="1"/>
  <c r="AF138" i="5" s="1"/>
  <c r="AF139" i="5" s="1"/>
  <c r="AQ127" i="5"/>
  <c r="AE128" i="5" l="1"/>
  <c r="AE129" i="5" s="1"/>
  <c r="C128" i="5"/>
  <c r="O128" i="5" s="1"/>
  <c r="C15" i="5"/>
  <c r="C31" i="5" s="1"/>
  <c r="AG128" i="5" l="1"/>
  <c r="AG129" i="5" s="1"/>
  <c r="AE130" i="5"/>
  <c r="AL129" i="5"/>
  <c r="AH128" i="5" l="1"/>
  <c r="AJ128" i="5" s="1"/>
  <c r="AN128" i="5" s="1"/>
  <c r="AP128" i="5" s="1"/>
  <c r="AE131" i="5"/>
  <c r="AL130" i="5"/>
  <c r="AG130" i="5"/>
  <c r="AH129" i="5"/>
  <c r="AJ129" i="5" s="1"/>
  <c r="AL128" i="5" l="1"/>
  <c r="AM128" i="5" s="1"/>
  <c r="AQ128" i="5" s="1"/>
  <c r="C129" i="5" s="1"/>
  <c r="O129" i="5" s="1"/>
  <c r="AN129" i="5"/>
  <c r="AP129" i="5" s="1"/>
  <c r="AM129" i="5"/>
  <c r="AQ129" i="5" s="1"/>
  <c r="C130" i="5" s="1"/>
  <c r="O130" i="5" s="1"/>
  <c r="AG131" i="5"/>
  <c r="AH130" i="5"/>
  <c r="AJ130" i="5" s="1"/>
  <c r="AE132" i="5"/>
  <c r="AL131" i="5"/>
  <c r="AE133" i="5" l="1"/>
  <c r="AL132" i="5"/>
  <c r="AN130" i="5"/>
  <c r="AP130" i="5" s="1"/>
  <c r="AM130" i="5"/>
  <c r="AQ130" i="5" s="1"/>
  <c r="C131" i="5" s="1"/>
  <c r="O131" i="5" s="1"/>
  <c r="AG132" i="5"/>
  <c r="AH131" i="5"/>
  <c r="AJ131" i="5" s="1"/>
  <c r="AN131" i="5" l="1"/>
  <c r="AP131" i="5" s="1"/>
  <c r="AM131" i="5"/>
  <c r="AQ131" i="5" s="1"/>
  <c r="C132" i="5" s="1"/>
  <c r="O132" i="5" s="1"/>
  <c r="AG133" i="5"/>
  <c r="AH132" i="5"/>
  <c r="AJ132" i="5" s="1"/>
  <c r="AE134" i="5"/>
  <c r="AL133" i="5"/>
  <c r="AE135" i="5" l="1"/>
  <c r="AL134" i="5"/>
  <c r="AN132" i="5"/>
  <c r="AP132" i="5" s="1"/>
  <c r="AM132" i="5"/>
  <c r="AQ132" i="5" s="1"/>
  <c r="C133" i="5" s="1"/>
  <c r="O133" i="5" s="1"/>
  <c r="AH133" i="5"/>
  <c r="AJ133" i="5" s="1"/>
  <c r="AG134" i="5"/>
  <c r="AG135" i="5" l="1"/>
  <c r="AH134" i="5"/>
  <c r="AJ134" i="5" s="1"/>
  <c r="AN133" i="5"/>
  <c r="AP133" i="5" s="1"/>
  <c r="AM133" i="5"/>
  <c r="AQ133" i="5" s="1"/>
  <c r="C134" i="5" s="1"/>
  <c r="O134" i="5" s="1"/>
  <c r="AE136" i="5"/>
  <c r="AL135" i="5"/>
  <c r="AN134" i="5" l="1"/>
  <c r="AP134" i="5" s="1"/>
  <c r="AM134" i="5"/>
  <c r="AQ134" i="5" s="1"/>
  <c r="C135" i="5" s="1"/>
  <c r="O135" i="5" s="1"/>
  <c r="AG136" i="5"/>
  <c r="AH135" i="5"/>
  <c r="AJ135" i="5" s="1"/>
  <c r="AE137" i="5"/>
  <c r="AL136" i="5"/>
  <c r="AN135" i="5" l="1"/>
  <c r="AP135" i="5" s="1"/>
  <c r="AM135" i="5"/>
  <c r="AQ135" i="5" s="1"/>
  <c r="C136" i="5" s="1"/>
  <c r="O136" i="5" s="1"/>
  <c r="AH136" i="5"/>
  <c r="AJ136" i="5" s="1"/>
  <c r="AG137" i="5"/>
  <c r="AE138" i="5"/>
  <c r="AL137" i="5"/>
  <c r="AG138" i="5" l="1"/>
  <c r="AH137" i="5"/>
  <c r="AJ137" i="5" s="1"/>
  <c r="AE139" i="5"/>
  <c r="AL138" i="5"/>
  <c r="AN136" i="5"/>
  <c r="AP136" i="5" s="1"/>
  <c r="AM136" i="5"/>
  <c r="AQ136" i="5" s="1"/>
  <c r="C137" i="5" s="1"/>
  <c r="O137" i="5" s="1"/>
  <c r="AG139" i="5" l="1"/>
  <c r="AH139" i="5" s="1"/>
  <c r="AJ139" i="5" s="1"/>
  <c r="AH138" i="5"/>
  <c r="AJ138" i="5" s="1"/>
  <c r="AN137" i="5"/>
  <c r="AP137" i="5" s="1"/>
  <c r="AM137" i="5"/>
  <c r="AQ137" i="5" s="1"/>
  <c r="C138" i="5" s="1"/>
  <c r="O138" i="5" s="1"/>
  <c r="AN139" i="5" l="1"/>
  <c r="AM139" i="5"/>
  <c r="AN138" i="5"/>
  <c r="AP138" i="5" s="1"/>
  <c r="AM138" i="5"/>
  <c r="AQ138" i="5" s="1"/>
  <c r="C139" i="5" s="1"/>
  <c r="O139" i="5" s="1"/>
  <c r="AP139" i="5" l="1"/>
  <c r="AF140" i="5" s="1"/>
  <c r="AF141" i="5" s="1"/>
  <c r="AF142" i="5" s="1"/>
  <c r="AF143" i="5" s="1"/>
  <c r="AF144" i="5" s="1"/>
  <c r="AF145" i="5" s="1"/>
  <c r="AF146" i="5" s="1"/>
  <c r="AF147" i="5" s="1"/>
  <c r="AF148" i="5" s="1"/>
  <c r="AF149" i="5" s="1"/>
  <c r="AF150" i="5" s="1"/>
  <c r="AF151" i="5" s="1"/>
  <c r="AQ139" i="5"/>
  <c r="AE140" i="5" l="1"/>
  <c r="AE141" i="5" s="1"/>
  <c r="C16" i="5"/>
  <c r="C32" i="5" s="1"/>
  <c r="C140" i="5"/>
  <c r="O140" i="5" s="1"/>
  <c r="AG140" i="5" l="1"/>
  <c r="AH140" i="5" s="1"/>
  <c r="AJ140" i="5" s="1"/>
  <c r="AE142" i="5"/>
  <c r="AL141" i="5"/>
  <c r="AG141" i="5" l="1"/>
  <c r="AH141" i="5" s="1"/>
  <c r="AJ141" i="5" s="1"/>
  <c r="AE143" i="5"/>
  <c r="AL142" i="5"/>
  <c r="AG142" i="5"/>
  <c r="AN140" i="5"/>
  <c r="AP140" i="5" s="1"/>
  <c r="AL140" i="5"/>
  <c r="AM140" i="5" s="1"/>
  <c r="AQ140" i="5" s="1"/>
  <c r="C141" i="5" s="1"/>
  <c r="O141" i="5" s="1"/>
  <c r="AH142" i="5" l="1"/>
  <c r="AJ142" i="5" s="1"/>
  <c r="AG143" i="5"/>
  <c r="AN141" i="5"/>
  <c r="AP141" i="5" s="1"/>
  <c r="AM141" i="5"/>
  <c r="AQ141" i="5" s="1"/>
  <c r="C142" i="5" s="1"/>
  <c r="O142" i="5" s="1"/>
  <c r="AE144" i="5"/>
  <c r="AL143" i="5"/>
  <c r="AE145" i="5" l="1"/>
  <c r="AL144" i="5"/>
  <c r="AN142" i="5"/>
  <c r="AP142" i="5" s="1"/>
  <c r="AM142" i="5"/>
  <c r="AQ142" i="5" s="1"/>
  <c r="C143" i="5" s="1"/>
  <c r="O143" i="5" s="1"/>
  <c r="AG144" i="5"/>
  <c r="AH143" i="5"/>
  <c r="AJ143" i="5" s="1"/>
  <c r="AN143" i="5" l="1"/>
  <c r="AP143" i="5" s="1"/>
  <c r="AM143" i="5"/>
  <c r="AQ143" i="5" s="1"/>
  <c r="C144" i="5" s="1"/>
  <c r="O144" i="5" s="1"/>
  <c r="AH144" i="5"/>
  <c r="AJ144" i="5" s="1"/>
  <c r="AG145" i="5"/>
  <c r="AE146" i="5"/>
  <c r="AL145" i="5"/>
  <c r="AH145" i="5" l="1"/>
  <c r="AJ145" i="5" s="1"/>
  <c r="AG146" i="5"/>
  <c r="AE147" i="5"/>
  <c r="AL146" i="5"/>
  <c r="AN144" i="5"/>
  <c r="AP144" i="5" s="1"/>
  <c r="AM144" i="5"/>
  <c r="AQ144" i="5" s="1"/>
  <c r="C145" i="5" s="1"/>
  <c r="O145" i="5" s="1"/>
  <c r="AE148" i="5" l="1"/>
  <c r="AL147" i="5"/>
  <c r="AG147" i="5"/>
  <c r="AH146" i="5"/>
  <c r="AJ146" i="5" s="1"/>
  <c r="AN145" i="5"/>
  <c r="AP145" i="5" s="1"/>
  <c r="AM145" i="5"/>
  <c r="AQ145" i="5" s="1"/>
  <c r="C146" i="5" s="1"/>
  <c r="O146" i="5" s="1"/>
  <c r="AN146" i="5" l="1"/>
  <c r="AP146" i="5" s="1"/>
  <c r="AM146" i="5"/>
  <c r="AQ146" i="5" s="1"/>
  <c r="C147" i="5" s="1"/>
  <c r="O147" i="5" s="1"/>
  <c r="AH147" i="5"/>
  <c r="AJ147" i="5" s="1"/>
  <c r="AG148" i="5"/>
  <c r="AE149" i="5"/>
  <c r="AL148" i="5"/>
  <c r="AE150" i="5" l="1"/>
  <c r="AL149" i="5"/>
  <c r="AG149" i="5"/>
  <c r="AH148" i="5"/>
  <c r="AJ148" i="5" s="1"/>
  <c r="AN147" i="5"/>
  <c r="AP147" i="5" s="1"/>
  <c r="AM147" i="5"/>
  <c r="AQ147" i="5" s="1"/>
  <c r="C148" i="5" s="1"/>
  <c r="O148" i="5" s="1"/>
  <c r="AE151" i="5" l="1"/>
  <c r="AL150" i="5"/>
  <c r="AN148" i="5"/>
  <c r="AP148" i="5" s="1"/>
  <c r="AM148" i="5"/>
  <c r="AQ148" i="5" s="1"/>
  <c r="C149" i="5" s="1"/>
  <c r="O149" i="5" s="1"/>
  <c r="AG150" i="5"/>
  <c r="AH149" i="5"/>
  <c r="AJ149" i="5" s="1"/>
  <c r="AN149" i="5" l="1"/>
  <c r="AP149" i="5" s="1"/>
  <c r="AM149" i="5"/>
  <c r="AQ149" i="5" s="1"/>
  <c r="C150" i="5" s="1"/>
  <c r="O150" i="5" s="1"/>
  <c r="AH150" i="5"/>
  <c r="AJ150" i="5" s="1"/>
  <c r="AG151" i="5"/>
  <c r="AH151" i="5" s="1"/>
  <c r="AJ151" i="5" s="1"/>
  <c r="AN151" i="5" l="1"/>
  <c r="AM151" i="5"/>
  <c r="AN150" i="5"/>
  <c r="AP150" i="5" s="1"/>
  <c r="AM150" i="5"/>
  <c r="AQ150" i="5" s="1"/>
  <c r="C151" i="5" s="1"/>
  <c r="O151" i="5" s="1"/>
  <c r="AP151" i="5" l="1"/>
  <c r="AF152" i="5" s="1"/>
  <c r="AF153" i="5" s="1"/>
  <c r="AF154" i="5" s="1"/>
  <c r="AF155" i="5" s="1"/>
  <c r="AF156" i="5" s="1"/>
  <c r="AF157" i="5" s="1"/>
  <c r="AF158" i="5" s="1"/>
  <c r="AF159" i="5" s="1"/>
  <c r="AF160" i="5" s="1"/>
  <c r="AF161" i="5" s="1"/>
  <c r="AF162" i="5" s="1"/>
  <c r="AF163" i="5" s="1"/>
  <c r="AQ151" i="5"/>
  <c r="AE152" i="5" l="1"/>
  <c r="AE153" i="5" s="1"/>
  <c r="C17" i="5"/>
  <c r="C33" i="5" s="1"/>
  <c r="C152" i="5"/>
  <c r="O152" i="5" s="1"/>
  <c r="AG152" i="5" l="1"/>
  <c r="AH152" i="5" s="1"/>
  <c r="AJ152" i="5" s="1"/>
  <c r="AG153" i="5"/>
  <c r="AE154" i="5"/>
  <c r="AL153" i="5"/>
  <c r="AE155" i="5" l="1"/>
  <c r="AL154" i="5"/>
  <c r="AG154" i="5"/>
  <c r="AH153" i="5"/>
  <c r="AJ153" i="5" s="1"/>
  <c r="AN152" i="5"/>
  <c r="AP152" i="5" s="1"/>
  <c r="AL152" i="5"/>
  <c r="AM152" i="5" s="1"/>
  <c r="AQ152" i="5" s="1"/>
  <c r="C153" i="5" s="1"/>
  <c r="O153" i="5" s="1"/>
  <c r="AN153" i="5" l="1"/>
  <c r="AP153" i="5" s="1"/>
  <c r="AM153" i="5"/>
  <c r="AQ153" i="5" s="1"/>
  <c r="C154" i="5" s="1"/>
  <c r="O154" i="5" s="1"/>
  <c r="AH154" i="5"/>
  <c r="AJ154" i="5" s="1"/>
  <c r="AG155" i="5"/>
  <c r="AE156" i="5"/>
  <c r="AL155" i="5"/>
  <c r="AE157" i="5" l="1"/>
  <c r="AL156" i="5"/>
  <c r="AN154" i="5"/>
  <c r="AP154" i="5" s="1"/>
  <c r="AM154" i="5"/>
  <c r="AQ154" i="5" s="1"/>
  <c r="C155" i="5" s="1"/>
  <c r="O155" i="5" s="1"/>
  <c r="AG156" i="5"/>
  <c r="AH155" i="5"/>
  <c r="AJ155" i="5" s="1"/>
  <c r="AG157" i="5" l="1"/>
  <c r="AH156" i="5"/>
  <c r="AJ156" i="5" s="1"/>
  <c r="AN155" i="5"/>
  <c r="AP155" i="5" s="1"/>
  <c r="AM155" i="5"/>
  <c r="AQ155" i="5" s="1"/>
  <c r="C156" i="5" s="1"/>
  <c r="O156" i="5" s="1"/>
  <c r="AE158" i="5"/>
  <c r="AL157" i="5"/>
  <c r="AE159" i="5" l="1"/>
  <c r="AL158" i="5"/>
  <c r="AN156" i="5"/>
  <c r="AP156" i="5" s="1"/>
  <c r="AM156" i="5"/>
  <c r="AQ156" i="5" s="1"/>
  <c r="C157" i="5" s="1"/>
  <c r="O157" i="5" s="1"/>
  <c r="AG158" i="5"/>
  <c r="AH157" i="5"/>
  <c r="AJ157" i="5" s="1"/>
  <c r="AG159" i="5" l="1"/>
  <c r="AH158" i="5"/>
  <c r="AJ158" i="5" s="1"/>
  <c r="AE160" i="5"/>
  <c r="AL159" i="5"/>
  <c r="AN157" i="5"/>
  <c r="AP157" i="5" s="1"/>
  <c r="AM157" i="5"/>
  <c r="AQ157" i="5" s="1"/>
  <c r="C158" i="5" s="1"/>
  <c r="O158" i="5" s="1"/>
  <c r="AH159" i="5" l="1"/>
  <c r="AJ159" i="5" s="1"/>
  <c r="AG160" i="5"/>
  <c r="AE161" i="5"/>
  <c r="AL160" i="5"/>
  <c r="AN158" i="5"/>
  <c r="AP158" i="5" s="1"/>
  <c r="AM158" i="5"/>
  <c r="AQ158" i="5" s="1"/>
  <c r="C159" i="5" s="1"/>
  <c r="O159" i="5" s="1"/>
  <c r="AN159" i="5" l="1"/>
  <c r="AP159" i="5" s="1"/>
  <c r="AM159" i="5"/>
  <c r="AQ159" i="5" s="1"/>
  <c r="C160" i="5" s="1"/>
  <c r="O160" i="5" s="1"/>
  <c r="AE162" i="5"/>
  <c r="AL161" i="5"/>
  <c r="AH160" i="5"/>
  <c r="AJ160" i="5" s="1"/>
  <c r="AG161" i="5"/>
  <c r="AG162" i="5" l="1"/>
  <c r="AH161" i="5"/>
  <c r="AJ161" i="5" s="1"/>
  <c r="AN160" i="5"/>
  <c r="AP160" i="5" s="1"/>
  <c r="AM160" i="5"/>
  <c r="AQ160" i="5" s="1"/>
  <c r="C161" i="5" s="1"/>
  <c r="O161" i="5" s="1"/>
  <c r="AE163" i="5"/>
  <c r="AL162" i="5"/>
  <c r="AG163" i="5" l="1"/>
  <c r="AH163" i="5" s="1"/>
  <c r="AJ163" i="5" s="1"/>
  <c r="AH162" i="5"/>
  <c r="AJ162" i="5" s="1"/>
  <c r="AN161" i="5"/>
  <c r="AP161" i="5" s="1"/>
  <c r="AM161" i="5"/>
  <c r="AQ161" i="5" s="1"/>
  <c r="C162" i="5" s="1"/>
  <c r="O162" i="5" s="1"/>
  <c r="AN163" i="5" l="1"/>
  <c r="AM163" i="5"/>
  <c r="AN162" i="5"/>
  <c r="AP162" i="5" s="1"/>
  <c r="AM162" i="5"/>
  <c r="AQ162" i="5" s="1"/>
  <c r="C163" i="5" s="1"/>
  <c r="O163" i="5" s="1"/>
  <c r="AP163" i="5" l="1"/>
  <c r="AE164" i="5" s="1"/>
  <c r="AQ163" i="5"/>
  <c r="AF164" i="5" l="1"/>
  <c r="AF165" i="5" s="1"/>
  <c r="AF166" i="5" s="1"/>
  <c r="AF167" i="5" s="1"/>
  <c r="AF168" i="5" s="1"/>
  <c r="AF169" i="5" s="1"/>
  <c r="AF170" i="5" s="1"/>
  <c r="AF171" i="5" s="1"/>
  <c r="AF172" i="5" s="1"/>
  <c r="AF173" i="5" s="1"/>
  <c r="AF174" i="5" s="1"/>
  <c r="AF175" i="5" s="1"/>
  <c r="AE165" i="5"/>
  <c r="AG164" i="5"/>
  <c r="C164" i="5"/>
  <c r="O164" i="5" s="1"/>
  <c r="C18" i="5"/>
  <c r="C34" i="5" s="1"/>
  <c r="AH164" i="5" l="1"/>
  <c r="AJ164" i="5" s="1"/>
  <c r="AG165" i="5"/>
  <c r="AE166" i="5"/>
  <c r="AL165" i="5"/>
  <c r="AH165" i="5" l="1"/>
  <c r="AJ165" i="5" s="1"/>
  <c r="AG166" i="5"/>
  <c r="AE167" i="5"/>
  <c r="AL166" i="5"/>
  <c r="AN164" i="5"/>
  <c r="AP164" i="5" s="1"/>
  <c r="AL164" i="5"/>
  <c r="AM164" i="5" s="1"/>
  <c r="AQ164" i="5" s="1"/>
  <c r="C165" i="5" s="1"/>
  <c r="O165" i="5" s="1"/>
  <c r="AG167" i="5" l="1"/>
  <c r="AH166" i="5"/>
  <c r="AJ166" i="5" s="1"/>
  <c r="AE168" i="5"/>
  <c r="AL167" i="5"/>
  <c r="AN165" i="5"/>
  <c r="AP165" i="5" s="1"/>
  <c r="AM165" i="5"/>
  <c r="AQ165" i="5" s="1"/>
  <c r="C166" i="5" s="1"/>
  <c r="O166" i="5" s="1"/>
  <c r="AE169" i="5" l="1"/>
  <c r="AL168" i="5"/>
  <c r="AN166" i="5"/>
  <c r="AP166" i="5" s="1"/>
  <c r="AM166" i="5"/>
  <c r="AQ166" i="5" s="1"/>
  <c r="C167" i="5" s="1"/>
  <c r="O167" i="5" s="1"/>
  <c r="AG168" i="5"/>
  <c r="AH167" i="5"/>
  <c r="AJ167" i="5" s="1"/>
  <c r="AN167" i="5" l="1"/>
  <c r="AP167" i="5" s="1"/>
  <c r="AM167" i="5"/>
  <c r="AQ167" i="5" s="1"/>
  <c r="C168" i="5" s="1"/>
  <c r="O168" i="5" s="1"/>
  <c r="AG169" i="5"/>
  <c r="AH168" i="5"/>
  <c r="AJ168" i="5" s="1"/>
  <c r="AE170" i="5"/>
  <c r="AL169" i="5"/>
  <c r="AN168" i="5" l="1"/>
  <c r="AP168" i="5" s="1"/>
  <c r="AM168" i="5"/>
  <c r="AQ168" i="5" s="1"/>
  <c r="C169" i="5" s="1"/>
  <c r="O169" i="5" s="1"/>
  <c r="AH169" i="5"/>
  <c r="AJ169" i="5" s="1"/>
  <c r="AG170" i="5"/>
  <c r="AE171" i="5"/>
  <c r="AL170" i="5"/>
  <c r="AE172" i="5" l="1"/>
  <c r="AL171" i="5"/>
  <c r="AG171" i="5"/>
  <c r="AH170" i="5"/>
  <c r="AJ170" i="5" s="1"/>
  <c r="AN169" i="5"/>
  <c r="AP169" i="5" s="1"/>
  <c r="AM169" i="5"/>
  <c r="AQ169" i="5" s="1"/>
  <c r="C170" i="5" s="1"/>
  <c r="O170" i="5" s="1"/>
  <c r="AN170" i="5" l="1"/>
  <c r="AP170" i="5" s="1"/>
  <c r="AM170" i="5"/>
  <c r="AQ170" i="5" s="1"/>
  <c r="C171" i="5" s="1"/>
  <c r="O171" i="5" s="1"/>
  <c r="AG172" i="5"/>
  <c r="AH171" i="5"/>
  <c r="AJ171" i="5" s="1"/>
  <c r="AE173" i="5"/>
  <c r="AL172" i="5"/>
  <c r="AE174" i="5" l="1"/>
  <c r="AL173" i="5"/>
  <c r="AG173" i="5"/>
  <c r="AH172" i="5"/>
  <c r="AJ172" i="5" s="1"/>
  <c r="AN171" i="5"/>
  <c r="AP171" i="5" s="1"/>
  <c r="AM171" i="5"/>
  <c r="AQ171" i="5" s="1"/>
  <c r="C172" i="5" s="1"/>
  <c r="O172" i="5" s="1"/>
  <c r="AG174" i="5" l="1"/>
  <c r="AH173" i="5"/>
  <c r="AJ173" i="5" s="1"/>
  <c r="AN172" i="5"/>
  <c r="AP172" i="5" s="1"/>
  <c r="AM172" i="5"/>
  <c r="AQ172" i="5" s="1"/>
  <c r="C173" i="5" s="1"/>
  <c r="O173" i="5" s="1"/>
  <c r="AE175" i="5"/>
  <c r="AL174" i="5"/>
  <c r="AN173" i="5" l="1"/>
  <c r="AP173" i="5" s="1"/>
  <c r="AM173" i="5"/>
  <c r="AQ173" i="5" s="1"/>
  <c r="C174" i="5" s="1"/>
  <c r="O174" i="5" s="1"/>
  <c r="AH174" i="5"/>
  <c r="AJ174" i="5" s="1"/>
  <c r="AG175" i="5"/>
  <c r="AH175" i="5" s="1"/>
  <c r="AJ175" i="5" s="1"/>
  <c r="AN175" i="5" l="1"/>
  <c r="AM175" i="5"/>
  <c r="AN174" i="5"/>
  <c r="AP174" i="5" s="1"/>
  <c r="AM174" i="5"/>
  <c r="AQ174" i="5" s="1"/>
  <c r="C175" i="5" s="1"/>
  <c r="O175" i="5" s="1"/>
  <c r="AP175" i="5" l="1"/>
  <c r="AF176" i="5" s="1"/>
  <c r="AF177" i="5" s="1"/>
  <c r="AF178" i="5" s="1"/>
  <c r="AF179" i="5" s="1"/>
  <c r="AF180" i="5" s="1"/>
  <c r="AF181" i="5" s="1"/>
  <c r="AF182" i="5" s="1"/>
  <c r="AF183" i="5" s="1"/>
  <c r="AF184" i="5" s="1"/>
  <c r="AF185" i="5" s="1"/>
  <c r="AF186" i="5" s="1"/>
  <c r="AF187" i="5" s="1"/>
  <c r="AQ175" i="5"/>
  <c r="AE176" i="5" l="1"/>
  <c r="AE177" i="5" s="1"/>
  <c r="C176" i="5"/>
  <c r="O176" i="5" s="1"/>
  <c r="C19" i="5"/>
  <c r="C35" i="5" s="1"/>
  <c r="AG176" i="5" l="1"/>
  <c r="AH176" i="5" s="1"/>
  <c r="AJ176" i="5" s="1"/>
  <c r="AE178" i="5"/>
  <c r="AL177" i="5"/>
  <c r="AG177" i="5" l="1"/>
  <c r="AN176" i="5"/>
  <c r="AP176" i="5" s="1"/>
  <c r="AL176" i="5"/>
  <c r="AM176" i="5" s="1"/>
  <c r="AQ176" i="5" s="1"/>
  <c r="C177" i="5" s="1"/>
  <c r="O177" i="5" s="1"/>
  <c r="AE179" i="5"/>
  <c r="AL178" i="5"/>
  <c r="AH177" i="5"/>
  <c r="AJ177" i="5" s="1"/>
  <c r="AG178" i="5"/>
  <c r="AN177" i="5" l="1"/>
  <c r="AP177" i="5" s="1"/>
  <c r="AM177" i="5"/>
  <c r="AQ177" i="5" s="1"/>
  <c r="C178" i="5" s="1"/>
  <c r="O178" i="5" s="1"/>
  <c r="AG179" i="5"/>
  <c r="AH178" i="5"/>
  <c r="AJ178" i="5" s="1"/>
  <c r="AE180" i="5"/>
  <c r="AL179" i="5"/>
  <c r="AE181" i="5" l="1"/>
  <c r="AL180" i="5"/>
  <c r="AH179" i="5"/>
  <c r="AJ179" i="5" s="1"/>
  <c r="AG180" i="5"/>
  <c r="AN178" i="5"/>
  <c r="AP178" i="5" s="1"/>
  <c r="AM178" i="5"/>
  <c r="AQ178" i="5" s="1"/>
  <c r="C179" i="5" s="1"/>
  <c r="O179" i="5" s="1"/>
  <c r="AH180" i="5" l="1"/>
  <c r="AJ180" i="5" s="1"/>
  <c r="AG181" i="5"/>
  <c r="AN179" i="5"/>
  <c r="AP179" i="5" s="1"/>
  <c r="AM179" i="5"/>
  <c r="AQ179" i="5" s="1"/>
  <c r="C180" i="5" s="1"/>
  <c r="O180" i="5" s="1"/>
  <c r="AE182" i="5"/>
  <c r="AL181" i="5"/>
  <c r="AE183" i="5" l="1"/>
  <c r="AL182" i="5"/>
  <c r="AN180" i="5"/>
  <c r="AP180" i="5" s="1"/>
  <c r="AM180" i="5"/>
  <c r="AQ180" i="5" s="1"/>
  <c r="C181" i="5" s="1"/>
  <c r="O181" i="5" s="1"/>
  <c r="AH181" i="5"/>
  <c r="AJ181" i="5" s="1"/>
  <c r="AG182" i="5"/>
  <c r="AG183" i="5" l="1"/>
  <c r="AH182" i="5"/>
  <c r="AJ182" i="5" s="1"/>
  <c r="AN181" i="5"/>
  <c r="AP181" i="5" s="1"/>
  <c r="AM181" i="5"/>
  <c r="AQ181" i="5" s="1"/>
  <c r="C182" i="5" s="1"/>
  <c r="O182" i="5" s="1"/>
  <c r="AE184" i="5"/>
  <c r="AL183" i="5"/>
  <c r="AE185" i="5" l="1"/>
  <c r="AL184" i="5"/>
  <c r="AG184" i="5"/>
  <c r="AH183" i="5"/>
  <c r="AJ183" i="5" s="1"/>
  <c r="AN182" i="5"/>
  <c r="AP182" i="5" s="1"/>
  <c r="AM182" i="5"/>
  <c r="AQ182" i="5" s="1"/>
  <c r="C183" i="5" s="1"/>
  <c r="O183" i="5" s="1"/>
  <c r="AN183" i="5" l="1"/>
  <c r="AP183" i="5" s="1"/>
  <c r="AM183" i="5"/>
  <c r="AQ183" i="5" s="1"/>
  <c r="C184" i="5" s="1"/>
  <c r="O184" i="5" s="1"/>
  <c r="AH184" i="5"/>
  <c r="AJ184" i="5" s="1"/>
  <c r="AG185" i="5"/>
  <c r="AE186" i="5"/>
  <c r="AL185" i="5"/>
  <c r="AN184" i="5" l="1"/>
  <c r="AP184" i="5" s="1"/>
  <c r="AM184" i="5"/>
  <c r="AQ184" i="5" s="1"/>
  <c r="C185" i="5" s="1"/>
  <c r="O185" i="5" s="1"/>
  <c r="AG186" i="5"/>
  <c r="AH185" i="5"/>
  <c r="AJ185" i="5" s="1"/>
  <c r="AE187" i="5"/>
  <c r="AL186" i="5"/>
  <c r="AG187" i="5" l="1"/>
  <c r="AH187" i="5" s="1"/>
  <c r="AJ187" i="5" s="1"/>
  <c r="AM187" i="5" s="1"/>
  <c r="AH186" i="5"/>
  <c r="AJ186" i="5" s="1"/>
  <c r="AN185" i="5"/>
  <c r="AP185" i="5" s="1"/>
  <c r="AM185" i="5"/>
  <c r="AQ185" i="5" s="1"/>
  <c r="C186" i="5" s="1"/>
  <c r="O186" i="5" s="1"/>
  <c r="AN186" i="5" l="1"/>
  <c r="AP186" i="5" s="1"/>
  <c r="AP187" i="5" s="1"/>
  <c r="AM186" i="5"/>
  <c r="AQ186" i="5" s="1"/>
  <c r="C187" i="5" s="1"/>
  <c r="O187" i="5" s="1"/>
  <c r="AQ187" i="5" l="1"/>
  <c r="C20" i="5" l="1"/>
  <c r="C36" i="5" s="1"/>
  <c r="C188" i="5"/>
  <c r="O188" i="5" s="1"/>
</calcChain>
</file>

<file path=xl/sharedStrings.xml><?xml version="1.0" encoding="utf-8"?>
<sst xmlns="http://schemas.openxmlformats.org/spreadsheetml/2006/main" count="359" uniqueCount="131">
  <si>
    <t>COI</t>
  </si>
  <si>
    <t>EDO</t>
  </si>
  <si>
    <t>ROS</t>
  </si>
  <si>
    <t>ROD</t>
  </si>
  <si>
    <t>Cena zamiany</t>
  </si>
  <si>
    <t>-</t>
  </si>
  <si>
    <t>inflacja</t>
  </si>
  <si>
    <t>rok</t>
  </si>
  <si>
    <t>zapadalność</t>
  </si>
  <si>
    <t>na konto
z końcem 
miesiąca</t>
  </si>
  <si>
    <t>saldo konta
z końcem
miesiąca</t>
  </si>
  <si>
    <t>belka</t>
  </si>
  <si>
    <t>inflacja dla 
obligacji
indeksowanych</t>
  </si>
  <si>
    <t>miesiąc</t>
  </si>
  <si>
    <t>wartość nominalna</t>
  </si>
  <si>
    <t>podstawa 
kapitalizacji</t>
  </si>
  <si>
    <t>kara za
wcześniejszy
wykup</t>
  </si>
  <si>
    <t>oprocento-
wanie</t>
  </si>
  <si>
    <t>wartość
brutto
koniec  
miesiąca</t>
  </si>
  <si>
    <t>wykup z 
końcem 
miesiąca</t>
  </si>
  <si>
    <t>wynik końcowy
wykup z 
końcem 
miesiąca</t>
  </si>
  <si>
    <t>FV wpłaty
skumulowana inflacja</t>
  </si>
  <si>
    <t>na konto z 
końcem miesiąca
jeśli nie wypłacę!</t>
  </si>
  <si>
    <t>cena zakupu</t>
  </si>
  <si>
    <t>x</t>
  </si>
  <si>
    <t>liczba obligacji</t>
  </si>
  <si>
    <t>LATA KALENDARZOWE</t>
  </si>
  <si>
    <t>WSKAŹNIK DO WYLICZENIA OPŁATY</t>
  </si>
  <si>
    <t>wartość
obligacji 
1 rok</t>
  </si>
  <si>
    <t>dodatkowe
obligacje 
1 rok</t>
  </si>
  <si>
    <t>dodatkowe
obligacje 
2 rok</t>
  </si>
  <si>
    <t>dodatkowe
obligacje 
3 rok</t>
  </si>
  <si>
    <t>dodatkowe
obligacje 
4 rok</t>
  </si>
  <si>
    <t>wartość
obligacji 
2-4 rok</t>
  </si>
  <si>
    <t>wartość brutto
koniec miesiąca
1 rok</t>
  </si>
  <si>
    <t>wartość brutto
koniec miesiąca
2-4 rok</t>
  </si>
  <si>
    <t>na subkonto konto z 
końcem miesiąca
jeśli nie wypłacę!</t>
  </si>
  <si>
    <t>kara za
wcześniejszy
wykup 1 rok</t>
  </si>
  <si>
    <t>kara za
wcześniejszy
wykup 2-4 rok</t>
  </si>
  <si>
    <t>zostało</t>
  </si>
  <si>
    <t>kup obligacje 
w cenie zamiany</t>
  </si>
  <si>
    <t>na subkonto konto z 
końcem miesiąca
jeśli nie wypłacę!
Główne</t>
  </si>
  <si>
    <t>saldo brutto
TOTAL</t>
  </si>
  <si>
    <t>kara za wykup</t>
  </si>
  <si>
    <t>opłata</t>
  </si>
  <si>
    <t>suma
opłat</t>
  </si>
  <si>
    <t>saldo
pośrednie</t>
  </si>
  <si>
    <t>wynik końcowy
wykup z preferencją za
IKE</t>
  </si>
  <si>
    <t>saldo subkonta
z końcem
miesiąca</t>
  </si>
  <si>
    <t>na sub konto
z końcem 
miesiąca</t>
  </si>
  <si>
    <t>COI wiek 
emerytalny</t>
  </si>
  <si>
    <t>EDO wiek 
emerytalny</t>
  </si>
  <si>
    <t>skumulowana
inflacja</t>
  </si>
  <si>
    <t>← Nic nie wpisuj, policzy się samo jako iloczyn liczby obligacji i wartości jednej obligacji (100 zł).</t>
  </si>
  <si>
    <t>COI (4-latki)</t>
  </si>
  <si>
    <t>EDO (10-latki)</t>
  </si>
  <si>
    <t>ROS (6-latki)</t>
  </si>
  <si>
    <t xml:space="preserve">ROD (12-latki) </t>
  </si>
  <si>
    <t>COI, obligacje 4 letnie</t>
  </si>
  <si>
    <t>EDO - obligacje 10 letnie</t>
  </si>
  <si>
    <t>ROS - obligacje 6 letnie</t>
  </si>
  <si>
    <t>ROD - obligacje 12 letnie</t>
  </si>
  <si>
    <t>Wartości nominalne obligacji "opakowanych" w IKE, na koniec roku</t>
  </si>
  <si>
    <t>oprocentowanie
konta</t>
  </si>
  <si>
    <t>start</t>
  </si>
  <si>
    <t>konto
oszczędn.</t>
  </si>
  <si>
    <t>Nominalna skumulowana stopa zwrotu na koniec każdego roku
(dla porównania wykres skumulowanej inflacji)</t>
  </si>
  <si>
    <t>Kwota wpłacona powiększona o INFLACJĘ</t>
  </si>
  <si>
    <t>Konto
oszczędnościowe</t>
  </si>
  <si>
    <t>Zapadalność
m-c</t>
  </si>
  <si>
    <t>Wypłata
odsetek
co ile mc</t>
  </si>
  <si>
    <t>Kapitalizacja odsetek co  ile miesięcy</t>
  </si>
  <si>
    <t>Koszt
wcześniejszego
wykupu (za szt.)</t>
  </si>
  <si>
    <t>← Nic nie wpisuj.</t>
  </si>
  <si>
    <t>COI,  gdy nie spełniam warunków</t>
  </si>
  <si>
    <t>COI, gdy spełniam warunki IKE</t>
  </si>
  <si>
    <t>EDO, gdy nie spełniam warunków</t>
  </si>
  <si>
    <t>EDO, gdy spełniam warunki IKE</t>
  </si>
  <si>
    <t>kup  nowe obligacje 
po 100</t>
  </si>
  <si>
    <t>ROR</t>
  </si>
  <si>
    <t>DOS</t>
  </si>
  <si>
    <t>stopa NBP</t>
  </si>
  <si>
    <t>WIBOR6M</t>
  </si>
  <si>
    <t>Co ile m-c zmiana oprocentowania</t>
  </si>
  <si>
    <t>W jaki sposób chcesz ustalić poziom wskażników?</t>
  </si>
  <si>
    <t>Wskażnik
indeksacji
obligacji</t>
  </si>
  <si>
    <t>stopa referencyjna 
NBP</t>
  </si>
  <si>
    <t>+ MARŻA</t>
  </si>
  <si>
    <t>ROR, obligacje roczne</t>
  </si>
  <si>
    <t>ROR (roczne)</t>
  </si>
  <si>
    <t>koszty IKE Obligacje</t>
  </si>
  <si>
    <t>← Tu wpisz wysokość wskaźników w każdym z 12 lat, jeśli uważasz, że ich wartości będą różne w poszczególnych latach.</t>
  </si>
  <si>
    <t>WIBOR 6M</t>
  </si>
  <si>
    <t>Stopa referencyjna NBP</t>
  </si>
  <si>
    <t>Inflacja</t>
  </si>
  <si>
    <t>Rodzaj Obligacji:</t>
  </si>
  <si>
    <t>DOR (2-latki)</t>
  </si>
  <si>
    <t>DOR, obligacje 2 letnie</t>
  </si>
  <si>
    <t>tu wpisz miesiąc, który Cię interesuje↓</t>
  </si>
  <si>
    <t>% dla pierwszego okresu odsetkowego, w skali roku</t>
  </si>
  <si>
    <t>Ochrona
wartości 
nominalnej przy wcześniejszym wykupie
(ile miesięcy)</t>
  </si>
  <si>
    <t>pełny okres</t>
  </si>
  <si>
    <t>KONTO 
OSZCZĘDNOŚCIOWE</t>
  </si>
  <si>
    <t>TOS (3-latki)</t>
  </si>
  <si>
    <t>TOS, gdy spełniam warunki IKE</t>
  </si>
  <si>
    <t>TOS,  gdy nie spełniam warunków</t>
  </si>
  <si>
    <t>TOS wiek 
emerytalny</t>
  </si>
  <si>
    <t>TOS</t>
  </si>
  <si>
    <t>TOS, obligacje 3 letnie</t>
  </si>
  <si>
    <t>LATA</t>
  </si>
  <si>
    <r>
      <t xml:space="preserve">Tu znajdziesz </t>
    </r>
    <r>
      <rPr>
        <b/>
        <sz val="18"/>
        <color rgb="FF0070C0"/>
        <rFont val="Calibri  "/>
        <charset val="238"/>
      </rPr>
      <t>wartości nominalne obligacji</t>
    </r>
    <r>
      <rPr>
        <b/>
        <sz val="18"/>
        <color theme="1"/>
        <rFont val="Calibri  "/>
        <charset val="238"/>
      </rPr>
      <t xml:space="preserve"> na koniec każdego roku oszczędzania</t>
    </r>
  </si>
  <si>
    <t>Wpłata powiększona o INFLACJĘ</t>
  </si>
  <si>
    <t>wpłata</t>
  </si>
  <si>
    <t>Wartość nominalna obligacji na koniec wybranego miesiąca</t>
  </si>
  <si>
    <t xml:space="preserve">Nominalna skumulowana stopa zwrotu na koniec każdego roku
</t>
  </si>
  <si>
    <t>Skumulowana INFLACJA</t>
  </si>
  <si>
    <t>Lokata</t>
  </si>
  <si>
    <r>
      <t xml:space="preserve">Tu znajdziesz </t>
    </r>
    <r>
      <rPr>
        <b/>
        <sz val="18"/>
        <color rgb="FF0070C0"/>
        <rFont val="Calibri  "/>
        <charset val="238"/>
      </rPr>
      <t>wartości nominalne obligacji</t>
    </r>
    <r>
      <rPr>
        <b/>
        <sz val="18"/>
        <color theme="1"/>
        <rFont val="Calibri  "/>
        <charset val="238"/>
      </rPr>
      <t xml:space="preserve"> na koniec każdego miesiąca oszczędzania</t>
    </r>
  </si>
  <si>
    <t>WARTOŚCI NOMINALNE OBLIGACJI NA KONIEC MIESIĘCY</t>
  </si>
  <si>
    <r>
      <t xml:space="preserve">Tu znajdziesz </t>
    </r>
    <r>
      <rPr>
        <b/>
        <sz val="18"/>
        <color rgb="FF0070C0"/>
        <rFont val="Calibri  "/>
        <charset val="238"/>
      </rPr>
      <t>SKUMULOWANE STOPY ZWROTU Z OBLIGACJI</t>
    </r>
    <r>
      <rPr>
        <b/>
        <sz val="18"/>
        <color theme="1"/>
        <rFont val="Calibri  "/>
        <charset val="238"/>
      </rPr>
      <t xml:space="preserve"> na koniec każdego miesiąca oszczędzania</t>
    </r>
  </si>
  <si>
    <t>← tu wybierz z listy, czy zakładasz ten sam poziom wskaźników, w każdym z 12 lat (wybierz wówczas: "chcę taki sam w każdym roku"), czy też zakładasz różne poziomy wskaźników w każdym roku (wybierz wówczas "chcę sam ustawić każdy rok").</t>
  </si>
  <si>
    <t>Tu wpisz liczbę obligacji, które zamierzasz kupić. wartość nominalna jednej obligacji równa się 100 zł.</t>
  </si>
  <si>
    <t>TEN EKRAN SŁUŻY WPISANIU TWOICH ZAŁOŻEŃ - WPISZ JE TYLKO W POLA ZAZNACZONE ŻÓŁTYM KOLOREM</t>
  </si>
  <si>
    <t>Wartość zakupu (1 obligacja = 100 zł)</t>
  </si>
  <si>
    <t>Podatek od zysków kapitałowych (podatek "Belki")</t>
  </si>
  <si>
    <t>ZAŁOŻENIA DOTYCZĄCE INFLACJI I STÓP PROCENTOWYCH</t>
  </si>
  <si>
    <t>← Tu wpisz wysokość wskaźnikaów w skali jednego roku (np. 8%), jeśli zakładasz, że ich poziomy będą takie same w każdym z 12 lat.</t>
  </si>
  <si>
    <t>DANE O KOSZTACH PROWADZENIA KONTA IKE OBLIGACJE</t>
  </si>
  <si>
    <t>DANE O OPROCENTOWANIU OBLIGACJI, ZASADACH WYKUPU, ZAMIANY, KAPITALIZACJI</t>
  </si>
  <si>
    <t>chcę taki sam w kazdym roku</t>
  </si>
  <si>
    <r>
      <t xml:space="preserve">wpisz miesiąc, który Cię interesuje (wpisz numer tego miesiąca np. 40) </t>
    </r>
    <r>
      <rPr>
        <b/>
        <sz val="12"/>
        <color theme="1"/>
        <rFont val="Garamond"/>
        <family val="1"/>
        <charset val="238"/>
      </rPr>
      <t>↓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</si>
</sst>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0\ &quot;zł&quot;"/>
    <numFmt numFmtId="165" formatCode="#,##0\ &quot;zł&quot;"/>
    <numFmt numFmtId="166" formatCode="0.0%"/>
    <numFmt numFmtId="167" formatCode="0&quot; szt&quot;"/>
    <numFmt numFmtId="168" formatCode="0&quot; rok&quot;"/>
    <numFmt numFmtId="169" formatCode="&quot;koniec &quot;General&quot; roku&quot;"/>
    <numFmt numFmtId="170" formatCode="0&quot; miesiąc&quot;"/>
    <numFmt numFmtId="171" formatCode="&quot;koniec &quot;General&quot; mies.&quot;"/>
    <numFmt numFmtId="172" formatCode="\ General&quot; mies.&quot;"/>
  </numFmts>
  <fonts count="3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Calibri  "/>
      <charset val="238"/>
    </font>
    <font>
      <b/>
      <sz val="11"/>
      <color theme="1"/>
      <name val="Calibri  "/>
      <charset val="238"/>
    </font>
    <font>
      <sz val="16"/>
      <color theme="1"/>
      <name val="Calibri  "/>
      <charset val="238"/>
    </font>
    <font>
      <b/>
      <sz val="14"/>
      <color theme="1"/>
      <name val="Calibri  "/>
      <charset val="238"/>
    </font>
    <font>
      <b/>
      <sz val="22"/>
      <color theme="1"/>
      <name val="Calibri  "/>
      <charset val="238"/>
    </font>
    <font>
      <b/>
      <sz val="11"/>
      <color theme="0"/>
      <name val="Calibri  "/>
      <charset val="238"/>
    </font>
    <font>
      <b/>
      <sz val="12"/>
      <color theme="1"/>
      <name val="Calibri  "/>
      <charset val="238"/>
    </font>
    <font>
      <sz val="11"/>
      <color theme="0"/>
      <name val="Calibri"/>
      <family val="2"/>
      <charset val="238"/>
      <scheme val="minor"/>
    </font>
    <font>
      <b/>
      <i/>
      <sz val="12"/>
      <color theme="1"/>
      <name val="Calibri  "/>
      <charset val="238"/>
    </font>
    <font>
      <sz val="12"/>
      <color theme="1"/>
      <name val="Calibri  "/>
      <charset val="238"/>
    </font>
    <font>
      <b/>
      <sz val="14"/>
      <name val="Calibri  "/>
      <charset val="238"/>
    </font>
    <font>
      <b/>
      <sz val="11"/>
      <name val="Calibri  "/>
      <charset val="238"/>
    </font>
    <font>
      <b/>
      <sz val="18"/>
      <color theme="1"/>
      <name val="Calibri  "/>
      <charset val="238"/>
    </font>
    <font>
      <b/>
      <sz val="18"/>
      <color rgb="FF0070C0"/>
      <name val="Calibri  "/>
      <charset val="238"/>
    </font>
    <font>
      <b/>
      <sz val="12"/>
      <color theme="0"/>
      <name val="Calibri  "/>
      <charset val="238"/>
    </font>
    <font>
      <b/>
      <i/>
      <sz val="11"/>
      <color theme="0"/>
      <name val="Calibri  "/>
      <charset val="238"/>
    </font>
    <font>
      <sz val="11"/>
      <name val="Calibri  "/>
      <charset val="238"/>
    </font>
    <font>
      <b/>
      <sz val="12"/>
      <name val="Calibri  "/>
      <charset val="238"/>
    </font>
    <font>
      <b/>
      <sz val="12"/>
      <color rgb="FFC00000"/>
      <name val="Calibri  "/>
      <charset val="238"/>
    </font>
    <font>
      <u/>
      <sz val="12"/>
      <color theme="10"/>
      <name val="Calibri  "/>
      <charset val="238"/>
    </font>
    <font>
      <sz val="12"/>
      <color rgb="FFFF0000"/>
      <name val="Calibri  "/>
      <charset val="238"/>
    </font>
    <font>
      <b/>
      <sz val="12"/>
      <color theme="8" tint="-0.499984740745262"/>
      <name val="Calibri  "/>
      <charset val="238"/>
    </font>
    <font>
      <u/>
      <sz val="11"/>
      <color theme="1"/>
      <name val="Poppins"/>
      <charset val="238"/>
    </font>
    <font>
      <sz val="18"/>
      <color theme="1"/>
      <name val="Calibri"/>
      <family val="2"/>
      <charset val="238"/>
      <scheme val="minor"/>
    </font>
    <font>
      <b/>
      <sz val="12"/>
      <color theme="1"/>
      <name val="Garamond"/>
      <family val="1"/>
      <charset val="238"/>
    </font>
    <font>
      <b/>
      <sz val="36"/>
      <color theme="1"/>
      <name val="Calibri  "/>
      <charset val="238"/>
    </font>
    <font>
      <u/>
      <sz val="14"/>
      <color theme="10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860D7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136834"/>
        <bgColor indexed="64"/>
      </patternFill>
    </fill>
    <fill>
      <patternFill patternType="solid">
        <fgColor rgb="FF646FB4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CC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35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3" borderId="1" xfId="0" applyFill="1" applyBorder="1"/>
    <xf numFmtId="9" fontId="0" fillId="0" borderId="1" xfId="1" applyFont="1" applyBorder="1"/>
    <xf numFmtId="3" fontId="0" fillId="0" borderId="1" xfId="0" applyNumberFormat="1" applyBorder="1"/>
    <xf numFmtId="0" fontId="0" fillId="2" borderId="3" xfId="0" applyFill="1" applyBorder="1" applyAlignment="1">
      <alignment wrapText="1"/>
    </xf>
    <xf numFmtId="9" fontId="0" fillId="2" borderId="3" xfId="1" applyFont="1" applyFill="1" applyBorder="1"/>
    <xf numFmtId="10" fontId="0" fillId="0" borderId="1" xfId="1" applyNumberFormat="1" applyFont="1" applyBorder="1"/>
    <xf numFmtId="0" fontId="0" fillId="5" borderId="1" xfId="0" applyFill="1" applyBorder="1"/>
    <xf numFmtId="164" fontId="0" fillId="3" borderId="1" xfId="0" applyNumberFormat="1" applyFill="1" applyBorder="1"/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6" borderId="0" xfId="0" applyFill="1"/>
    <xf numFmtId="164" fontId="0" fillId="6" borderId="0" xfId="0" applyNumberFormat="1" applyFill="1"/>
    <xf numFmtId="0" fontId="3" fillId="10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/>
    </xf>
    <xf numFmtId="0" fontId="4" fillId="13" borderId="0" xfId="0" applyFont="1" applyFill="1"/>
    <xf numFmtId="0" fontId="4" fillId="6" borderId="0" xfId="0" applyFont="1" applyFill="1"/>
    <xf numFmtId="0" fontId="8" fillId="6" borderId="0" xfId="0" applyFont="1" applyFill="1"/>
    <xf numFmtId="0" fontId="4" fillId="6" borderId="1" xfId="0" applyFont="1" applyFill="1" applyBorder="1"/>
    <xf numFmtId="169" fontId="4" fillId="6" borderId="6" xfId="0" applyNumberFormat="1" applyFont="1" applyFill="1" applyBorder="1" applyAlignment="1">
      <alignment horizontal="left"/>
    </xf>
    <xf numFmtId="164" fontId="4" fillId="6" borderId="4" xfId="0" applyNumberFormat="1" applyFont="1" applyFill="1" applyBorder="1"/>
    <xf numFmtId="166" fontId="4" fillId="6" borderId="1" xfId="1" applyNumberFormat="1" applyFont="1" applyFill="1" applyBorder="1"/>
    <xf numFmtId="166" fontId="4" fillId="6" borderId="4" xfId="1" applyNumberFormat="1" applyFont="1" applyFill="1" applyBorder="1"/>
    <xf numFmtId="166" fontId="4" fillId="6" borderId="7" xfId="1" applyNumberFormat="1" applyFont="1" applyFill="1" applyBorder="1"/>
    <xf numFmtId="169" fontId="4" fillId="6" borderId="8" xfId="0" applyNumberFormat="1" applyFont="1" applyFill="1" applyBorder="1" applyAlignment="1">
      <alignment horizontal="left"/>
    </xf>
    <xf numFmtId="166" fontId="4" fillId="6" borderId="9" xfId="1" applyNumberFormat="1" applyFont="1" applyFill="1" applyBorder="1"/>
    <xf numFmtId="166" fontId="4" fillId="6" borderId="10" xfId="1" applyNumberFormat="1" applyFont="1" applyFill="1" applyBorder="1"/>
    <xf numFmtId="166" fontId="4" fillId="6" borderId="11" xfId="1" applyNumberFormat="1" applyFont="1" applyFill="1" applyBorder="1"/>
    <xf numFmtId="0" fontId="4" fillId="6" borderId="4" xfId="0" applyFont="1" applyFill="1" applyBorder="1"/>
    <xf numFmtId="0" fontId="4" fillId="6" borderId="1" xfId="0" applyFont="1" applyFill="1" applyBorder="1" applyAlignment="1">
      <alignment horizontal="center" vertical="center" wrapText="1"/>
    </xf>
    <xf numFmtId="0" fontId="7" fillId="13" borderId="0" xfId="0" applyFont="1" applyFill="1" applyAlignment="1">
      <alignment horizontal="center"/>
    </xf>
    <xf numFmtId="0" fontId="9" fillId="13" borderId="0" xfId="0" applyFont="1" applyFill="1" applyAlignment="1">
      <alignment horizontal="center" vertical="center" wrapText="1"/>
    </xf>
    <xf numFmtId="166" fontId="4" fillId="13" borderId="0" xfId="1" applyNumberFormat="1" applyFont="1" applyFill="1" applyBorder="1"/>
    <xf numFmtId="0" fontId="4" fillId="6" borderId="16" xfId="0" applyFont="1" applyFill="1" applyBorder="1"/>
    <xf numFmtId="0" fontId="9" fillId="9" borderId="18" xfId="0" applyFont="1" applyFill="1" applyBorder="1" applyAlignment="1">
      <alignment horizontal="center" vertical="center" wrapText="1"/>
    </xf>
    <xf numFmtId="171" fontId="10" fillId="4" borderId="19" xfId="0" applyNumberFormat="1" applyFont="1" applyFill="1" applyBorder="1" applyAlignment="1">
      <alignment horizontal="left"/>
    </xf>
    <xf numFmtId="166" fontId="4" fillId="6" borderId="20" xfId="1" applyNumberFormat="1" applyFont="1" applyFill="1" applyBorder="1"/>
    <xf numFmtId="166" fontId="4" fillId="6" borderId="21" xfId="1" applyNumberFormat="1" applyFont="1" applyFill="1" applyBorder="1"/>
    <xf numFmtId="0" fontId="9" fillId="10" borderId="17" xfId="0" applyFont="1" applyFill="1" applyBorder="1" applyAlignment="1">
      <alignment horizontal="center" vertical="center" wrapText="1"/>
    </xf>
    <xf numFmtId="0" fontId="9" fillId="8" borderId="17" xfId="0" applyFont="1" applyFill="1" applyBorder="1" applyAlignment="1">
      <alignment horizontal="center" vertical="center" wrapText="1"/>
    </xf>
    <xf numFmtId="164" fontId="0" fillId="0" borderId="7" xfId="0" applyNumberFormat="1" applyBorder="1"/>
    <xf numFmtId="0" fontId="0" fillId="13" borderId="0" xfId="0" applyFill="1"/>
    <xf numFmtId="0" fontId="9" fillId="15" borderId="17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/>
    </xf>
    <xf numFmtId="171" fontId="10" fillId="16" borderId="19" xfId="0" applyNumberFormat="1" applyFont="1" applyFill="1" applyBorder="1" applyAlignment="1">
      <alignment horizontal="left"/>
    </xf>
    <xf numFmtId="0" fontId="6" fillId="13" borderId="0" xfId="0" applyFont="1" applyFill="1" applyAlignment="1">
      <alignment horizontal="center"/>
    </xf>
    <xf numFmtId="0" fontId="4" fillId="6" borderId="22" xfId="0" applyFont="1" applyFill="1" applyBorder="1"/>
    <xf numFmtId="164" fontId="4" fillId="6" borderId="24" xfId="0" applyNumberFormat="1" applyFont="1" applyFill="1" applyBorder="1"/>
    <xf numFmtId="166" fontId="4" fillId="6" borderId="24" xfId="1" applyNumberFormat="1" applyFont="1" applyFill="1" applyBorder="1"/>
    <xf numFmtId="166" fontId="4" fillId="6" borderId="25" xfId="1" applyNumberFormat="1" applyFont="1" applyFill="1" applyBorder="1"/>
    <xf numFmtId="0" fontId="4" fillId="6" borderId="1" xfId="0" applyFont="1" applyFill="1" applyBorder="1" applyAlignment="1">
      <alignment horizontal="center" wrapText="1"/>
    </xf>
    <xf numFmtId="0" fontId="9" fillId="17" borderId="23" xfId="0" applyFont="1" applyFill="1" applyBorder="1" applyAlignment="1">
      <alignment horizontal="center" vertical="center" wrapText="1"/>
    </xf>
    <xf numFmtId="169" fontId="4" fillId="6" borderId="30" xfId="0" applyNumberFormat="1" applyFont="1" applyFill="1" applyBorder="1" applyAlignment="1">
      <alignment horizontal="left"/>
    </xf>
    <xf numFmtId="164" fontId="4" fillId="6" borderId="5" xfId="0" applyNumberFormat="1" applyFont="1" applyFill="1" applyBorder="1"/>
    <xf numFmtId="0" fontId="9" fillId="18" borderId="17" xfId="0" applyFont="1" applyFill="1" applyBorder="1" applyAlignment="1">
      <alignment horizontal="center" vertical="center" wrapText="1"/>
    </xf>
    <xf numFmtId="0" fontId="3" fillId="19" borderId="1" xfId="0" applyFont="1" applyFill="1" applyBorder="1" applyAlignment="1">
      <alignment horizontal="center" vertical="center" wrapText="1"/>
    </xf>
    <xf numFmtId="0" fontId="3" fillId="19" borderId="2" xfId="0" applyFont="1" applyFill="1" applyBorder="1" applyAlignment="1">
      <alignment horizontal="center" vertical="center" wrapText="1"/>
    </xf>
    <xf numFmtId="0" fontId="3" fillId="19" borderId="2" xfId="0" applyFont="1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 wrapText="1"/>
    </xf>
    <xf numFmtId="0" fontId="0" fillId="19" borderId="1" xfId="0" applyFill="1" applyBorder="1" applyAlignment="1">
      <alignment horizontal="center" vertical="center"/>
    </xf>
    <xf numFmtId="0" fontId="9" fillId="19" borderId="17" xfId="0" applyFont="1" applyFill="1" applyBorder="1" applyAlignment="1">
      <alignment horizontal="center" vertical="center" wrapText="1"/>
    </xf>
    <xf numFmtId="164" fontId="0" fillId="0" borderId="2" xfId="0" applyNumberFormat="1" applyBorder="1"/>
    <xf numFmtId="164" fontId="0" fillId="0" borderId="31" xfId="0" applyNumberFormat="1" applyBorder="1"/>
    <xf numFmtId="164" fontId="4" fillId="13" borderId="0" xfId="0" applyNumberFormat="1" applyFont="1" applyFill="1"/>
    <xf numFmtId="0" fontId="5" fillId="13" borderId="0" xfId="0" applyFont="1" applyFill="1" applyAlignment="1">
      <alignment wrapText="1"/>
    </xf>
    <xf numFmtId="0" fontId="15" fillId="22" borderId="17" xfId="0" applyFont="1" applyFill="1" applyBorder="1" applyAlignment="1">
      <alignment horizontal="center" vertical="center" wrapText="1"/>
    </xf>
    <xf numFmtId="0" fontId="3" fillId="19" borderId="0" xfId="0" applyFont="1" applyFill="1" applyAlignment="1">
      <alignment horizontal="center" vertical="center" wrapText="1"/>
    </xf>
    <xf numFmtId="0" fontId="8" fillId="13" borderId="0" xfId="0" applyFont="1" applyFill="1"/>
    <xf numFmtId="0" fontId="16" fillId="13" borderId="0" xfId="0" applyFont="1" applyFill="1" applyAlignment="1">
      <alignment horizontal="center"/>
    </xf>
    <xf numFmtId="0" fontId="4" fillId="13" borderId="0" xfId="0" applyFont="1" applyFill="1" applyAlignment="1">
      <alignment horizontal="center" vertical="center" wrapText="1"/>
    </xf>
    <xf numFmtId="9" fontId="4" fillId="13" borderId="0" xfId="1" applyFont="1" applyFill="1"/>
    <xf numFmtId="166" fontId="4" fillId="13" borderId="0" xfId="0" applyNumberFormat="1" applyFont="1" applyFill="1"/>
    <xf numFmtId="2" fontId="4" fillId="13" borderId="0" xfId="0" applyNumberFormat="1" applyFont="1" applyFill="1"/>
    <xf numFmtId="0" fontId="13" fillId="6" borderId="0" xfId="0" applyFont="1" applyFill="1"/>
    <xf numFmtId="0" fontId="13" fillId="6" borderId="0" xfId="0" applyFont="1" applyFill="1" applyAlignment="1">
      <alignment vertical="top" wrapText="1"/>
    </xf>
    <xf numFmtId="0" fontId="10" fillId="6" borderId="0" xfId="0" applyFont="1" applyFill="1" applyAlignment="1">
      <alignment horizontal="left" vertical="center"/>
    </xf>
    <xf numFmtId="0" fontId="13" fillId="6" borderId="0" xfId="0" applyFont="1" applyFill="1" applyAlignment="1">
      <alignment horizontal="right" vertical="top" wrapText="1"/>
    </xf>
    <xf numFmtId="0" fontId="23" fillId="6" borderId="0" xfId="2" applyFont="1" applyFill="1"/>
    <xf numFmtId="0" fontId="10" fillId="6" borderId="16" xfId="0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horizontal="center" vertical="center" wrapText="1"/>
    </xf>
    <xf numFmtId="10" fontId="13" fillId="6" borderId="7" xfId="0" applyNumberFormat="1" applyFont="1" applyFill="1" applyBorder="1"/>
    <xf numFmtId="10" fontId="13" fillId="6" borderId="11" xfId="0" applyNumberFormat="1" applyFont="1" applyFill="1" applyBorder="1"/>
    <xf numFmtId="0" fontId="24" fillId="6" borderId="0" xfId="0" applyFont="1" applyFill="1"/>
    <xf numFmtId="165" fontId="13" fillId="7" borderId="33" xfId="0" applyNumberFormat="1" applyFont="1" applyFill="1" applyBorder="1" applyAlignment="1">
      <alignment vertical="center"/>
    </xf>
    <xf numFmtId="0" fontId="10" fillId="6" borderId="33" xfId="0" applyFont="1" applyFill="1" applyBorder="1" applyAlignment="1">
      <alignment vertical="center" wrapText="1"/>
    </xf>
    <xf numFmtId="9" fontId="13" fillId="7" borderId="33" xfId="0" applyNumberFormat="1" applyFont="1" applyFill="1" applyBorder="1" applyAlignment="1">
      <alignment vertical="center"/>
    </xf>
    <xf numFmtId="0" fontId="10" fillId="6" borderId="34" xfId="0" applyFont="1" applyFill="1" applyBorder="1" applyAlignment="1">
      <alignment vertical="center" wrapText="1"/>
    </xf>
    <xf numFmtId="0" fontId="21" fillId="6" borderId="33" xfId="0" applyFont="1" applyFill="1" applyBorder="1" applyAlignment="1">
      <alignment horizontal="center" vertical="center" wrapText="1"/>
    </xf>
    <xf numFmtId="0" fontId="21" fillId="6" borderId="33" xfId="0" quotePrefix="1" applyFont="1" applyFill="1" applyBorder="1" applyAlignment="1">
      <alignment horizontal="center" vertical="center" wrapText="1"/>
    </xf>
    <xf numFmtId="0" fontId="10" fillId="19" borderId="33" xfId="0" applyFont="1" applyFill="1" applyBorder="1" applyAlignment="1">
      <alignment horizontal="center" vertical="center" wrapText="1"/>
    </xf>
    <xf numFmtId="0" fontId="13" fillId="6" borderId="33" xfId="0" applyFont="1" applyFill="1" applyBorder="1"/>
    <xf numFmtId="10" fontId="10" fillId="6" borderId="33" xfId="0" applyNumberFormat="1" applyFont="1" applyFill="1" applyBorder="1"/>
    <xf numFmtId="0" fontId="13" fillId="6" borderId="33" xfId="0" applyFont="1" applyFill="1" applyBorder="1" applyAlignment="1">
      <alignment horizontal="center" vertical="center" wrapText="1"/>
    </xf>
    <xf numFmtId="164" fontId="13" fillId="6" borderId="33" xfId="0" applyNumberFormat="1" applyFont="1" applyFill="1" applyBorder="1"/>
    <xf numFmtId="0" fontId="18" fillId="20" borderId="33" xfId="0" applyFont="1" applyFill="1" applyBorder="1" applyAlignment="1">
      <alignment horizontal="center" vertical="center" wrapText="1"/>
    </xf>
    <xf numFmtId="0" fontId="18" fillId="21" borderId="33" xfId="0" applyFont="1" applyFill="1" applyBorder="1" applyAlignment="1">
      <alignment horizontal="center" vertical="center" wrapText="1"/>
    </xf>
    <xf numFmtId="0" fontId="18" fillId="10" borderId="33" xfId="0" applyFont="1" applyFill="1" applyBorder="1" applyAlignment="1">
      <alignment horizontal="center" vertical="center" wrapText="1"/>
    </xf>
    <xf numFmtId="0" fontId="18" fillId="8" borderId="33" xfId="0" applyFont="1" applyFill="1" applyBorder="1" applyAlignment="1">
      <alignment horizontal="center" vertical="center" wrapText="1"/>
    </xf>
    <xf numFmtId="10" fontId="13" fillId="6" borderId="33" xfId="0" applyNumberFormat="1" applyFont="1" applyFill="1" applyBorder="1"/>
    <xf numFmtId="0" fontId="18" fillId="12" borderId="33" xfId="0" applyFont="1" applyFill="1" applyBorder="1" applyAlignment="1">
      <alignment horizontal="center" vertical="center" wrapText="1"/>
    </xf>
    <xf numFmtId="0" fontId="18" fillId="11" borderId="33" xfId="0" applyFont="1" applyFill="1" applyBorder="1" applyAlignment="1">
      <alignment horizontal="center" vertical="center" wrapText="1"/>
    </xf>
    <xf numFmtId="10" fontId="10" fillId="6" borderId="36" xfId="0" applyNumberFormat="1" applyFont="1" applyFill="1" applyBorder="1"/>
    <xf numFmtId="10" fontId="10" fillId="6" borderId="37" xfId="0" applyNumberFormat="1" applyFont="1" applyFill="1" applyBorder="1"/>
    <xf numFmtId="0" fontId="10" fillId="19" borderId="33" xfId="0" applyFont="1" applyFill="1" applyBorder="1" applyAlignment="1">
      <alignment horizontal="left" vertical="center" wrapText="1"/>
    </xf>
    <xf numFmtId="0" fontId="18" fillId="20" borderId="33" xfId="0" applyFont="1" applyFill="1" applyBorder="1" applyAlignment="1">
      <alignment horizontal="left" vertical="center" wrapText="1"/>
    </xf>
    <xf numFmtId="0" fontId="18" fillId="21" borderId="33" xfId="0" applyFont="1" applyFill="1" applyBorder="1" applyAlignment="1">
      <alignment horizontal="left" vertical="center" wrapText="1"/>
    </xf>
    <xf numFmtId="0" fontId="18" fillId="10" borderId="33" xfId="0" applyFont="1" applyFill="1" applyBorder="1" applyAlignment="1">
      <alignment horizontal="left" vertical="center" wrapText="1"/>
    </xf>
    <xf numFmtId="0" fontId="18" fillId="8" borderId="33" xfId="0" applyFont="1" applyFill="1" applyBorder="1" applyAlignment="1">
      <alignment horizontal="left" vertical="center" wrapText="1"/>
    </xf>
    <xf numFmtId="0" fontId="18" fillId="12" borderId="33" xfId="0" applyFont="1" applyFill="1" applyBorder="1" applyAlignment="1">
      <alignment horizontal="left" vertical="center" wrapText="1"/>
    </xf>
    <xf numFmtId="0" fontId="18" fillId="11" borderId="33" xfId="0" applyFont="1" applyFill="1" applyBorder="1" applyAlignment="1">
      <alignment horizontal="left" vertical="center" wrapText="1"/>
    </xf>
    <xf numFmtId="0" fontId="13" fillId="6" borderId="6" xfId="0" applyFont="1" applyFill="1" applyBorder="1" applyAlignment="1">
      <alignment horizontal="left"/>
    </xf>
    <xf numFmtId="0" fontId="13" fillId="6" borderId="8" xfId="0" applyFont="1" applyFill="1" applyBorder="1" applyAlignment="1">
      <alignment horizontal="left"/>
    </xf>
    <xf numFmtId="0" fontId="25" fillId="6" borderId="0" xfId="0" applyFont="1" applyFill="1"/>
    <xf numFmtId="0" fontId="13" fillId="6" borderId="39" xfId="0" applyFont="1" applyFill="1" applyBorder="1"/>
    <xf numFmtId="167" fontId="10" fillId="26" borderId="33" xfId="0" applyNumberFormat="1" applyFont="1" applyFill="1" applyBorder="1" applyAlignment="1">
      <alignment vertical="center"/>
    </xf>
    <xf numFmtId="0" fontId="13" fillId="26" borderId="0" xfId="0" applyFont="1" applyFill="1"/>
    <xf numFmtId="0" fontId="22" fillId="26" borderId="0" xfId="0" applyFont="1" applyFill="1" applyAlignment="1">
      <alignment vertical="center"/>
    </xf>
    <xf numFmtId="0" fontId="9" fillId="19" borderId="33" xfId="0" applyFont="1" applyFill="1" applyBorder="1" applyAlignment="1">
      <alignment horizontal="center" vertical="center" wrapText="1"/>
    </xf>
    <xf numFmtId="0" fontId="9" fillId="9" borderId="33" xfId="0" applyFont="1" applyFill="1" applyBorder="1" applyAlignment="1">
      <alignment horizontal="center" vertical="center" wrapText="1"/>
    </xf>
    <xf numFmtId="0" fontId="4" fillId="6" borderId="33" xfId="0" applyFont="1" applyFill="1" applyBorder="1"/>
    <xf numFmtId="9" fontId="4" fillId="6" borderId="33" xfId="1" applyFont="1" applyFill="1" applyBorder="1"/>
    <xf numFmtId="0" fontId="4" fillId="6" borderId="40" xfId="0" applyFont="1" applyFill="1" applyBorder="1" applyAlignment="1">
      <alignment wrapText="1"/>
    </xf>
    <xf numFmtId="3" fontId="4" fillId="6" borderId="33" xfId="0" applyNumberFormat="1" applyFont="1" applyFill="1" applyBorder="1"/>
    <xf numFmtId="164" fontId="4" fillId="6" borderId="33" xfId="0" applyNumberFormat="1" applyFont="1" applyFill="1" applyBorder="1"/>
    <xf numFmtId="9" fontId="4" fillId="6" borderId="40" xfId="1" applyFont="1" applyFill="1" applyBorder="1"/>
    <xf numFmtId="10" fontId="4" fillId="6" borderId="33" xfId="1" applyNumberFormat="1" applyFont="1" applyFill="1" applyBorder="1"/>
    <xf numFmtId="0" fontId="4" fillId="13" borderId="33" xfId="0" applyFont="1" applyFill="1" applyBorder="1"/>
    <xf numFmtId="164" fontId="4" fillId="13" borderId="33" xfId="0" applyNumberFormat="1" applyFont="1" applyFill="1" applyBorder="1"/>
    <xf numFmtId="10" fontId="4" fillId="13" borderId="33" xfId="1" applyNumberFormat="1" applyFont="1" applyFill="1" applyBorder="1"/>
    <xf numFmtId="0" fontId="9" fillId="20" borderId="33" xfId="0" applyFont="1" applyFill="1" applyBorder="1" applyAlignment="1">
      <alignment horizontal="center" vertical="center"/>
    </xf>
    <xf numFmtId="0" fontId="9" fillId="20" borderId="33" xfId="0" applyFont="1" applyFill="1" applyBorder="1" applyAlignment="1">
      <alignment horizontal="center" vertical="center" wrapText="1"/>
    </xf>
    <xf numFmtId="0" fontId="9" fillId="21" borderId="33" xfId="0" applyFont="1" applyFill="1" applyBorder="1" applyAlignment="1">
      <alignment horizontal="center" vertical="center"/>
    </xf>
    <xf numFmtId="0" fontId="9" fillId="21" borderId="33" xfId="0" applyFont="1" applyFill="1" applyBorder="1" applyAlignment="1">
      <alignment horizontal="center" vertical="center" wrapText="1"/>
    </xf>
    <xf numFmtId="0" fontId="9" fillId="10" borderId="33" xfId="0" applyFont="1" applyFill="1" applyBorder="1" applyAlignment="1">
      <alignment horizontal="center" vertical="center" wrapText="1"/>
    </xf>
    <xf numFmtId="0" fontId="9" fillId="10" borderId="33" xfId="0" applyFont="1" applyFill="1" applyBorder="1" applyAlignment="1">
      <alignment horizontal="center" vertical="center"/>
    </xf>
    <xf numFmtId="0" fontId="9" fillId="8" borderId="33" xfId="0" applyFont="1" applyFill="1" applyBorder="1" applyAlignment="1">
      <alignment horizontal="center" vertical="center" wrapText="1"/>
    </xf>
    <xf numFmtId="0" fontId="9" fillId="8" borderId="33" xfId="0" applyFont="1" applyFill="1" applyBorder="1" applyAlignment="1">
      <alignment horizontal="center" vertical="center"/>
    </xf>
    <xf numFmtId="3" fontId="4" fillId="13" borderId="33" xfId="0" applyNumberFormat="1" applyFont="1" applyFill="1" applyBorder="1"/>
    <xf numFmtId="0" fontId="9" fillId="12" borderId="33" xfId="0" applyFont="1" applyFill="1" applyBorder="1" applyAlignment="1">
      <alignment horizontal="center" vertical="center" wrapText="1"/>
    </xf>
    <xf numFmtId="0" fontId="9" fillId="12" borderId="33" xfId="0" applyFont="1" applyFill="1" applyBorder="1" applyAlignment="1">
      <alignment horizontal="center" vertical="center"/>
    </xf>
    <xf numFmtId="0" fontId="9" fillId="25" borderId="33" xfId="0" applyFont="1" applyFill="1" applyBorder="1" applyAlignment="1">
      <alignment horizontal="center" vertical="center" wrapText="1"/>
    </xf>
    <xf numFmtId="0" fontId="9" fillId="25" borderId="33" xfId="0" applyFont="1" applyFill="1" applyBorder="1" applyAlignment="1">
      <alignment horizontal="center" vertical="center"/>
    </xf>
    <xf numFmtId="0" fontId="13" fillId="6" borderId="33" xfId="0" applyFont="1" applyFill="1" applyBorder="1" applyAlignment="1">
      <alignment wrapText="1"/>
    </xf>
    <xf numFmtId="0" fontId="18" fillId="24" borderId="33" xfId="0" applyFont="1" applyFill="1" applyBorder="1" applyAlignment="1">
      <alignment horizontal="center" vertical="center" wrapText="1"/>
    </xf>
    <xf numFmtId="166" fontId="4" fillId="6" borderId="33" xfId="1" applyNumberFormat="1" applyFont="1" applyFill="1" applyBorder="1"/>
    <xf numFmtId="166" fontId="12" fillId="6" borderId="33" xfId="1" applyNumberFormat="1" applyFont="1" applyFill="1" applyBorder="1"/>
    <xf numFmtId="0" fontId="18" fillId="9" borderId="33" xfId="0" applyFont="1" applyFill="1" applyBorder="1" applyAlignment="1">
      <alignment horizontal="center" vertical="center" wrapText="1"/>
    </xf>
    <xf numFmtId="165" fontId="4" fillId="6" borderId="33" xfId="0" applyNumberFormat="1" applyFont="1" applyFill="1" applyBorder="1"/>
    <xf numFmtId="165" fontId="19" fillId="23" borderId="33" xfId="0" applyNumberFormat="1" applyFont="1" applyFill="1" applyBorder="1"/>
    <xf numFmtId="0" fontId="10" fillId="13" borderId="0" xfId="0" applyFont="1" applyFill="1" applyAlignment="1">
      <alignment wrapText="1"/>
    </xf>
    <xf numFmtId="0" fontId="4" fillId="7" borderId="0" xfId="0" applyFont="1" applyFill="1"/>
    <xf numFmtId="0" fontId="4" fillId="14" borderId="0" xfId="0" applyFont="1" applyFill="1"/>
    <xf numFmtId="0" fontId="10" fillId="19" borderId="42" xfId="0" applyFont="1" applyFill="1" applyBorder="1" applyAlignment="1">
      <alignment horizontal="center" vertical="center" wrapText="1"/>
    </xf>
    <xf numFmtId="0" fontId="18" fillId="20" borderId="41" xfId="0" applyFont="1" applyFill="1" applyBorder="1" applyAlignment="1">
      <alignment horizontal="center" vertical="center" wrapText="1"/>
    </xf>
    <xf numFmtId="0" fontId="18" fillId="21" borderId="4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/>
    </xf>
    <xf numFmtId="0" fontId="18" fillId="8" borderId="41" xfId="0" applyFont="1" applyFill="1" applyBorder="1" applyAlignment="1">
      <alignment horizontal="center" vertical="center" wrapText="1"/>
    </xf>
    <xf numFmtId="0" fontId="18" fillId="12" borderId="41" xfId="0" applyFont="1" applyFill="1" applyBorder="1" applyAlignment="1">
      <alignment horizontal="center" vertical="center" wrapText="1"/>
    </xf>
    <xf numFmtId="0" fontId="18" fillId="11" borderId="41" xfId="0" applyFont="1" applyFill="1" applyBorder="1" applyAlignment="1">
      <alignment horizontal="center" vertical="center" wrapText="1"/>
    </xf>
    <xf numFmtId="0" fontId="18" fillId="24" borderId="41" xfId="0" applyFont="1" applyFill="1" applyBorder="1" applyAlignment="1">
      <alignment horizontal="center" vertical="center" wrapText="1"/>
    </xf>
    <xf numFmtId="0" fontId="10" fillId="6" borderId="48" xfId="0" applyFont="1" applyFill="1" applyBorder="1" applyAlignment="1">
      <alignment horizontal="center" vertical="center"/>
    </xf>
    <xf numFmtId="0" fontId="18" fillId="9" borderId="49" xfId="0" applyFont="1" applyFill="1" applyBorder="1" applyAlignment="1">
      <alignment horizontal="center" vertical="center" wrapText="1"/>
    </xf>
    <xf numFmtId="0" fontId="5" fillId="6" borderId="48" xfId="0" applyFont="1" applyFill="1" applyBorder="1"/>
    <xf numFmtId="165" fontId="20" fillId="6" borderId="49" xfId="0" applyNumberFormat="1" applyFont="1" applyFill="1" applyBorder="1"/>
    <xf numFmtId="169" fontId="5" fillId="6" borderId="48" xfId="0" applyNumberFormat="1" applyFont="1" applyFill="1" applyBorder="1" applyAlignment="1">
      <alignment horizontal="left"/>
    </xf>
    <xf numFmtId="169" fontId="19" fillId="23" borderId="48" xfId="0" applyNumberFormat="1" applyFont="1" applyFill="1" applyBorder="1" applyAlignment="1">
      <alignment horizontal="left"/>
    </xf>
    <xf numFmtId="165" fontId="19" fillId="23" borderId="49" xfId="0" applyNumberFormat="1" applyFont="1" applyFill="1" applyBorder="1"/>
    <xf numFmtId="165" fontId="4" fillId="6" borderId="49" xfId="0" applyNumberFormat="1" applyFont="1" applyFill="1" applyBorder="1"/>
    <xf numFmtId="169" fontId="5" fillId="6" borderId="50" xfId="0" applyNumberFormat="1" applyFont="1" applyFill="1" applyBorder="1" applyAlignment="1">
      <alignment horizontal="left"/>
    </xf>
    <xf numFmtId="165" fontId="4" fillId="6" borderId="51" xfId="0" applyNumberFormat="1" applyFont="1" applyFill="1" applyBorder="1"/>
    <xf numFmtId="165" fontId="4" fillId="6" borderId="52" xfId="0" applyNumberFormat="1" applyFont="1" applyFill="1" applyBorder="1"/>
    <xf numFmtId="0" fontId="9" fillId="9" borderId="49" xfId="0" applyFont="1" applyFill="1" applyBorder="1" applyAlignment="1">
      <alignment horizontal="center" vertical="center" wrapText="1"/>
    </xf>
    <xf numFmtId="0" fontId="4" fillId="6" borderId="48" xfId="0" applyFont="1" applyFill="1" applyBorder="1"/>
    <xf numFmtId="166" fontId="4" fillId="6" borderId="49" xfId="1" applyNumberFormat="1" applyFont="1" applyFill="1" applyBorder="1"/>
    <xf numFmtId="169" fontId="4" fillId="6" borderId="48" xfId="0" applyNumberFormat="1" applyFont="1" applyFill="1" applyBorder="1" applyAlignment="1">
      <alignment horizontal="left"/>
    </xf>
    <xf numFmtId="169" fontId="12" fillId="6" borderId="48" xfId="0" applyNumberFormat="1" applyFont="1" applyFill="1" applyBorder="1" applyAlignment="1">
      <alignment horizontal="left"/>
    </xf>
    <xf numFmtId="166" fontId="12" fillId="6" borderId="49" xfId="1" applyNumberFormat="1" applyFont="1" applyFill="1" applyBorder="1"/>
    <xf numFmtId="169" fontId="4" fillId="6" borderId="50" xfId="0" applyNumberFormat="1" applyFont="1" applyFill="1" applyBorder="1" applyAlignment="1">
      <alignment horizontal="left"/>
    </xf>
    <xf numFmtId="166" fontId="4" fillId="6" borderId="51" xfId="1" applyNumberFormat="1" applyFont="1" applyFill="1" applyBorder="1"/>
    <xf numFmtId="166" fontId="4" fillId="6" borderId="52" xfId="1" applyNumberFormat="1" applyFont="1" applyFill="1" applyBorder="1"/>
    <xf numFmtId="10" fontId="10" fillId="6" borderId="53" xfId="0" applyNumberFormat="1" applyFont="1" applyFill="1" applyBorder="1"/>
    <xf numFmtId="10" fontId="10" fillId="6" borderId="54" xfId="0" applyNumberFormat="1" applyFont="1" applyFill="1" applyBorder="1"/>
    <xf numFmtId="168" fontId="10" fillId="6" borderId="36" xfId="0" applyNumberFormat="1" applyFont="1" applyFill="1" applyBorder="1" applyAlignment="1">
      <alignment horizontal="left"/>
    </xf>
    <xf numFmtId="170" fontId="4" fillId="6" borderId="33" xfId="0" applyNumberFormat="1" applyFont="1" applyFill="1" applyBorder="1"/>
    <xf numFmtId="0" fontId="18" fillId="9" borderId="56" xfId="0" applyFont="1" applyFill="1" applyBorder="1" applyAlignment="1">
      <alignment horizontal="center" vertical="center" wrapText="1"/>
    </xf>
    <xf numFmtId="172" fontId="7" fillId="4" borderId="57" xfId="0" applyNumberFormat="1" applyFont="1" applyFill="1" applyBorder="1" applyAlignment="1">
      <alignment horizontal="left"/>
    </xf>
    <xf numFmtId="165" fontId="10" fillId="6" borderId="51" xfId="0" applyNumberFormat="1" applyFont="1" applyFill="1" applyBorder="1" applyAlignment="1">
      <alignment wrapText="1"/>
    </xf>
    <xf numFmtId="165" fontId="10" fillId="6" borderId="52" xfId="0" applyNumberFormat="1" applyFont="1" applyFill="1" applyBorder="1" applyAlignment="1">
      <alignment wrapText="1"/>
    </xf>
    <xf numFmtId="0" fontId="26" fillId="0" borderId="0" xfId="0" applyFont="1" applyAlignment="1">
      <alignment horizontal="left" vertical="center" indent="9"/>
    </xf>
    <xf numFmtId="0" fontId="14" fillId="26" borderId="37" xfId="0" applyFont="1" applyFill="1" applyBorder="1" applyAlignment="1">
      <alignment horizontal="center" vertical="center"/>
    </xf>
    <xf numFmtId="164" fontId="27" fillId="0" borderId="20" xfId="0" applyNumberFormat="1" applyFont="1" applyBorder="1"/>
    <xf numFmtId="164" fontId="27" fillId="0" borderId="21" xfId="0" applyNumberFormat="1" applyFont="1" applyBorder="1"/>
    <xf numFmtId="164" fontId="27" fillId="6" borderId="26" xfId="0" applyNumberFormat="1" applyFont="1" applyFill="1" applyBorder="1"/>
    <xf numFmtId="0" fontId="10" fillId="13" borderId="48" xfId="0" applyFont="1" applyFill="1" applyBorder="1" applyAlignment="1">
      <alignment wrapText="1"/>
    </xf>
    <xf numFmtId="0" fontId="29" fillId="6" borderId="0" xfId="0" applyFont="1" applyFill="1"/>
    <xf numFmtId="10" fontId="10" fillId="6" borderId="36" xfId="0" applyNumberFormat="1" applyFont="1" applyFill="1" applyBorder="1" applyAlignment="1">
      <alignment horizontal="left"/>
    </xf>
    <xf numFmtId="0" fontId="30" fillId="6" borderId="38" xfId="2" applyFont="1" applyFill="1" applyBorder="1" applyAlignment="1">
      <alignment horizontal="center" vertical="center" wrapText="1"/>
    </xf>
    <xf numFmtId="0" fontId="30" fillId="6" borderId="35" xfId="2" applyFont="1" applyFill="1" applyBorder="1" applyAlignment="1">
      <alignment horizontal="center" vertical="center" wrapText="1"/>
    </xf>
    <xf numFmtId="10" fontId="10" fillId="6" borderId="58" xfId="0" applyNumberFormat="1" applyFont="1" applyFill="1" applyBorder="1"/>
    <xf numFmtId="10" fontId="10" fillId="7" borderId="36" xfId="0" applyNumberFormat="1" applyFont="1" applyFill="1" applyBorder="1"/>
    <xf numFmtId="0" fontId="10" fillId="6" borderId="0" xfId="0" applyFont="1" applyFill="1" applyAlignment="1">
      <alignment horizontal="center" vertical="top" wrapText="1"/>
    </xf>
    <xf numFmtId="0" fontId="13" fillId="6" borderId="32" xfId="0" applyFont="1" applyFill="1" applyBorder="1" applyAlignment="1">
      <alignment horizontal="right" vertical="center" wrapText="1"/>
    </xf>
    <xf numFmtId="0" fontId="13" fillId="6" borderId="0" xfId="0" applyFont="1" applyFill="1" applyAlignment="1">
      <alignment horizontal="right" vertical="center" wrapText="1"/>
    </xf>
    <xf numFmtId="0" fontId="10" fillId="6" borderId="32" xfId="0" applyFont="1" applyFill="1" applyBorder="1" applyAlignment="1">
      <alignment horizontal="right" vertical="center" wrapText="1"/>
    </xf>
    <xf numFmtId="0" fontId="10" fillId="6" borderId="0" xfId="0" applyFont="1" applyFill="1" applyAlignment="1">
      <alignment horizontal="right" vertical="center" wrapText="1"/>
    </xf>
    <xf numFmtId="0" fontId="13" fillId="6" borderId="0" xfId="0" applyFont="1" applyFill="1" applyAlignment="1">
      <alignment horizontal="right" vertical="top" wrapText="1"/>
    </xf>
    <xf numFmtId="0" fontId="13" fillId="6" borderId="0" xfId="0" applyFont="1" applyFill="1" applyAlignment="1">
      <alignment horizontal="right" wrapText="1"/>
    </xf>
    <xf numFmtId="168" fontId="5" fillId="6" borderId="33" xfId="0" applyNumberFormat="1" applyFont="1" applyFill="1" applyBorder="1" applyAlignment="1">
      <alignment horizontal="center" vertical="center" textRotation="90"/>
    </xf>
    <xf numFmtId="0" fontId="16" fillId="6" borderId="27" xfId="0" applyFont="1" applyFill="1" applyBorder="1" applyAlignment="1">
      <alignment horizontal="center"/>
    </xf>
    <xf numFmtId="0" fontId="16" fillId="6" borderId="28" xfId="0" applyFont="1" applyFill="1" applyBorder="1" applyAlignment="1">
      <alignment horizontal="center"/>
    </xf>
    <xf numFmtId="0" fontId="16" fillId="6" borderId="29" xfId="0" applyFont="1" applyFill="1" applyBorder="1" applyAlignment="1">
      <alignment horizontal="center"/>
    </xf>
    <xf numFmtId="0" fontId="16" fillId="6" borderId="45" xfId="0" applyFont="1" applyFill="1" applyBorder="1" applyAlignment="1">
      <alignment horizontal="center"/>
    </xf>
    <xf numFmtId="0" fontId="16" fillId="6" borderId="46" xfId="0" applyFont="1" applyFill="1" applyBorder="1" applyAlignment="1">
      <alignment horizontal="center"/>
    </xf>
    <xf numFmtId="0" fontId="16" fillId="6" borderId="47" xfId="0" applyFont="1" applyFill="1" applyBorder="1" applyAlignment="1">
      <alignment horizontal="center"/>
    </xf>
    <xf numFmtId="0" fontId="16" fillId="13" borderId="55" xfId="0" applyFont="1" applyFill="1" applyBorder="1" applyAlignment="1">
      <alignment horizontal="center"/>
    </xf>
    <xf numFmtId="0" fontId="16" fillId="13" borderId="43" xfId="0" applyFont="1" applyFill="1" applyBorder="1" applyAlignment="1">
      <alignment horizontal="center"/>
    </xf>
    <xf numFmtId="0" fontId="16" fillId="13" borderId="44" xfId="0" applyFont="1" applyFill="1" applyBorder="1" applyAlignment="1">
      <alignment horizontal="center"/>
    </xf>
    <xf numFmtId="0" fontId="7" fillId="6" borderId="45" xfId="0" applyFont="1" applyFill="1" applyBorder="1" applyAlignment="1">
      <alignment horizontal="center" vertical="center" wrapText="1"/>
    </xf>
    <xf numFmtId="0" fontId="7" fillId="6" borderId="46" xfId="0" applyFont="1" applyFill="1" applyBorder="1" applyAlignment="1">
      <alignment horizontal="center" vertical="center" wrapText="1"/>
    </xf>
    <xf numFmtId="0" fontId="7" fillId="6" borderId="47" xfId="0" applyFont="1" applyFill="1" applyBorder="1" applyAlignment="1">
      <alignment horizontal="center" vertical="center" wrapText="1"/>
    </xf>
    <xf numFmtId="168" fontId="5" fillId="13" borderId="0" xfId="0" applyNumberFormat="1" applyFont="1" applyFill="1" applyAlignment="1">
      <alignment horizontal="center" vertical="center" textRotation="90"/>
    </xf>
    <xf numFmtId="0" fontId="16" fillId="6" borderId="33" xfId="0" applyFont="1" applyFill="1" applyBorder="1" applyAlignment="1">
      <alignment horizontal="center"/>
    </xf>
    <xf numFmtId="0" fontId="7" fillId="6" borderId="13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168" fontId="5" fillId="6" borderId="2" xfId="0" applyNumberFormat="1" applyFont="1" applyFill="1" applyBorder="1" applyAlignment="1">
      <alignment horizontal="center" vertical="center" textRotation="90"/>
    </xf>
    <xf numFmtId="168" fontId="5" fillId="6" borderId="12" xfId="0" applyNumberFormat="1" applyFont="1" applyFill="1" applyBorder="1" applyAlignment="1">
      <alignment horizontal="center" vertical="center" textRotation="90"/>
    </xf>
    <xf numFmtId="168" fontId="5" fillId="6" borderId="4" xfId="0" applyNumberFormat="1" applyFont="1" applyFill="1" applyBorder="1" applyAlignment="1">
      <alignment horizontal="center" vertical="center" textRotation="90"/>
    </xf>
    <xf numFmtId="0" fontId="7" fillId="6" borderId="13" xfId="0" applyFont="1" applyFill="1" applyBorder="1" applyAlignment="1">
      <alignment horizontal="center" vertical="center"/>
    </xf>
  </cellXfs>
  <cellStyles count="3">
    <cellStyle name="Hiperłącze" xfId="2" builtinId="8"/>
    <cellStyle name="Normalny" xfId="0" builtinId="0"/>
    <cellStyle name="Procentowy" xfId="1" builtinId="5"/>
  </cellStyles>
  <dxfs count="4">
    <dxf>
      <font>
        <color auto="1"/>
      </font>
      <fill>
        <patternFill>
          <bgColor rgb="FFFFFFCC"/>
        </patternFill>
      </fill>
    </dxf>
    <dxf>
      <font>
        <color theme="0" tint="-4.9989318521683403E-2"/>
      </font>
      <fill>
        <patternFill>
          <bgColor theme="0" tint="-0.14996795556505021"/>
        </patternFill>
      </fill>
    </dxf>
    <dxf>
      <font>
        <color theme="0" tint="-4.9989318521683403E-2"/>
      </font>
      <fill>
        <patternFill patternType="solid">
          <bgColor theme="2"/>
        </patternFill>
      </fill>
    </dxf>
    <dxf>
      <font>
        <color theme="1"/>
      </font>
      <fill>
        <patternFill patternType="solid">
          <bgColor rgb="FFFFFF99"/>
        </patternFill>
      </fill>
    </dxf>
  </dxfs>
  <tableStyles count="0" defaultTableStyle="TableStyleMedium2" defaultPivotStyle="PivotStyleLight16"/>
  <colors>
    <mruColors>
      <color rgb="FFFFFFCC"/>
      <color rgb="FFFFFF99"/>
      <color rgb="FF9999FF"/>
      <color rgb="FF003399"/>
      <color rgb="FFFF99FF"/>
      <color rgb="FFFF9900"/>
      <color rgb="FFFF5050"/>
      <color rgb="FFFFFF00"/>
      <color rgb="FFCCCC00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l-PL" sz="1800" b="1"/>
              <a:t>Nominalna skumulowana stopa zwrotu na koniec każdego roku</a:t>
            </a:r>
          </a:p>
        </c:rich>
      </c:tx>
      <c:layout>
        <c:manualLayout>
          <c:xMode val="edge"/>
          <c:yMode val="edge"/>
          <c:x val="0.11862523053270721"/>
          <c:y val="2.27569244605734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8.8331261861680693E-2"/>
          <c:y val="0.14012232759185531"/>
          <c:w val="0.85931895800095393"/>
          <c:h val="0.52498473486963559"/>
        </c:manualLayout>
      </c:layout>
      <c:scatterChart>
        <c:scatterStyle val="lineMarker"/>
        <c:varyColors val="0"/>
        <c:ser>
          <c:idx val="1"/>
          <c:order val="0"/>
          <c:tx>
            <c:strRef>
              <c:f>OBLIGACJE!$D$23</c:f>
              <c:strCache>
                <c:ptCount val="1"/>
                <c:pt idx="0">
                  <c:v>DOR (2-latki)</c:v>
                </c:pt>
              </c:strCache>
            </c:strRef>
          </c:tx>
          <c:spPr>
            <a:ln w="28575" cap="rnd">
              <a:solidFill>
                <a:srgbClr val="33CCFF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OBLIGACJE!$D$24:$D$34</c:f>
              <c:numCache>
                <c:formatCode>0.0%</c:formatCode>
                <c:ptCount val="11"/>
                <c:pt idx="0">
                  <c:v>0</c:v>
                </c:pt>
                <c:pt idx="1">
                  <c:v>3.2630655725036206E-2</c:v>
                </c:pt>
                <c:pt idx="2">
                  <c:v>7.8020931026492546E-2</c:v>
                </c:pt>
                <c:pt idx="3">
                  <c:v>0.11836485524895979</c:v>
                </c:pt>
                <c:pt idx="4">
                  <c:v>0.16752348172356757</c:v>
                </c:pt>
                <c:pt idx="5">
                  <c:v>0.21087727489554431</c:v>
                </c:pt>
                <c:pt idx="6">
                  <c:v>0.26409818228020732</c:v>
                </c:pt>
                <c:pt idx="7">
                  <c:v>0.31069368406796283</c:v>
                </c:pt>
                <c:pt idx="8">
                  <c:v>0.36830452115060086</c:v>
                </c:pt>
                <c:pt idx="9">
                  <c:v>0.41943552215558189</c:v>
                </c:pt>
                <c:pt idx="10">
                  <c:v>0.48182403661943907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336-4C7F-8F86-C57347C90C36}"/>
            </c:ext>
          </c:extLst>
        </c:ser>
        <c:ser>
          <c:idx val="0"/>
          <c:order val="1"/>
          <c:tx>
            <c:strRef>
              <c:f>OBLIGACJE!$C$23</c:f>
              <c:strCache>
                <c:ptCount val="1"/>
                <c:pt idx="0">
                  <c:v>ROR (roczne)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OBLIGACJE!$C$24:$C$34</c:f>
              <c:numCache>
                <c:formatCode>0.0%</c:formatCode>
                <c:ptCount val="11"/>
                <c:pt idx="0">
                  <c:v>0</c:v>
                </c:pt>
                <c:pt idx="1">
                  <c:v>3.7065150701645067E-2</c:v>
                </c:pt>
                <c:pt idx="2">
                  <c:v>8.0693600813936728E-2</c:v>
                </c:pt>
                <c:pt idx="3">
                  <c:v>0.12598270274084933</c:v>
                </c:pt>
                <c:pt idx="4">
                  <c:v>0.17299608292245594</c:v>
                </c:pt>
                <c:pt idx="5">
                  <c:v>0.22179972612242005</c:v>
                </c:pt>
                <c:pt idx="6">
                  <c:v>0.27246102577446285</c:v>
                </c:pt>
                <c:pt idx="7">
                  <c:v>0.32504987326008394</c:v>
                </c:pt>
                <c:pt idx="8">
                  <c:v>0.38067892684152493</c:v>
                </c:pt>
                <c:pt idx="9">
                  <c:v>0.43842588119548953</c:v>
                </c:pt>
                <c:pt idx="10">
                  <c:v>0.49837131076358454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336-4C7F-8F86-C57347C90C36}"/>
            </c:ext>
          </c:extLst>
        </c:ser>
        <c:ser>
          <c:idx val="4"/>
          <c:order val="2"/>
          <c:tx>
            <c:strRef>
              <c:f>OBLIGACJE!$E$23</c:f>
              <c:strCache>
                <c:ptCount val="1"/>
                <c:pt idx="0">
                  <c:v>TOS (3-latki)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OBLIGACJE!$E$24:$E$34</c:f>
              <c:numCache>
                <c:formatCode>0.0%</c:formatCode>
                <c:ptCount val="11"/>
                <c:pt idx="0">
                  <c:v>0</c:v>
                </c:pt>
                <c:pt idx="1">
                  <c:v>3.1590000000000007E-2</c:v>
                </c:pt>
                <c:pt idx="2">
                  <c:v>7.3224809999999918E-2</c:v>
                </c:pt>
                <c:pt idx="3">
                  <c:v>0.12499972568999995</c:v>
                </c:pt>
                <c:pt idx="4">
                  <c:v>0.16170072573164673</c:v>
                </c:pt>
                <c:pt idx="5">
                  <c:v>0.20858635455843944</c:v>
                </c:pt>
                <c:pt idx="6">
                  <c:v>0.26688992151940161</c:v>
                </c:pt>
                <c:pt idx="7">
                  <c:v>0.30821989490431712</c:v>
                </c:pt>
                <c:pt idx="8">
                  <c:v>0.36101890432582673</c:v>
                </c:pt>
                <c:pt idx="9">
                  <c:v>0.42667579276037904</c:v>
                </c:pt>
                <c:pt idx="10">
                  <c:v>0.47322259794023491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336-4C7F-8F86-C57347C90C36}"/>
            </c:ext>
          </c:extLst>
        </c:ser>
        <c:ser>
          <c:idx val="5"/>
          <c:order val="3"/>
          <c:tx>
            <c:strRef>
              <c:f>OBLIGACJE!$F$23</c:f>
              <c:strCache>
                <c:ptCount val="1"/>
                <c:pt idx="0">
                  <c:v>COI (4-latki)</c:v>
                </c:pt>
              </c:strCache>
            </c:strRef>
          </c:tx>
          <c:spPr>
            <a:ln w="31750" cap="rnd">
              <a:solidFill>
                <a:srgbClr val="136834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OBLIGACJE!$F$24:$F$34</c:f>
              <c:numCache>
                <c:formatCode>0.0%</c:formatCode>
                <c:ptCount val="11"/>
                <c:pt idx="0">
                  <c:v>0</c:v>
                </c:pt>
                <c:pt idx="1">
                  <c:v>2.6324999999999932E-2</c:v>
                </c:pt>
                <c:pt idx="2">
                  <c:v>6.3541195533587391E-2</c:v>
                </c:pt>
                <c:pt idx="3">
                  <c:v>0.1021368149631694</c:v>
                </c:pt>
                <c:pt idx="4">
                  <c:v>0.15836298684333228</c:v>
                </c:pt>
                <c:pt idx="5">
                  <c:v>0.18992445035080818</c:v>
                </c:pt>
                <c:pt idx="6">
                  <c:v>0.23307335761997039</c:v>
                </c:pt>
                <c:pt idx="7">
                  <c:v>0.27782158563967574</c:v>
                </c:pt>
                <c:pt idx="8">
                  <c:v>0.34300421347456278</c:v>
                </c:pt>
                <c:pt idx="9">
                  <c:v>0.37959361974292349</c:v>
                </c:pt>
                <c:pt idx="10">
                  <c:v>0.42962007473590891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336-4C7F-8F86-C57347C90C36}"/>
            </c:ext>
          </c:extLst>
        </c:ser>
        <c:ser>
          <c:idx val="2"/>
          <c:order val="4"/>
          <c:tx>
            <c:strRef>
              <c:f>OBLIGACJE!$G$23</c:f>
              <c:strCache>
                <c:ptCount val="1"/>
                <c:pt idx="0">
                  <c:v>EDO (10-latki)</c:v>
                </c:pt>
              </c:strCache>
            </c:strRef>
          </c:tx>
          <c:spPr>
            <a:ln w="31750" cap="rnd">
              <a:solidFill>
                <a:srgbClr val="860D71"/>
              </a:solidFill>
              <a:round/>
            </a:ln>
            <a:effectLst/>
          </c:spPr>
          <c:marker>
            <c:symbol val="none"/>
          </c:marker>
          <c:dPt>
            <c:idx val="10"/>
            <c:marker>
              <c:symbol val="none"/>
            </c:marker>
            <c:bubble3D val="0"/>
            <c:spPr>
              <a:ln w="31750" cap="rnd">
                <a:solidFill>
                  <a:srgbClr val="9900CC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DF1-4B4C-BCB4-D59A39D160BF}"/>
              </c:ext>
            </c:extLst>
          </c:dPt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OBLIGACJE!$G$24:$G$34</c:f>
              <c:numCache>
                <c:formatCode>0.0%</c:formatCode>
                <c:ptCount val="11"/>
                <c:pt idx="0">
                  <c:v>0</c:v>
                </c:pt>
                <c:pt idx="1">
                  <c:v>2.2275000000000045E-2</c:v>
                </c:pt>
                <c:pt idx="2">
                  <c:v>6.4247175000000212E-2</c:v>
                </c:pt>
                <c:pt idx="3">
                  <c:v>0.10827598657500004</c:v>
                </c:pt>
                <c:pt idx="4">
                  <c:v>0.15446220991717508</c:v>
                </c:pt>
                <c:pt idx="5">
                  <c:v>0.20291155820311668</c:v>
                </c:pt>
                <c:pt idx="6">
                  <c:v>0.25373492455506907</c:v>
                </c:pt>
                <c:pt idx="7">
                  <c:v>0.30704863585826758</c:v>
                </c:pt>
                <c:pt idx="8">
                  <c:v>0.3629747190153223</c:v>
                </c:pt>
                <c:pt idx="9">
                  <c:v>0.42164118024707298</c:v>
                </c:pt>
                <c:pt idx="10">
                  <c:v>0.50748229807917955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45E-432F-8C5C-A05E1D4A1A60}"/>
            </c:ext>
          </c:extLst>
        </c:ser>
        <c:ser>
          <c:idx val="3"/>
          <c:order val="5"/>
          <c:tx>
            <c:strRef>
              <c:f>OBLIGACJE!$H$23</c:f>
              <c:strCache>
                <c:ptCount val="1"/>
                <c:pt idx="0">
                  <c:v>ROS (6-latki)</c:v>
                </c:pt>
              </c:strCache>
            </c:strRef>
          </c:tx>
          <c:spPr>
            <a:ln w="28575" cap="flat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OBLIGACJE!$H$24:$H$34</c:f>
              <c:numCache>
                <c:formatCode>0.0%</c:formatCode>
                <c:ptCount val="11"/>
                <c:pt idx="0">
                  <c:v>0</c:v>
                </c:pt>
                <c:pt idx="1">
                  <c:v>2.7945000000000109E-2</c:v>
                </c:pt>
                <c:pt idx="2">
                  <c:v>6.9798104999999833E-2</c:v>
                </c:pt>
                <c:pt idx="3">
                  <c:v>0.11370201214499986</c:v>
                </c:pt>
                <c:pt idx="4">
                  <c:v>0.15975721074010485</c:v>
                </c:pt>
                <c:pt idx="5">
                  <c:v>0.20806911406636974</c:v>
                </c:pt>
                <c:pt idx="6">
                  <c:v>0.27494830065562192</c:v>
                </c:pt>
                <c:pt idx="7">
                  <c:v>0.31058537956233301</c:v>
                </c:pt>
                <c:pt idx="8">
                  <c:v>0.36394268703856825</c:v>
                </c:pt>
                <c:pt idx="9">
                  <c:v>0.41991406753551863</c:v>
                </c:pt>
                <c:pt idx="10">
                  <c:v>0.47862759450616732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45E-432F-8C5C-A05E1D4A1A60}"/>
            </c:ext>
          </c:extLst>
        </c:ser>
        <c:ser>
          <c:idx val="6"/>
          <c:order val="6"/>
          <c:tx>
            <c:strRef>
              <c:f>OBLIGACJE!$I$23</c:f>
              <c:strCache>
                <c:ptCount val="1"/>
                <c:pt idx="0">
                  <c:v>ROD (12-latki) </c:v>
                </c:pt>
              </c:strCache>
            </c:strRef>
          </c:tx>
          <c:spPr>
            <a:ln w="28575" cap="rnd">
              <a:solidFill>
                <a:srgbClr val="9999FF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OBLIGACJE!$I$24:$I$34</c:f>
              <c:numCache>
                <c:formatCode>0.0%</c:formatCode>
                <c:ptCount val="11"/>
                <c:pt idx="0">
                  <c:v>0</c:v>
                </c:pt>
                <c:pt idx="1">
                  <c:v>2.4299999999999988E-2</c:v>
                </c:pt>
                <c:pt idx="2">
                  <c:v>7.0664400000000072E-2</c:v>
                </c:pt>
                <c:pt idx="3">
                  <c:v>0.11953247759999996</c:v>
                </c:pt>
                <c:pt idx="4">
                  <c:v>0.17103943139040023</c:v>
                </c:pt>
                <c:pt idx="5">
                  <c:v>0.22532776068548177</c:v>
                </c:pt>
                <c:pt idx="6">
                  <c:v>0.28254765976249785</c:v>
                </c:pt>
                <c:pt idx="7">
                  <c:v>0.34285743338967256</c:v>
                </c:pt>
                <c:pt idx="8">
                  <c:v>0.40642393479271521</c:v>
                </c:pt>
                <c:pt idx="9">
                  <c:v>0.47342302727152186</c:v>
                </c:pt>
                <c:pt idx="10">
                  <c:v>0.54404007074418415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45E-432F-8C5C-A05E1D4A1A60}"/>
            </c:ext>
          </c:extLst>
        </c:ser>
        <c:ser>
          <c:idx val="7"/>
          <c:order val="7"/>
          <c:tx>
            <c:strRef>
              <c:f>OBLIGACJE!$J$23</c:f>
              <c:strCache>
                <c:ptCount val="1"/>
                <c:pt idx="0">
                  <c:v>Lokata</c:v>
                </c:pt>
              </c:strCache>
            </c:strRef>
          </c:tx>
          <c:spPr>
            <a:ln w="38100" cap="rnd">
              <a:solidFill>
                <a:srgbClr val="003399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OBLIGACJE!$J$24:$J$34</c:f>
              <c:numCache>
                <c:formatCode>0.0%</c:formatCode>
                <c:ptCount val="11"/>
                <c:pt idx="0">
                  <c:v>0</c:v>
                </c:pt>
                <c:pt idx="1">
                  <c:v>3.7065150701646177E-2</c:v>
                </c:pt>
                <c:pt idx="2">
                  <c:v>7.5504126799827986E-2</c:v>
                </c:pt>
                <c:pt idx="3">
                  <c:v>0.11536784933990618</c:v>
                </c:pt>
                <c:pt idx="4">
                  <c:v>0.1567091267634606</c:v>
                </c:pt>
                <c:pt idx="5">
                  <c:v>0.19958272486491779</c:v>
                </c:pt>
                <c:pt idx="6">
                  <c:v>0.24404543934112732</c:v>
                </c:pt>
                <c:pt idx="7">
                  <c:v>0.2901561710300018</c:v>
                </c:pt>
                <c:pt idx="8">
                  <c:v>0.33797600393788763</c:v>
                </c:pt>
                <c:pt idx="9">
                  <c:v>0.38756828615903194</c:v>
                </c:pt>
                <c:pt idx="10">
                  <c:v>0.43899871379434141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DF1-4B4C-BCB4-D59A39D160BF}"/>
            </c:ext>
          </c:extLst>
        </c:ser>
        <c:ser>
          <c:idx val="8"/>
          <c:order val="8"/>
          <c:tx>
            <c:strRef>
              <c:f>OBLIGACJE!$K$23</c:f>
              <c:strCache>
                <c:ptCount val="1"/>
                <c:pt idx="0">
                  <c:v>Skumulowana INFLACJA</c:v>
                </c:pt>
              </c:strCache>
            </c:strRef>
          </c:tx>
          <c:spPr>
            <a:ln w="317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OBLIGACJE!$K$24:$K$34</c:f>
              <c:numCache>
                <c:formatCode>0.0%</c:formatCode>
                <c:ptCount val="11"/>
                <c:pt idx="0">
                  <c:v>0</c:v>
                </c:pt>
                <c:pt idx="1">
                  <c:v>2.8999999999999915E-2</c:v>
                </c:pt>
                <c:pt idx="2">
                  <c:v>5.8840999999999921E-2</c:v>
                </c:pt>
                <c:pt idx="3">
                  <c:v>8.9547388999999811E-2</c:v>
                </c:pt>
                <c:pt idx="4">
                  <c:v>0.12114426328099981</c:v>
                </c:pt>
                <c:pt idx="5">
                  <c:v>0.15365744691614869</c:v>
                </c:pt>
                <c:pt idx="6">
                  <c:v>0.18711351287671696</c:v>
                </c:pt>
                <c:pt idx="7">
                  <c:v>0.22153980475014157</c:v>
                </c:pt>
                <c:pt idx="8">
                  <c:v>0.25696445908789567</c:v>
                </c:pt>
                <c:pt idx="9">
                  <c:v>0.29341642840144444</c:v>
                </c:pt>
                <c:pt idx="10">
                  <c:v>0.33092550482508631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DF1-4B4C-BCB4-D59A39D16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225839"/>
        <c:axId val="143248303"/>
      </c:scatterChart>
      <c:valAx>
        <c:axId val="143225839"/>
        <c:scaling>
          <c:orientation val="minMax"/>
          <c:max val="10"/>
        </c:scaling>
        <c:delete val="0"/>
        <c:axPos val="b"/>
        <c:numFmt formatCode="General&quot; rok&quot;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43248303"/>
        <c:crosses val="autoZero"/>
        <c:crossBetween val="midCat"/>
        <c:majorUnit val="1"/>
        <c:minorUnit val="1"/>
      </c:valAx>
      <c:valAx>
        <c:axId val="143248303"/>
        <c:scaling>
          <c:orientation val="minMax"/>
          <c:min val="0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43225839"/>
        <c:crosses val="autoZero"/>
        <c:crossBetween val="midCat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1.4040796295599227E-2"/>
          <c:y val="0.75035106402871676"/>
          <c:w val="0.83511413233906961"/>
          <c:h val="0.249648935971283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noFill/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l-PL" sz="2000" b="1">
                <a:solidFill>
                  <a:schemeClr val="tx1"/>
                </a:solidFill>
              </a:rPr>
              <a:t>Wartości nominalne obligacji na koniec każdego roku oszczędzania</a:t>
            </a:r>
          </a:p>
        </c:rich>
      </c:tx>
      <c:layout>
        <c:manualLayout>
          <c:xMode val="edge"/>
          <c:yMode val="edge"/>
          <c:x val="0.11971914800589922"/>
          <c:y val="2.78673224802647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2578459589371435"/>
          <c:y val="0.14553409327982805"/>
          <c:w val="0.86995344277276743"/>
          <c:h val="0.50305533797804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OBLIGACJE!$C$7</c:f>
              <c:strCache>
                <c:ptCount val="1"/>
                <c:pt idx="0">
                  <c:v>ROR (roczne)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OBLIGACJE!$C$8:$C$18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103706.5150701645</c:v>
                </c:pt>
                <c:pt idx="2">
                  <c:v>108069.36008139368</c:v>
                </c:pt>
                <c:pt idx="3">
                  <c:v>112598.27027408493</c:v>
                </c:pt>
                <c:pt idx="4">
                  <c:v>117299.6082922456</c:v>
                </c:pt>
                <c:pt idx="5">
                  <c:v>122179.972612242</c:v>
                </c:pt>
                <c:pt idx="6">
                  <c:v>127246.10257744629</c:v>
                </c:pt>
                <c:pt idx="7">
                  <c:v>132504.98732600838</c:v>
                </c:pt>
                <c:pt idx="8">
                  <c:v>138067.8926841525</c:v>
                </c:pt>
                <c:pt idx="9">
                  <c:v>143842.58811954895</c:v>
                </c:pt>
                <c:pt idx="10">
                  <c:v>149837.13107635846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09-465B-9C1B-48094DA13D00}"/>
            </c:ext>
          </c:extLst>
        </c:ser>
        <c:ser>
          <c:idx val="3"/>
          <c:order val="1"/>
          <c:tx>
            <c:strRef>
              <c:f>OBLIGACJE!$D$7</c:f>
              <c:strCache>
                <c:ptCount val="1"/>
                <c:pt idx="0">
                  <c:v>DOR (2-latki)</c:v>
                </c:pt>
              </c:strCache>
            </c:strRef>
          </c:tx>
          <c:spPr>
            <a:solidFill>
              <a:srgbClr val="33CCFF"/>
            </a:solidFill>
            <a:ln>
              <a:noFill/>
            </a:ln>
            <a:effectLst/>
          </c:spPr>
          <c:invertIfNegative val="0"/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OBLIGACJE!$D$8:$D$18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103263.06557250362</c:v>
                </c:pt>
                <c:pt idx="2">
                  <c:v>107802.09310264926</c:v>
                </c:pt>
                <c:pt idx="3">
                  <c:v>111836.48552489598</c:v>
                </c:pt>
                <c:pt idx="4">
                  <c:v>116752.34817235675</c:v>
                </c:pt>
                <c:pt idx="5">
                  <c:v>121087.72748955444</c:v>
                </c:pt>
                <c:pt idx="6">
                  <c:v>126409.81822802073</c:v>
                </c:pt>
                <c:pt idx="7">
                  <c:v>131069.36840679627</c:v>
                </c:pt>
                <c:pt idx="8">
                  <c:v>136830.45211506009</c:v>
                </c:pt>
                <c:pt idx="9">
                  <c:v>141943.55221555819</c:v>
                </c:pt>
                <c:pt idx="10">
                  <c:v>148182.40366194391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09-465B-9C1B-48094DA13D00}"/>
            </c:ext>
          </c:extLst>
        </c:ser>
        <c:ser>
          <c:idx val="4"/>
          <c:order val="2"/>
          <c:tx>
            <c:strRef>
              <c:f>OBLIGACJE!$E$7</c:f>
              <c:strCache>
                <c:ptCount val="1"/>
                <c:pt idx="0">
                  <c:v>TOS (3-latki)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OBLIGACJE!$E$8:$E$18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103159</c:v>
                </c:pt>
                <c:pt idx="2">
                  <c:v>107322.481</c:v>
                </c:pt>
                <c:pt idx="3">
                  <c:v>112499.97256899999</c:v>
                </c:pt>
                <c:pt idx="4">
                  <c:v>116170.07257316467</c:v>
                </c:pt>
                <c:pt idx="5">
                  <c:v>120858.63545584393</c:v>
                </c:pt>
                <c:pt idx="6">
                  <c:v>126688.99215194017</c:v>
                </c:pt>
                <c:pt idx="7">
                  <c:v>130821.9894904317</c:v>
                </c:pt>
                <c:pt idx="8">
                  <c:v>136101.89043258267</c:v>
                </c:pt>
                <c:pt idx="9">
                  <c:v>142667.5792760379</c:v>
                </c:pt>
                <c:pt idx="10">
                  <c:v>147322.2597940235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09-465B-9C1B-48094DA13D00}"/>
            </c:ext>
          </c:extLst>
        </c:ser>
        <c:ser>
          <c:idx val="5"/>
          <c:order val="3"/>
          <c:tx>
            <c:strRef>
              <c:f>OBLIGACJE!$F$7</c:f>
              <c:strCache>
                <c:ptCount val="1"/>
                <c:pt idx="0">
                  <c:v>COI (4-latki)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B06-476B-8C04-A17D2C0B4C42}"/>
              </c:ext>
            </c:extLst>
          </c:dPt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OBLIGACJE!$F$8:$F$18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102632.5</c:v>
                </c:pt>
                <c:pt idx="2">
                  <c:v>106354.11955335875</c:v>
                </c:pt>
                <c:pt idx="3">
                  <c:v>110213.68149631695</c:v>
                </c:pt>
                <c:pt idx="4">
                  <c:v>115836.29868433322</c:v>
                </c:pt>
                <c:pt idx="5">
                  <c:v>118992.44503508082</c:v>
                </c:pt>
                <c:pt idx="6">
                  <c:v>123307.33576199705</c:v>
                </c:pt>
                <c:pt idx="7">
                  <c:v>127782.15856396758</c:v>
                </c:pt>
                <c:pt idx="8">
                  <c:v>134300.42134745629</c:v>
                </c:pt>
                <c:pt idx="9">
                  <c:v>137959.36197429235</c:v>
                </c:pt>
                <c:pt idx="10">
                  <c:v>142962.0074735909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09-465B-9C1B-48094DA13D00}"/>
            </c:ext>
          </c:extLst>
        </c:ser>
        <c:ser>
          <c:idx val="1"/>
          <c:order val="4"/>
          <c:tx>
            <c:strRef>
              <c:f>OBLIGACJE!$G$7</c:f>
              <c:strCache>
                <c:ptCount val="1"/>
                <c:pt idx="0">
                  <c:v>EDO (10-latki)</c:v>
                </c:pt>
              </c:strCache>
            </c:strRef>
          </c:tx>
          <c:spPr>
            <a:solidFill>
              <a:srgbClr val="860D71"/>
            </a:solidFill>
            <a:ln w="28575" cap="rnd">
              <a:noFill/>
              <a:round/>
            </a:ln>
            <a:effectLst/>
          </c:spPr>
          <c:invertIfNegative val="0"/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OBLIGACJE!$G$8:$G$18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102227.50000000001</c:v>
                </c:pt>
                <c:pt idx="2">
                  <c:v>106424.71750000001</c:v>
                </c:pt>
                <c:pt idx="3">
                  <c:v>110827.5986575</c:v>
                </c:pt>
                <c:pt idx="4">
                  <c:v>115446.22099171751</c:v>
                </c:pt>
                <c:pt idx="5">
                  <c:v>120291.15582031166</c:v>
                </c:pt>
                <c:pt idx="6">
                  <c:v>125373.49245550692</c:v>
                </c:pt>
                <c:pt idx="7">
                  <c:v>130704.86358582675</c:v>
                </c:pt>
                <c:pt idx="8">
                  <c:v>136297.47190153223</c:v>
                </c:pt>
                <c:pt idx="9">
                  <c:v>142164.11802470731</c:v>
                </c:pt>
                <c:pt idx="10">
                  <c:v>150748.22980791796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DC-4D58-BAC1-F80779A0F8EF}"/>
            </c:ext>
          </c:extLst>
        </c:ser>
        <c:ser>
          <c:idx val="2"/>
          <c:order val="5"/>
          <c:tx>
            <c:strRef>
              <c:f>OBLIGACJE!$H$7</c:f>
              <c:strCache>
                <c:ptCount val="1"/>
                <c:pt idx="0">
                  <c:v>ROS (6-latki)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OBLIGACJE!$H$8:$H$18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102794.5</c:v>
                </c:pt>
                <c:pt idx="2">
                  <c:v>106979.81049999999</c:v>
                </c:pt>
                <c:pt idx="3">
                  <c:v>111370.20121449999</c:v>
                </c:pt>
                <c:pt idx="4">
                  <c:v>115975.72107401048</c:v>
                </c:pt>
                <c:pt idx="5">
                  <c:v>120806.91140663698</c:v>
                </c:pt>
                <c:pt idx="6">
                  <c:v>127494.8300655622</c:v>
                </c:pt>
                <c:pt idx="7">
                  <c:v>131058.5379562333</c:v>
                </c:pt>
                <c:pt idx="8">
                  <c:v>136394.26870385683</c:v>
                </c:pt>
                <c:pt idx="9">
                  <c:v>141991.40675355186</c:v>
                </c:pt>
                <c:pt idx="10">
                  <c:v>147862.75945061672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DC-4D58-BAC1-F80779A0F8EF}"/>
            </c:ext>
          </c:extLst>
        </c:ser>
        <c:ser>
          <c:idx val="6"/>
          <c:order val="6"/>
          <c:tx>
            <c:strRef>
              <c:f>OBLIGACJE!$I$7</c:f>
              <c:strCache>
                <c:ptCount val="1"/>
                <c:pt idx="0">
                  <c:v>ROD (12-latki) </c:v>
                </c:pt>
              </c:strCache>
            </c:strRef>
          </c:tx>
          <c:spPr>
            <a:solidFill>
              <a:srgbClr val="9999FF"/>
            </a:solidFill>
            <a:ln>
              <a:solidFill>
                <a:srgbClr val="9999FF"/>
              </a:solidFill>
            </a:ln>
            <a:effectLst/>
          </c:spPr>
          <c:invertIfNegative val="0"/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OBLIGACJE!$I$8:$I$18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102430</c:v>
                </c:pt>
                <c:pt idx="2">
                  <c:v>107066.44</c:v>
                </c:pt>
                <c:pt idx="3">
                  <c:v>111953.24776</c:v>
                </c:pt>
                <c:pt idx="4">
                  <c:v>117103.94313904001</c:v>
                </c:pt>
                <c:pt idx="5">
                  <c:v>122532.77606854818</c:v>
                </c:pt>
                <c:pt idx="6">
                  <c:v>128254.76597624978</c:v>
                </c:pt>
                <c:pt idx="7">
                  <c:v>134285.74333896727</c:v>
                </c:pt>
                <c:pt idx="8">
                  <c:v>140642.39347927153</c:v>
                </c:pt>
                <c:pt idx="9">
                  <c:v>147342.30272715219</c:v>
                </c:pt>
                <c:pt idx="10">
                  <c:v>154404.00707441842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1DC-4D58-BAC1-F80779A0F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4612543"/>
        <c:axId val="2134611295"/>
      </c:barChart>
      <c:lineChart>
        <c:grouping val="standard"/>
        <c:varyColors val="0"/>
        <c:ser>
          <c:idx val="7"/>
          <c:order val="7"/>
          <c:tx>
            <c:strRef>
              <c:f>OBLIGACJE!$J$7</c:f>
              <c:strCache>
                <c:ptCount val="1"/>
                <c:pt idx="0">
                  <c:v>Lokata</c:v>
                </c:pt>
              </c:strCache>
            </c:strRef>
          </c:tx>
          <c:spPr>
            <a:ln w="57150" cap="rnd">
              <a:solidFill>
                <a:srgbClr val="003399"/>
              </a:solidFill>
              <a:round/>
            </a:ln>
            <a:effectLst/>
          </c:spPr>
          <c:marker>
            <c:symbol val="none"/>
          </c:marker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OBLIGACJE!$J$8:$J$18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103706.51507016462</c:v>
                </c:pt>
                <c:pt idx="2">
                  <c:v>107550.41267998281</c:v>
                </c:pt>
                <c:pt idx="3">
                  <c:v>111536.78493399061</c:v>
                </c:pt>
                <c:pt idx="4">
                  <c:v>115670.91267634607</c:v>
                </c:pt>
                <c:pt idx="5">
                  <c:v>119958.27248649178</c:v>
                </c:pt>
                <c:pt idx="6">
                  <c:v>124404.54393411273</c:v>
                </c:pt>
                <c:pt idx="7">
                  <c:v>129015.61710300019</c:v>
                </c:pt>
                <c:pt idx="8">
                  <c:v>133797.60039378877</c:v>
                </c:pt>
                <c:pt idx="9">
                  <c:v>138756.82861590318</c:v>
                </c:pt>
                <c:pt idx="10">
                  <c:v>143899.87137943413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42-4769-B53A-32DCD894B906}"/>
            </c:ext>
          </c:extLst>
        </c:ser>
        <c:ser>
          <c:idx val="8"/>
          <c:order val="8"/>
          <c:tx>
            <c:strRef>
              <c:f>OBLIGACJE!$K$7</c:f>
              <c:strCache>
                <c:ptCount val="1"/>
                <c:pt idx="0">
                  <c:v>Wpłata powiększona o INFLACJĘ</c:v>
                </c:pt>
              </c:strCache>
            </c:strRef>
          </c:tx>
          <c:spPr>
            <a:ln w="571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OBLIGACJE!$K$8:$K$18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102899.99999999999</c:v>
                </c:pt>
                <c:pt idx="2">
                  <c:v>105884.09999999999</c:v>
                </c:pt>
                <c:pt idx="3">
                  <c:v>108954.73889999998</c:v>
                </c:pt>
                <c:pt idx="4">
                  <c:v>112114.42632809999</c:v>
                </c:pt>
                <c:pt idx="5">
                  <c:v>115365.74469161486</c:v>
                </c:pt>
                <c:pt idx="6">
                  <c:v>118711.3512876717</c:v>
                </c:pt>
                <c:pt idx="7">
                  <c:v>122153.98047501416</c:v>
                </c:pt>
                <c:pt idx="8">
                  <c:v>125696.44590878957</c:v>
                </c:pt>
                <c:pt idx="9">
                  <c:v>129341.64284014444</c:v>
                </c:pt>
                <c:pt idx="10">
                  <c:v>133092.55048250864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C42-4769-B53A-32DCD894B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4612543"/>
        <c:axId val="2134611295"/>
      </c:lineChart>
      <c:catAx>
        <c:axId val="213461254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134611295"/>
        <c:crosses val="autoZero"/>
        <c:auto val="1"/>
        <c:lblAlgn val="ctr"/>
        <c:lblOffset val="100"/>
        <c:noMultiLvlLbl val="0"/>
      </c:catAx>
      <c:valAx>
        <c:axId val="2134611295"/>
        <c:scaling>
          <c:orientation val="minMax"/>
        </c:scaling>
        <c:delete val="0"/>
        <c:axPos val="l"/>
        <c:numFmt formatCode="#,##0\ &quot;zł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1346125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019782873338343E-3"/>
          <c:y val="0.76687929715591829"/>
          <c:w val="0.92169579851142946"/>
          <c:h val="0.233120702844081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noFill/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l-PL" sz="1600" b="1"/>
              <a:t>Wartości nominalne obligacji "opakowanych" w IKE, na koniec roku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6.8468203130400099E-2"/>
          <c:y val="7.3502868811716374E-2"/>
          <c:w val="0.91737309822934177"/>
          <c:h val="0.657057447069185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'IKE OBLIGACJE'!$D$20</c:f>
              <c:strCache>
                <c:ptCount val="1"/>
                <c:pt idx="0">
                  <c:v>TOS, gdy spełniam warunki IKE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'IKE OBLIGACJE'!$D$22:$D$33</c:f>
              <c:numCache>
                <c:formatCode>#\ ##0.00\ "zł"</c:formatCode>
                <c:ptCount val="12"/>
                <c:pt idx="0">
                  <c:v>104900</c:v>
                </c:pt>
                <c:pt idx="1">
                  <c:v>109864.03584</c:v>
                </c:pt>
                <c:pt idx="2">
                  <c:v>114445.57741151999</c:v>
                </c:pt>
                <c:pt idx="3">
                  <c:v>120021.82304627197</c:v>
                </c:pt>
                <c:pt idx="4">
                  <c:v>125763.41969688596</c:v>
                </c:pt>
                <c:pt idx="5">
                  <c:v>131067.16991777912</c:v>
                </c:pt>
                <c:pt idx="6">
                  <c:v>137514.81238755787</c:v>
                </c:pt>
                <c:pt idx="7">
                  <c:v>144154.45260990219</c:v>
                </c:pt>
                <c:pt idx="8">
                  <c:v>150277.8125679841</c:v>
                </c:pt>
                <c:pt idx="9">
                  <c:v>157703.56096366601</c:v>
                </c:pt>
                <c:pt idx="10">
                  <c:v>165438.11934774794</c:v>
                </c:pt>
                <c:pt idx="11">
                  <c:v>172583.94413075273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38-41D6-9428-02084902B5DB}"/>
            </c:ext>
          </c:extLst>
        </c:ser>
        <c:ser>
          <c:idx val="1"/>
          <c:order val="1"/>
          <c:tx>
            <c:strRef>
              <c:f>'IKE OBLIGACJE'!$E$20</c:f>
              <c:strCache>
                <c:ptCount val="1"/>
                <c:pt idx="0">
                  <c:v>TOS,  gdy nie spełniam warunków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'IKE OBLIGACJE'!$E$22:$E$33</c:f>
              <c:numCache>
                <c:formatCode>#\ ##0.00\ "zł"</c:formatCode>
                <c:ptCount val="12"/>
                <c:pt idx="0">
                  <c:v>103159</c:v>
                </c:pt>
                <c:pt idx="1">
                  <c:v>107146.41684000001</c:v>
                </c:pt>
                <c:pt idx="2">
                  <c:v>111634.74927071999</c:v>
                </c:pt>
                <c:pt idx="3">
                  <c:v>115188.75490547197</c:v>
                </c:pt>
                <c:pt idx="4">
                  <c:v>119808.21632508597</c:v>
                </c:pt>
                <c:pt idx="5">
                  <c:v>125004.86924319992</c:v>
                </c:pt>
                <c:pt idx="6">
                  <c:v>129129.31171297868</c:v>
                </c:pt>
                <c:pt idx="7">
                  <c:v>134479.814855323</c:v>
                </c:pt>
                <c:pt idx="8">
                  <c:v>140480.13874754892</c:v>
                </c:pt>
                <c:pt idx="9">
                  <c:v>145235.98614323081</c:v>
                </c:pt>
                <c:pt idx="10">
                  <c:v>151468.42832331275</c:v>
                </c:pt>
                <c:pt idx="11">
                  <c:v>158450.56544886474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6E-4F00-878D-1DC0D3467694}"/>
            </c:ext>
          </c:extLst>
        </c:ser>
        <c:ser>
          <c:idx val="2"/>
          <c:order val="2"/>
          <c:tx>
            <c:strRef>
              <c:f>'IKE OBLIGACJE'!$F$20</c:f>
              <c:strCache>
                <c:ptCount val="1"/>
                <c:pt idx="0">
                  <c:v>COI, gdy spełniam warunki IKE</c:v>
                </c:pt>
              </c:strCache>
            </c:strRef>
          </c:tx>
          <c:spPr>
            <a:solidFill>
              <a:srgbClr val="136834"/>
            </a:solidFill>
            <a:ln>
              <a:noFill/>
            </a:ln>
            <a:effectLst/>
          </c:spPr>
          <c:invertIfNegative val="0"/>
          <c:val>
            <c:numRef>
              <c:f>'IKE OBLIGACJE'!$F$22:$F$33</c:f>
              <c:numCache>
                <c:formatCode>#\ ##0.00\ "zł"</c:formatCode>
                <c:ptCount val="12"/>
                <c:pt idx="0">
                  <c:v>105250</c:v>
                </c:pt>
                <c:pt idx="1">
                  <c:v>109747.1232</c:v>
                </c:pt>
                <c:pt idx="2">
                  <c:v>114450.47537500001</c:v>
                </c:pt>
                <c:pt idx="3">
                  <c:v>119370.23476500002</c:v>
                </c:pt>
                <c:pt idx="4">
                  <c:v>125480.52618</c:v>
                </c:pt>
                <c:pt idx="5">
                  <c:v>130972.85303999999</c:v>
                </c:pt>
                <c:pt idx="6">
                  <c:v>136713.67946499999</c:v>
                </c:pt>
                <c:pt idx="7">
                  <c:v>142724.37166499998</c:v>
                </c:pt>
                <c:pt idx="8">
                  <c:v>149961.52546500001</c:v>
                </c:pt>
                <c:pt idx="9">
                  <c:v>156626.606115</c:v>
                </c:pt>
                <c:pt idx="10">
                  <c:v>163570.028165</c:v>
                </c:pt>
                <c:pt idx="11">
                  <c:v>170823.82381500001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26E-4F00-878D-1DC0D3467694}"/>
            </c:ext>
          </c:extLst>
        </c:ser>
        <c:ser>
          <c:idx val="3"/>
          <c:order val="3"/>
          <c:tx>
            <c:strRef>
              <c:f>'IKE OBLIGACJE'!$G$20</c:f>
              <c:strCache>
                <c:ptCount val="1"/>
                <c:pt idx="0">
                  <c:v>COI,  gdy nie spełniam warunków</c:v>
                </c:pt>
              </c:strCache>
            </c:strRef>
          </c:tx>
          <c:spPr>
            <a:solidFill>
              <a:srgbClr val="A5ABC1"/>
            </a:solidFill>
            <a:ln>
              <a:noFill/>
            </a:ln>
            <a:effectLst/>
          </c:spPr>
          <c:invertIfNegative val="0"/>
          <c:val>
            <c:numRef>
              <c:f>'IKE OBLIGACJE'!$G$22:$G$33</c:f>
              <c:numCache>
                <c:formatCode>#\ ##0.00\ "zł"</c:formatCode>
                <c:ptCount val="12"/>
                <c:pt idx="0">
                  <c:v>102632.5</c:v>
                </c:pt>
                <c:pt idx="1">
                  <c:v>106157.5132</c:v>
                </c:pt>
                <c:pt idx="2">
                  <c:v>109858.37087500001</c:v>
                </c:pt>
                <c:pt idx="3">
                  <c:v>115353.72626500002</c:v>
                </c:pt>
                <c:pt idx="4">
                  <c:v>118567.66068</c:v>
                </c:pt>
                <c:pt idx="5">
                  <c:v>122885.95253999998</c:v>
                </c:pt>
                <c:pt idx="6">
                  <c:v>127414.901965</c:v>
                </c:pt>
                <c:pt idx="7">
                  <c:v>133853.549665</c:v>
                </c:pt>
                <c:pt idx="8">
                  <c:v>137893.567465</c:v>
                </c:pt>
                <c:pt idx="9">
                  <c:v>143143.989615</c:v>
                </c:pt>
                <c:pt idx="10">
                  <c:v>148626.617665</c:v>
                </c:pt>
                <c:pt idx="11">
                  <c:v>156123.417315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26E-4F00-878D-1DC0D3467694}"/>
            </c:ext>
          </c:extLst>
        </c:ser>
        <c:ser>
          <c:idx val="4"/>
          <c:order val="4"/>
          <c:tx>
            <c:strRef>
              <c:f>'IKE OBLIGACJE'!$H$20</c:f>
              <c:strCache>
                <c:ptCount val="1"/>
                <c:pt idx="0">
                  <c:v>EDO, gdy spełniam warunki IKE</c:v>
                </c:pt>
              </c:strCache>
            </c:strRef>
          </c:tx>
          <c:spPr>
            <a:solidFill>
              <a:srgbClr val="860D71"/>
            </a:solidFill>
            <a:ln>
              <a:noFill/>
            </a:ln>
            <a:effectLst/>
          </c:spPr>
          <c:invertIfNegative val="0"/>
          <c:val>
            <c:numRef>
              <c:f>'IKE OBLIGACJE'!$H$22:$H$33</c:f>
              <c:numCache>
                <c:formatCode>#\ ##0.00\ "zł"</c:formatCode>
                <c:ptCount val="12"/>
                <c:pt idx="0">
                  <c:v>105750.00000000001</c:v>
                </c:pt>
                <c:pt idx="1">
                  <c:v>110754.25920000001</c:v>
                </c:pt>
                <c:pt idx="2">
                  <c:v>116015.363841375</c:v>
                </c:pt>
                <c:pt idx="3">
                  <c:v>121546.46955104056</c:v>
                </c:pt>
                <c:pt idx="4">
                  <c:v>127361.40452144518</c:v>
                </c:pt>
                <c:pt idx="5">
                  <c:v>133474.70383533242</c:v>
                </c:pt>
                <c:pt idx="6">
                  <c:v>139901.64553949959</c:v>
                </c:pt>
                <c:pt idx="7">
                  <c:v>146658.28855654152</c:v>
                </c:pt>
                <c:pt idx="8">
                  <c:v>153746.00708141853</c:v>
                </c:pt>
                <c:pt idx="9">
                  <c:v>161181.02381401448</c:v>
                </c:pt>
                <c:pt idx="10">
                  <c:v>170532.64787844918</c:v>
                </c:pt>
                <c:pt idx="11">
                  <c:v>178787.92505388384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26E-4F00-878D-1DC0D3467694}"/>
            </c:ext>
          </c:extLst>
        </c:ser>
        <c:ser>
          <c:idx val="5"/>
          <c:order val="5"/>
          <c:tx>
            <c:strRef>
              <c:f>'IKE OBLIGACJE'!$I$20</c:f>
              <c:strCache>
                <c:ptCount val="1"/>
                <c:pt idx="0">
                  <c:v>EDO, gdy nie spełniam warunków</c:v>
                </c:pt>
              </c:strCache>
            </c:strRef>
          </c:tx>
          <c:spPr>
            <a:solidFill>
              <a:srgbClr val="CCCCFF"/>
            </a:solidFill>
            <a:ln>
              <a:noFill/>
            </a:ln>
            <a:effectLst/>
          </c:spPr>
          <c:invertIfNegative val="0"/>
          <c:val>
            <c:numRef>
              <c:f>'IKE OBLIGACJE'!$I$22:$I$33</c:f>
              <c:numCache>
                <c:formatCode>#\ ##0.00\ "zł"</c:formatCode>
                <c:ptCount val="12"/>
                <c:pt idx="0">
                  <c:v>102227.50000000001</c:v>
                </c:pt>
                <c:pt idx="1">
                  <c:v>106247.22670000001</c:v>
                </c:pt>
                <c:pt idx="2">
                  <c:v>110475.55674887499</c:v>
                </c:pt>
                <c:pt idx="3">
                  <c:v>114923.28191100806</c:v>
                </c:pt>
                <c:pt idx="4">
                  <c:v>119601.75068705108</c:v>
                </c:pt>
                <c:pt idx="5">
                  <c:v>124522.89696305302</c:v>
                </c:pt>
                <c:pt idx="6">
                  <c:v>129699.2701304785</c:v>
                </c:pt>
                <c:pt idx="7">
                  <c:v>135144.06675247839</c:v>
                </c:pt>
                <c:pt idx="8">
                  <c:v>140855.65840895631</c:v>
                </c:pt>
                <c:pt idx="9">
                  <c:v>149277.11805660161</c:v>
                </c:pt>
                <c:pt idx="10">
                  <c:v>152866.01787844917</c:v>
                </c:pt>
                <c:pt idx="11">
                  <c:v>159518.47614388383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26E-4F00-878D-1DC0D3467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110735"/>
        <c:axId val="237111151"/>
      </c:barChart>
      <c:lineChart>
        <c:grouping val="standard"/>
        <c:varyColors val="0"/>
        <c:ser>
          <c:idx val="6"/>
          <c:order val="6"/>
          <c:tx>
            <c:strRef>
              <c:f>'IKE OBLIGACJE'!$J$20</c:f>
              <c:strCache>
                <c:ptCount val="1"/>
                <c:pt idx="0">
                  <c:v>Konto
oszczędnościowe</c:v>
                </c:pt>
              </c:strCache>
            </c:strRef>
          </c:tx>
          <c:spPr>
            <a:ln w="28575" cap="rnd">
              <a:solidFill>
                <a:srgbClr val="CCCC00"/>
              </a:solidFill>
              <a:round/>
            </a:ln>
            <a:effectLst/>
          </c:spPr>
          <c:marker>
            <c:symbol val="none"/>
          </c:marker>
          <c:val>
            <c:numRef>
              <c:f>'IKE OBLIGACJE'!$J$22:$J$33</c:f>
              <c:numCache>
                <c:formatCode>#\ ##0.00\ "zł"</c:formatCode>
                <c:ptCount val="12"/>
                <c:pt idx="0">
                  <c:v>103706.51507016462</c:v>
                </c:pt>
                <c:pt idx="1">
                  <c:v>107550.41267998281</c:v>
                </c:pt>
                <c:pt idx="2">
                  <c:v>111536.78493399061</c:v>
                </c:pt>
                <c:pt idx="3">
                  <c:v>115670.91267634607</c:v>
                </c:pt>
                <c:pt idx="4">
                  <c:v>119958.27248649178</c:v>
                </c:pt>
                <c:pt idx="5">
                  <c:v>124404.54393411273</c:v>
                </c:pt>
                <c:pt idx="6">
                  <c:v>129015.61710300019</c:v>
                </c:pt>
                <c:pt idx="7">
                  <c:v>133797.60039378877</c:v>
                </c:pt>
                <c:pt idx="8">
                  <c:v>138756.82861590318</c:v>
                </c:pt>
                <c:pt idx="9">
                  <c:v>143899.87137943413</c:v>
                </c:pt>
                <c:pt idx="10">
                  <c:v>149233.54179806035</c:v>
                </c:pt>
                <c:pt idx="11">
                  <c:v>154764.90551454588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26E-4F00-878D-1DC0D3467694}"/>
            </c:ext>
          </c:extLst>
        </c:ser>
        <c:ser>
          <c:idx val="7"/>
          <c:order val="7"/>
          <c:tx>
            <c:strRef>
              <c:f>'IKE OBLIGACJE'!$K$20</c:f>
              <c:strCache>
                <c:ptCount val="1"/>
                <c:pt idx="0">
                  <c:v>Kwota wpłacona powiększona o INFLACJĘ</c:v>
                </c:pt>
              </c:strCache>
            </c:strRef>
          </c:tx>
          <c:spPr>
            <a:ln w="317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'IKE OBLIGACJE'!$K$22:$K$33</c:f>
              <c:numCache>
                <c:formatCode>#\ ##0.00\ "zł"</c:formatCode>
                <c:ptCount val="12"/>
                <c:pt idx="0">
                  <c:v>102899.99999999999</c:v>
                </c:pt>
                <c:pt idx="1">
                  <c:v>105884.09999999999</c:v>
                </c:pt>
                <c:pt idx="2">
                  <c:v>108954.73889999998</c:v>
                </c:pt>
                <c:pt idx="3">
                  <c:v>112114.42632809999</c:v>
                </c:pt>
                <c:pt idx="4">
                  <c:v>115365.74469161486</c:v>
                </c:pt>
                <c:pt idx="5">
                  <c:v>118711.3512876717</c:v>
                </c:pt>
                <c:pt idx="6">
                  <c:v>122153.98047501416</c:v>
                </c:pt>
                <c:pt idx="7">
                  <c:v>125696.44590878957</c:v>
                </c:pt>
                <c:pt idx="8">
                  <c:v>129341.64284014444</c:v>
                </c:pt>
                <c:pt idx="9">
                  <c:v>133092.55048250864</c:v>
                </c:pt>
                <c:pt idx="10">
                  <c:v>136952.23444650139</c:v>
                </c:pt>
                <c:pt idx="11">
                  <c:v>140923.84924544991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26E-4F00-878D-1DC0D3467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110735"/>
        <c:axId val="237111151"/>
      </c:lineChart>
      <c:catAx>
        <c:axId val="23711073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7111151"/>
        <c:crosses val="autoZero"/>
        <c:auto val="1"/>
        <c:lblAlgn val="ctr"/>
        <c:lblOffset val="100"/>
        <c:noMultiLvlLbl val="0"/>
      </c:catAx>
      <c:valAx>
        <c:axId val="237111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zł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71107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9830549645050486"/>
          <c:w val="0.89034544020232453"/>
          <c:h val="0.20169452835381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l-PL" sz="1600" b="1"/>
              <a:t>Nominalna skumulowana stopa zwrotu na koniec każdego roku</a:t>
            </a:r>
          </a:p>
          <a:p>
            <a:pPr>
              <a:defRPr sz="1600" b="1"/>
            </a:pPr>
            <a:r>
              <a:rPr lang="pl-PL" sz="1600" b="1"/>
              <a:t>(dla porównania wykres skumulowanej inflacji)</a:t>
            </a:r>
          </a:p>
        </c:rich>
      </c:tx>
      <c:layout>
        <c:manualLayout>
          <c:xMode val="edge"/>
          <c:yMode val="edge"/>
          <c:x val="0.21056815000162246"/>
          <c:y val="7.650274046972381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5.3962591184115553E-2"/>
          <c:y val="0.22635488876927584"/>
          <c:w val="0.92915889054125445"/>
          <c:h val="0.48191103115269346"/>
        </c:manualLayout>
      </c:layout>
      <c:lineChart>
        <c:grouping val="standard"/>
        <c:varyColors val="0"/>
        <c:ser>
          <c:idx val="0"/>
          <c:order val="0"/>
          <c:tx>
            <c:strRef>
              <c:f>'IKE OBLIGACJE'!$P$20</c:f>
              <c:strCache>
                <c:ptCount val="1"/>
                <c:pt idx="0">
                  <c:v>COI, gdy spełniam warunki IKE</c:v>
                </c:pt>
              </c:strCache>
            </c:strRef>
          </c:tx>
          <c:spPr>
            <a:ln w="38100" cap="rnd">
              <a:solidFill>
                <a:srgbClr val="008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'IKE OBLIGACJE'!$M$21:$M$33</c:f>
              <c:numCache>
                <c:formatCode>"koniec "General" roku"</c:formatCode>
                <c:ptCount val="13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'IKE OBLIGACJE'!$P$21:$P$33</c:f>
              <c:numCache>
                <c:formatCode>0.0%</c:formatCode>
                <c:ptCount val="13"/>
                <c:pt idx="0">
                  <c:v>0</c:v>
                </c:pt>
                <c:pt idx="1">
                  <c:v>5.2499999999999991E-2</c:v>
                </c:pt>
                <c:pt idx="2">
                  <c:v>9.7471231999999963E-2</c:v>
                </c:pt>
                <c:pt idx="3">
                  <c:v>0.14450475375000016</c:v>
                </c:pt>
                <c:pt idx="4">
                  <c:v>0.19370234765000016</c:v>
                </c:pt>
                <c:pt idx="5">
                  <c:v>0.25480526180000007</c:v>
                </c:pt>
                <c:pt idx="6">
                  <c:v>0.30972853039999992</c:v>
                </c:pt>
                <c:pt idx="7">
                  <c:v>0.36713679464999993</c:v>
                </c:pt>
                <c:pt idx="8">
                  <c:v>0.42724371664999983</c:v>
                </c:pt>
                <c:pt idx="9">
                  <c:v>0.49961525465000012</c:v>
                </c:pt>
                <c:pt idx="10">
                  <c:v>0.56626606115000011</c:v>
                </c:pt>
                <c:pt idx="11">
                  <c:v>0.63570028164999992</c:v>
                </c:pt>
                <c:pt idx="12">
                  <c:v>0.70823823815000009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1F-443F-BCAA-CEA5797D2AC5}"/>
            </c:ext>
          </c:extLst>
        </c:ser>
        <c:ser>
          <c:idx val="1"/>
          <c:order val="1"/>
          <c:tx>
            <c:strRef>
              <c:f>'IKE OBLIGACJE'!$Q$20</c:f>
              <c:strCache>
                <c:ptCount val="1"/>
                <c:pt idx="0">
                  <c:v>COI,  gdy nie spełniam warunków</c:v>
                </c:pt>
              </c:strCache>
            </c:strRef>
          </c:tx>
          <c:spPr>
            <a:ln w="44450" cap="rnd">
              <a:solidFill>
                <a:srgbClr val="CCCC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CCCFF"/>
              </a:solidFill>
              <a:ln w="9525">
                <a:solidFill>
                  <a:srgbClr val="CCCCFF"/>
                </a:solidFill>
              </a:ln>
              <a:effectLst/>
            </c:spPr>
          </c:marker>
          <c:cat>
            <c:numRef>
              <c:f>'IKE OBLIGACJE'!$M$21:$M$33</c:f>
              <c:numCache>
                <c:formatCode>"koniec "General" roku"</c:formatCode>
                <c:ptCount val="13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'IKE OBLIGACJE'!$Q$21:$Q$33</c:f>
              <c:numCache>
                <c:formatCode>0.0%</c:formatCode>
                <c:ptCount val="13"/>
                <c:pt idx="0">
                  <c:v>0</c:v>
                </c:pt>
                <c:pt idx="1">
                  <c:v>2.6324999999999932E-2</c:v>
                </c:pt>
                <c:pt idx="2">
                  <c:v>6.1575131999999977E-2</c:v>
                </c:pt>
                <c:pt idx="3">
                  <c:v>9.858370875000011E-2</c:v>
                </c:pt>
                <c:pt idx="4">
                  <c:v>0.15353726265000023</c:v>
                </c:pt>
                <c:pt idx="5">
                  <c:v>0.18567660679999998</c:v>
                </c:pt>
                <c:pt idx="6">
                  <c:v>0.22885952539999987</c:v>
                </c:pt>
                <c:pt idx="7">
                  <c:v>0.27414901965000005</c:v>
                </c:pt>
                <c:pt idx="8">
                  <c:v>0.33853549665000005</c:v>
                </c:pt>
                <c:pt idx="9">
                  <c:v>0.37893567465000011</c:v>
                </c:pt>
                <c:pt idx="10">
                  <c:v>0.43143989614999989</c:v>
                </c:pt>
                <c:pt idx="11">
                  <c:v>0.48626617665000005</c:v>
                </c:pt>
                <c:pt idx="12">
                  <c:v>0.5612341731499999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1F-443F-BCAA-CEA5797D2AC5}"/>
            </c:ext>
          </c:extLst>
        </c:ser>
        <c:ser>
          <c:idx val="2"/>
          <c:order val="2"/>
          <c:tx>
            <c:strRef>
              <c:f>'IKE OBLIGACJE'!$R$20</c:f>
              <c:strCache>
                <c:ptCount val="1"/>
                <c:pt idx="0">
                  <c:v>EDO, gdy spełniam warunki IKE</c:v>
                </c:pt>
              </c:strCache>
            </c:strRef>
          </c:tx>
          <c:spPr>
            <a:ln w="38100" cap="rnd">
              <a:solidFill>
                <a:srgbClr val="860D71">
                  <a:alpha val="98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60D71"/>
              </a:solidFill>
              <a:ln w="9525">
                <a:solidFill>
                  <a:srgbClr val="860D71"/>
                </a:solidFill>
              </a:ln>
              <a:effectLst/>
            </c:spPr>
          </c:marker>
          <c:cat>
            <c:numRef>
              <c:f>'IKE OBLIGACJE'!$M$21:$M$33</c:f>
              <c:numCache>
                <c:formatCode>"koniec "General" roku"</c:formatCode>
                <c:ptCount val="13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'IKE OBLIGACJE'!$R$21:$R$33</c:f>
              <c:numCache>
                <c:formatCode>0.0%</c:formatCode>
                <c:ptCount val="13"/>
                <c:pt idx="0">
                  <c:v>0</c:v>
                </c:pt>
                <c:pt idx="1">
                  <c:v>5.7500000000000107E-2</c:v>
                </c:pt>
                <c:pt idx="2">
                  <c:v>0.10754259200000016</c:v>
                </c:pt>
                <c:pt idx="3">
                  <c:v>0.16015363841375008</c:v>
                </c:pt>
                <c:pt idx="4">
                  <c:v>0.21546469551040559</c:v>
                </c:pt>
                <c:pt idx="5">
                  <c:v>0.27361404521445176</c:v>
                </c:pt>
                <c:pt idx="6">
                  <c:v>0.3347470383533242</c:v>
                </c:pt>
                <c:pt idx="7">
                  <c:v>0.39901645539499597</c:v>
                </c:pt>
                <c:pt idx="8">
                  <c:v>0.46658288556541527</c:v>
                </c:pt>
                <c:pt idx="9">
                  <c:v>0.53746007081418523</c:v>
                </c:pt>
                <c:pt idx="10">
                  <c:v>0.6118102381401449</c:v>
                </c:pt>
                <c:pt idx="11">
                  <c:v>0.70532647878449173</c:v>
                </c:pt>
                <c:pt idx="12">
                  <c:v>0.78787925053883834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1F-443F-BCAA-CEA5797D2AC5}"/>
            </c:ext>
          </c:extLst>
        </c:ser>
        <c:ser>
          <c:idx val="3"/>
          <c:order val="3"/>
          <c:tx>
            <c:strRef>
              <c:f>'IKE OBLIGACJE'!$S$20</c:f>
              <c:strCache>
                <c:ptCount val="1"/>
                <c:pt idx="0">
                  <c:v>EDO, gdy nie spełniam warunków</c:v>
                </c:pt>
              </c:strCache>
            </c:strRef>
          </c:tx>
          <c:spPr>
            <a:ln w="38100" cap="rnd">
              <a:solidFill>
                <a:srgbClr val="CC99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C99FF"/>
              </a:solidFill>
              <a:ln w="9525">
                <a:solidFill>
                  <a:srgbClr val="CC99FF"/>
                </a:solidFill>
              </a:ln>
              <a:effectLst/>
            </c:spPr>
          </c:marker>
          <c:cat>
            <c:numRef>
              <c:f>'IKE OBLIGACJE'!$M$21:$M$33</c:f>
              <c:numCache>
                <c:formatCode>"koniec "General" roku"</c:formatCode>
                <c:ptCount val="13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'IKE OBLIGACJE'!$S$21:$S$33</c:f>
              <c:numCache>
                <c:formatCode>0.0%</c:formatCode>
                <c:ptCount val="13"/>
                <c:pt idx="0">
                  <c:v>0</c:v>
                </c:pt>
                <c:pt idx="1">
                  <c:v>2.2275000000000045E-2</c:v>
                </c:pt>
                <c:pt idx="2">
                  <c:v>6.2472267000000192E-2</c:v>
                </c:pt>
                <c:pt idx="3">
                  <c:v>0.10475556748874992</c:v>
                </c:pt>
                <c:pt idx="4">
                  <c:v>0.14923281911008068</c:v>
                </c:pt>
                <c:pt idx="5">
                  <c:v>0.19601750687051078</c:v>
                </c:pt>
                <c:pt idx="6">
                  <c:v>0.24522896963053009</c:v>
                </c:pt>
                <c:pt idx="7">
                  <c:v>0.29699270130478506</c:v>
                </c:pt>
                <c:pt idx="8">
                  <c:v>0.35144066752478387</c:v>
                </c:pt>
                <c:pt idx="9">
                  <c:v>0.40855658408956308</c:v>
                </c:pt>
                <c:pt idx="10">
                  <c:v>0.49277118056601621</c:v>
                </c:pt>
                <c:pt idx="11">
                  <c:v>0.52866017878449179</c:v>
                </c:pt>
                <c:pt idx="12">
                  <c:v>0.59518476143883836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1F-443F-BCAA-CEA5797D2AC5}"/>
            </c:ext>
          </c:extLst>
        </c:ser>
        <c:ser>
          <c:idx val="4"/>
          <c:order val="4"/>
          <c:tx>
            <c:strRef>
              <c:f>'IKE OBLIGACJE'!$T$20</c:f>
              <c:strCache>
                <c:ptCount val="1"/>
                <c:pt idx="0">
                  <c:v>Konto
oszczędnościowe</c:v>
                </c:pt>
              </c:strCache>
            </c:strRef>
          </c:tx>
          <c:spPr>
            <a:ln w="38100" cap="rnd">
              <a:solidFill>
                <a:srgbClr val="CCCC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CCC00"/>
              </a:solidFill>
              <a:ln w="9525">
                <a:noFill/>
              </a:ln>
              <a:effectLst/>
            </c:spPr>
          </c:marker>
          <c:cat>
            <c:numRef>
              <c:f>'IKE OBLIGACJE'!$M$21:$M$33</c:f>
              <c:numCache>
                <c:formatCode>"koniec "General" roku"</c:formatCode>
                <c:ptCount val="13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'IKE OBLIGACJE'!$T$21:$T$33</c:f>
              <c:numCache>
                <c:formatCode>0.0%</c:formatCode>
                <c:ptCount val="13"/>
                <c:pt idx="0">
                  <c:v>0</c:v>
                </c:pt>
                <c:pt idx="1">
                  <c:v>3.7065150701646177E-2</c:v>
                </c:pt>
                <c:pt idx="2">
                  <c:v>7.5504126799827986E-2</c:v>
                </c:pt>
                <c:pt idx="3">
                  <c:v>0.11536784933990618</c:v>
                </c:pt>
                <c:pt idx="4">
                  <c:v>0.1567091267634606</c:v>
                </c:pt>
                <c:pt idx="5">
                  <c:v>0.19958272486491779</c:v>
                </c:pt>
                <c:pt idx="6">
                  <c:v>0.24404543934112732</c:v>
                </c:pt>
                <c:pt idx="7">
                  <c:v>0.2901561710300018</c:v>
                </c:pt>
                <c:pt idx="8">
                  <c:v>0.33797600393788763</c:v>
                </c:pt>
                <c:pt idx="9">
                  <c:v>0.38756828615903194</c:v>
                </c:pt>
                <c:pt idx="10">
                  <c:v>0.43899871379434141</c:v>
                </c:pt>
                <c:pt idx="11">
                  <c:v>0.49233541798060343</c:v>
                </c:pt>
                <c:pt idx="12">
                  <c:v>0.54764905514545892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1F-443F-BCAA-CEA5797D2AC5}"/>
            </c:ext>
          </c:extLst>
        </c:ser>
        <c:ser>
          <c:idx val="5"/>
          <c:order val="5"/>
          <c:tx>
            <c:strRef>
              <c:f>'IKE OBLIGACJE'!$U$20</c:f>
              <c:strCache>
                <c:ptCount val="1"/>
                <c:pt idx="0">
                  <c:v>Skumulowana INFLACJA</c:v>
                </c:pt>
              </c:strCache>
            </c:strRef>
          </c:tx>
          <c:spPr>
            <a:ln w="3492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numRef>
              <c:f>'IKE OBLIGACJE'!$M$21:$M$33</c:f>
              <c:numCache>
                <c:formatCode>"koniec "General" roku"</c:formatCode>
                <c:ptCount val="13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'IKE OBLIGACJE'!$U$21:$U$33</c:f>
              <c:numCache>
                <c:formatCode>0.0%</c:formatCode>
                <c:ptCount val="13"/>
                <c:pt idx="0">
                  <c:v>0</c:v>
                </c:pt>
                <c:pt idx="1">
                  <c:v>2.8999999999999915E-2</c:v>
                </c:pt>
                <c:pt idx="2">
                  <c:v>5.8840999999999921E-2</c:v>
                </c:pt>
                <c:pt idx="3">
                  <c:v>8.9547388999999811E-2</c:v>
                </c:pt>
                <c:pt idx="4">
                  <c:v>0.12114426328099981</c:v>
                </c:pt>
                <c:pt idx="5">
                  <c:v>0.15365744691614869</c:v>
                </c:pt>
                <c:pt idx="6">
                  <c:v>0.18711351287671696</c:v>
                </c:pt>
                <c:pt idx="7">
                  <c:v>0.22153980475014157</c:v>
                </c:pt>
                <c:pt idx="8">
                  <c:v>0.25696445908789567</c:v>
                </c:pt>
                <c:pt idx="9">
                  <c:v>0.29341642840144444</c:v>
                </c:pt>
                <c:pt idx="10">
                  <c:v>0.33092550482508631</c:v>
                </c:pt>
                <c:pt idx="11">
                  <c:v>0.36952234446501397</c:v>
                </c:pt>
                <c:pt idx="12">
                  <c:v>0.40923849245449917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61F-443F-BCAA-CEA5797D2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110735"/>
        <c:axId val="237111151"/>
      </c:lineChart>
      <c:catAx>
        <c:axId val="23711073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7111151"/>
        <c:crosses val="autoZero"/>
        <c:auto val="1"/>
        <c:lblAlgn val="ctr"/>
        <c:lblOffset val="100"/>
        <c:tickMarkSkip val="1"/>
        <c:noMultiLvlLbl val="0"/>
      </c:catAx>
      <c:valAx>
        <c:axId val="237111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71107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5526043681945088E-3"/>
          <c:y val="0.79783550415942339"/>
          <c:w val="0.98844251008946937"/>
          <c:h val="0.176891293135125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bligacjeskarbowe.pl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marciniwuc.com/obligacje-indeksowane-inflacja-kalkulator/" TargetMode="External"/><Relationship Id="rId5" Type="http://schemas.openxmlformats.org/officeDocument/2006/relationships/image" Target="../media/image2.emf"/><Relationship Id="rId4" Type="http://schemas.openxmlformats.org/officeDocument/2006/relationships/hyperlink" Target="https://www.obligacjeskarbowe.pl/oferta-obligacji/obligacje-3-miesieczne-ots/ots0123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https://marciniwuc.com/obligacje-indeksowane-inflacja-kalkulator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https://marciniwuc.com/obligacje-indeksowane-inflacja-kalkulator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39687</xdr:colOff>
      <xdr:row>0</xdr:row>
      <xdr:rowOff>0</xdr:rowOff>
    </xdr:from>
    <xdr:to>
      <xdr:col>0</xdr:col>
      <xdr:colOff>2979737</xdr:colOff>
      <xdr:row>3</xdr:row>
      <xdr:rowOff>107871</xdr:rowOff>
    </xdr:to>
    <xdr:pic>
      <xdr:nvPicPr>
        <xdr:cNvPr id="8" name="Obraz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-2317"/>
        <a:stretch/>
      </xdr:blipFill>
      <xdr:spPr>
        <a:xfrm>
          <a:off x="39687" y="0"/>
          <a:ext cx="2936875" cy="700009"/>
        </a:xfrm>
        <a:prstGeom prst="rect">
          <a:avLst/>
        </a:prstGeom>
      </xdr:spPr>
    </xdr:pic>
    <xdr:clientData/>
  </xdr:twoCellAnchor>
  <xdr:twoCellAnchor>
    <xdr:from>
      <xdr:col>5</xdr:col>
      <xdr:colOff>272143</xdr:colOff>
      <xdr:row>12</xdr:row>
      <xdr:rowOff>106829</xdr:rowOff>
    </xdr:from>
    <xdr:to>
      <xdr:col>5</xdr:col>
      <xdr:colOff>431239</xdr:colOff>
      <xdr:row>23</xdr:row>
      <xdr:rowOff>136072</xdr:rowOff>
    </xdr:to>
    <xdr:sp macro="" textlink="">
      <xdr:nvSpPr>
        <xdr:cNvPr id="6" name="Nawias klamrowy zamykający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313964" y="6447758"/>
          <a:ext cx="159096" cy="2396885"/>
        </a:xfrm>
        <a:prstGeom prst="rightBrace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10</xdr:row>
      <xdr:rowOff>304800</xdr:rowOff>
    </xdr:to>
    <xdr:sp macro="" textlink="">
      <xdr:nvSpPr>
        <xdr:cNvPr id="1035" name="AutoShape 11" descr="Obligacje Skarbowe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17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12</xdr:row>
      <xdr:rowOff>304800</xdr:rowOff>
    </xdr:to>
    <xdr:sp macro="" textlink="">
      <xdr:nvSpPr>
        <xdr:cNvPr id="1036" name="AutoShape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0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311150</xdr:colOff>
      <xdr:row>12</xdr:row>
      <xdr:rowOff>0</xdr:rowOff>
    </xdr:from>
    <xdr:to>
      <xdr:col>0</xdr:col>
      <xdr:colOff>619125</xdr:colOff>
      <xdr:row>12</xdr:row>
      <xdr:rowOff>304800</xdr:rowOff>
    </xdr:to>
    <xdr:sp macro="" textlink="">
      <xdr:nvSpPr>
        <xdr:cNvPr id="1037" name="AutoShape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60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622300</xdr:colOff>
      <xdr:row>12</xdr:row>
      <xdr:rowOff>0</xdr:rowOff>
    </xdr:from>
    <xdr:to>
      <xdr:col>0</xdr:col>
      <xdr:colOff>923925</xdr:colOff>
      <xdr:row>12</xdr:row>
      <xdr:rowOff>304800</xdr:rowOff>
    </xdr:to>
    <xdr:sp macro="" textlink="">
      <xdr:nvSpPr>
        <xdr:cNvPr id="1038" name="AutoShape 1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60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104775</xdr:rowOff>
    </xdr:to>
    <xdr:sp macro="" textlink="">
      <xdr:nvSpPr>
        <xdr:cNvPr id="1039" name="AutoShape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0" y="615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101600</xdr:rowOff>
    </xdr:from>
    <xdr:to>
      <xdr:col>0</xdr:col>
      <xdr:colOff>152400</xdr:colOff>
      <xdr:row>20</xdr:row>
      <xdr:rowOff>63500</xdr:rowOff>
    </xdr:to>
    <xdr:sp macro="" textlink="">
      <xdr:nvSpPr>
        <xdr:cNvPr id="1042" name="Control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" name="AutoShape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13</xdr:row>
      <xdr:rowOff>0</xdr:rowOff>
    </xdr:from>
    <xdr:ext cx="304800" cy="304800"/>
    <xdr:sp macro="" textlink="">
      <xdr:nvSpPr>
        <xdr:cNvPr id="3" name="AutoShape 1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13</xdr:row>
      <xdr:rowOff>0</xdr:rowOff>
    </xdr:from>
    <xdr:ext cx="304800" cy="304800"/>
    <xdr:sp macro="" textlink="">
      <xdr:nvSpPr>
        <xdr:cNvPr id="4" name="AutoShape 1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5" name="AutoShap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14</xdr:row>
      <xdr:rowOff>0</xdr:rowOff>
    </xdr:from>
    <xdr:ext cx="304800" cy="304800"/>
    <xdr:sp macro="" textlink="">
      <xdr:nvSpPr>
        <xdr:cNvPr id="9" name="AutoShape 1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10" name="AutoShape 1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15</xdr:row>
      <xdr:rowOff>0</xdr:rowOff>
    </xdr:from>
    <xdr:ext cx="304800" cy="304800"/>
    <xdr:sp macro="" textlink="">
      <xdr:nvSpPr>
        <xdr:cNvPr id="11" name="AutoShape 1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15</xdr:row>
      <xdr:rowOff>0</xdr:rowOff>
    </xdr:from>
    <xdr:ext cx="304800" cy="304800"/>
    <xdr:sp macro="" textlink="">
      <xdr:nvSpPr>
        <xdr:cNvPr id="12" name="AutoShape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304800" cy="304800"/>
    <xdr:sp macro="" textlink="">
      <xdr:nvSpPr>
        <xdr:cNvPr id="13" name="AutoShap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16</xdr:row>
      <xdr:rowOff>0</xdr:rowOff>
    </xdr:from>
    <xdr:ext cx="304800" cy="304800"/>
    <xdr:sp macro="" textlink="">
      <xdr:nvSpPr>
        <xdr:cNvPr id="14" name="AutoShap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16</xdr:row>
      <xdr:rowOff>0</xdr:rowOff>
    </xdr:from>
    <xdr:ext cx="304800" cy="304800"/>
    <xdr:sp macro="" textlink="">
      <xdr:nvSpPr>
        <xdr:cNvPr id="15" name="AutoShap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304800" cy="304800"/>
    <xdr:sp macro="" textlink="">
      <xdr:nvSpPr>
        <xdr:cNvPr id="16" name="AutoShape 1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17</xdr:row>
      <xdr:rowOff>0</xdr:rowOff>
    </xdr:from>
    <xdr:ext cx="304800" cy="304800"/>
    <xdr:sp macro="" textlink="">
      <xdr:nvSpPr>
        <xdr:cNvPr id="17" name="AutoShape 1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17</xdr:row>
      <xdr:rowOff>0</xdr:rowOff>
    </xdr:from>
    <xdr:ext cx="304800" cy="304800"/>
    <xdr:sp macro="" textlink="">
      <xdr:nvSpPr>
        <xdr:cNvPr id="18" name="AutoShape 14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</xdr:row>
      <xdr:rowOff>0</xdr:rowOff>
    </xdr:from>
    <xdr:ext cx="304800" cy="304800"/>
    <xdr:sp macro="" textlink="">
      <xdr:nvSpPr>
        <xdr:cNvPr id="19" name="AutoShape 1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18</xdr:row>
      <xdr:rowOff>0</xdr:rowOff>
    </xdr:from>
    <xdr:ext cx="304800" cy="304800"/>
    <xdr:sp macro="" textlink="">
      <xdr:nvSpPr>
        <xdr:cNvPr id="20" name="AutoShape 1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18</xdr:row>
      <xdr:rowOff>0</xdr:rowOff>
    </xdr:from>
    <xdr:ext cx="304800" cy="304800"/>
    <xdr:sp macro="" textlink="">
      <xdr:nvSpPr>
        <xdr:cNvPr id="21" name="AutoShape 1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304800" cy="304800"/>
    <xdr:sp macro="" textlink="">
      <xdr:nvSpPr>
        <xdr:cNvPr id="22" name="AutoShape 1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19</xdr:row>
      <xdr:rowOff>0</xdr:rowOff>
    </xdr:from>
    <xdr:ext cx="304800" cy="304800"/>
    <xdr:sp macro="" textlink="">
      <xdr:nvSpPr>
        <xdr:cNvPr id="23" name="AutoShape 1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19</xdr:row>
      <xdr:rowOff>0</xdr:rowOff>
    </xdr:from>
    <xdr:ext cx="304800" cy="304800"/>
    <xdr:sp macro="" textlink="">
      <xdr:nvSpPr>
        <xdr:cNvPr id="24" name="AutoShape 1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304800"/>
    <xdr:sp macro="" textlink="">
      <xdr:nvSpPr>
        <xdr:cNvPr id="25" name="AutoShape 1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20</xdr:row>
      <xdr:rowOff>0</xdr:rowOff>
    </xdr:from>
    <xdr:ext cx="304800" cy="304800"/>
    <xdr:sp macro="" textlink="">
      <xdr:nvSpPr>
        <xdr:cNvPr id="26" name="AutoShape 1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20</xdr:row>
      <xdr:rowOff>0</xdr:rowOff>
    </xdr:from>
    <xdr:ext cx="304800" cy="304800"/>
    <xdr:sp macro="" textlink="">
      <xdr:nvSpPr>
        <xdr:cNvPr id="27" name="AutoShape 14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304800"/>
    <xdr:sp macro="" textlink="">
      <xdr:nvSpPr>
        <xdr:cNvPr id="28" name="AutoShape 1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21</xdr:row>
      <xdr:rowOff>0</xdr:rowOff>
    </xdr:from>
    <xdr:ext cx="304800" cy="304800"/>
    <xdr:sp macro="" textlink="">
      <xdr:nvSpPr>
        <xdr:cNvPr id="29" name="AutoShape 1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21</xdr:row>
      <xdr:rowOff>0</xdr:rowOff>
    </xdr:from>
    <xdr:ext cx="304800" cy="304800"/>
    <xdr:sp macro="" textlink="">
      <xdr:nvSpPr>
        <xdr:cNvPr id="30" name="AutoShape 1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31" name="AutoShape 1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22</xdr:row>
      <xdr:rowOff>0</xdr:rowOff>
    </xdr:from>
    <xdr:ext cx="304800" cy="304800"/>
    <xdr:sp macro="" textlink="">
      <xdr:nvSpPr>
        <xdr:cNvPr id="32" name="AutoShape 1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22</xdr:row>
      <xdr:rowOff>0</xdr:rowOff>
    </xdr:from>
    <xdr:ext cx="304800" cy="304800"/>
    <xdr:sp macro="" textlink="">
      <xdr:nvSpPr>
        <xdr:cNvPr id="33" name="AutoShape 14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34" name="AutoShape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23</xdr:row>
      <xdr:rowOff>0</xdr:rowOff>
    </xdr:from>
    <xdr:ext cx="304800" cy="304800"/>
    <xdr:sp macro="" textlink="">
      <xdr:nvSpPr>
        <xdr:cNvPr id="35" name="AutoShape 1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23</xdr:row>
      <xdr:rowOff>0</xdr:rowOff>
    </xdr:from>
    <xdr:ext cx="304800" cy="304800"/>
    <xdr:sp macro="" textlink="">
      <xdr:nvSpPr>
        <xdr:cNvPr id="36" name="AutoShape 1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" name="AutoShape 1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13</xdr:row>
      <xdr:rowOff>0</xdr:rowOff>
    </xdr:from>
    <xdr:ext cx="304800" cy="304800"/>
    <xdr:sp macro="" textlink="">
      <xdr:nvSpPr>
        <xdr:cNvPr id="38" name="AutoShape 1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13</xdr:row>
      <xdr:rowOff>0</xdr:rowOff>
    </xdr:from>
    <xdr:ext cx="304800" cy="304800"/>
    <xdr:sp macro="" textlink="">
      <xdr:nvSpPr>
        <xdr:cNvPr id="39" name="AutoShape 14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40" name="AutoShape 1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14</xdr:row>
      <xdr:rowOff>0</xdr:rowOff>
    </xdr:from>
    <xdr:ext cx="304800" cy="304800"/>
    <xdr:sp macro="" textlink="">
      <xdr:nvSpPr>
        <xdr:cNvPr id="41" name="AutoShape 1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14</xdr:row>
      <xdr:rowOff>0</xdr:rowOff>
    </xdr:from>
    <xdr:ext cx="304800" cy="304800"/>
    <xdr:sp macro="" textlink="">
      <xdr:nvSpPr>
        <xdr:cNvPr id="42" name="AutoShape 14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43" name="AutoShape 1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15</xdr:row>
      <xdr:rowOff>0</xdr:rowOff>
    </xdr:from>
    <xdr:ext cx="304800" cy="304800"/>
    <xdr:sp macro="" textlink="">
      <xdr:nvSpPr>
        <xdr:cNvPr id="44" name="AutoShape 1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15</xdr:row>
      <xdr:rowOff>0</xdr:rowOff>
    </xdr:from>
    <xdr:ext cx="304800" cy="304800"/>
    <xdr:sp macro="" textlink="">
      <xdr:nvSpPr>
        <xdr:cNvPr id="45" name="AutoShape 1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304800" cy="304800"/>
    <xdr:sp macro="" textlink="">
      <xdr:nvSpPr>
        <xdr:cNvPr id="46" name="AutoShape 1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16</xdr:row>
      <xdr:rowOff>0</xdr:rowOff>
    </xdr:from>
    <xdr:ext cx="304800" cy="304800"/>
    <xdr:sp macro="" textlink="">
      <xdr:nvSpPr>
        <xdr:cNvPr id="47" name="AutoShape 1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16</xdr:row>
      <xdr:rowOff>0</xdr:rowOff>
    </xdr:from>
    <xdr:ext cx="304800" cy="304800"/>
    <xdr:sp macro="" textlink="">
      <xdr:nvSpPr>
        <xdr:cNvPr id="48" name="AutoShape 14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304800" cy="304800"/>
    <xdr:sp macro="" textlink="">
      <xdr:nvSpPr>
        <xdr:cNvPr id="49" name="AutoShape 1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17</xdr:row>
      <xdr:rowOff>0</xdr:rowOff>
    </xdr:from>
    <xdr:ext cx="304800" cy="304800"/>
    <xdr:sp macro="" textlink="">
      <xdr:nvSpPr>
        <xdr:cNvPr id="50" name="AutoShape 1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17</xdr:row>
      <xdr:rowOff>0</xdr:rowOff>
    </xdr:from>
    <xdr:ext cx="304800" cy="304800"/>
    <xdr:sp macro="" textlink="">
      <xdr:nvSpPr>
        <xdr:cNvPr id="51" name="AutoShape 14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</xdr:row>
      <xdr:rowOff>0</xdr:rowOff>
    </xdr:from>
    <xdr:ext cx="304800" cy="304800"/>
    <xdr:sp macro="" textlink="">
      <xdr:nvSpPr>
        <xdr:cNvPr id="52" name="AutoShape 1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18</xdr:row>
      <xdr:rowOff>0</xdr:rowOff>
    </xdr:from>
    <xdr:ext cx="304800" cy="304800"/>
    <xdr:sp macro="" textlink="">
      <xdr:nvSpPr>
        <xdr:cNvPr id="53" name="AutoShape 1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18</xdr:row>
      <xdr:rowOff>0</xdr:rowOff>
    </xdr:from>
    <xdr:ext cx="304800" cy="304800"/>
    <xdr:sp macro="" textlink="">
      <xdr:nvSpPr>
        <xdr:cNvPr id="54" name="AutoShape 1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304800" cy="304800"/>
    <xdr:sp macro="" textlink="">
      <xdr:nvSpPr>
        <xdr:cNvPr id="55" name="AutoShape 1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19</xdr:row>
      <xdr:rowOff>0</xdr:rowOff>
    </xdr:from>
    <xdr:ext cx="304800" cy="304800"/>
    <xdr:sp macro="" textlink="">
      <xdr:nvSpPr>
        <xdr:cNvPr id="56" name="AutoShape 1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19</xdr:row>
      <xdr:rowOff>0</xdr:rowOff>
    </xdr:from>
    <xdr:ext cx="304800" cy="304800"/>
    <xdr:sp macro="" textlink="">
      <xdr:nvSpPr>
        <xdr:cNvPr id="57" name="AutoShape 14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304800"/>
    <xdr:sp macro="" textlink="">
      <xdr:nvSpPr>
        <xdr:cNvPr id="58" name="AutoShape 1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20</xdr:row>
      <xdr:rowOff>0</xdr:rowOff>
    </xdr:from>
    <xdr:ext cx="304800" cy="304800"/>
    <xdr:sp macro="" textlink="">
      <xdr:nvSpPr>
        <xdr:cNvPr id="59" name="AutoShape 13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20</xdr:row>
      <xdr:rowOff>0</xdr:rowOff>
    </xdr:from>
    <xdr:ext cx="304800" cy="304800"/>
    <xdr:sp macro="" textlink="">
      <xdr:nvSpPr>
        <xdr:cNvPr id="60" name="AutoShape 14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304800"/>
    <xdr:sp macro="" textlink="">
      <xdr:nvSpPr>
        <xdr:cNvPr id="61" name="AutoShape 1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21</xdr:row>
      <xdr:rowOff>0</xdr:rowOff>
    </xdr:from>
    <xdr:ext cx="304800" cy="304800"/>
    <xdr:sp macro="" textlink="">
      <xdr:nvSpPr>
        <xdr:cNvPr id="62" name="AutoShape 1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21</xdr:row>
      <xdr:rowOff>0</xdr:rowOff>
    </xdr:from>
    <xdr:ext cx="304800" cy="304800"/>
    <xdr:sp macro="" textlink="">
      <xdr:nvSpPr>
        <xdr:cNvPr id="63" name="AutoShape 14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1024" name="AutoShape 1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22</xdr:row>
      <xdr:rowOff>0</xdr:rowOff>
    </xdr:from>
    <xdr:ext cx="304800" cy="304800"/>
    <xdr:sp macro="" textlink="">
      <xdr:nvSpPr>
        <xdr:cNvPr id="1025" name="AutoShape 13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22</xdr:row>
      <xdr:rowOff>0</xdr:rowOff>
    </xdr:from>
    <xdr:ext cx="304800" cy="304800"/>
    <xdr:sp macro="" textlink="">
      <xdr:nvSpPr>
        <xdr:cNvPr id="1026" name="AutoShape 14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1027" name="AutoShape 1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23</xdr:row>
      <xdr:rowOff>0</xdr:rowOff>
    </xdr:from>
    <xdr:ext cx="304800" cy="304800"/>
    <xdr:sp macro="" textlink="">
      <xdr:nvSpPr>
        <xdr:cNvPr id="1028" name="AutoShape 1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23</xdr:row>
      <xdr:rowOff>0</xdr:rowOff>
    </xdr:from>
    <xdr:ext cx="304800" cy="304800"/>
    <xdr:sp macro="" textlink="">
      <xdr:nvSpPr>
        <xdr:cNvPr id="1029" name="AutoShape 14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19</xdr:row>
      <xdr:rowOff>101600</xdr:rowOff>
    </xdr:from>
    <xdr:to>
      <xdr:col>0</xdr:col>
      <xdr:colOff>152400</xdr:colOff>
      <xdr:row>20</xdr:row>
      <xdr:rowOff>63500</xdr:rowOff>
    </xdr:to>
    <xdr:pic>
      <xdr:nvPicPr>
        <xdr:cNvPr id="7" name="Control 18">
          <a:extLst>
            <a:ext uri="{FF2B5EF4-FFF2-40B4-BE49-F238E27FC236}">
              <a16:creationId xmlns:a16="http://schemas.microsoft.com/office/drawing/2014/main" id="{E1447DA4-6A96-15BB-3A28-49EFD5AE5FB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1700"/>
          <a:ext cx="152400" cy="1651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20</xdr:row>
      <xdr:rowOff>382361</xdr:rowOff>
    </xdr:from>
    <xdr:to>
      <xdr:col>18</xdr:col>
      <xdr:colOff>190500</xdr:colOff>
      <xdr:row>36</xdr:row>
      <xdr:rowOff>16329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0</xdr:row>
      <xdr:rowOff>171450</xdr:rowOff>
    </xdr:from>
    <xdr:to>
      <xdr:col>18</xdr:col>
      <xdr:colOff>214312</xdr:colOff>
      <xdr:row>20</xdr:row>
      <xdr:rowOff>38100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0.09688</cdr:x>
      <cdr:y>0.19378</cdr:y>
    </cdr:from>
    <cdr:to>
      <cdr:x>0.49438</cdr:x>
      <cdr:y>0.36224</cdr:y>
    </cdr:to>
    <cdr:pic>
      <cdr:nvPicPr>
        <cdr:cNvPr id="2" name="Obraz 1">
          <a:extLst xmlns:a="http://schemas.openxmlformats.org/drawingml/2006/main">
            <a:ext uri="{FF2B5EF4-FFF2-40B4-BE49-F238E27FC236}">
              <a16:creationId xmlns:a16="http://schemas.microsoft.com/office/drawing/2014/main" id="{60581FD1-B914-ED3F-BC4B-2A78A7B2AF2E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-2317"/>
        <a:stretch xmlns:a="http://schemas.openxmlformats.org/drawingml/2006/main"/>
      </cdr:blipFill>
      <cdr:spPr>
        <a:xfrm xmlns:a="http://schemas.openxmlformats.org/drawingml/2006/main">
          <a:off x="703943" y="799193"/>
          <a:ext cx="2888343" cy="694785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0.09316</cdr:x>
      <cdr:y>0.16719</cdr:y>
    </cdr:from>
    <cdr:to>
      <cdr:x>0.49381</cdr:x>
      <cdr:y>0.30114</cdr:y>
    </cdr:to>
    <cdr:pic>
      <cdr:nvPicPr>
        <cdr:cNvPr id="3" name="Obraz 2">
          <a:extLst xmlns:a="http://schemas.openxmlformats.org/drawingml/2006/main">
            <a:ext uri="{FF2B5EF4-FFF2-40B4-BE49-F238E27FC236}">
              <a16:creationId xmlns:a16="http://schemas.microsoft.com/office/drawing/2014/main" id="{5747F160-BA22-403F-BFEE-F92301E9338D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-2317"/>
        <a:stretch xmlns:a="http://schemas.openxmlformats.org/drawingml/2006/main"/>
      </cdr:blipFill>
      <cdr:spPr>
        <a:xfrm xmlns:a="http://schemas.openxmlformats.org/drawingml/2006/main">
          <a:off x="672376" y="903343"/>
          <a:ext cx="2891751" cy="723720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27215</xdr:colOff>
      <xdr:row>0</xdr:row>
      <xdr:rowOff>10432</xdr:rowOff>
    </xdr:from>
    <xdr:to>
      <xdr:col>10</xdr:col>
      <xdr:colOff>1374323</xdr:colOff>
      <xdr:row>14</xdr:row>
      <xdr:rowOff>394607</xdr:rowOff>
    </xdr:to>
    <xdr:graphicFrame macro="">
      <xdr:nvGraphicFramePr>
        <xdr:cNvPr id="14" name="Wykres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47171</xdr:colOff>
      <xdr:row>0</xdr:row>
      <xdr:rowOff>40821</xdr:rowOff>
    </xdr:from>
    <xdr:to>
      <xdr:col>21</xdr:col>
      <xdr:colOff>0</xdr:colOff>
      <xdr:row>15</xdr:row>
      <xdr:rowOff>530677</xdr:rowOff>
    </xdr:to>
    <xdr:graphicFrame macro="">
      <xdr:nvGraphicFramePr>
        <xdr:cNvPr id="15" name="Wykres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23</xdr:col>
      <xdr:colOff>812799</xdr:colOff>
      <xdr:row>7</xdr:row>
      <xdr:rowOff>50800</xdr:rowOff>
    </xdr:from>
    <xdr:to>
      <xdr:col>30</xdr:col>
      <xdr:colOff>227948</xdr:colOff>
      <xdr:row>12</xdr:row>
      <xdr:rowOff>101600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1361B54-F597-5AE5-C6D1-5480FB78F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969199" y="1549400"/>
          <a:ext cx="5968349" cy="2006600"/>
        </a:xfrm>
        <a:prstGeom prst="rect">
          <a:avLst/>
        </a:prstGeom>
      </xdr:spPr>
    </xdr:pic>
    <xdr:clientData/>
  </xdr:twoCellAnchor>
  <xdr:twoCellAnchor editAs="oneCell">
    <xdr:from>
      <xdr:col>60</xdr:col>
      <xdr:colOff>101600</xdr:colOff>
      <xdr:row>8</xdr:row>
      <xdr:rowOff>25400</xdr:rowOff>
    </xdr:from>
    <xdr:to>
      <xdr:col>66</xdr:col>
      <xdr:colOff>471188</xdr:colOff>
      <xdr:row>11</xdr:row>
      <xdr:rowOff>508000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0D366F3-4A0A-5357-ABCB-8271B5B98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253600" y="1651000"/>
          <a:ext cx="5957588" cy="1727200"/>
        </a:xfrm>
        <a:prstGeom prst="rect">
          <a:avLst/>
        </a:prstGeom>
      </xdr:spPr>
    </xdr:pic>
    <xdr:clientData/>
  </xdr:twoCellAnchor>
  <xdr:twoCellAnchor editAs="oneCell">
    <xdr:from>
      <xdr:col>96</xdr:col>
      <xdr:colOff>152400</xdr:colOff>
      <xdr:row>7</xdr:row>
      <xdr:rowOff>25400</xdr:rowOff>
    </xdr:from>
    <xdr:to>
      <xdr:col>103</xdr:col>
      <xdr:colOff>131741</xdr:colOff>
      <xdr:row>12</xdr:row>
      <xdr:rowOff>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BE7408C7-4EBA-3719-CAB3-5077A04AA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3309400" y="1524000"/>
          <a:ext cx="6151541" cy="1930400"/>
        </a:xfrm>
        <a:prstGeom prst="rect">
          <a:avLst/>
        </a:prstGeom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0.08629</cdr:x>
      <cdr:y>0.07923</cdr:y>
    </cdr:from>
    <cdr:to>
      <cdr:x>0.24582</cdr:x>
      <cdr:y>0.19071</cdr:y>
    </cdr:to>
    <cdr:pic>
      <cdr:nvPicPr>
        <cdr:cNvPr id="2" name="chart">
          <a:hlinkClick xmlns:a="http://schemas.openxmlformats.org/drawingml/2006/main" xmlns:r="http://schemas.openxmlformats.org/officeDocument/2006/relationships" r:id="rId1"/>
          <a:extLst xmlns:a="http://schemas.openxmlformats.org/drawingml/2006/main">
            <a:ext uri="{FF2B5EF4-FFF2-40B4-BE49-F238E27FC236}">
              <a16:creationId xmlns:a16="http://schemas.microsoft.com/office/drawing/2014/main" id="{D63FADE9-A7FC-4ECA-A71C-B585E5D15D8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1220960" y="396694"/>
          <a:ext cx="2257025" cy="558173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0.02508</cdr:x>
      <cdr:y>0.03369</cdr:y>
    </cdr:from>
    <cdr:to>
      <cdr:x>0.19546</cdr:x>
      <cdr:y>0.12538</cdr:y>
    </cdr:to>
    <cdr:pic>
      <cdr:nvPicPr>
        <cdr:cNvPr id="2" name="chart">
          <a:hlinkClick xmlns:a="http://schemas.openxmlformats.org/drawingml/2006/main" xmlns:r="http://schemas.openxmlformats.org/officeDocument/2006/relationships" r:id="rId1"/>
          <a:extLst xmlns:a="http://schemas.openxmlformats.org/drawingml/2006/main">
            <a:ext uri="{FF2B5EF4-FFF2-40B4-BE49-F238E27FC236}">
              <a16:creationId xmlns:a16="http://schemas.microsoft.com/office/drawing/2014/main" id="{65CC5221-49E8-46F7-BD34-09927451ADF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321355" y="149910"/>
          <a:ext cx="2182837" cy="407982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bp.pl/polityka-pieniezna/decyzje-rpp/podstawowe-stopy-procentowe-nbp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stat.gov.pl/wykres/1.html" TargetMode="External"/><Relationship Id="rId1" Type="http://schemas.openxmlformats.org/officeDocument/2006/relationships/hyperlink" Target="https://www.obligacjeskarbowe.pl/ike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marciniwuc.com/ranking-lokat-sprawdz-najlepsze-lokaty-bankowe/" TargetMode="External"/><Relationship Id="rId4" Type="http://schemas.openxmlformats.org/officeDocument/2006/relationships/hyperlink" Target="https://www.bankier.pl/mieszkaniowe/stopy-procentowe/wibo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E54FE-0667-491F-8A49-4717D0E36133}">
  <sheetPr codeName="Arkusz1"/>
  <dimension ref="A4:T54"/>
  <sheetViews>
    <sheetView tabSelected="1" topLeftCell="A29" zoomScaleNormal="100" workbookViewId="0">
      <selection activeCell="G15" sqref="G15:K22"/>
    </sheetView>
  </sheetViews>
  <sheetFormatPr defaultColWidth="8.7109375" defaultRowHeight="15"/>
  <cols>
    <col min="1" max="1" width="52" style="78" customWidth="1"/>
    <col min="2" max="2" width="15.42578125" style="78" customWidth="1"/>
    <col min="3" max="3" width="16.85546875" style="78" customWidth="1"/>
    <col min="4" max="4" width="14.140625" style="78" customWidth="1"/>
    <col min="5" max="5" width="16.42578125" style="78" customWidth="1"/>
    <col min="6" max="6" width="10.140625" style="78" customWidth="1"/>
    <col min="7" max="7" width="16.28515625" style="78" customWidth="1"/>
    <col min="8" max="8" width="12.85546875" style="78" customWidth="1"/>
    <col min="9" max="9" width="12.42578125" style="78" customWidth="1"/>
    <col min="10" max="10" width="20.42578125" style="78" customWidth="1"/>
    <col min="11" max="11" width="16.7109375" style="78" customWidth="1"/>
    <col min="12" max="12" width="17.140625" style="78" customWidth="1"/>
    <col min="13" max="13" width="18.42578125" style="78" customWidth="1"/>
    <col min="14" max="14" width="24.85546875" style="78" customWidth="1"/>
    <col min="15" max="15" width="16.42578125" style="78" customWidth="1"/>
    <col min="16" max="16" width="15" style="78" customWidth="1"/>
    <col min="17" max="17" width="16.42578125" style="78" customWidth="1"/>
    <col min="18" max="18" width="13.28515625" style="78" customWidth="1"/>
    <col min="19" max="19" width="18.42578125" style="78" customWidth="1"/>
    <col min="20" max="20" width="19.42578125" style="78" customWidth="1"/>
    <col min="21" max="23" width="8.7109375" style="78"/>
    <col min="24" max="24" width="11.28515625" style="78" customWidth="1"/>
    <col min="25" max="25" width="11.42578125" style="78" customWidth="1"/>
    <col min="26" max="26" width="8.7109375" style="78" customWidth="1"/>
    <col min="27" max="16384" width="8.7109375" style="78"/>
  </cols>
  <sheetData>
    <row r="4" spans="1:20" ht="21" customHeight="1">
      <c r="R4" s="79"/>
    </row>
    <row r="5" spans="1:20" ht="41.45" customHeight="1">
      <c r="A5" s="121" t="s">
        <v>122</v>
      </c>
      <c r="B5" s="120"/>
      <c r="C5" s="120"/>
      <c r="D5" s="120"/>
      <c r="E5" s="120"/>
      <c r="F5" s="120"/>
    </row>
    <row r="6" spans="1:20" ht="57.75" customHeight="1">
      <c r="A6" s="89" t="s">
        <v>121</v>
      </c>
      <c r="B6" s="119">
        <v>1000</v>
      </c>
      <c r="C6" s="208"/>
      <c r="D6" s="209"/>
      <c r="E6" s="209"/>
    </row>
    <row r="7" spans="1:20" ht="44.25" customHeight="1">
      <c r="A7" s="89" t="s">
        <v>123</v>
      </c>
      <c r="B7" s="88">
        <f>B6*100</f>
        <v>100000</v>
      </c>
      <c r="C7" s="207" t="s">
        <v>53</v>
      </c>
      <c r="D7" s="207"/>
      <c r="E7" s="207"/>
    </row>
    <row r="8" spans="1:20" ht="41.45" customHeight="1">
      <c r="A8" s="91" t="s">
        <v>124</v>
      </c>
      <c r="B8" s="90">
        <v>0.19</v>
      </c>
      <c r="C8" s="206" t="s">
        <v>73</v>
      </c>
      <c r="D8" s="207"/>
      <c r="E8" s="207"/>
      <c r="S8" s="205"/>
      <c r="T8" s="205"/>
    </row>
    <row r="9" spans="1:20" ht="45.75" customHeight="1" thickBot="1">
      <c r="A9" s="117" t="s">
        <v>125</v>
      </c>
      <c r="S9" s="205"/>
      <c r="T9" s="205"/>
    </row>
    <row r="10" spans="1:20" ht="30.95" customHeight="1" thickBot="1">
      <c r="A10" s="118" t="s">
        <v>84</v>
      </c>
      <c r="C10" s="80"/>
      <c r="D10" s="80"/>
      <c r="H10" s="81"/>
      <c r="S10" s="205"/>
      <c r="T10" s="205"/>
    </row>
    <row r="11" spans="1:20" ht="71.25" customHeight="1" thickBot="1">
      <c r="A11" s="194" t="s">
        <v>129</v>
      </c>
      <c r="B11" s="201" t="s">
        <v>94</v>
      </c>
      <c r="C11" s="202" t="s">
        <v>93</v>
      </c>
      <c r="D11" s="202" t="s">
        <v>92</v>
      </c>
      <c r="E11" s="202" t="s">
        <v>116</v>
      </c>
      <c r="F11" s="210" t="s">
        <v>120</v>
      </c>
      <c r="G11" s="210"/>
      <c r="H11" s="210"/>
      <c r="I11" s="210"/>
      <c r="J11" s="210"/>
      <c r="K11" s="210"/>
      <c r="S11" s="205"/>
      <c r="T11" s="205"/>
    </row>
    <row r="12" spans="1:20" ht="42" customHeight="1">
      <c r="A12" s="193"/>
      <c r="B12" s="203">
        <v>2.9000000000000001E-2</v>
      </c>
      <c r="C12" s="106">
        <v>4.4999999999999998E-2</v>
      </c>
      <c r="D12" s="106">
        <v>4.3200000000000002E-2</v>
      </c>
      <c r="E12" s="204">
        <v>4.4999999999999998E-2</v>
      </c>
      <c r="F12" s="211" t="s">
        <v>126</v>
      </c>
      <c r="G12" s="211"/>
      <c r="H12" s="211"/>
      <c r="I12" s="211"/>
      <c r="J12" s="211"/>
      <c r="K12" s="211"/>
      <c r="S12" s="205"/>
      <c r="T12" s="205"/>
    </row>
    <row r="13" spans="1:20" ht="29.25" customHeight="1">
      <c r="A13" s="187">
        <v>1</v>
      </c>
      <c r="B13" s="185">
        <v>0.1</v>
      </c>
      <c r="C13" s="106">
        <v>6.7500000000000004E-2</v>
      </c>
      <c r="D13" s="200">
        <v>7.3999999999999996E-2</v>
      </c>
      <c r="E13" s="106">
        <v>7.4999999999999997E-2</v>
      </c>
      <c r="S13" s="205"/>
      <c r="T13" s="205"/>
    </row>
    <row r="14" spans="1:20" ht="14.45" customHeight="1">
      <c r="A14" s="187">
        <v>2</v>
      </c>
      <c r="B14" s="185">
        <v>0.17699999999999999</v>
      </c>
      <c r="C14" s="106">
        <v>6.7500000000000004E-2</v>
      </c>
      <c r="D14" s="106">
        <v>7.3999999999999996E-2</v>
      </c>
      <c r="E14" s="106">
        <v>7.4999999999999997E-2</v>
      </c>
      <c r="S14" s="205"/>
      <c r="T14" s="205"/>
    </row>
    <row r="15" spans="1:20" ht="15.75" customHeight="1">
      <c r="A15" s="187">
        <v>3</v>
      </c>
      <c r="B15" s="185">
        <v>0.17699999999999999</v>
      </c>
      <c r="C15" s="106">
        <v>6.7500000000000004E-2</v>
      </c>
      <c r="D15" s="106">
        <v>7.3999999999999996E-2</v>
      </c>
      <c r="E15" s="106">
        <v>7.4999999999999997E-2</v>
      </c>
      <c r="G15" s="210" t="s">
        <v>91</v>
      </c>
      <c r="H15" s="210"/>
      <c r="I15" s="210"/>
      <c r="J15" s="210"/>
      <c r="K15" s="210"/>
      <c r="S15" s="205"/>
      <c r="T15" s="205"/>
    </row>
    <row r="16" spans="1:20" ht="15.75">
      <c r="A16" s="187">
        <v>4</v>
      </c>
      <c r="B16" s="185">
        <v>0.17699999999999999</v>
      </c>
      <c r="C16" s="106">
        <v>6.7500000000000004E-2</v>
      </c>
      <c r="D16" s="106">
        <v>7.3999999999999996E-2</v>
      </c>
      <c r="E16" s="106">
        <v>7.4999999999999997E-2</v>
      </c>
      <c r="G16" s="210"/>
      <c r="H16" s="210"/>
      <c r="I16" s="210"/>
      <c r="J16" s="210"/>
      <c r="K16" s="210"/>
      <c r="S16" s="205"/>
      <c r="T16" s="205"/>
    </row>
    <row r="17" spans="1:20" ht="15.75">
      <c r="A17" s="187">
        <v>5</v>
      </c>
      <c r="B17" s="185">
        <v>0.17699999999999999</v>
      </c>
      <c r="C17" s="106">
        <v>6.7500000000000004E-2</v>
      </c>
      <c r="D17" s="106">
        <v>7.3999999999999996E-2</v>
      </c>
      <c r="E17" s="106">
        <v>7.4999999999999997E-2</v>
      </c>
      <c r="G17" s="210"/>
      <c r="H17" s="210"/>
      <c r="I17" s="210"/>
      <c r="J17" s="210"/>
      <c r="K17" s="210"/>
      <c r="S17" s="205"/>
      <c r="T17" s="205"/>
    </row>
    <row r="18" spans="1:20" ht="14.45" customHeight="1">
      <c r="A18" s="187">
        <v>6</v>
      </c>
      <c r="B18" s="185">
        <v>0.17699999999999999</v>
      </c>
      <c r="C18" s="106">
        <v>6.7500000000000004E-2</v>
      </c>
      <c r="D18" s="106">
        <v>7.3999999999999996E-2</v>
      </c>
      <c r="E18" s="106">
        <v>7.4999999999999997E-2</v>
      </c>
      <c r="G18" s="210"/>
      <c r="H18" s="210"/>
      <c r="I18" s="210"/>
      <c r="J18" s="210"/>
      <c r="K18" s="210"/>
      <c r="S18" s="205"/>
      <c r="T18" s="205"/>
    </row>
    <row r="19" spans="1:20" ht="18" customHeight="1">
      <c r="A19" s="187">
        <v>7</v>
      </c>
      <c r="B19" s="185">
        <v>0.17699999999999999</v>
      </c>
      <c r="C19" s="106">
        <v>6.7500000000000004E-2</v>
      </c>
      <c r="D19" s="106">
        <v>7.3999999999999996E-2</v>
      </c>
      <c r="E19" s="106">
        <v>7.4999999999999997E-2</v>
      </c>
      <c r="G19" s="210"/>
      <c r="H19" s="210"/>
      <c r="I19" s="210"/>
      <c r="J19" s="210"/>
      <c r="K19" s="210"/>
      <c r="S19" s="205"/>
      <c r="T19" s="205"/>
    </row>
    <row r="20" spans="1:20" ht="15.75">
      <c r="A20" s="187">
        <v>8</v>
      </c>
      <c r="B20" s="185">
        <v>0.17699999999999999</v>
      </c>
      <c r="C20" s="106">
        <v>6.7500000000000004E-2</v>
      </c>
      <c r="D20" s="106">
        <v>7.3999999999999996E-2</v>
      </c>
      <c r="E20" s="106">
        <v>7.4999999999999997E-2</v>
      </c>
      <c r="G20" s="210"/>
      <c r="H20" s="210"/>
      <c r="I20" s="210"/>
      <c r="J20" s="210"/>
      <c r="K20" s="210"/>
    </row>
    <row r="21" spans="1:20" ht="15.75">
      <c r="A21" s="187">
        <v>9</v>
      </c>
      <c r="B21" s="185">
        <v>0.17699999999999999</v>
      </c>
      <c r="C21" s="106">
        <v>6.7500000000000004E-2</v>
      </c>
      <c r="D21" s="106">
        <v>7.3999999999999996E-2</v>
      </c>
      <c r="E21" s="106">
        <v>7.4999999999999997E-2</v>
      </c>
      <c r="G21" s="210"/>
      <c r="H21" s="210"/>
      <c r="I21" s="210"/>
      <c r="J21" s="210"/>
      <c r="K21" s="210"/>
    </row>
    <row r="22" spans="1:20" ht="15" customHeight="1">
      <c r="A22" s="187">
        <v>10</v>
      </c>
      <c r="B22" s="185">
        <v>0.17699999999999999</v>
      </c>
      <c r="C22" s="106">
        <v>6.7500000000000004E-2</v>
      </c>
      <c r="D22" s="106">
        <v>7.3999999999999996E-2</v>
      </c>
      <c r="E22" s="106">
        <v>7.4999999999999997E-2</v>
      </c>
      <c r="G22" s="210"/>
      <c r="H22" s="210"/>
      <c r="I22" s="210"/>
      <c r="J22" s="210"/>
      <c r="K22" s="210"/>
    </row>
    <row r="23" spans="1:20" ht="15.75">
      <c r="A23" s="187">
        <v>11</v>
      </c>
      <c r="B23" s="185">
        <v>0.17699999999999999</v>
      </c>
      <c r="C23" s="106">
        <v>6.7500000000000004E-2</v>
      </c>
      <c r="D23" s="106">
        <v>7.3999999999999996E-2</v>
      </c>
      <c r="E23" s="106">
        <v>7.4999999999999997E-2</v>
      </c>
    </row>
    <row r="24" spans="1:20" ht="16.5" thickBot="1">
      <c r="A24" s="187">
        <v>12</v>
      </c>
      <c r="B24" s="186">
        <v>0.17699999999999999</v>
      </c>
      <c r="C24" s="107">
        <v>6.7500000000000004E-2</v>
      </c>
      <c r="D24" s="107">
        <v>7.3999999999999996E-2</v>
      </c>
      <c r="E24" s="107">
        <v>7.4999999999999997E-2</v>
      </c>
    </row>
    <row r="28" spans="1:20" ht="15.75">
      <c r="A28" s="117" t="s">
        <v>128</v>
      </c>
      <c r="B28" s="87"/>
      <c r="C28" s="87"/>
      <c r="D28" s="87"/>
      <c r="E28" s="87"/>
      <c r="F28" s="87"/>
    </row>
    <row r="29" spans="1:20" ht="110.25">
      <c r="A29" s="92" t="s">
        <v>95</v>
      </c>
      <c r="B29" s="92" t="s">
        <v>69</v>
      </c>
      <c r="C29" s="92" t="s">
        <v>99</v>
      </c>
      <c r="D29" s="92" t="s">
        <v>83</v>
      </c>
      <c r="E29" s="92" t="s">
        <v>85</v>
      </c>
      <c r="F29" s="93" t="s">
        <v>87</v>
      </c>
      <c r="G29" s="92" t="s">
        <v>70</v>
      </c>
      <c r="H29" s="92" t="s">
        <v>71</v>
      </c>
      <c r="I29" s="92" t="s">
        <v>4</v>
      </c>
      <c r="J29" s="92" t="s">
        <v>72</v>
      </c>
      <c r="K29" s="92" t="s">
        <v>100</v>
      </c>
    </row>
    <row r="30" spans="1:20" ht="45">
      <c r="A30" s="108" t="s">
        <v>89</v>
      </c>
      <c r="B30" s="95">
        <v>12</v>
      </c>
      <c r="C30" s="96">
        <v>4.4999999999999998E-2</v>
      </c>
      <c r="D30" s="95">
        <v>1</v>
      </c>
      <c r="E30" s="97" t="s">
        <v>86</v>
      </c>
      <c r="F30" s="96">
        <v>0</v>
      </c>
      <c r="G30" s="95">
        <v>1</v>
      </c>
      <c r="H30" s="95" t="s">
        <v>5</v>
      </c>
      <c r="I30" s="98">
        <v>99.9</v>
      </c>
      <c r="J30" s="98">
        <v>0.5</v>
      </c>
      <c r="K30" s="95">
        <v>1</v>
      </c>
      <c r="L30" s="82"/>
    </row>
    <row r="31" spans="1:20" ht="45">
      <c r="A31" s="109" t="s">
        <v>96</v>
      </c>
      <c r="B31" s="95">
        <v>24</v>
      </c>
      <c r="C31" s="96">
        <v>4.65E-2</v>
      </c>
      <c r="D31" s="95">
        <v>1</v>
      </c>
      <c r="E31" s="97" t="s">
        <v>86</v>
      </c>
      <c r="F31" s="96">
        <v>1.5E-3</v>
      </c>
      <c r="G31" s="95">
        <v>1</v>
      </c>
      <c r="H31" s="95" t="s">
        <v>5</v>
      </c>
      <c r="I31" s="98">
        <v>99.9</v>
      </c>
      <c r="J31" s="98">
        <v>0.7</v>
      </c>
      <c r="K31" s="95">
        <v>1</v>
      </c>
      <c r="L31" s="82"/>
    </row>
    <row r="32" spans="1:20" ht="15.75">
      <c r="A32" s="110" t="s">
        <v>103</v>
      </c>
      <c r="B32" s="95">
        <v>36</v>
      </c>
      <c r="C32" s="96">
        <v>4.9000000000000002E-2</v>
      </c>
      <c r="D32" s="95">
        <v>36</v>
      </c>
      <c r="E32" s="97" t="s">
        <v>82</v>
      </c>
      <c r="F32" s="96">
        <v>0</v>
      </c>
      <c r="G32" s="95" t="s">
        <v>5</v>
      </c>
      <c r="H32" s="95">
        <v>12</v>
      </c>
      <c r="I32" s="98">
        <v>99.9</v>
      </c>
      <c r="J32" s="98">
        <v>1</v>
      </c>
      <c r="K32" s="95" t="s">
        <v>101</v>
      </c>
      <c r="L32" s="82"/>
    </row>
    <row r="33" spans="1:12" ht="15.75">
      <c r="A33" s="111" t="s">
        <v>54</v>
      </c>
      <c r="B33" s="95">
        <v>48</v>
      </c>
      <c r="C33" s="96">
        <v>5.2499999999999998E-2</v>
      </c>
      <c r="D33" s="95">
        <v>12</v>
      </c>
      <c r="E33" s="97" t="s">
        <v>6</v>
      </c>
      <c r="F33" s="96">
        <v>1.4999999999999999E-2</v>
      </c>
      <c r="G33" s="95">
        <v>12</v>
      </c>
      <c r="H33" s="95" t="s">
        <v>5</v>
      </c>
      <c r="I33" s="98">
        <v>99.9</v>
      </c>
      <c r="J33" s="98">
        <v>2</v>
      </c>
      <c r="K33" s="95">
        <v>12</v>
      </c>
      <c r="L33" s="82"/>
    </row>
    <row r="34" spans="1:12" ht="15.75">
      <c r="A34" s="112" t="s">
        <v>55</v>
      </c>
      <c r="B34" s="95">
        <v>120</v>
      </c>
      <c r="C34" s="96">
        <v>5.7500000000000002E-2</v>
      </c>
      <c r="D34" s="95">
        <v>12</v>
      </c>
      <c r="E34" s="97" t="s">
        <v>6</v>
      </c>
      <c r="F34" s="96">
        <v>0.02</v>
      </c>
      <c r="G34" s="103" t="s">
        <v>5</v>
      </c>
      <c r="H34" s="95">
        <v>12</v>
      </c>
      <c r="I34" s="98">
        <v>99.9</v>
      </c>
      <c r="J34" s="98">
        <v>3</v>
      </c>
      <c r="K34" s="95" t="s">
        <v>101</v>
      </c>
      <c r="L34" s="82"/>
    </row>
    <row r="35" spans="1:12" ht="15.75">
      <c r="A35" s="113" t="s">
        <v>56</v>
      </c>
      <c r="B35" s="95">
        <v>72</v>
      </c>
      <c r="C35" s="96">
        <v>5.45E-2</v>
      </c>
      <c r="D35" s="95">
        <v>12</v>
      </c>
      <c r="E35" s="97" t="s">
        <v>6</v>
      </c>
      <c r="F35" s="96">
        <v>0.02</v>
      </c>
      <c r="G35" s="103" t="s">
        <v>5</v>
      </c>
      <c r="H35" s="95">
        <v>12</v>
      </c>
      <c r="I35" s="98">
        <v>99.9</v>
      </c>
      <c r="J35" s="98">
        <v>2</v>
      </c>
      <c r="K35" s="95" t="s">
        <v>101</v>
      </c>
      <c r="L35" s="82"/>
    </row>
    <row r="36" spans="1:12" ht="15.75">
      <c r="A36" s="114" t="s">
        <v>57</v>
      </c>
      <c r="B36" s="95">
        <v>144</v>
      </c>
      <c r="C36" s="96">
        <v>0.06</v>
      </c>
      <c r="D36" s="95">
        <v>12</v>
      </c>
      <c r="E36" s="97" t="s">
        <v>6</v>
      </c>
      <c r="F36" s="96">
        <v>2.5000000000000001E-2</v>
      </c>
      <c r="G36" s="103" t="s">
        <v>5</v>
      </c>
      <c r="H36" s="95">
        <v>12</v>
      </c>
      <c r="I36" s="95" t="s">
        <v>5</v>
      </c>
      <c r="J36" s="98">
        <v>3</v>
      </c>
      <c r="K36" s="95" t="s">
        <v>101</v>
      </c>
      <c r="L36" s="82"/>
    </row>
    <row r="40" spans="1:12" ht="15.75">
      <c r="A40" s="117" t="s">
        <v>127</v>
      </c>
    </row>
    <row r="41" spans="1:12" ht="15.75" thickBot="1"/>
    <row r="42" spans="1:12" ht="63">
      <c r="A42" s="83" t="s">
        <v>26</v>
      </c>
      <c r="B42" s="84" t="s">
        <v>27</v>
      </c>
      <c r="C42" s="82" t="s">
        <v>90</v>
      </c>
    </row>
    <row r="43" spans="1:12">
      <c r="A43" s="115">
        <v>1</v>
      </c>
      <c r="B43" s="85">
        <v>0</v>
      </c>
    </row>
    <row r="44" spans="1:12">
      <c r="A44" s="115">
        <v>2</v>
      </c>
      <c r="B44" s="85">
        <v>1.6000000000000001E-3</v>
      </c>
    </row>
    <row r="45" spans="1:12">
      <c r="A45" s="115">
        <v>3</v>
      </c>
      <c r="B45" s="85">
        <v>1.5E-3</v>
      </c>
    </row>
    <row r="46" spans="1:12">
      <c r="A46" s="115">
        <v>4</v>
      </c>
      <c r="B46" s="85">
        <v>1.4E-3</v>
      </c>
    </row>
    <row r="47" spans="1:12">
      <c r="A47" s="115">
        <v>5</v>
      </c>
      <c r="B47" s="85">
        <v>1.2999999999999999E-3</v>
      </c>
    </row>
    <row r="48" spans="1:12">
      <c r="A48" s="115">
        <v>6</v>
      </c>
      <c r="B48" s="85">
        <v>1.1999999999999999E-3</v>
      </c>
    </row>
    <row r="49" spans="1:2">
      <c r="A49" s="115">
        <v>7</v>
      </c>
      <c r="B49" s="85">
        <v>1.1000000000000001E-3</v>
      </c>
    </row>
    <row r="50" spans="1:2">
      <c r="A50" s="115">
        <v>8</v>
      </c>
      <c r="B50" s="85">
        <v>1E-3</v>
      </c>
    </row>
    <row r="51" spans="1:2">
      <c r="A51" s="115">
        <v>9</v>
      </c>
      <c r="B51" s="85">
        <v>1E-3</v>
      </c>
    </row>
    <row r="52" spans="1:2">
      <c r="A52" s="115">
        <v>10</v>
      </c>
      <c r="B52" s="85">
        <v>1E-3</v>
      </c>
    </row>
    <row r="53" spans="1:2">
      <c r="A53" s="115">
        <v>11</v>
      </c>
      <c r="B53" s="85">
        <v>1E-3</v>
      </c>
    </row>
    <row r="54" spans="1:2" ht="15.75" thickBot="1">
      <c r="A54" s="116">
        <v>12</v>
      </c>
      <c r="B54" s="86">
        <v>1E-3</v>
      </c>
    </row>
  </sheetData>
  <mergeCells count="8">
    <mergeCell ref="S8:T14"/>
    <mergeCell ref="S15:T19"/>
    <mergeCell ref="C8:E8"/>
    <mergeCell ref="C6:E6"/>
    <mergeCell ref="C7:E7"/>
    <mergeCell ref="F11:K11"/>
    <mergeCell ref="F12:K12"/>
    <mergeCell ref="G15:K22"/>
  </mergeCells>
  <conditionalFormatting sqref="B12:E12">
    <cfRule type="expression" dxfId="3" priority="2">
      <formula>trigger_inflacja="chcę taki sam w kazdym roku"</formula>
    </cfRule>
    <cfRule type="expression" dxfId="2" priority="10">
      <formula>trigger_inflacja&lt;&gt;"chcę taki sam w kazdym roku"</formula>
    </cfRule>
  </conditionalFormatting>
  <conditionalFormatting sqref="B13:E24">
    <cfRule type="expression" dxfId="1" priority="1">
      <formula>trigger_inflacja="chcę taki sam w kazdym roku"</formula>
    </cfRule>
    <cfRule type="expression" dxfId="0" priority="3">
      <formula>trigger_inflacja&lt;&gt;"chcę taki sam w kazdym roku"</formula>
    </cfRule>
  </conditionalFormatting>
  <dataValidations count="2">
    <dataValidation type="custom" showInputMessage="1" showErrorMessage="1" sqref="B7" xr:uid="{7DC0B0B7-4F43-453F-A95F-34DFC08C1678}">
      <formula1>B6*100</formula1>
    </dataValidation>
    <dataValidation type="list" allowBlank="1" showInputMessage="1" showErrorMessage="1" sqref="A11" xr:uid="{3E5BF3D7-A784-40E9-AA08-FE76BE348A4B}">
      <formula1>"chcę taki sam w kazdym roku,chcę sam ustawić każdy rok"</formula1>
    </dataValidation>
  </dataValidations>
  <hyperlinks>
    <hyperlink ref="C42" r:id="rId1" xr:uid="{11ECAA2E-BD04-44B5-ADBB-3D3ADDD76D17}"/>
    <hyperlink ref="B11" r:id="rId2" xr:uid="{98BB9E4F-67E0-874E-A5B7-210A4F9156BE}"/>
    <hyperlink ref="C11" r:id="rId3" xr:uid="{C7B2D472-96BD-7440-80E8-3EBAF813BE67}"/>
    <hyperlink ref="D11" r:id="rId4" xr:uid="{0138A047-6187-464A-83E9-1FF5697023C4}"/>
    <hyperlink ref="E11" r:id="rId5" xr:uid="{2BAC6DB1-008B-1E4C-802B-6D4AFF2F9CA3}"/>
  </hyperlinks>
  <pageMargins left="0.7" right="0.7" top="0.75" bottom="0.75" header="0.3" footer="0.3"/>
  <pageSetup paperSize="9" orientation="portrait" verticalDpi="300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4244B-5AE9-4853-B561-1FE5AE6EF191}">
  <dimension ref="A1:EJ188"/>
  <sheetViews>
    <sheetView zoomScale="130" zoomScaleNormal="130" workbookViewId="0">
      <selection activeCell="J5" sqref="J5"/>
    </sheetView>
  </sheetViews>
  <sheetFormatPr defaultColWidth="8.7109375" defaultRowHeight="14.25"/>
  <cols>
    <col min="1" max="1" width="2.42578125" style="19" customWidth="1"/>
    <col min="2" max="2" width="28.85546875" style="19" customWidth="1"/>
    <col min="3" max="11" width="15.140625" style="19" customWidth="1"/>
    <col min="12" max="12" width="3" style="19" customWidth="1"/>
    <col min="13" max="13" width="4.28515625" style="19" hidden="1" customWidth="1"/>
    <col min="14" max="25" width="20.28515625" style="19" customWidth="1"/>
    <col min="26" max="26" width="8.7109375" style="19"/>
    <col min="27" max="27" width="8.28515625" style="19" bestFit="1" customWidth="1"/>
    <col min="28" max="28" width="14.42578125" style="19" bestFit="1" customWidth="1"/>
    <col min="29" max="29" width="22.42578125" style="19" customWidth="1"/>
    <col min="30" max="30" width="15.28515625" style="19" bestFit="1" customWidth="1"/>
    <col min="31" max="31" width="10.140625" style="19" bestFit="1" customWidth="1"/>
    <col min="32" max="33" width="13.42578125" style="19" bestFit="1" customWidth="1"/>
    <col min="34" max="34" width="13.85546875" style="19" bestFit="1" customWidth="1"/>
    <col min="35" max="36" width="13.42578125" style="19" bestFit="1" customWidth="1"/>
    <col min="37" max="37" width="14.28515625" style="19" bestFit="1" customWidth="1"/>
    <col min="38" max="38" width="12.140625" style="19" bestFit="1" customWidth="1"/>
    <col min="39" max="39" width="13.42578125" style="19" bestFit="1" customWidth="1"/>
    <col min="40" max="40" width="11.42578125" style="19" bestFit="1" customWidth="1"/>
    <col min="41" max="41" width="17.7109375" style="19" bestFit="1" customWidth="1"/>
    <col min="42" max="43" width="13.42578125" style="19" bestFit="1" customWidth="1"/>
    <col min="44" max="44" width="3.85546875" style="19" customWidth="1"/>
    <col min="45" max="45" width="16.140625" style="19" customWidth="1"/>
    <col min="46" max="46" width="15.28515625" style="19" bestFit="1" customWidth="1"/>
    <col min="47" max="47" width="10.140625" style="19" bestFit="1" customWidth="1"/>
    <col min="48" max="49" width="13.42578125" style="19" bestFit="1" customWidth="1"/>
    <col min="50" max="50" width="13.85546875" style="19" bestFit="1" customWidth="1"/>
    <col min="51" max="52" width="13.42578125" style="19" bestFit="1" customWidth="1"/>
    <col min="53" max="53" width="14.28515625" style="19" bestFit="1" customWidth="1"/>
    <col min="54" max="54" width="12.140625" style="19" bestFit="1" customWidth="1"/>
    <col min="55" max="55" width="13.42578125" style="19" bestFit="1" customWidth="1"/>
    <col min="56" max="56" width="11.42578125" style="19" bestFit="1" customWidth="1"/>
    <col min="57" max="57" width="17.7109375" style="19" bestFit="1" customWidth="1"/>
    <col min="58" max="58" width="12.140625" style="19" bestFit="1" customWidth="1"/>
    <col min="59" max="59" width="13.42578125" style="19" bestFit="1" customWidth="1"/>
    <col min="60" max="60" width="3.85546875" style="19" customWidth="1"/>
    <col min="61" max="61" width="22.42578125" style="19" customWidth="1"/>
    <col min="62" max="62" width="15.28515625" style="19" bestFit="1" customWidth="1"/>
    <col min="63" max="63" width="10.140625" style="19" bestFit="1" customWidth="1"/>
    <col min="64" max="65" width="13.42578125" style="19" bestFit="1" customWidth="1"/>
    <col min="66" max="66" width="13.85546875" style="19" bestFit="1" customWidth="1"/>
    <col min="67" max="68" width="13.42578125" style="19" bestFit="1" customWidth="1"/>
    <col min="69" max="69" width="14.28515625" style="19" bestFit="1" customWidth="1"/>
    <col min="70" max="70" width="12.140625" style="19" bestFit="1" customWidth="1"/>
    <col min="71" max="71" width="13.42578125" style="19" bestFit="1" customWidth="1"/>
    <col min="72" max="72" width="11.42578125" style="19" bestFit="1" customWidth="1"/>
    <col min="73" max="73" width="17.7109375" style="19" bestFit="1" customWidth="1"/>
    <col min="74" max="74" width="12.140625" style="19" bestFit="1" customWidth="1"/>
    <col min="75" max="75" width="13.42578125" style="19" bestFit="1" customWidth="1"/>
    <col min="76" max="76" width="3.85546875" style="19" customWidth="1"/>
    <col min="77" max="77" width="15.42578125" style="19" bestFit="1" customWidth="1"/>
    <col min="78" max="78" width="8.85546875" style="19" bestFit="1" customWidth="1"/>
    <col min="79" max="83" width="13.42578125" style="19" bestFit="1" customWidth="1"/>
    <col min="84" max="84" width="12.7109375" style="19" bestFit="1" customWidth="1"/>
    <col min="85" max="85" width="12.85546875" style="19" bestFit="1" customWidth="1"/>
    <col min="86" max="86" width="13.42578125" style="19" bestFit="1" customWidth="1"/>
    <col min="87" max="88" width="18" style="19" customWidth="1"/>
    <col min="89" max="89" width="13.42578125" style="19" bestFit="1" customWidth="1"/>
    <col min="90" max="90" width="14.85546875" style="19" bestFit="1" customWidth="1"/>
    <col min="91" max="91" width="3.85546875" style="19" customWidth="1"/>
    <col min="92" max="92" width="21.42578125" style="19" customWidth="1"/>
    <col min="93" max="95" width="13.42578125" style="19" bestFit="1" customWidth="1"/>
    <col min="96" max="96" width="10.140625" style="19" bestFit="1" customWidth="1"/>
    <col min="97" max="97" width="13.42578125" style="19" bestFit="1" customWidth="1"/>
    <col min="98" max="98" width="14.28515625" style="19" bestFit="1" customWidth="1"/>
    <col min="99" max="99" width="12.140625" style="19" bestFit="1" customWidth="1"/>
    <col min="100" max="100" width="13.42578125" style="19" bestFit="1" customWidth="1"/>
    <col min="101" max="101" width="9.28515625" style="19" bestFit="1" customWidth="1"/>
    <col min="102" max="102" width="9.42578125" style="19" customWidth="1"/>
    <col min="103" max="103" width="9.42578125" style="19" bestFit="1" customWidth="1"/>
    <col min="104" max="104" width="14.85546875" style="19" bestFit="1" customWidth="1"/>
    <col min="105" max="105" width="3.140625" style="19" customWidth="1"/>
    <col min="106" max="106" width="9.140625" style="19" bestFit="1" customWidth="1"/>
    <col min="107" max="109" width="12.42578125" style="19" bestFit="1" customWidth="1"/>
    <col min="110" max="110" width="10.85546875" style="19" bestFit="1" customWidth="1"/>
    <col min="111" max="111" width="12.42578125" style="19" bestFit="1" customWidth="1"/>
    <col min="112" max="112" width="12.7109375" style="19" bestFit="1" customWidth="1"/>
    <col min="113" max="113" width="12.85546875" style="19" bestFit="1" customWidth="1"/>
    <col min="114" max="114" width="12.42578125" style="19" bestFit="1" customWidth="1"/>
    <col min="115" max="115" width="9.42578125" style="19" bestFit="1" customWidth="1"/>
    <col min="116" max="116" width="9.42578125" style="19" customWidth="1"/>
    <col min="117" max="117" width="9.42578125" style="19" bestFit="1" customWidth="1"/>
    <col min="118" max="118" width="14.85546875" style="19" bestFit="1" customWidth="1"/>
    <col min="119" max="119" width="3.42578125" style="19" customWidth="1"/>
    <col min="120" max="120" width="9.140625" style="19" bestFit="1" customWidth="1"/>
    <col min="121" max="123" width="12.42578125" style="19" bestFit="1" customWidth="1"/>
    <col min="124" max="124" width="12.28515625" style="19" bestFit="1" customWidth="1"/>
    <col min="125" max="125" width="12.85546875" style="19" bestFit="1" customWidth="1"/>
    <col min="126" max="126" width="12.7109375" style="19" bestFit="1" customWidth="1"/>
    <col min="127" max="127" width="12.28515625" style="19" bestFit="1" customWidth="1"/>
    <col min="128" max="128" width="12.7109375" style="19" customWidth="1"/>
    <col min="129" max="129" width="9.42578125" style="19" bestFit="1" customWidth="1"/>
    <col min="130" max="130" width="9.42578125" style="19" customWidth="1"/>
    <col min="131" max="131" width="14.85546875" style="19" bestFit="1" customWidth="1"/>
    <col min="132" max="132" width="13.140625" style="19" customWidth="1"/>
    <col min="133" max="133" width="9.85546875" style="19" bestFit="1" customWidth="1"/>
    <col min="134" max="134" width="11.140625" style="19" bestFit="1" customWidth="1"/>
    <col min="135" max="140" width="15.140625" style="19" customWidth="1"/>
    <col min="141" max="16384" width="8.7109375" style="19"/>
  </cols>
  <sheetData>
    <row r="1" spans="1:11" ht="14.25" customHeight="1" thickBot="1">
      <c r="A1" s="154"/>
    </row>
    <row r="2" spans="1:11" ht="30" customHeight="1" thickBot="1">
      <c r="A2" s="154"/>
      <c r="B2" s="219" t="s">
        <v>113</v>
      </c>
      <c r="C2" s="220"/>
      <c r="D2" s="220"/>
      <c r="E2" s="220"/>
      <c r="F2" s="220"/>
      <c r="G2" s="220"/>
      <c r="H2" s="220"/>
      <c r="I2" s="220"/>
      <c r="J2" s="220"/>
      <c r="K2" s="221"/>
    </row>
    <row r="3" spans="1:11" ht="64.5" customHeight="1">
      <c r="B3" s="198" t="s">
        <v>130</v>
      </c>
      <c r="C3" s="157" t="s">
        <v>89</v>
      </c>
      <c r="D3" s="158" t="s">
        <v>96</v>
      </c>
      <c r="E3" s="159" t="s">
        <v>103</v>
      </c>
      <c r="F3" s="160" t="s">
        <v>54</v>
      </c>
      <c r="G3" s="161" t="s">
        <v>55</v>
      </c>
      <c r="H3" s="162" t="s">
        <v>56</v>
      </c>
      <c r="I3" s="163" t="s">
        <v>57</v>
      </c>
      <c r="J3" s="164" t="s">
        <v>116</v>
      </c>
      <c r="K3" s="189" t="s">
        <v>111</v>
      </c>
    </row>
    <row r="4" spans="1:11" ht="31.5" customHeight="1" thickBot="1">
      <c r="B4" s="190">
        <v>50</v>
      </c>
      <c r="C4" s="191">
        <f>INDEX(wyniki_ROR_obl,MATCH(zakup_domyslny_mc,wyniki_mc,0))</f>
        <v>118052.92052514228</v>
      </c>
      <c r="D4" s="191">
        <f>INDEX(wyniki_DOR_obl,MATCH(zakup_domyslny_mc,wyniki_mc,0))</f>
        <v>117333.83659098796</v>
      </c>
      <c r="E4" s="191">
        <f>INDEX(wyniki_TOS_obl,MATCH(zakup_domyslny_mc,wyniki_mc,0))</f>
        <v>116951.49850379582</v>
      </c>
      <c r="F4" s="191">
        <f>INDEX(wyniki_COI_obl,MATCH(zakup_domyslny_mc,wyniki_mc,0))</f>
        <v>115940.141436962</v>
      </c>
      <c r="G4" s="191">
        <f>INDEX(wyniki_EDO_obl,MATCH(zakup_domyslny_mc,wyniki_mc,0))</f>
        <v>116253.71012981652</v>
      </c>
      <c r="H4" s="191">
        <f>INDEX(wyniki_ROS_obl,MATCH(zakup_domyslny_mc,wyniki_mc,0))</f>
        <v>116780.91946278156</v>
      </c>
      <c r="I4" s="191">
        <f>INDEX(wyniki_ROD_obl,MATCH(zakup_domyslny_mc,wyniki_mc,0))</f>
        <v>118008.74862729137</v>
      </c>
      <c r="J4" s="191">
        <f>INDEX(J44:J188,MATCH(zakup_domyslny_mc,B44:B188,0))</f>
        <v>116374.68069768684</v>
      </c>
      <c r="K4" s="192">
        <f>INDEX(wyniki_skumulowana_inflacja,MATCH(zakup_domyslny_mc,wyniki_mc,0))</f>
        <v>112656.31272201912</v>
      </c>
    </row>
    <row r="5" spans="1:11" ht="31.5" customHeight="1" thickBot="1"/>
    <row r="6" spans="1:11" ht="26.25" customHeight="1">
      <c r="B6" s="216" t="s">
        <v>110</v>
      </c>
      <c r="C6" s="217"/>
      <c r="D6" s="217"/>
      <c r="E6" s="217"/>
      <c r="F6" s="217"/>
      <c r="G6" s="217"/>
      <c r="H6" s="217"/>
      <c r="I6" s="217"/>
      <c r="J6" s="217"/>
      <c r="K6" s="218"/>
    </row>
    <row r="7" spans="1:11" ht="63">
      <c r="B7" s="165" t="s">
        <v>109</v>
      </c>
      <c r="C7" s="94" t="s">
        <v>89</v>
      </c>
      <c r="D7" s="99" t="s">
        <v>96</v>
      </c>
      <c r="E7" s="100" t="s">
        <v>103</v>
      </c>
      <c r="F7" s="101" t="s">
        <v>54</v>
      </c>
      <c r="G7" s="102" t="s">
        <v>55</v>
      </c>
      <c r="H7" s="104" t="s">
        <v>56</v>
      </c>
      <c r="I7" s="105" t="s">
        <v>57</v>
      </c>
      <c r="J7" s="148" t="s">
        <v>116</v>
      </c>
      <c r="K7" s="166" t="s">
        <v>111</v>
      </c>
    </row>
    <row r="8" spans="1:11" ht="15">
      <c r="B8" s="167" t="s">
        <v>112</v>
      </c>
      <c r="C8" s="152">
        <f t="shared" ref="C8:E8" si="0">zakup_domyslny_wartosc</f>
        <v>100000</v>
      </c>
      <c r="D8" s="152">
        <f t="shared" si="0"/>
        <v>100000</v>
      </c>
      <c r="E8" s="152">
        <f t="shared" si="0"/>
        <v>100000</v>
      </c>
      <c r="F8" s="152">
        <f t="shared" ref="F8:K8" si="1">zakup_domyslny_wartosc</f>
        <v>100000</v>
      </c>
      <c r="G8" s="152">
        <f t="shared" si="1"/>
        <v>100000</v>
      </c>
      <c r="H8" s="152">
        <f t="shared" si="1"/>
        <v>100000</v>
      </c>
      <c r="I8" s="152">
        <f t="shared" si="1"/>
        <v>100000</v>
      </c>
      <c r="J8" s="152">
        <f t="shared" si="1"/>
        <v>100000</v>
      </c>
      <c r="K8" s="168">
        <f t="shared" si="1"/>
        <v>100000</v>
      </c>
    </row>
    <row r="9" spans="1:11" ht="15">
      <c r="B9" s="169">
        <v>1</v>
      </c>
      <c r="C9" s="152">
        <f t="shared" ref="C9:C20" si="2">INDEX(wyniki_ROR_obl,MATCH(B9*12,wyniki_mc,0))</f>
        <v>103706.5150701645</v>
      </c>
      <c r="D9" s="152">
        <f t="shared" ref="D9:D20" si="3">INDEX(wyniki_DOR_obl,MATCH(B9*12,wyniki_mc,0))</f>
        <v>103263.06557250362</v>
      </c>
      <c r="E9" s="152">
        <f t="shared" ref="E9:E20" si="4">INDEX(wyniki_TOS_obl,MATCH(B9*12,wyniki_mc,0))</f>
        <v>103159</v>
      </c>
      <c r="F9" s="152">
        <f t="shared" ref="F9:F20" si="5">INDEX(wyniki_COI_obl,MATCH(B9*12,wyniki_mc,0))</f>
        <v>102632.5</v>
      </c>
      <c r="G9" s="152">
        <f t="shared" ref="G9:G20" si="6">INDEX(wyniki_EDO_obl,MATCH(B9*12,wyniki_mc,0))</f>
        <v>102227.50000000001</v>
      </c>
      <c r="H9" s="152">
        <f t="shared" ref="H9:H20" si="7">INDEX(wyniki_ROS_obl,MATCH(B9*12,wyniki_mc,0))</f>
        <v>102794.5</v>
      </c>
      <c r="I9" s="152">
        <f t="shared" ref="I9:I20" si="8">INDEX(wyniki_ROD_obl,MATCH(B9*12,wyniki_mc,0))</f>
        <v>102430</v>
      </c>
      <c r="J9" s="152">
        <f t="shared" ref="J9:J20" si="9">FV(INDEX(scenariusz_I_konto,MATCH(B9,scenariusz_I_rok,0))/12*(1-podatek_Belki),12,0,-J8,1)</f>
        <v>103706.51507016462</v>
      </c>
      <c r="K9" s="168">
        <f t="shared" ref="K9:K20" si="10">INDEX(wyniki_skumulowana_inflacja,MATCH(B9*12,wyniki_mc,0))</f>
        <v>102899.99999999999</v>
      </c>
    </row>
    <row r="10" spans="1:11" ht="15">
      <c r="B10" s="169">
        <v>2</v>
      </c>
      <c r="C10" s="152">
        <f t="shared" si="2"/>
        <v>108069.36008139368</v>
      </c>
      <c r="D10" s="152">
        <f t="shared" si="3"/>
        <v>107802.09310264926</v>
      </c>
      <c r="E10" s="152">
        <f t="shared" si="4"/>
        <v>107322.481</v>
      </c>
      <c r="F10" s="152">
        <f t="shared" si="5"/>
        <v>106354.11955335875</v>
      </c>
      <c r="G10" s="152">
        <f t="shared" si="6"/>
        <v>106424.71750000001</v>
      </c>
      <c r="H10" s="152">
        <f t="shared" si="7"/>
        <v>106979.81049999999</v>
      </c>
      <c r="I10" s="152">
        <f t="shared" si="8"/>
        <v>107066.44</v>
      </c>
      <c r="J10" s="152">
        <f t="shared" si="9"/>
        <v>107550.41267998281</v>
      </c>
      <c r="K10" s="168">
        <f t="shared" si="10"/>
        <v>105884.09999999999</v>
      </c>
    </row>
    <row r="11" spans="1:11" ht="15">
      <c r="B11" s="169">
        <v>3</v>
      </c>
      <c r="C11" s="152">
        <f t="shared" si="2"/>
        <v>112598.27027408493</v>
      </c>
      <c r="D11" s="152">
        <f t="shared" si="3"/>
        <v>111836.48552489598</v>
      </c>
      <c r="E11" s="152">
        <f t="shared" si="4"/>
        <v>112499.97256899999</v>
      </c>
      <c r="F11" s="152">
        <f t="shared" si="5"/>
        <v>110213.68149631695</v>
      </c>
      <c r="G11" s="152">
        <f t="shared" si="6"/>
        <v>110827.5986575</v>
      </c>
      <c r="H11" s="152">
        <f t="shared" si="7"/>
        <v>111370.20121449999</v>
      </c>
      <c r="I11" s="152">
        <f t="shared" si="8"/>
        <v>111953.24776</v>
      </c>
      <c r="J11" s="152">
        <f t="shared" si="9"/>
        <v>111536.78493399061</v>
      </c>
      <c r="K11" s="168">
        <f t="shared" si="10"/>
        <v>108954.73889999998</v>
      </c>
    </row>
    <row r="12" spans="1:11" ht="15">
      <c r="B12" s="169">
        <v>4</v>
      </c>
      <c r="C12" s="152">
        <f t="shared" si="2"/>
        <v>117299.6082922456</v>
      </c>
      <c r="D12" s="152">
        <f t="shared" si="3"/>
        <v>116752.34817235675</v>
      </c>
      <c r="E12" s="152">
        <f t="shared" si="4"/>
        <v>116170.07257316467</v>
      </c>
      <c r="F12" s="152">
        <f t="shared" si="5"/>
        <v>115836.29868433322</v>
      </c>
      <c r="G12" s="152">
        <f t="shared" si="6"/>
        <v>115446.22099171751</v>
      </c>
      <c r="H12" s="152">
        <f t="shared" si="7"/>
        <v>115975.72107401048</v>
      </c>
      <c r="I12" s="152">
        <f t="shared" si="8"/>
        <v>117103.94313904001</v>
      </c>
      <c r="J12" s="152">
        <f t="shared" si="9"/>
        <v>115670.91267634607</v>
      </c>
      <c r="K12" s="168">
        <f t="shared" si="10"/>
        <v>112114.42632809999</v>
      </c>
    </row>
    <row r="13" spans="1:11" ht="15">
      <c r="B13" s="169">
        <v>5</v>
      </c>
      <c r="C13" s="152">
        <f t="shared" si="2"/>
        <v>122179.972612242</v>
      </c>
      <c r="D13" s="152">
        <f t="shared" si="3"/>
        <v>121087.72748955444</v>
      </c>
      <c r="E13" s="152">
        <f t="shared" si="4"/>
        <v>120858.63545584393</v>
      </c>
      <c r="F13" s="152">
        <f t="shared" si="5"/>
        <v>118992.44503508082</v>
      </c>
      <c r="G13" s="152">
        <f t="shared" si="6"/>
        <v>120291.15582031166</v>
      </c>
      <c r="H13" s="152">
        <f t="shared" si="7"/>
        <v>120806.91140663698</v>
      </c>
      <c r="I13" s="152">
        <f t="shared" si="8"/>
        <v>122532.77606854818</v>
      </c>
      <c r="J13" s="152">
        <f t="shared" si="9"/>
        <v>119958.27248649178</v>
      </c>
      <c r="K13" s="168">
        <f t="shared" si="10"/>
        <v>115365.74469161486</v>
      </c>
    </row>
    <row r="14" spans="1:11" ht="15">
      <c r="B14" s="169">
        <v>6</v>
      </c>
      <c r="C14" s="152">
        <f t="shared" si="2"/>
        <v>127246.10257744629</v>
      </c>
      <c r="D14" s="152">
        <f t="shared" si="3"/>
        <v>126409.81822802073</v>
      </c>
      <c r="E14" s="152">
        <f t="shared" si="4"/>
        <v>126688.99215194017</v>
      </c>
      <c r="F14" s="152">
        <f t="shared" si="5"/>
        <v>123307.33576199705</v>
      </c>
      <c r="G14" s="152">
        <f t="shared" si="6"/>
        <v>125373.49245550692</v>
      </c>
      <c r="H14" s="152">
        <f t="shared" si="7"/>
        <v>127494.8300655622</v>
      </c>
      <c r="I14" s="152">
        <f t="shared" si="8"/>
        <v>128254.76597624978</v>
      </c>
      <c r="J14" s="152">
        <f t="shared" si="9"/>
        <v>124404.54393411273</v>
      </c>
      <c r="K14" s="168">
        <f t="shared" si="10"/>
        <v>118711.3512876717</v>
      </c>
    </row>
    <row r="15" spans="1:11" ht="15">
      <c r="B15" s="169">
        <v>7</v>
      </c>
      <c r="C15" s="152">
        <f t="shared" si="2"/>
        <v>132504.98732600838</v>
      </c>
      <c r="D15" s="152">
        <f t="shared" si="3"/>
        <v>131069.36840679627</v>
      </c>
      <c r="E15" s="152">
        <f t="shared" si="4"/>
        <v>130821.9894904317</v>
      </c>
      <c r="F15" s="152">
        <f t="shared" si="5"/>
        <v>127782.15856396758</v>
      </c>
      <c r="G15" s="152">
        <f t="shared" si="6"/>
        <v>130704.86358582675</v>
      </c>
      <c r="H15" s="152">
        <f t="shared" si="7"/>
        <v>131058.5379562333</v>
      </c>
      <c r="I15" s="152">
        <f t="shared" si="8"/>
        <v>134285.74333896727</v>
      </c>
      <c r="J15" s="152">
        <f t="shared" si="9"/>
        <v>129015.61710300019</v>
      </c>
      <c r="K15" s="168">
        <f t="shared" si="10"/>
        <v>122153.98047501416</v>
      </c>
    </row>
    <row r="16" spans="1:11" ht="15">
      <c r="B16" s="169">
        <v>8</v>
      </c>
      <c r="C16" s="152">
        <f t="shared" si="2"/>
        <v>138067.8926841525</v>
      </c>
      <c r="D16" s="152">
        <f t="shared" si="3"/>
        <v>136830.45211506009</v>
      </c>
      <c r="E16" s="152">
        <f t="shared" si="4"/>
        <v>136101.89043258267</v>
      </c>
      <c r="F16" s="152">
        <f t="shared" si="5"/>
        <v>134300.42134745629</v>
      </c>
      <c r="G16" s="152">
        <f t="shared" si="6"/>
        <v>136297.47190153223</v>
      </c>
      <c r="H16" s="152">
        <f t="shared" si="7"/>
        <v>136394.26870385683</v>
      </c>
      <c r="I16" s="152">
        <f t="shared" si="8"/>
        <v>140642.39347927153</v>
      </c>
      <c r="J16" s="152">
        <f t="shared" si="9"/>
        <v>133797.60039378877</v>
      </c>
      <c r="K16" s="168">
        <f t="shared" si="10"/>
        <v>125696.44590878957</v>
      </c>
    </row>
    <row r="17" spans="1:140" ht="15">
      <c r="B17" s="169">
        <v>9</v>
      </c>
      <c r="C17" s="152">
        <f t="shared" si="2"/>
        <v>143842.58811954895</v>
      </c>
      <c r="D17" s="152">
        <f t="shared" si="3"/>
        <v>141943.55221555819</v>
      </c>
      <c r="E17" s="152">
        <f t="shared" si="4"/>
        <v>142667.5792760379</v>
      </c>
      <c r="F17" s="152">
        <f t="shared" si="5"/>
        <v>137959.36197429235</v>
      </c>
      <c r="G17" s="152">
        <f t="shared" si="6"/>
        <v>142164.11802470731</v>
      </c>
      <c r="H17" s="152">
        <f t="shared" si="7"/>
        <v>141991.40675355186</v>
      </c>
      <c r="I17" s="152">
        <f t="shared" si="8"/>
        <v>147342.30272715219</v>
      </c>
      <c r="J17" s="152">
        <f t="shared" si="9"/>
        <v>138756.82861590318</v>
      </c>
      <c r="K17" s="168">
        <f t="shared" si="10"/>
        <v>129341.64284014444</v>
      </c>
    </row>
    <row r="18" spans="1:140">
      <c r="B18" s="170">
        <v>10</v>
      </c>
      <c r="C18" s="153">
        <f t="shared" si="2"/>
        <v>149837.13107635846</v>
      </c>
      <c r="D18" s="153">
        <f t="shared" si="3"/>
        <v>148182.40366194391</v>
      </c>
      <c r="E18" s="153">
        <f t="shared" si="4"/>
        <v>147322.2597940235</v>
      </c>
      <c r="F18" s="153">
        <f t="shared" si="5"/>
        <v>142962.0074735909</v>
      </c>
      <c r="G18" s="153">
        <f t="shared" si="6"/>
        <v>150748.22980791796</v>
      </c>
      <c r="H18" s="153">
        <f t="shared" si="7"/>
        <v>147862.75945061672</v>
      </c>
      <c r="I18" s="153">
        <f t="shared" si="8"/>
        <v>154404.00707441842</v>
      </c>
      <c r="J18" s="153">
        <f t="shared" si="9"/>
        <v>143899.87137943413</v>
      </c>
      <c r="K18" s="171">
        <f t="shared" si="10"/>
        <v>133092.55048250864</v>
      </c>
    </row>
    <row r="19" spans="1:140" ht="20.25">
      <c r="A19" s="155"/>
      <c r="B19" s="169">
        <v>11</v>
      </c>
      <c r="C19" s="152">
        <f t="shared" si="2"/>
        <v>156059.77394260859</v>
      </c>
      <c r="D19" s="152">
        <f t="shared" si="3"/>
        <v>153676.60149863394</v>
      </c>
      <c r="E19" s="152">
        <f t="shared" si="4"/>
        <v>153267.78620347925</v>
      </c>
      <c r="F19" s="152">
        <f t="shared" si="5"/>
        <v>148150.07678222784</v>
      </c>
      <c r="G19" s="152">
        <f t="shared" si="6"/>
        <v>154261.77036267243</v>
      </c>
      <c r="H19" s="152">
        <f t="shared" si="7"/>
        <v>154021.76164050173</v>
      </c>
      <c r="I19" s="152">
        <f t="shared" si="8"/>
        <v>161847.04345643704</v>
      </c>
      <c r="J19" s="152">
        <f t="shared" si="9"/>
        <v>149233.54179806035</v>
      </c>
      <c r="K19" s="172">
        <f t="shared" si="10"/>
        <v>136952.23444650139</v>
      </c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140" ht="15.75" thickBot="1">
      <c r="A20" s="155"/>
      <c r="B20" s="173">
        <v>12</v>
      </c>
      <c r="C20" s="174">
        <f t="shared" si="2"/>
        <v>162623.09261694827</v>
      </c>
      <c r="D20" s="174">
        <f t="shared" si="3"/>
        <v>160431.45875936426</v>
      </c>
      <c r="E20" s="174">
        <f t="shared" si="4"/>
        <v>160660.46281490411</v>
      </c>
      <c r="F20" s="174">
        <f t="shared" si="5"/>
        <v>155707.72266164003</v>
      </c>
      <c r="G20" s="174">
        <f t="shared" si="6"/>
        <v>160594.98095709199</v>
      </c>
      <c r="H20" s="174">
        <f t="shared" si="7"/>
        <v>162546.38641410129</v>
      </c>
      <c r="I20" s="174">
        <f t="shared" si="8"/>
        <v>172122.00380308463</v>
      </c>
      <c r="J20" s="174">
        <f t="shared" si="9"/>
        <v>154764.90551454588</v>
      </c>
      <c r="K20" s="175">
        <f t="shared" si="10"/>
        <v>140923.84924544991</v>
      </c>
    </row>
    <row r="21" spans="1:140" ht="31.5" customHeight="1" thickBot="1"/>
    <row r="22" spans="1:140" ht="31.5" customHeight="1">
      <c r="B22" s="222" t="s">
        <v>114</v>
      </c>
      <c r="C22" s="223"/>
      <c r="D22" s="223"/>
      <c r="E22" s="223"/>
      <c r="F22" s="223"/>
      <c r="G22" s="223"/>
      <c r="H22" s="223"/>
      <c r="I22" s="223"/>
      <c r="J22" s="223"/>
      <c r="K22" s="224"/>
    </row>
    <row r="23" spans="1:140" ht="31.5" customHeight="1">
      <c r="B23" s="165" t="s">
        <v>109</v>
      </c>
      <c r="C23" s="94" t="s">
        <v>89</v>
      </c>
      <c r="D23" s="99" t="s">
        <v>96</v>
      </c>
      <c r="E23" s="100" t="s">
        <v>103</v>
      </c>
      <c r="F23" s="101" t="s">
        <v>54</v>
      </c>
      <c r="G23" s="102" t="s">
        <v>55</v>
      </c>
      <c r="H23" s="104" t="s">
        <v>56</v>
      </c>
      <c r="I23" s="105" t="s">
        <v>57</v>
      </c>
      <c r="J23" s="148" t="s">
        <v>116</v>
      </c>
      <c r="K23" s="176" t="s">
        <v>115</v>
      </c>
      <c r="O23" s="50"/>
      <c r="P23" s="50"/>
      <c r="Q23" s="50"/>
      <c r="R23" s="50"/>
      <c r="S23" s="50"/>
      <c r="T23" s="50"/>
      <c r="U23" s="50"/>
      <c r="V23" s="50"/>
      <c r="W23" s="50"/>
      <c r="X23" s="50"/>
    </row>
    <row r="24" spans="1:140" ht="20.25">
      <c r="B24" s="177">
        <v>0</v>
      </c>
      <c r="C24" s="149">
        <f t="shared" ref="C24:K24" si="11">C8/zakup_domyslny_wartosc-1</f>
        <v>0</v>
      </c>
      <c r="D24" s="149">
        <f t="shared" si="11"/>
        <v>0</v>
      </c>
      <c r="E24" s="149">
        <f t="shared" si="11"/>
        <v>0</v>
      </c>
      <c r="F24" s="149">
        <f t="shared" si="11"/>
        <v>0</v>
      </c>
      <c r="G24" s="149">
        <f t="shared" si="11"/>
        <v>0</v>
      </c>
      <c r="H24" s="149">
        <f t="shared" si="11"/>
        <v>0</v>
      </c>
      <c r="I24" s="149">
        <f t="shared" si="11"/>
        <v>0</v>
      </c>
      <c r="J24" s="149">
        <f t="shared" si="11"/>
        <v>0</v>
      </c>
      <c r="K24" s="178">
        <f t="shared" si="11"/>
        <v>0</v>
      </c>
      <c r="O24" s="50"/>
      <c r="P24" s="50"/>
      <c r="Q24" s="50"/>
      <c r="R24" s="50"/>
      <c r="S24" s="50"/>
      <c r="T24" s="50"/>
      <c r="U24" s="50"/>
      <c r="V24" s="50"/>
      <c r="W24" s="50"/>
      <c r="X24" s="50"/>
    </row>
    <row r="25" spans="1:140">
      <c r="B25" s="179">
        <v>1</v>
      </c>
      <c r="C25" s="149">
        <f t="shared" ref="C25:K25" si="12">C9/zakup_domyslny_wartosc-1</f>
        <v>3.7065150701645067E-2</v>
      </c>
      <c r="D25" s="149">
        <f t="shared" si="12"/>
        <v>3.2630655725036206E-2</v>
      </c>
      <c r="E25" s="149">
        <f t="shared" si="12"/>
        <v>3.1590000000000007E-2</v>
      </c>
      <c r="F25" s="149">
        <f t="shared" si="12"/>
        <v>2.6324999999999932E-2</v>
      </c>
      <c r="G25" s="149">
        <f t="shared" si="12"/>
        <v>2.2275000000000045E-2</v>
      </c>
      <c r="H25" s="149">
        <f t="shared" si="12"/>
        <v>2.7945000000000109E-2</v>
      </c>
      <c r="I25" s="149">
        <f t="shared" si="12"/>
        <v>2.4299999999999988E-2</v>
      </c>
      <c r="J25" s="149">
        <f t="shared" si="12"/>
        <v>3.7065150701646177E-2</v>
      </c>
      <c r="K25" s="178">
        <f t="shared" si="12"/>
        <v>2.8999999999999915E-2</v>
      </c>
    </row>
    <row r="26" spans="1:140" ht="18">
      <c r="B26" s="179">
        <v>2</v>
      </c>
      <c r="C26" s="149">
        <f t="shared" ref="C26:K26" si="13">C10/zakup_domyslny_wartosc-1</f>
        <v>8.0693600813936728E-2</v>
      </c>
      <c r="D26" s="149">
        <f t="shared" si="13"/>
        <v>7.8020931026492546E-2</v>
      </c>
      <c r="E26" s="149">
        <f t="shared" si="13"/>
        <v>7.3224809999999918E-2</v>
      </c>
      <c r="F26" s="149">
        <f t="shared" si="13"/>
        <v>6.3541195533587391E-2</v>
      </c>
      <c r="G26" s="149">
        <f t="shared" si="13"/>
        <v>6.4247175000000212E-2</v>
      </c>
      <c r="H26" s="149">
        <f t="shared" si="13"/>
        <v>6.9798104999999833E-2</v>
      </c>
      <c r="I26" s="149">
        <f t="shared" si="13"/>
        <v>7.0664400000000072E-2</v>
      </c>
      <c r="J26" s="149">
        <f t="shared" si="13"/>
        <v>7.5504126799827986E-2</v>
      </c>
      <c r="K26" s="178">
        <f t="shared" si="13"/>
        <v>5.8840999999999921E-2</v>
      </c>
      <c r="M26" s="34"/>
      <c r="T26" s="75"/>
    </row>
    <row r="27" spans="1:140" ht="45">
      <c r="B27" s="179">
        <v>3</v>
      </c>
      <c r="C27" s="149">
        <f t="shared" ref="C27:K27" si="14">C11/zakup_domyslny_wartosc-1</f>
        <v>0.12598270274084933</v>
      </c>
      <c r="D27" s="149">
        <f t="shared" si="14"/>
        <v>0.11836485524895979</v>
      </c>
      <c r="E27" s="149">
        <f t="shared" si="14"/>
        <v>0.12499972568999995</v>
      </c>
      <c r="F27" s="149">
        <f t="shared" si="14"/>
        <v>0.1021368149631694</v>
      </c>
      <c r="G27" s="149">
        <f t="shared" si="14"/>
        <v>0.10827598657500004</v>
      </c>
      <c r="H27" s="149">
        <f t="shared" si="14"/>
        <v>0.11370201214499986</v>
      </c>
      <c r="I27" s="149">
        <f t="shared" si="14"/>
        <v>0.11953247759999996</v>
      </c>
      <c r="J27" s="149">
        <f t="shared" si="14"/>
        <v>0.11536784933990618</v>
      </c>
      <c r="K27" s="178">
        <f t="shared" si="14"/>
        <v>8.9547388999999811E-2</v>
      </c>
      <c r="M27" s="35"/>
      <c r="T27" s="77"/>
      <c r="EE27" s="95" t="s">
        <v>7</v>
      </c>
      <c r="EF27" s="95" t="s">
        <v>6</v>
      </c>
      <c r="EG27" s="147" t="s">
        <v>52</v>
      </c>
      <c r="EH27" s="95" t="s">
        <v>81</v>
      </c>
      <c r="EI27" s="95" t="s">
        <v>82</v>
      </c>
      <c r="EJ27" s="147" t="s">
        <v>102</v>
      </c>
    </row>
    <row r="28" spans="1:140" ht="15">
      <c r="B28" s="179">
        <v>4</v>
      </c>
      <c r="C28" s="149">
        <f t="shared" ref="C28:K28" si="15">C12/zakup_domyslny_wartosc-1</f>
        <v>0.17299608292245594</v>
      </c>
      <c r="D28" s="149">
        <f t="shared" si="15"/>
        <v>0.16752348172356757</v>
      </c>
      <c r="E28" s="149">
        <f t="shared" si="15"/>
        <v>0.16170072573164673</v>
      </c>
      <c r="F28" s="149">
        <f t="shared" si="15"/>
        <v>0.15836298684333228</v>
      </c>
      <c r="G28" s="149">
        <f t="shared" si="15"/>
        <v>0.15446220991717508</v>
      </c>
      <c r="H28" s="149">
        <f t="shared" si="15"/>
        <v>0.15975721074010485</v>
      </c>
      <c r="I28" s="149">
        <f t="shared" si="15"/>
        <v>0.17103943139040023</v>
      </c>
      <c r="J28" s="149">
        <f t="shared" si="15"/>
        <v>0.1567091267634606</v>
      </c>
      <c r="K28" s="178">
        <f t="shared" si="15"/>
        <v>0.12114426328099981</v>
      </c>
      <c r="M28" s="35"/>
      <c r="T28" s="77"/>
      <c r="U28" s="75"/>
      <c r="V28" s="76"/>
      <c r="EE28" s="95">
        <v>1</v>
      </c>
      <c r="EF28" s="103">
        <f>IF(trigger_inflacja="chcę taki sam w kazdym roku",'WPISZ ZAŁOŻENIA'!$B$12,'WPISZ ZAŁOŻENIA'!B13)</f>
        <v>2.9000000000000001E-2</v>
      </c>
      <c r="EG28" s="103">
        <f>EF28</f>
        <v>2.9000000000000001E-2</v>
      </c>
      <c r="EH28" s="103">
        <f>IF(trigger_inflacja="chcę taki sam w kazdym roku",'WPISZ ZAŁOŻENIA'!$C$12,'WPISZ ZAŁOŻENIA'!C13)</f>
        <v>4.4999999999999998E-2</v>
      </c>
      <c r="EI28" s="103">
        <f>IF(trigger_inflacja="chcę taki sam w kazdym roku",'WPISZ ZAŁOŻENIA'!$D$12,'WPISZ ZAŁOŻENIA'!D13)</f>
        <v>4.3200000000000002E-2</v>
      </c>
      <c r="EJ28" s="103">
        <f>IF(trigger_inflacja="chcę taki sam w kazdym roku",'WPISZ ZAŁOŻENIA'!$E$12,'WPISZ ZAŁOŻENIA'!E13)</f>
        <v>4.4999999999999998E-2</v>
      </c>
    </row>
    <row r="29" spans="1:140" ht="15">
      <c r="B29" s="179">
        <v>5</v>
      </c>
      <c r="C29" s="149">
        <f t="shared" ref="C29:K29" si="16">C13/zakup_domyslny_wartosc-1</f>
        <v>0.22179972612242005</v>
      </c>
      <c r="D29" s="149">
        <f t="shared" si="16"/>
        <v>0.21087727489554431</v>
      </c>
      <c r="E29" s="149">
        <f t="shared" si="16"/>
        <v>0.20858635455843944</v>
      </c>
      <c r="F29" s="149">
        <f t="shared" si="16"/>
        <v>0.18992445035080818</v>
      </c>
      <c r="G29" s="149">
        <f t="shared" si="16"/>
        <v>0.20291155820311668</v>
      </c>
      <c r="H29" s="149">
        <f t="shared" si="16"/>
        <v>0.20806911406636974</v>
      </c>
      <c r="I29" s="149">
        <f t="shared" si="16"/>
        <v>0.22532776068548177</v>
      </c>
      <c r="J29" s="149">
        <f t="shared" si="16"/>
        <v>0.19958272486491779</v>
      </c>
      <c r="K29" s="178">
        <f t="shared" si="16"/>
        <v>0.15365744691614869</v>
      </c>
      <c r="M29" s="36"/>
      <c r="T29" s="77"/>
      <c r="U29" s="75"/>
      <c r="V29" s="76"/>
      <c r="EE29" s="95">
        <v>2</v>
      </c>
      <c r="EF29" s="103">
        <f>IF(trigger_inflacja="chcę taki sam w kazdym roku",'WPISZ ZAŁOŻENIA'!$B$12,'WPISZ ZAŁOŻENIA'!B14)</f>
        <v>2.9000000000000001E-2</v>
      </c>
      <c r="EG29" s="103">
        <f t="shared" ref="EG29:EG39" si="17">(1+EG28)*(1+EF29)-1</f>
        <v>5.8840999999999921E-2</v>
      </c>
      <c r="EH29" s="103">
        <f>IF(trigger_inflacja="chcę taki sam w kazdym roku",'WPISZ ZAŁOŻENIA'!$C$12,'WPISZ ZAŁOŻENIA'!C14)</f>
        <v>4.4999999999999998E-2</v>
      </c>
      <c r="EI29" s="103">
        <f>IF(trigger_inflacja="chcę taki sam w kazdym roku",'WPISZ ZAŁOŻENIA'!$D$12,'WPISZ ZAŁOŻENIA'!D14)</f>
        <v>4.3200000000000002E-2</v>
      </c>
      <c r="EJ29" s="103">
        <f>IF(trigger_inflacja="chcę taki sam w kazdym roku",'WPISZ ZAŁOŻENIA'!$E$12,'WPISZ ZAŁOŻENIA'!E14)</f>
        <v>4.4999999999999998E-2</v>
      </c>
    </row>
    <row r="30" spans="1:140" ht="15">
      <c r="B30" s="179">
        <v>6</v>
      </c>
      <c r="C30" s="149">
        <f t="shared" ref="C30:K30" si="18">C14/zakup_domyslny_wartosc-1</f>
        <v>0.27246102577446285</v>
      </c>
      <c r="D30" s="149">
        <f t="shared" si="18"/>
        <v>0.26409818228020732</v>
      </c>
      <c r="E30" s="149">
        <f t="shared" si="18"/>
        <v>0.26688992151940161</v>
      </c>
      <c r="F30" s="149">
        <f t="shared" si="18"/>
        <v>0.23307335761997039</v>
      </c>
      <c r="G30" s="149">
        <f t="shared" si="18"/>
        <v>0.25373492455506907</v>
      </c>
      <c r="H30" s="149">
        <f t="shared" si="18"/>
        <v>0.27494830065562192</v>
      </c>
      <c r="I30" s="149">
        <f t="shared" si="18"/>
        <v>0.28254765976249785</v>
      </c>
      <c r="J30" s="149">
        <f t="shared" si="18"/>
        <v>0.24404543934112732</v>
      </c>
      <c r="K30" s="178">
        <f t="shared" si="18"/>
        <v>0.18711351287671696</v>
      </c>
      <c r="M30" s="36"/>
      <c r="T30" s="77"/>
      <c r="U30" s="75"/>
      <c r="V30" s="76"/>
      <c r="EE30" s="95">
        <v>3</v>
      </c>
      <c r="EF30" s="103">
        <f>IF(trigger_inflacja="chcę taki sam w kazdym roku",'WPISZ ZAŁOŻENIA'!$B$12,'WPISZ ZAŁOŻENIA'!B15)</f>
        <v>2.9000000000000001E-2</v>
      </c>
      <c r="EG30" s="103">
        <f t="shared" si="17"/>
        <v>8.9547388999999811E-2</v>
      </c>
      <c r="EH30" s="103">
        <f>IF(trigger_inflacja="chcę taki sam w kazdym roku",'WPISZ ZAŁOŻENIA'!$C$12,'WPISZ ZAŁOŻENIA'!C15)</f>
        <v>4.4999999999999998E-2</v>
      </c>
      <c r="EI30" s="103">
        <f>IF(trigger_inflacja="chcę taki sam w kazdym roku",'WPISZ ZAŁOŻENIA'!$D$12,'WPISZ ZAŁOŻENIA'!D15)</f>
        <v>4.3200000000000002E-2</v>
      </c>
      <c r="EJ30" s="103">
        <f>IF(trigger_inflacja="chcę taki sam w kazdym roku",'WPISZ ZAŁOŻENIA'!$E$12,'WPISZ ZAŁOŻENIA'!E15)</f>
        <v>4.4999999999999998E-2</v>
      </c>
    </row>
    <row r="31" spans="1:140" ht="15">
      <c r="B31" s="179">
        <v>7</v>
      </c>
      <c r="C31" s="149">
        <f t="shared" ref="C31:K31" si="19">C15/zakup_domyslny_wartosc-1</f>
        <v>0.32504987326008394</v>
      </c>
      <c r="D31" s="149">
        <f t="shared" si="19"/>
        <v>0.31069368406796283</v>
      </c>
      <c r="E31" s="149">
        <f t="shared" si="19"/>
        <v>0.30821989490431712</v>
      </c>
      <c r="F31" s="149">
        <f t="shared" si="19"/>
        <v>0.27782158563967574</v>
      </c>
      <c r="G31" s="149">
        <f t="shared" si="19"/>
        <v>0.30704863585826758</v>
      </c>
      <c r="H31" s="149">
        <f t="shared" si="19"/>
        <v>0.31058537956233301</v>
      </c>
      <c r="I31" s="149">
        <f t="shared" si="19"/>
        <v>0.34285743338967256</v>
      </c>
      <c r="J31" s="149">
        <f t="shared" si="19"/>
        <v>0.2901561710300018</v>
      </c>
      <c r="K31" s="178">
        <f t="shared" si="19"/>
        <v>0.22153980475014157</v>
      </c>
      <c r="M31" s="36"/>
      <c r="T31" s="77"/>
      <c r="U31" s="75"/>
      <c r="V31" s="76"/>
      <c r="EE31" s="95">
        <v>4</v>
      </c>
      <c r="EF31" s="103">
        <f>IF(trigger_inflacja="chcę taki sam w kazdym roku",'WPISZ ZAŁOŻENIA'!$B$12,'WPISZ ZAŁOŻENIA'!B16)</f>
        <v>2.9000000000000001E-2</v>
      </c>
      <c r="EG31" s="103">
        <f t="shared" si="17"/>
        <v>0.12114426328099981</v>
      </c>
      <c r="EH31" s="103">
        <f>IF(trigger_inflacja="chcę taki sam w kazdym roku",'WPISZ ZAŁOŻENIA'!$C$12,'WPISZ ZAŁOŻENIA'!C16)</f>
        <v>4.4999999999999998E-2</v>
      </c>
      <c r="EI31" s="103">
        <f>IF(trigger_inflacja="chcę taki sam w kazdym roku",'WPISZ ZAŁOŻENIA'!$D$12,'WPISZ ZAŁOŻENIA'!D16)</f>
        <v>4.3200000000000002E-2</v>
      </c>
      <c r="EJ31" s="103">
        <f>IF(trigger_inflacja="chcę taki sam w kazdym roku",'WPISZ ZAŁOŻENIA'!$E$12,'WPISZ ZAŁOŻENIA'!E16)</f>
        <v>4.4999999999999998E-2</v>
      </c>
    </row>
    <row r="32" spans="1:140" ht="15">
      <c r="B32" s="179">
        <v>8</v>
      </c>
      <c r="C32" s="149">
        <f t="shared" ref="C32:K32" si="20">C16/zakup_domyslny_wartosc-1</f>
        <v>0.38067892684152493</v>
      </c>
      <c r="D32" s="149">
        <f t="shared" si="20"/>
        <v>0.36830452115060086</v>
      </c>
      <c r="E32" s="149">
        <f t="shared" si="20"/>
        <v>0.36101890432582673</v>
      </c>
      <c r="F32" s="149">
        <f t="shared" si="20"/>
        <v>0.34300421347456278</v>
      </c>
      <c r="G32" s="149">
        <f t="shared" si="20"/>
        <v>0.3629747190153223</v>
      </c>
      <c r="H32" s="149">
        <f t="shared" si="20"/>
        <v>0.36394268703856825</v>
      </c>
      <c r="I32" s="149">
        <f t="shared" si="20"/>
        <v>0.40642393479271521</v>
      </c>
      <c r="J32" s="149">
        <f t="shared" si="20"/>
        <v>0.33797600393788763</v>
      </c>
      <c r="K32" s="178">
        <f t="shared" si="20"/>
        <v>0.25696445908789567</v>
      </c>
      <c r="M32" s="36"/>
      <c r="T32" s="77"/>
      <c r="U32" s="75"/>
      <c r="V32" s="76"/>
      <c r="EE32" s="95">
        <v>5</v>
      </c>
      <c r="EF32" s="103">
        <f>IF(trigger_inflacja="chcę taki sam w kazdym roku",'WPISZ ZAŁOŻENIA'!$B$12,'WPISZ ZAŁOŻENIA'!B17)</f>
        <v>2.9000000000000001E-2</v>
      </c>
      <c r="EG32" s="103">
        <f t="shared" si="17"/>
        <v>0.15365744691614869</v>
      </c>
      <c r="EH32" s="103">
        <f>IF(trigger_inflacja="chcę taki sam w kazdym roku",'WPISZ ZAŁOŻENIA'!$C$12,'WPISZ ZAŁOŻENIA'!C17)</f>
        <v>4.4999999999999998E-2</v>
      </c>
      <c r="EI32" s="103">
        <f>IF(trigger_inflacja="chcę taki sam w kazdym roku",'WPISZ ZAŁOŻENIA'!$D$12,'WPISZ ZAŁOŻENIA'!D17)</f>
        <v>4.3200000000000002E-2</v>
      </c>
      <c r="EJ32" s="103">
        <f>IF(trigger_inflacja="chcę taki sam w kazdym roku",'WPISZ ZAŁOŻENIA'!$E$12,'WPISZ ZAŁOŻENIA'!E17)</f>
        <v>4.4999999999999998E-2</v>
      </c>
    </row>
    <row r="33" spans="1:140" ht="15">
      <c r="B33" s="179">
        <v>9</v>
      </c>
      <c r="C33" s="149">
        <f t="shared" ref="C33:K33" si="21">C17/zakup_domyslny_wartosc-1</f>
        <v>0.43842588119548953</v>
      </c>
      <c r="D33" s="149">
        <f t="shared" si="21"/>
        <v>0.41943552215558189</v>
      </c>
      <c r="E33" s="149">
        <f t="shared" si="21"/>
        <v>0.42667579276037904</v>
      </c>
      <c r="F33" s="149">
        <f t="shared" si="21"/>
        <v>0.37959361974292349</v>
      </c>
      <c r="G33" s="149">
        <f t="shared" si="21"/>
        <v>0.42164118024707298</v>
      </c>
      <c r="H33" s="149">
        <f t="shared" si="21"/>
        <v>0.41991406753551863</v>
      </c>
      <c r="I33" s="149">
        <f t="shared" si="21"/>
        <v>0.47342302727152186</v>
      </c>
      <c r="J33" s="149">
        <f t="shared" si="21"/>
        <v>0.38756828615903194</v>
      </c>
      <c r="K33" s="178">
        <f t="shared" si="21"/>
        <v>0.29341642840144444</v>
      </c>
      <c r="M33" s="36"/>
      <c r="T33" s="77"/>
      <c r="U33" s="75"/>
      <c r="V33" s="76"/>
      <c r="EE33" s="95">
        <v>6</v>
      </c>
      <c r="EF33" s="103">
        <f>IF(trigger_inflacja="chcę taki sam w kazdym roku",'WPISZ ZAŁOŻENIA'!$B$12,'WPISZ ZAŁOŻENIA'!B18)</f>
        <v>2.9000000000000001E-2</v>
      </c>
      <c r="EG33" s="103">
        <f t="shared" si="17"/>
        <v>0.18711351287671696</v>
      </c>
      <c r="EH33" s="103">
        <f>IF(trigger_inflacja="chcę taki sam w kazdym roku",'WPISZ ZAŁOŻENIA'!$C$12,'WPISZ ZAŁOŻENIA'!C18)</f>
        <v>4.4999999999999998E-2</v>
      </c>
      <c r="EI33" s="103">
        <f>IF(trigger_inflacja="chcę taki sam w kazdym roku",'WPISZ ZAŁOŻENIA'!$D$12,'WPISZ ZAŁOŻENIA'!D18)</f>
        <v>4.3200000000000002E-2</v>
      </c>
      <c r="EJ33" s="103">
        <f>IF(trigger_inflacja="chcę taki sam w kazdym roku",'WPISZ ZAŁOŻENIA'!$E$12,'WPISZ ZAŁOŻENIA'!E18)</f>
        <v>4.4999999999999998E-2</v>
      </c>
    </row>
    <row r="34" spans="1:140" ht="15">
      <c r="B34" s="180">
        <v>10</v>
      </c>
      <c r="C34" s="150">
        <f t="shared" ref="C34:K34" si="22">C18/zakup_domyslny_wartosc-1</f>
        <v>0.49837131076358454</v>
      </c>
      <c r="D34" s="150">
        <f t="shared" si="22"/>
        <v>0.48182403661943907</v>
      </c>
      <c r="E34" s="150">
        <f t="shared" si="22"/>
        <v>0.47322259794023491</v>
      </c>
      <c r="F34" s="150">
        <f t="shared" si="22"/>
        <v>0.42962007473590891</v>
      </c>
      <c r="G34" s="150">
        <f t="shared" si="22"/>
        <v>0.50748229807917955</v>
      </c>
      <c r="H34" s="150">
        <f t="shared" si="22"/>
        <v>0.47862759450616732</v>
      </c>
      <c r="I34" s="150">
        <f t="shared" si="22"/>
        <v>0.54404007074418415</v>
      </c>
      <c r="J34" s="150">
        <f t="shared" si="22"/>
        <v>0.43899871379434141</v>
      </c>
      <c r="K34" s="181">
        <f t="shared" si="22"/>
        <v>0.33092550482508631</v>
      </c>
      <c r="M34" s="36"/>
      <c r="T34" s="77"/>
      <c r="U34" s="75"/>
      <c r="V34" s="76"/>
      <c r="EE34" s="95">
        <v>7</v>
      </c>
      <c r="EF34" s="103">
        <f>IF(trigger_inflacja="chcę taki sam w kazdym roku",'WPISZ ZAŁOŻENIA'!$B$12,'WPISZ ZAŁOŻENIA'!B19)</f>
        <v>2.9000000000000001E-2</v>
      </c>
      <c r="EG34" s="103">
        <f t="shared" si="17"/>
        <v>0.22153980475014157</v>
      </c>
      <c r="EH34" s="103">
        <f>IF(trigger_inflacja="chcę taki sam w kazdym roku",'WPISZ ZAŁOŻENIA'!$C$12,'WPISZ ZAŁOŻENIA'!C19)</f>
        <v>4.4999999999999998E-2</v>
      </c>
      <c r="EI34" s="103">
        <f>IF(trigger_inflacja="chcę taki sam w kazdym roku",'WPISZ ZAŁOŻENIA'!$D$12,'WPISZ ZAŁOŻENIA'!D19)</f>
        <v>4.3200000000000002E-2</v>
      </c>
      <c r="EJ34" s="103">
        <f>IF(trigger_inflacja="chcę taki sam w kazdym roku",'WPISZ ZAŁOŻENIA'!$E$12,'WPISZ ZAŁOŻENIA'!E19)</f>
        <v>4.4999999999999998E-2</v>
      </c>
    </row>
    <row r="35" spans="1:140" ht="15">
      <c r="B35" s="179">
        <v>11</v>
      </c>
      <c r="C35" s="149">
        <f t="shared" ref="C35:K35" si="23">C19/zakup_domyslny_wartosc-1</f>
        <v>0.56059773942608593</v>
      </c>
      <c r="D35" s="149">
        <f t="shared" si="23"/>
        <v>0.53676601498633936</v>
      </c>
      <c r="E35" s="149">
        <f t="shared" si="23"/>
        <v>0.5326778620347925</v>
      </c>
      <c r="F35" s="149">
        <f t="shared" si="23"/>
        <v>0.48150076782227846</v>
      </c>
      <c r="G35" s="149">
        <f t="shared" si="23"/>
        <v>0.54261770362672435</v>
      </c>
      <c r="H35" s="149">
        <f t="shared" si="23"/>
        <v>0.54021761640501742</v>
      </c>
      <c r="I35" s="149">
        <f t="shared" si="23"/>
        <v>0.61847043456437034</v>
      </c>
      <c r="J35" s="149">
        <f t="shared" si="23"/>
        <v>0.49233541798060343</v>
      </c>
      <c r="K35" s="178">
        <f t="shared" si="23"/>
        <v>0.36952234446501397</v>
      </c>
      <c r="M35" s="36"/>
      <c r="T35" s="77"/>
      <c r="U35" s="75"/>
      <c r="V35" s="76"/>
      <c r="EE35" s="95">
        <v>8</v>
      </c>
      <c r="EF35" s="103">
        <f>IF(trigger_inflacja="chcę taki sam w kazdym roku",'WPISZ ZAŁOŻENIA'!$B$12,'WPISZ ZAŁOŻENIA'!B20)</f>
        <v>2.9000000000000001E-2</v>
      </c>
      <c r="EG35" s="103">
        <f t="shared" si="17"/>
        <v>0.25696445908789567</v>
      </c>
      <c r="EH35" s="103">
        <f>IF(trigger_inflacja="chcę taki sam w kazdym roku",'WPISZ ZAŁOŻENIA'!$C$12,'WPISZ ZAŁOŻENIA'!C20)</f>
        <v>4.4999999999999998E-2</v>
      </c>
      <c r="EI35" s="103">
        <f>IF(trigger_inflacja="chcę taki sam w kazdym roku",'WPISZ ZAŁOŻENIA'!$D$12,'WPISZ ZAŁOŻENIA'!D20)</f>
        <v>4.3200000000000002E-2</v>
      </c>
      <c r="EJ35" s="103">
        <f>IF(trigger_inflacja="chcę taki sam w kazdym roku",'WPISZ ZAŁOŻENIA'!$E$12,'WPISZ ZAŁOŻENIA'!E20)</f>
        <v>4.4999999999999998E-2</v>
      </c>
    </row>
    <row r="36" spans="1:140" ht="15.75" thickBot="1">
      <c r="B36" s="182">
        <v>12</v>
      </c>
      <c r="C36" s="183">
        <f t="shared" ref="C36:K36" si="24">C20/zakup_domyslny_wartosc-1</f>
        <v>0.62623092616948273</v>
      </c>
      <c r="D36" s="183">
        <f t="shared" si="24"/>
        <v>0.60431458759364265</v>
      </c>
      <c r="E36" s="183">
        <f t="shared" si="24"/>
        <v>0.60660462814904115</v>
      </c>
      <c r="F36" s="183">
        <f t="shared" si="24"/>
        <v>0.55707722661640036</v>
      </c>
      <c r="G36" s="183">
        <f t="shared" si="24"/>
        <v>0.60594980957091993</v>
      </c>
      <c r="H36" s="183">
        <f t="shared" si="24"/>
        <v>0.62546386414101285</v>
      </c>
      <c r="I36" s="183">
        <f t="shared" si="24"/>
        <v>0.72122003803084644</v>
      </c>
      <c r="J36" s="183">
        <f t="shared" si="24"/>
        <v>0.54764905514545892</v>
      </c>
      <c r="K36" s="184">
        <f t="shared" si="24"/>
        <v>0.40923849245449917</v>
      </c>
      <c r="M36" s="36"/>
      <c r="T36" s="77"/>
      <c r="U36" s="75"/>
      <c r="V36" s="76"/>
      <c r="EE36" s="95">
        <v>9</v>
      </c>
      <c r="EF36" s="103">
        <f>IF(trigger_inflacja="chcę taki sam w kazdym roku",'WPISZ ZAŁOŻENIA'!$B$12,'WPISZ ZAŁOŻENIA'!B21)</f>
        <v>2.9000000000000001E-2</v>
      </c>
      <c r="EG36" s="103">
        <f t="shared" si="17"/>
        <v>0.29341642840144444</v>
      </c>
      <c r="EH36" s="103">
        <f>IF(trigger_inflacja="chcę taki sam w kazdym roku",'WPISZ ZAŁOŻENIA'!$C$12,'WPISZ ZAŁOŻENIA'!C21)</f>
        <v>4.4999999999999998E-2</v>
      </c>
      <c r="EI36" s="103">
        <f>IF(trigger_inflacja="chcę taki sam w kazdym roku",'WPISZ ZAŁOŻENIA'!$D$12,'WPISZ ZAŁOŻENIA'!D21)</f>
        <v>4.3200000000000002E-2</v>
      </c>
      <c r="EJ36" s="103">
        <f>IF(trigger_inflacja="chcę taki sam w kazdym roku",'WPISZ ZAŁOŻENIA'!$E$12,'WPISZ ZAŁOŻENIA'!E21)</f>
        <v>4.4999999999999998E-2</v>
      </c>
    </row>
    <row r="37" spans="1:140" ht="21" customHeight="1">
      <c r="M37" s="36"/>
      <c r="EE37" s="95">
        <v>10</v>
      </c>
      <c r="EF37" s="103">
        <f>IF(trigger_inflacja="chcę taki sam w kazdym roku",'WPISZ ZAŁOŻENIA'!$B$12,'WPISZ ZAŁOŻENIA'!B22)</f>
        <v>2.9000000000000001E-2</v>
      </c>
      <c r="EG37" s="103">
        <f t="shared" si="17"/>
        <v>0.33092550482508631</v>
      </c>
      <c r="EH37" s="103">
        <f>IF(trigger_inflacja="chcę taki sam w kazdym roku",'WPISZ ZAŁOŻENIA'!$C$12,'WPISZ ZAŁOŻENIA'!C22)</f>
        <v>4.4999999999999998E-2</v>
      </c>
      <c r="EI37" s="103">
        <f>IF(trigger_inflacja="chcę taki sam w kazdym roku",'WPISZ ZAŁOŻENIA'!$D$12,'WPISZ ZAŁOŻENIA'!D22)</f>
        <v>4.3200000000000002E-2</v>
      </c>
      <c r="EJ37" s="103">
        <f>IF(trigger_inflacja="chcę taki sam w kazdym roku",'WPISZ ZAŁOŻENIA'!$E$12,'WPISZ ZAŁOŻENIA'!E22)</f>
        <v>4.4999999999999998E-2</v>
      </c>
    </row>
    <row r="38" spans="1:140" ht="21" customHeight="1">
      <c r="M38" s="36"/>
      <c r="Y38" s="50"/>
      <c r="AI38" s="68"/>
      <c r="AY38" s="68"/>
      <c r="BO38" s="68"/>
      <c r="CD38" s="68"/>
      <c r="EE38" s="95">
        <v>11</v>
      </c>
      <c r="EF38" s="103">
        <f>IF(trigger_inflacja="chcę taki sam w kazdym roku",'WPISZ ZAŁOŻENIA'!$B$12,'WPISZ ZAŁOŻENIA'!B23)</f>
        <v>2.9000000000000001E-2</v>
      </c>
      <c r="EG38" s="103">
        <f t="shared" si="17"/>
        <v>0.36952234446501375</v>
      </c>
      <c r="EH38" s="103">
        <f>IF(trigger_inflacja="chcę taki sam w kazdym roku",'WPISZ ZAŁOŻENIA'!$C$12,'WPISZ ZAŁOŻENIA'!C23)</f>
        <v>4.4999999999999998E-2</v>
      </c>
      <c r="EI38" s="103">
        <f>IF(trigger_inflacja="chcę taki sam w kazdym roku",'WPISZ ZAŁOŻENIA'!$D$12,'WPISZ ZAŁOŻENIA'!D23)</f>
        <v>4.3200000000000002E-2</v>
      </c>
      <c r="EJ38" s="103">
        <f>IF(trigger_inflacja="chcę taki sam w kazdym roku",'WPISZ ZAŁOŻENIA'!$E$12,'WPISZ ZAŁOŻENIA'!E23)</f>
        <v>4.4999999999999998E-2</v>
      </c>
    </row>
    <row r="39" spans="1:140" ht="21" customHeight="1">
      <c r="M39" s="36"/>
      <c r="Y39" s="50"/>
      <c r="AY39" s="68"/>
      <c r="BO39" s="68"/>
      <c r="CD39" s="68"/>
      <c r="EE39" s="95">
        <v>12</v>
      </c>
      <c r="EF39" s="103">
        <f>IF(trigger_inflacja="chcę taki sam w kazdym roku",'WPISZ ZAŁOŻENIA'!$B$12,'WPISZ ZAŁOŻENIA'!B24)</f>
        <v>2.9000000000000001E-2</v>
      </c>
      <c r="EG39" s="103">
        <f t="shared" si="17"/>
        <v>0.40923849245449895</v>
      </c>
      <c r="EH39" s="103">
        <f>IF(trigger_inflacja="chcę taki sam w kazdym roku",'WPISZ ZAŁOŻENIA'!$C$12,'WPISZ ZAŁOŻENIA'!C24)</f>
        <v>4.4999999999999998E-2</v>
      </c>
      <c r="EI39" s="103">
        <f>IF(trigger_inflacja="chcę taki sam w kazdym roku",'WPISZ ZAŁOŻENIA'!$D$12,'WPISZ ZAŁOŻENIA'!D24)</f>
        <v>4.3200000000000002E-2</v>
      </c>
      <c r="EJ39" s="103">
        <f>IF(trigger_inflacja="chcę taki sam w kazdym roku",'WPISZ ZAŁOŻENIA'!$E$12,'WPISZ ZAŁOŻENIA'!E24)</f>
        <v>4.4999999999999998E-2</v>
      </c>
    </row>
    <row r="40" spans="1:140" ht="21" customHeight="1">
      <c r="M40" s="36"/>
    </row>
    <row r="41" spans="1:140" ht="30" customHeight="1" thickBot="1">
      <c r="B41" s="226" t="s">
        <v>117</v>
      </c>
      <c r="C41" s="226"/>
      <c r="D41" s="226"/>
      <c r="E41" s="226"/>
      <c r="F41" s="226"/>
      <c r="G41" s="226"/>
      <c r="H41" s="226"/>
      <c r="I41" s="226"/>
      <c r="J41" s="226"/>
      <c r="K41" s="226"/>
      <c r="M41" s="36"/>
      <c r="AB41" s="72" t="s">
        <v>88</v>
      </c>
      <c r="AS41" s="72" t="s">
        <v>97</v>
      </c>
      <c r="BI41" s="72" t="s">
        <v>108</v>
      </c>
      <c r="BY41" s="72" t="s">
        <v>58</v>
      </c>
      <c r="CN41" s="72" t="s">
        <v>59</v>
      </c>
      <c r="DB41" s="72" t="s">
        <v>60</v>
      </c>
      <c r="DP41" s="72" t="s">
        <v>61</v>
      </c>
    </row>
    <row r="42" spans="1:140" ht="86.45" customHeight="1" thickBot="1">
      <c r="A42" s="156"/>
      <c r="B42" s="226" t="s">
        <v>118</v>
      </c>
      <c r="C42" s="226"/>
      <c r="D42" s="226"/>
      <c r="E42" s="226"/>
      <c r="F42" s="226"/>
      <c r="G42" s="226"/>
      <c r="H42" s="226"/>
      <c r="I42" s="226"/>
      <c r="J42" s="226"/>
      <c r="K42" s="226"/>
      <c r="N42" s="213" t="s">
        <v>119</v>
      </c>
      <c r="O42" s="214"/>
      <c r="P42" s="214"/>
      <c r="Q42" s="214"/>
      <c r="R42" s="214"/>
      <c r="S42" s="214"/>
      <c r="T42" s="214"/>
      <c r="U42" s="214"/>
      <c r="V42" s="214"/>
      <c r="W42" s="215"/>
      <c r="X42" s="73"/>
      <c r="AA42" s="122" t="s">
        <v>13</v>
      </c>
      <c r="AB42" s="123" t="s">
        <v>21</v>
      </c>
      <c r="AC42" s="122" t="s">
        <v>13</v>
      </c>
      <c r="AD42" s="122" t="s">
        <v>82</v>
      </c>
      <c r="AE42" s="122" t="s">
        <v>25</v>
      </c>
      <c r="AF42" s="122" t="s">
        <v>23</v>
      </c>
      <c r="AG42" s="122" t="s">
        <v>14</v>
      </c>
      <c r="AH42" s="122" t="s">
        <v>15</v>
      </c>
      <c r="AI42" s="122" t="s">
        <v>17</v>
      </c>
      <c r="AJ42" s="122" t="s">
        <v>18</v>
      </c>
      <c r="AK42" s="122" t="s">
        <v>8</v>
      </c>
      <c r="AL42" s="122" t="s">
        <v>16</v>
      </c>
      <c r="AM42" s="122" t="s">
        <v>19</v>
      </c>
      <c r="AN42" s="122" t="s">
        <v>22</v>
      </c>
      <c r="AO42" s="122" t="s">
        <v>63</v>
      </c>
      <c r="AP42" s="122" t="s">
        <v>10</v>
      </c>
      <c r="AQ42" s="122" t="s">
        <v>20</v>
      </c>
      <c r="AS42" s="134" t="s">
        <v>13</v>
      </c>
      <c r="AT42" s="135" t="s">
        <v>82</v>
      </c>
      <c r="AU42" s="135" t="s">
        <v>25</v>
      </c>
      <c r="AV42" s="135" t="s">
        <v>23</v>
      </c>
      <c r="AW42" s="135" t="s">
        <v>14</v>
      </c>
      <c r="AX42" s="135" t="s">
        <v>15</v>
      </c>
      <c r="AY42" s="135" t="s">
        <v>17</v>
      </c>
      <c r="AZ42" s="135" t="s">
        <v>18</v>
      </c>
      <c r="BA42" s="134" t="s">
        <v>8</v>
      </c>
      <c r="BB42" s="135" t="s">
        <v>16</v>
      </c>
      <c r="BC42" s="135" t="s">
        <v>19</v>
      </c>
      <c r="BD42" s="135" t="s">
        <v>22</v>
      </c>
      <c r="BE42" s="135" t="s">
        <v>63</v>
      </c>
      <c r="BF42" s="135" t="s">
        <v>10</v>
      </c>
      <c r="BG42" s="135" t="s">
        <v>20</v>
      </c>
      <c r="BI42" s="136" t="s">
        <v>13</v>
      </c>
      <c r="BJ42" s="137" t="s">
        <v>82</v>
      </c>
      <c r="BK42" s="137" t="s">
        <v>25</v>
      </c>
      <c r="BL42" s="137" t="s">
        <v>23</v>
      </c>
      <c r="BM42" s="137" t="s">
        <v>14</v>
      </c>
      <c r="BN42" s="137" t="s">
        <v>15</v>
      </c>
      <c r="BO42" s="137" t="s">
        <v>17</v>
      </c>
      <c r="BP42" s="137" t="s">
        <v>18</v>
      </c>
      <c r="BQ42" s="136" t="s">
        <v>8</v>
      </c>
      <c r="BR42" s="137" t="s">
        <v>16</v>
      </c>
      <c r="BS42" s="137" t="s">
        <v>19</v>
      </c>
      <c r="BT42" s="137" t="s">
        <v>22</v>
      </c>
      <c r="BU42" s="137" t="s">
        <v>63</v>
      </c>
      <c r="BV42" s="137" t="s">
        <v>10</v>
      </c>
      <c r="BW42" s="137" t="s">
        <v>20</v>
      </c>
      <c r="BY42" s="138" t="s">
        <v>12</v>
      </c>
      <c r="BZ42" s="138" t="s">
        <v>25</v>
      </c>
      <c r="CA42" s="138" t="s">
        <v>23</v>
      </c>
      <c r="CB42" s="138" t="s">
        <v>14</v>
      </c>
      <c r="CC42" s="138" t="s">
        <v>15</v>
      </c>
      <c r="CD42" s="138" t="s">
        <v>17</v>
      </c>
      <c r="CE42" s="138" t="s">
        <v>18</v>
      </c>
      <c r="CF42" s="139" t="s">
        <v>8</v>
      </c>
      <c r="CG42" s="138" t="s">
        <v>16</v>
      </c>
      <c r="CH42" s="138" t="s">
        <v>19</v>
      </c>
      <c r="CI42" s="138" t="s">
        <v>22</v>
      </c>
      <c r="CJ42" s="138" t="s">
        <v>63</v>
      </c>
      <c r="CK42" s="138" t="s">
        <v>10</v>
      </c>
      <c r="CL42" s="138" t="s">
        <v>20</v>
      </c>
      <c r="CN42" s="140" t="s">
        <v>25</v>
      </c>
      <c r="CO42" s="140" t="s">
        <v>23</v>
      </c>
      <c r="CP42" s="140" t="s">
        <v>14</v>
      </c>
      <c r="CQ42" s="140" t="s">
        <v>15</v>
      </c>
      <c r="CR42" s="140" t="s">
        <v>17</v>
      </c>
      <c r="CS42" s="140" t="s">
        <v>18</v>
      </c>
      <c r="CT42" s="141" t="s">
        <v>8</v>
      </c>
      <c r="CU42" s="140" t="s">
        <v>16</v>
      </c>
      <c r="CV42" s="140" t="s">
        <v>19</v>
      </c>
      <c r="CW42" s="140" t="s">
        <v>9</v>
      </c>
      <c r="CX42" s="140" t="s">
        <v>63</v>
      </c>
      <c r="CY42" s="140" t="s">
        <v>10</v>
      </c>
      <c r="CZ42" s="140" t="s">
        <v>20</v>
      </c>
      <c r="DA42" s="20"/>
      <c r="DB42" s="143" t="s">
        <v>25</v>
      </c>
      <c r="DC42" s="143" t="s">
        <v>23</v>
      </c>
      <c r="DD42" s="143" t="s">
        <v>14</v>
      </c>
      <c r="DE42" s="143" t="s">
        <v>15</v>
      </c>
      <c r="DF42" s="143" t="s">
        <v>17</v>
      </c>
      <c r="DG42" s="143" t="s">
        <v>18</v>
      </c>
      <c r="DH42" s="144" t="s">
        <v>8</v>
      </c>
      <c r="DI42" s="143" t="s">
        <v>16</v>
      </c>
      <c r="DJ42" s="143" t="s">
        <v>19</v>
      </c>
      <c r="DK42" s="143" t="s">
        <v>9</v>
      </c>
      <c r="DL42" s="143" t="s">
        <v>63</v>
      </c>
      <c r="DM42" s="143" t="s">
        <v>10</v>
      </c>
      <c r="DN42" s="143" t="s">
        <v>20</v>
      </c>
      <c r="DP42" s="145" t="s">
        <v>25</v>
      </c>
      <c r="DQ42" s="145" t="s">
        <v>23</v>
      </c>
      <c r="DR42" s="145" t="s">
        <v>14</v>
      </c>
      <c r="DS42" s="145" t="s">
        <v>15</v>
      </c>
      <c r="DT42" s="145" t="s">
        <v>17</v>
      </c>
      <c r="DU42" s="145" t="s">
        <v>18</v>
      </c>
      <c r="DV42" s="146" t="s">
        <v>8</v>
      </c>
      <c r="DW42" s="145" t="s">
        <v>16</v>
      </c>
      <c r="DX42" s="145" t="s">
        <v>19</v>
      </c>
      <c r="DY42" s="145" t="s">
        <v>9</v>
      </c>
      <c r="DZ42" s="145" t="s">
        <v>63</v>
      </c>
      <c r="EA42" s="145" t="s">
        <v>10</v>
      </c>
      <c r="EB42" s="145" t="s">
        <v>20</v>
      </c>
    </row>
    <row r="43" spans="1:140" ht="48" customHeight="1">
      <c r="A43" s="225"/>
      <c r="B43" s="124" t="s">
        <v>13</v>
      </c>
      <c r="C43" s="94" t="s">
        <v>89</v>
      </c>
      <c r="D43" s="99" t="s">
        <v>96</v>
      </c>
      <c r="E43" s="100" t="s">
        <v>103</v>
      </c>
      <c r="F43" s="101" t="s">
        <v>54</v>
      </c>
      <c r="G43" s="102" t="s">
        <v>55</v>
      </c>
      <c r="H43" s="104" t="s">
        <v>56</v>
      </c>
      <c r="I43" s="105" t="s">
        <v>57</v>
      </c>
      <c r="J43" s="148" t="s">
        <v>116</v>
      </c>
      <c r="K43" s="151" t="s">
        <v>111</v>
      </c>
      <c r="N43" s="22" t="s">
        <v>13</v>
      </c>
      <c r="O43" s="22" t="s">
        <v>79</v>
      </c>
      <c r="P43" s="22" t="s">
        <v>80</v>
      </c>
      <c r="Q43" s="22" t="s">
        <v>107</v>
      </c>
      <c r="R43" s="22" t="s">
        <v>0</v>
      </c>
      <c r="S43" s="22" t="s">
        <v>1</v>
      </c>
      <c r="T43" s="22" t="s">
        <v>2</v>
      </c>
      <c r="U43" s="22" t="s">
        <v>3</v>
      </c>
      <c r="V43" s="55" t="s">
        <v>65</v>
      </c>
      <c r="W43" s="33" t="s">
        <v>52</v>
      </c>
      <c r="X43" s="74"/>
      <c r="AA43" s="124"/>
      <c r="AB43" s="125"/>
      <c r="AC43" s="124"/>
      <c r="AD43" s="126"/>
      <c r="AE43" s="127"/>
      <c r="AF43" s="127"/>
      <c r="AG43" s="128"/>
      <c r="AH43" s="128"/>
      <c r="AI43" s="128"/>
      <c r="AJ43" s="128"/>
      <c r="AK43" s="124"/>
      <c r="AL43" s="124"/>
      <c r="AM43" s="124"/>
      <c r="AN43" s="128"/>
      <c r="AO43" s="128"/>
      <c r="AP43" s="128"/>
      <c r="AQ43" s="128"/>
      <c r="AS43" s="124"/>
      <c r="AT43" s="126"/>
      <c r="AU43" s="127"/>
      <c r="AV43" s="127"/>
      <c r="AW43" s="128"/>
      <c r="AX43" s="128"/>
      <c r="AY43" s="128"/>
      <c r="AZ43" s="128"/>
      <c r="BA43" s="124"/>
      <c r="BB43" s="124"/>
      <c r="BC43" s="124"/>
      <c r="BD43" s="128"/>
      <c r="BE43" s="128"/>
      <c r="BF43" s="128"/>
      <c r="BG43" s="128"/>
      <c r="BI43" s="124"/>
      <c r="BJ43" s="126"/>
      <c r="BK43" s="127"/>
      <c r="BL43" s="127"/>
      <c r="BM43" s="128"/>
      <c r="BN43" s="128"/>
      <c r="BO43" s="128"/>
      <c r="BP43" s="128"/>
      <c r="BQ43" s="124"/>
      <c r="BR43" s="124"/>
      <c r="BS43" s="124"/>
      <c r="BT43" s="128"/>
      <c r="BU43" s="128"/>
      <c r="BV43" s="128"/>
      <c r="BW43" s="128"/>
      <c r="BY43" s="126"/>
      <c r="BZ43" s="127"/>
      <c r="CA43" s="127"/>
      <c r="CB43" s="128"/>
      <c r="CC43" s="128"/>
      <c r="CD43" s="128"/>
      <c r="CE43" s="128"/>
      <c r="CF43" s="124"/>
      <c r="CG43" s="124"/>
      <c r="CH43" s="124"/>
      <c r="CI43" s="128"/>
      <c r="CJ43" s="128"/>
      <c r="CK43" s="128"/>
      <c r="CL43" s="128"/>
      <c r="CN43" s="127"/>
      <c r="CO43" s="127"/>
      <c r="CP43" s="128"/>
      <c r="CQ43" s="128"/>
      <c r="CR43" s="128"/>
      <c r="CS43" s="128"/>
      <c r="CT43" s="124"/>
      <c r="CU43" s="124"/>
      <c r="CV43" s="124"/>
      <c r="CW43" s="128"/>
      <c r="CX43" s="128"/>
      <c r="CY43" s="128"/>
      <c r="CZ43" s="128"/>
      <c r="DA43" s="20"/>
      <c r="DB43" s="127"/>
      <c r="DC43" s="127"/>
      <c r="DD43" s="128"/>
      <c r="DE43" s="128"/>
      <c r="DF43" s="128"/>
      <c r="DG43" s="128"/>
      <c r="DH43" s="124"/>
      <c r="DI43" s="124"/>
      <c r="DJ43" s="124"/>
      <c r="DK43" s="128"/>
      <c r="DL43" s="128"/>
      <c r="DM43" s="128"/>
      <c r="DN43" s="128"/>
      <c r="DP43" s="127"/>
      <c r="DQ43" s="127"/>
      <c r="DR43" s="128"/>
      <c r="DS43" s="128"/>
      <c r="DT43" s="128"/>
      <c r="DU43" s="128"/>
      <c r="DV43" s="124"/>
      <c r="DW43" s="124"/>
      <c r="DX43" s="124"/>
      <c r="DY43" s="128"/>
      <c r="DZ43" s="128"/>
      <c r="EA43" s="128"/>
      <c r="EB43" s="128"/>
    </row>
    <row r="44" spans="1:140">
      <c r="A44" s="225"/>
      <c r="B44" s="124" t="s">
        <v>64</v>
      </c>
      <c r="C44" s="128">
        <f t="shared" ref="C44" si="25">zakup_domyslny_wartosc</f>
        <v>100000</v>
      </c>
      <c r="D44" s="128">
        <f t="shared" ref="D44:K44" si="26">zakup_domyslny_wartosc</f>
        <v>100000</v>
      </c>
      <c r="E44" s="128">
        <f t="shared" si="26"/>
        <v>100000</v>
      </c>
      <c r="F44" s="128">
        <f t="shared" si="26"/>
        <v>100000</v>
      </c>
      <c r="G44" s="128">
        <f t="shared" si="26"/>
        <v>100000</v>
      </c>
      <c r="H44" s="128">
        <f t="shared" si="26"/>
        <v>100000</v>
      </c>
      <c r="I44" s="128">
        <f t="shared" si="26"/>
        <v>100000</v>
      </c>
      <c r="J44" s="128">
        <f t="shared" si="26"/>
        <v>100000</v>
      </c>
      <c r="K44" s="128">
        <f t="shared" si="26"/>
        <v>100000</v>
      </c>
      <c r="N44" s="22" t="s">
        <v>64</v>
      </c>
      <c r="O44" s="25">
        <f t="shared" ref="O44" si="27">C44/zakup_domyslny_wartosc-1</f>
        <v>0</v>
      </c>
      <c r="P44" s="25">
        <f t="shared" ref="P44" si="28">D44/zakup_domyslny_wartosc-1</f>
        <v>0</v>
      </c>
      <c r="Q44" s="25">
        <f t="shared" ref="Q44" si="29">E44/zakup_domyslny_wartosc-1</f>
        <v>0</v>
      </c>
      <c r="R44" s="25">
        <f t="shared" ref="R44:R75" si="30">F44/zakup_domyslny_wartosc-1</f>
        <v>0</v>
      </c>
      <c r="S44" s="25">
        <f t="shared" ref="S44:S75" si="31">G44/zakup_domyslny_wartosc-1</f>
        <v>0</v>
      </c>
      <c r="T44" s="25">
        <f t="shared" ref="T44:T75" si="32">H44/zakup_domyslny_wartosc-1</f>
        <v>0</v>
      </c>
      <c r="U44" s="25">
        <f t="shared" ref="U44:U75" si="33">I44/zakup_domyslny_wartosc-1</f>
        <v>0</v>
      </c>
      <c r="V44" s="25">
        <f t="shared" ref="V44:V75" si="34">J44/zakup_domyslny_wartosc-1</f>
        <v>0</v>
      </c>
      <c r="W44" s="25">
        <f>K44/zakup_domyslny_wartosc-1</f>
        <v>0</v>
      </c>
      <c r="X44" s="36"/>
      <c r="AA44" s="124">
        <v>1</v>
      </c>
      <c r="AB44" s="128">
        <f t="shared" ref="AB44:AB75" si="35">zakup_domyslny_wartosc*IFERROR((INDEX(scenariusz_I_inflacja_skumulowana,MATCH(ROUNDDOWN(AA44/12,0),scenariusz_I_rok,0))+1),1)
*(1+MOD(AA44,12)*INDEX(scenariusz_I_inflacja,MATCH(ROUNDUP(AA44/12,0),scenariusz_I_rok,0))/12)</f>
        <v>100241.66666666667</v>
      </c>
      <c r="AC44" s="124">
        <v>1</v>
      </c>
      <c r="AD44" s="129"/>
      <c r="AE44" s="127">
        <f>zakup_domyslny_ilosc</f>
        <v>1000</v>
      </c>
      <c r="AF44" s="128">
        <f>zakup_domyslny_wartosc</f>
        <v>100000</v>
      </c>
      <c r="AG44" s="128">
        <f>zakup_domyslny_wartosc</f>
        <v>100000</v>
      </c>
      <c r="AH44" s="128">
        <f>AG44</f>
        <v>100000</v>
      </c>
      <c r="AI44" s="130">
        <f t="shared" ref="AI44:AI75" si="36">IF(AND(MOD($AA44,zapadalnosc_ROR)&lt;=zmiana_oprocentowania_co_ile_mc_ROR,MOD($AA44,zapadalnosc_ROR)&lt;&gt;0),proc_I_okres_ROR,(marza_ROR+AD44))</f>
        <v>4.4999999999999998E-2</v>
      </c>
      <c r="AJ44" s="128">
        <f t="shared" ref="AJ44:AJ75" si="37">AH44*(1+AI44*IF(MOD($AA44,wyplata_odsetek_ROR)&lt;&gt;0,MOD($AA44,wyplata_odsetek_ROR),wyplata_odsetek_ROR)/12)</f>
        <v>100374.99999999999</v>
      </c>
      <c r="AK44" s="128" t="str">
        <f t="shared" ref="AK44:AK75" si="38">IF(MOD($AA44,zapadalnosc_ROR)=0,"tak","nie")</f>
        <v>nie</v>
      </c>
      <c r="AL44" s="128">
        <f t="shared" ref="AL44:AL75" si="39">IF(MOD($AA44,zapadalnosc_ROR)=0,0,
IF(AND(MOD($AA44,zapadalnosc_ROR)&lt;zapadalnosc_ROR,MOD($AA44,zapadalnosc_ROR)&lt;=koszt_wczesniejszy_wykup_ochrona_ROR),
MIN(AJ44-AG44,AE44*koszt_wczesniejszy_wykup_ROR),AE44*koszt_wczesniejszy_wykup_ROR))</f>
        <v>374.99999999998545</v>
      </c>
      <c r="AM44" s="128">
        <f t="shared" ref="AM44:AM55" si="40">AJ44-AL44
-(AJ44-AG44-AL44)*podatek_Belki</f>
        <v>100000</v>
      </c>
      <c r="AN44" s="128">
        <f t="shared" ref="AN44:AN75" si="41">IF(MOD($AA44,wyplata_odsetek_ROR)=0, (AJ44-AG44)*(1-podatek_Belki),0)
+IF(AK44="tak",ROUNDDOWN(AJ44/zamiana_ROR,0)*(100-zamiana_ROR),0)</f>
        <v>303.74999999998823</v>
      </c>
      <c r="AO44" s="130">
        <f t="shared" ref="AO44:AO75" si="42">INDEX(scenariusz_I_konto,MATCH(ROUNDUP($AA44/12,0),scenariusz_I_rok,0))</f>
        <v>4.4999999999999998E-2</v>
      </c>
      <c r="AP44" s="128">
        <f t="shared" ref="AP44:AP75" si="43">(AP43-IF(AK43="tak",ROUNDDOWN(AP43/100,0)*100,0))*
(1+AO44/12*(1-podatek_Belki))+AN44</f>
        <v>303.74999999998823</v>
      </c>
      <c r="AQ44" s="128">
        <f t="shared" ref="AQ44:AQ55" si="44">AP43*(1+AO44/12*(1-podatek_Belki))+AM44</f>
        <v>100000</v>
      </c>
      <c r="AS44" s="124">
        <v>1</v>
      </c>
      <c r="AT44" s="129"/>
      <c r="AU44" s="127">
        <f>zakup_domyslny_ilosc</f>
        <v>1000</v>
      </c>
      <c r="AV44" s="128">
        <f>zakup_domyslny_wartosc</f>
        <v>100000</v>
      </c>
      <c r="AW44" s="128">
        <f>zakup_domyslny_wartosc</f>
        <v>100000</v>
      </c>
      <c r="AX44" s="128">
        <f>AW44</f>
        <v>100000</v>
      </c>
      <c r="AY44" s="130">
        <f t="shared" ref="AY44:AY75" si="45">IF(AND(MOD($AA44,zapadalnosc_DOR)&lt;=zmiana_oprocentowania_co_ile_mc_DOR,MOD($AA44,zapadalnosc_DOR)&lt;&gt;0),proc_I_okres_DOR,(marza_DOR+AT44))</f>
        <v>4.65E-2</v>
      </c>
      <c r="AZ44" s="128">
        <f t="shared" ref="AZ44:AZ75" si="46">AX44*(1+AY44*IF(MOD($AA44,wyplata_odsetek_DOR)&lt;&gt;0,MOD($AA44,wyplata_odsetek_DOR),wyplata_odsetek_DOR)/12)</f>
        <v>100387.50000000001</v>
      </c>
      <c r="BA44" s="128" t="str">
        <f t="shared" ref="BA44:BA75" si="47">IF(MOD($AA44,zapadalnosc_DOR)=0,"tak","nie")</f>
        <v>nie</v>
      </c>
      <c r="BB44" s="128">
        <f t="shared" ref="BB44:BB75" si="48">IF(MOD($AA44,zapadalnosc_DOR)=0,0,
IF(AND(MOD($AA44,zapadalnosc_DOR)&lt;zapadalnosc_DOR,MOD($AA44,zapadalnosc_DOR)&lt;=koszt_wczesniejszy_wykup_ochrona_DOR),
MIN(AZ44-AW44,AU44*koszt_wczesniejszy_wykup_DOR),AU44*koszt_wczesniejszy_wykup_DOR))</f>
        <v>387.50000000001455</v>
      </c>
      <c r="BC44" s="128">
        <f t="shared" ref="BC44:BC55" si="49">AZ44-BB44
-(AZ44-AW44-BB44)*podatek_Belki</f>
        <v>100000</v>
      </c>
      <c r="BD44" s="128">
        <f t="shared" ref="BD44:BD75" si="50">IF(MOD($AA44,wyplata_odsetek_DOR)=0, (AZ44-AW44)*(1-podatek_Belki),0)
+IF(BA44="tak",ROUNDDOWN(AZ44/zamiana_DOR,0)*(100-zamiana_DOR),0)</f>
        <v>313.87500000001182</v>
      </c>
      <c r="BE44" s="130">
        <f t="shared" ref="BE44:BE107" si="51">INDEX(scenariusz_I_konto,MATCH(ROUNDUP($AA44/12,0),scenariusz_I_rok,0))</f>
        <v>4.4999999999999998E-2</v>
      </c>
      <c r="BF44" s="128">
        <f t="shared" ref="BF44:BF75" si="52">(BF43-IF(BA43="tak",ROUNDDOWN(BF43/100,0)*100,0))*
(1+BE44/12*(1-podatek_Belki))+BD44</f>
        <v>313.87500000001182</v>
      </c>
      <c r="BG44" s="128">
        <f t="shared" ref="BG44:BG55" si="53">BF43*(1+BE44/12*(1-podatek_Belki))+BC44</f>
        <v>100000</v>
      </c>
      <c r="BI44" s="124">
        <v>1</v>
      </c>
      <c r="BJ44" s="129"/>
      <c r="BK44" s="127">
        <f>zakup_domyslny_ilosc</f>
        <v>1000</v>
      </c>
      <c r="BL44" s="128">
        <f>zakup_domyslny_wartosc</f>
        <v>100000</v>
      </c>
      <c r="BM44" s="128">
        <f>zakup_domyslny_wartosc</f>
        <v>100000</v>
      </c>
      <c r="BN44" s="128">
        <f>BM44</f>
        <v>100000</v>
      </c>
      <c r="BO44" s="130">
        <f t="shared" ref="BO44:BO75" si="54">IF(AND(MOD($AA44,zapadalnosc_TOS)&lt;=12,MOD($AA44,zapadalnosc_TOS)&lt;&gt;0),proc_I_okres_TOS,(marza_TOS+proc_I_okres_TOS))</f>
        <v>4.9000000000000002E-2</v>
      </c>
      <c r="BP44" s="128">
        <f t="shared" ref="BP44:BP75" si="55">BN44*(1+BO44*IF(MOD($AA44,12)&lt;&gt;0,MOD($AA44,12),12)/12)</f>
        <v>100408.33333333334</v>
      </c>
      <c r="BQ44" s="128" t="str">
        <f t="shared" ref="BQ44:BQ75" si="56">IF(MOD($AA44,zapadalnosc_TOS)=0,"tak","nie")</f>
        <v>nie</v>
      </c>
      <c r="BR44" s="128">
        <f t="shared" ref="BR44:BR75" si="57">IF(MOD($AA44,zapadalnosc_TOS)=0,0,
IF(AND(MOD($AA44,zapadalnosc_TOS)&lt;zapadalnosc_TOS,MOD($AA44,zapadalnosc_TOS)&lt;=koszt_wczesniejszy_wykup_ochrona_TOS),
MIN(BP44-BM44,BK44*koszt_wczesniejszy_wykup_TOS),BK44*koszt_wczesniejszy_wykup_TOS))</f>
        <v>408.33333333334303</v>
      </c>
      <c r="BS44" s="128">
        <f t="shared" ref="BS44:BS55" si="58">BP44-BR44
-(BP44-BM44-BR44)*podatek_Belki</f>
        <v>100000</v>
      </c>
      <c r="BT44" s="128">
        <f>IF(AND(BQ44="tak",BL45&lt;&gt;""),
 BS44-BL45,
0)</f>
        <v>0</v>
      </c>
      <c r="BU44" s="130">
        <f t="shared" ref="BU44:BU75" si="59">INDEX(scenariusz_I_konto,MATCH(ROUNDUP($AA44/12,0),scenariusz_I_rok,0))</f>
        <v>4.4999999999999998E-2</v>
      </c>
      <c r="BV44" s="128">
        <f t="shared" ref="BV44:BV107" si="60">BV43*(1+BU44/12*(1-podatek_Belki))+BT44</f>
        <v>0</v>
      </c>
      <c r="BW44" s="128">
        <f t="shared" ref="BW44:BW87" si="61">BV43*(1+BU44/12*(1-podatek_Belki))+BS44</f>
        <v>100000</v>
      </c>
      <c r="BY44" s="129"/>
      <c r="BZ44" s="127">
        <f>zakup_domyslny_ilosc</f>
        <v>1000</v>
      </c>
      <c r="CA44" s="128">
        <f>zakup_domyslny_wartosc</f>
        <v>100000</v>
      </c>
      <c r="CB44" s="128">
        <f>zakup_domyslny_wartosc</f>
        <v>100000</v>
      </c>
      <c r="CC44" s="128">
        <f>CB44</f>
        <v>100000</v>
      </c>
      <c r="CD44" s="130">
        <f t="shared" ref="CD44:CD75" si="62">IF(AND(MOD($AA44,zapadalnosc_COI)&lt;=zmiana_oprocentowania_co_ile_mc_COI,MOD($AA44,zapadalnosc_COI)&lt;&gt;0),proc_I_okres_COI,(marza_COI+BY44))</f>
        <v>5.2499999999999998E-2</v>
      </c>
      <c r="CE44" s="128">
        <f t="shared" ref="CE44:CE75" si="63">CC44*(1+CD44*IF(MOD($AA44,wyplata_odsetek_COI)&lt;&gt;0,MOD($AA44,wyplata_odsetek_COI),wyplata_odsetek_COI)/12)</f>
        <v>100437.5</v>
      </c>
      <c r="CF44" s="128" t="str">
        <f t="shared" ref="CF44:CF75" si="64">IF(MOD($AA44,zapadalnosc_COI)=0,"tak","nie")</f>
        <v>nie</v>
      </c>
      <c r="CG44" s="128">
        <f t="shared" ref="CG44:CG75" si="65">IF(MOD($AA44,zapadalnosc_COI)=0,0,
IF(AND(MOD($AA44,zapadalnosc_COI)&lt;zapadalnosc_COI,MOD($AA44,zapadalnosc_COI)&lt;=koszt_wczesniejszy_wykup_ochrona_COI),
MIN(CE44-CB44,BZ44*koszt_wczesniejszy_wykup_COI),BZ44*koszt_wczesniejszy_wykup_COI))</f>
        <v>437.5</v>
      </c>
      <c r="CH44" s="128">
        <f t="shared" ref="CH44:CH55" si="66">CE44-CG44
-(CE44-CB44-CG44)*podatek_Belki</f>
        <v>100000</v>
      </c>
      <c r="CI44" s="128">
        <f t="shared" ref="CI44:CI75" si="67" xml:space="preserve"> IF(CF44="tak",
CH44-ROUNDDOWN(CH44/zamiana_COI,0)*zamiana_COI,
IF(MOD($AA44,wyplata_odsetek_COI)=0, (CE44-CB44)*(1-podatek_Belki),0))</f>
        <v>0</v>
      </c>
      <c r="CJ44" s="130">
        <f t="shared" ref="CJ44:CJ107" si="68">INDEX(scenariusz_I_konto,MATCH(ROUNDUP($AA44/12,0),scenariusz_I_rok,0))</f>
        <v>4.4999999999999998E-2</v>
      </c>
      <c r="CK44" s="128">
        <f t="shared" ref="CK44:CK75" si="69">(CK43-IF(CF43="tak",ROUNDDOWN(CK43/100,0)*100,0))*
(1+CJ44/12*(1-podatek_Belki))+CI44</f>
        <v>0</v>
      </c>
      <c r="CL44" s="128">
        <f t="shared" ref="CL44:CL75" si="70">(CK43-IF(MOD($AA43,zapadalnosc_COI)=0,ROUNDDOWN(CK43/100,0)*100,0))*(1+CJ44/12*(1-podatek_Belki))+CH44</f>
        <v>100000</v>
      </c>
      <c r="CN44" s="127">
        <f>zakup_domyslny_ilosc</f>
        <v>1000</v>
      </c>
      <c r="CO44" s="128">
        <f>zakup_domyslny_wartosc</f>
        <v>100000</v>
      </c>
      <c r="CP44" s="128">
        <f>zakup_domyslny_wartosc</f>
        <v>100000</v>
      </c>
      <c r="CQ44" s="128">
        <f>zakup_domyslny_wartosc</f>
        <v>100000</v>
      </c>
      <c r="CR44" s="130">
        <f t="shared" ref="CR44:CR75" si="71">IF(AND(MOD($AA44,zapadalnosc_EDO)&lt;=12,MOD($AA44,zapadalnosc_EDO)&lt;&gt;0),proc_I_okres_EDO,(marza_EDO+$BY44))</f>
        <v>5.7500000000000002E-2</v>
      </c>
      <c r="CS44" s="128">
        <f t="shared" ref="CS44:CS75" si="72">CQ44*(1+CR44*IF(MOD($AA44,12)&lt;&gt;0,MOD($AA44,12),12)/12)</f>
        <v>100479.16666666667</v>
      </c>
      <c r="CT44" s="128" t="str">
        <f t="shared" ref="CT44:CT75" si="73">IF(MOD($AA44,zapadalnosc_EDO)=0,"tak","nie")</f>
        <v>nie</v>
      </c>
      <c r="CU44" s="128">
        <f t="shared" ref="CU44:CU75" si="74">IF(AND(MOD($AA44,zapadalnosc_EDO)&lt;zapadalnosc_EDO,MOD($AA44,zapadalnosc_EDO)&lt;&gt;0),MIN(CS44-CP44,CN44*koszt_wczesniejszy_wykup_EDO),0)</f>
        <v>479.16666666667152</v>
      </c>
      <c r="CV44" s="128">
        <f t="shared" ref="CV44:CV75" si="75">CS44-CU44
-(CS44-CP44-CU44)*podatek_Belki</f>
        <v>100000</v>
      </c>
      <c r="CW44" s="128">
        <f t="shared" ref="CW44:CW107" si="76">IF(AND(CT44="tak",CO45&lt;&gt;""),
 CV44-CO45,
0)</f>
        <v>0</v>
      </c>
      <c r="CX44" s="130">
        <f t="shared" ref="CX44:CX75" si="77">INDEX(scenariusz_I_konto,MATCH(ROUNDUP($AA44/12,0),scenariusz_I_rok,0))</f>
        <v>4.4999999999999998E-2</v>
      </c>
      <c r="CY44" s="128">
        <f t="shared" ref="CY44:CY75" si="78">CY43*(1+CX44/12*(1-podatek_Belki))+CW44</f>
        <v>0</v>
      </c>
      <c r="CZ44" s="128">
        <f t="shared" ref="CZ44:CZ75" si="79">CY43*(1+CX44/12*(1-podatek_Belki))+CV44</f>
        <v>100000</v>
      </c>
      <c r="DA44" s="20"/>
      <c r="DB44" s="127">
        <f>zakup_domyslny_ilosc</f>
        <v>1000</v>
      </c>
      <c r="DC44" s="128">
        <f>zakup_domyslny_wartosc</f>
        <v>100000</v>
      </c>
      <c r="DD44" s="128">
        <f>zakup_domyslny_wartosc</f>
        <v>100000</v>
      </c>
      <c r="DE44" s="128">
        <f>zakup_domyslny_wartosc</f>
        <v>100000</v>
      </c>
      <c r="DF44" s="130">
        <f t="shared" ref="DF44:DF75" si="80">IF(AND(MOD($AA44,zapadalnosc_ROS)&lt;=12,MOD($AA44,zapadalnosc_ROS)&lt;&gt;0),proc_I_okres_ROS,(marza_ROS+$BY44))</f>
        <v>5.45E-2</v>
      </c>
      <c r="DG44" s="128">
        <f t="shared" ref="DG44:DG75" si="81">DE44*(1+DF44*IF(MOD($AA44,12)&lt;&gt;0,MOD($AA44,12),12)/12)</f>
        <v>100454.16666666667</v>
      </c>
      <c r="DH44" s="128" t="str">
        <f t="shared" ref="DH44:DH75" si="82">IF(MOD($AA44,zapadalnosc_ROS)=0,"tak","nie")</f>
        <v>nie</v>
      </c>
      <c r="DI44" s="128">
        <f t="shared" ref="DI44:DI75" si="83">IF(AND(MOD($AA44,zapadalnosc_ROS)&lt;zapadalnosc_ROS,MOD($AA44,zapadalnosc_ROS)&lt;&gt;0),MIN(DG44-DD44,DB44*koszt_wczesniejszy_wykup_ROS),0)</f>
        <v>454.16666666667152</v>
      </c>
      <c r="DJ44" s="128">
        <f t="shared" ref="DJ44:DJ75" si="84">DG44-DI44
-(DG44-DD44-DI44)*podatek_Belki</f>
        <v>100000</v>
      </c>
      <c r="DK44" s="128">
        <f t="shared" ref="DK44:DK107" si="85">IF(AND(DH44="tak",DC45&lt;&gt;""),
 DJ44-DC45,
0)</f>
        <v>0</v>
      </c>
      <c r="DL44" s="130">
        <f t="shared" ref="DL44:DL75" si="86">INDEX(scenariusz_I_konto,MATCH(ROUNDUP($AA44/12,0),scenariusz_I_rok,0))</f>
        <v>4.4999999999999998E-2</v>
      </c>
      <c r="DM44" s="128">
        <f t="shared" ref="DM44:DM75" si="87">DM43*(1+DL44/12*(1-podatek_Belki))+DK44</f>
        <v>0</v>
      </c>
      <c r="DN44" s="128">
        <f t="shared" ref="DN44:DN75" si="88">DM43*(1+DL44/12*(1-podatek_Belki))+DJ44</f>
        <v>100000</v>
      </c>
      <c r="DP44" s="127">
        <f>zakup_domyslny_ilosc</f>
        <v>1000</v>
      </c>
      <c r="DQ44" s="128">
        <f>zakup_domyslny_wartosc</f>
        <v>100000</v>
      </c>
      <c r="DR44" s="128">
        <f>zakup_domyslny_wartosc</f>
        <v>100000</v>
      </c>
      <c r="DS44" s="128">
        <f>zakup_domyslny_wartosc</f>
        <v>100000</v>
      </c>
      <c r="DT44" s="130">
        <f t="shared" ref="DT44:DT75" si="89">IF(AND(MOD($AA44,zapadalnosc_ROD)&lt;=12,MOD($AA44,zapadalnosc_ROD)&lt;&gt;0),proc_I_okres_ROD,(marza_ROD+$BY44))</f>
        <v>0.06</v>
      </c>
      <c r="DU44" s="128">
        <f t="shared" ref="DU44:DU75" si="90">DS44*(1+DT44*IF(MOD($AA44,12)&lt;&gt;0,MOD($AA44,12),12)/12)</f>
        <v>100499.99999999999</v>
      </c>
      <c r="DV44" s="128" t="str">
        <f t="shared" ref="DV44:DV75" si="91">IF(MOD($AA44,zapadalnosc_ROD)=0,"tak","nie")</f>
        <v>nie</v>
      </c>
      <c r="DW44" s="128">
        <f t="shared" ref="DW44:DW75" si="92">IF(AND(MOD($AA44,zapadalnosc_ROD)&lt;zapadalnosc_ROD,MOD($AA44,zapadalnosc_ROD)&lt;&gt;0),MIN(DU44-DR44,DP44*koszt_wczesniejszy_wykup_ROD),0)</f>
        <v>499.99999999998545</v>
      </c>
      <c r="DX44" s="128">
        <f t="shared" ref="DX44:DX107" si="93">DU44-DW44
-(DU44-DR44-DW44)*podatek_Belki</f>
        <v>100000</v>
      </c>
      <c r="DY44" s="128">
        <f t="shared" ref="DY44:DY107" si="94">IF(AND(DV44="tak",DQ45&lt;&gt;""),
 DX44-DQ45,
0)</f>
        <v>0</v>
      </c>
      <c r="DZ44" s="130">
        <f t="shared" ref="DZ44:DZ75" si="95">INDEX(scenariusz_I_konto,MATCH(ROUNDUP($AA44/12,0),scenariusz_I_rok,0))</f>
        <v>4.4999999999999998E-2</v>
      </c>
      <c r="EA44" s="128">
        <f t="shared" ref="EA44:EA75" si="96">EA43*(1+DZ44/12*(1-podatek_Belki))+DY44</f>
        <v>0</v>
      </c>
      <c r="EB44" s="128">
        <f t="shared" ref="EB44:EB75" si="97">EA43*(1+DZ44/12*(1-podatek_Belki))+DX44</f>
        <v>100000</v>
      </c>
    </row>
    <row r="45" spans="1:140" ht="14.45" customHeight="1">
      <c r="A45" s="212">
        <f>ROUNDUP(B56/12,0)</f>
        <v>1</v>
      </c>
      <c r="B45" s="188">
        <f t="shared" ref="B45:B76" si="98">AA44</f>
        <v>1</v>
      </c>
      <c r="C45" s="128">
        <f t="shared" ref="C45:C76" si="99">AQ44</f>
        <v>100000</v>
      </c>
      <c r="D45" s="128">
        <f t="shared" ref="D45:D76" si="100">BG44</f>
        <v>100000</v>
      </c>
      <c r="E45" s="128">
        <f t="shared" ref="E45:E76" si="101">BW44</f>
        <v>100000</v>
      </c>
      <c r="F45" s="128">
        <f t="shared" ref="F45:F76" si="102">CL44</f>
        <v>100000</v>
      </c>
      <c r="G45" s="128">
        <f t="shared" ref="G45:G76" si="103">CZ44</f>
        <v>100000</v>
      </c>
      <c r="H45" s="128">
        <f t="shared" ref="H45:H76" si="104">DN44</f>
        <v>100000</v>
      </c>
      <c r="I45" s="128">
        <f t="shared" ref="I45:I76" si="105">EB44</f>
        <v>100000</v>
      </c>
      <c r="J45" s="128">
        <f t="shared" ref="J45:J76" si="106">FV(INDEX(scenariusz_I_konto,MATCH(ROUNDUP(B45/12,0),scenariusz_I_rok,0))/12*(1-podatek_Belki),1,0,-J44,1)</f>
        <v>100303.75</v>
      </c>
      <c r="K45" s="128">
        <f t="shared" ref="K45:K76" si="107">AB44</f>
        <v>100241.66666666667</v>
      </c>
      <c r="M45" s="36"/>
      <c r="N45" s="32">
        <f t="shared" ref="N45:N76" si="108">B45</f>
        <v>1</v>
      </c>
      <c r="O45" s="25">
        <f t="shared" ref="O45:O108" si="109">C45/zakup_domyslny_wartosc-1</f>
        <v>0</v>
      </c>
      <c r="P45" s="25">
        <f t="shared" ref="P45:P108" si="110">D45/zakup_domyslny_wartosc-1</f>
        <v>0</v>
      </c>
      <c r="Q45" s="25">
        <f t="shared" ref="Q45:Q108" si="111">E45/zakup_domyslny_wartosc-1</f>
        <v>0</v>
      </c>
      <c r="R45" s="25">
        <f t="shared" si="30"/>
        <v>0</v>
      </c>
      <c r="S45" s="25">
        <f t="shared" si="31"/>
        <v>0</v>
      </c>
      <c r="T45" s="25">
        <f t="shared" si="32"/>
        <v>0</v>
      </c>
      <c r="U45" s="25">
        <f t="shared" si="33"/>
        <v>0</v>
      </c>
      <c r="V45" s="25">
        <f t="shared" si="34"/>
        <v>3.0375000000000263E-3</v>
      </c>
      <c r="W45" s="25">
        <f t="shared" ref="W45:W75" si="112">K45/zakup_domyslny_wartosc-1</f>
        <v>2.4166666666667336E-3</v>
      </c>
      <c r="X45" s="36"/>
      <c r="AA45" s="124">
        <f t="shared" ref="AA45:AA108" si="113">AA44+1</f>
        <v>2</v>
      </c>
      <c r="AB45" s="128">
        <f t="shared" si="35"/>
        <v>100483.33333333333</v>
      </c>
      <c r="AC45" s="124">
        <f t="shared" ref="AC45:AC108" si="114">AC44+1</f>
        <v>2</v>
      </c>
      <c r="AD45" s="130">
        <f t="shared" ref="AD45:AD76" si="115">MAX(INDEX(scenariusz_I_stopa_NBP,MATCH(ROUNDUP(AC45/12,0),scenariusz_I_rok,0)),0)</f>
        <v>4.4999999999999998E-2</v>
      </c>
      <c r="AE45" s="127">
        <f t="shared" ref="AE45:AE76" si="116">IF(AK44="tak",
ROUNDDOWN(AM44/zamiana_ROR,0)+ROUNDDOWN(AP44/100,0),
AE44)</f>
        <v>1000</v>
      </c>
      <c r="AF45" s="128">
        <f t="shared" ref="AF45:AF76" si="117">IF(AK44="tak",
ROUNDDOWN(AM44/zamiana_ROR,0)*zamiana_ROR+ROUNDDOWN(AP44/100,0)*100,
AF44)</f>
        <v>100000</v>
      </c>
      <c r="AG45" s="128">
        <f>IF(AK44="tak",
AE45*100,
AG44)</f>
        <v>100000</v>
      </c>
      <c r="AH45" s="128">
        <f t="shared" ref="AH45:AH108" si="118">AG45</f>
        <v>100000</v>
      </c>
      <c r="AI45" s="130">
        <f t="shared" si="36"/>
        <v>4.4999999999999998E-2</v>
      </c>
      <c r="AJ45" s="128">
        <f t="shared" si="37"/>
        <v>100374.99999999999</v>
      </c>
      <c r="AK45" s="128" t="str">
        <f t="shared" si="38"/>
        <v>nie</v>
      </c>
      <c r="AL45" s="128">
        <f t="shared" si="39"/>
        <v>500</v>
      </c>
      <c r="AM45" s="128">
        <f t="shared" si="40"/>
        <v>99898.749999999985</v>
      </c>
      <c r="AN45" s="128">
        <f t="shared" si="41"/>
        <v>303.74999999998823</v>
      </c>
      <c r="AO45" s="130">
        <f t="shared" si="42"/>
        <v>4.4999999999999998E-2</v>
      </c>
      <c r="AP45" s="128">
        <f t="shared" si="43"/>
        <v>608.42264062497645</v>
      </c>
      <c r="AQ45" s="128">
        <f t="shared" si="44"/>
        <v>100203.42264062498</v>
      </c>
      <c r="AS45" s="124">
        <f t="shared" ref="AS45:AS108" si="119">AS44+1</f>
        <v>2</v>
      </c>
      <c r="AT45" s="130">
        <f t="shared" ref="AT45:AT108" si="120">MAX(INDEX(scenariusz_I_stopa_NBP,MATCH(ROUNDUP(AS45/12,0),scenariusz_I_rok,0)),0)</f>
        <v>4.4999999999999998E-2</v>
      </c>
      <c r="AU45" s="127">
        <f t="shared" ref="AU45:AU76" si="121">IF(BA44="tak",
ROUNDDOWN(BC44/zamiana_DOR,0)+ROUNDDOWN(BF44/100,0),
AU44)</f>
        <v>1000</v>
      </c>
      <c r="AV45" s="128">
        <f t="shared" ref="AV45:AV76" si="122">IF(BA44="tak",
ROUNDDOWN(BC44/zamiana_DOR,0)*zamiana_DOR+ROUNDDOWN(BF44/100,0)*100,
AV44)</f>
        <v>100000</v>
      </c>
      <c r="AW45" s="128">
        <f>IF(BA44="tak",
AU45*100,
AW44)</f>
        <v>100000</v>
      </c>
      <c r="AX45" s="128">
        <f t="shared" ref="AX45:AX108" si="123">AW45</f>
        <v>100000</v>
      </c>
      <c r="AY45" s="130">
        <f t="shared" si="45"/>
        <v>4.65E-2</v>
      </c>
      <c r="AZ45" s="128">
        <f t="shared" si="46"/>
        <v>100387.50000000001</v>
      </c>
      <c r="BA45" s="128" t="str">
        <f t="shared" si="47"/>
        <v>nie</v>
      </c>
      <c r="BB45" s="128">
        <f t="shared" si="48"/>
        <v>700</v>
      </c>
      <c r="BC45" s="128">
        <f t="shared" si="49"/>
        <v>99746.875000000015</v>
      </c>
      <c r="BD45" s="128">
        <f t="shared" si="50"/>
        <v>313.87500000001182</v>
      </c>
      <c r="BE45" s="130">
        <f t="shared" si="51"/>
        <v>4.4999999999999998E-2</v>
      </c>
      <c r="BF45" s="128">
        <f t="shared" si="52"/>
        <v>628.70339531252375</v>
      </c>
      <c r="BG45" s="128">
        <f t="shared" si="53"/>
        <v>100061.70339531252</v>
      </c>
      <c r="BI45" s="124">
        <f t="shared" ref="BI45:BI108" si="124">BI44+1</f>
        <v>2</v>
      </c>
      <c r="BJ45" s="129"/>
      <c r="BK45" s="127">
        <f t="shared" ref="BK45:BK76" si="125">IF(BQ44="tak",
ROUNDDOWN(BS44/zamiana_TOS,0),
BK44)</f>
        <v>1000</v>
      </c>
      <c r="BL45" s="128">
        <f t="shared" ref="BL45:BL76" si="126">IF(BQ44="tak",
BK45*zamiana_TOS,
BL44)</f>
        <v>100000</v>
      </c>
      <c r="BM45" s="128">
        <f>IF(BQ44="tak",
BK45*100,
BM44)</f>
        <v>100000</v>
      </c>
      <c r="BN45" s="128">
        <f t="shared" ref="BN45:BN76" si="127">IF(BQ44="tak",
 BM45,
IF(MOD($AA45,kapitalizacja_odsetek_mc_ROS)&lt;&gt;1,BN44,BP44))</f>
        <v>100000</v>
      </c>
      <c r="BO45" s="130">
        <f t="shared" si="54"/>
        <v>4.9000000000000002E-2</v>
      </c>
      <c r="BP45" s="128">
        <f t="shared" si="55"/>
        <v>100816.66666666667</v>
      </c>
      <c r="BQ45" s="128" t="str">
        <f t="shared" si="56"/>
        <v>nie</v>
      </c>
      <c r="BR45" s="128">
        <f t="shared" si="57"/>
        <v>816.66666666667152</v>
      </c>
      <c r="BS45" s="128">
        <f t="shared" si="58"/>
        <v>100000</v>
      </c>
      <c r="BT45" s="128">
        <f t="shared" ref="BT45:BT108" si="128">IF(AND(BQ45="tak",BL46&lt;&gt;""),
 BS45-BL46,
0)</f>
        <v>0</v>
      </c>
      <c r="BU45" s="130">
        <f t="shared" si="59"/>
        <v>4.4999999999999998E-2</v>
      </c>
      <c r="BV45" s="128">
        <f t="shared" si="60"/>
        <v>0</v>
      </c>
      <c r="BW45" s="128">
        <f t="shared" si="61"/>
        <v>100000</v>
      </c>
      <c r="BY45" s="129"/>
      <c r="BZ45" s="127">
        <f t="shared" ref="BZ45:BZ76" si="129">IF(CF44="tak",
ROUNDDOWN(CH44/zamiana_COI,0)+ROUNDDOWN(CK44/100,0),
BZ44)</f>
        <v>1000</v>
      </c>
      <c r="CA45" s="128">
        <f t="shared" ref="CA45:CA76" si="130">IF(CF44="tak",
ROUNDDOWN(CH44/zamiana_COI,0)*zamiana_COI+ROUNDDOWN(CK44/100,0)*100,
CA44)</f>
        <v>100000</v>
      </c>
      <c r="CB45" s="128">
        <f>IF(CF44="tak",
BZ45*100,
CB44)</f>
        <v>100000</v>
      </c>
      <c r="CC45" s="128">
        <f t="shared" ref="CC45:CC108" si="131">CB45</f>
        <v>100000</v>
      </c>
      <c r="CD45" s="130">
        <f t="shared" si="62"/>
        <v>5.2499999999999998E-2</v>
      </c>
      <c r="CE45" s="128">
        <f t="shared" si="63"/>
        <v>100875</v>
      </c>
      <c r="CF45" s="128" t="str">
        <f t="shared" si="64"/>
        <v>nie</v>
      </c>
      <c r="CG45" s="128">
        <f t="shared" si="65"/>
        <v>875</v>
      </c>
      <c r="CH45" s="128">
        <f t="shared" si="66"/>
        <v>100000</v>
      </c>
      <c r="CI45" s="128">
        <f t="shared" si="67"/>
        <v>0</v>
      </c>
      <c r="CJ45" s="130">
        <f t="shared" si="68"/>
        <v>4.4999999999999998E-2</v>
      </c>
      <c r="CK45" s="128">
        <f t="shared" si="69"/>
        <v>0</v>
      </c>
      <c r="CL45" s="128">
        <f t="shared" si="70"/>
        <v>100000</v>
      </c>
      <c r="CN45" s="127">
        <f t="shared" ref="CN45:CN76" si="132">IF(CT44="tak",
ROUNDDOWN(CV44/zamiana_EDO,0),
CN44)</f>
        <v>1000</v>
      </c>
      <c r="CO45" s="128">
        <f t="shared" ref="CO45:CO76" si="133">IF(CT44="tak",
CN45*zamiana_EDO,
CO44)</f>
        <v>100000</v>
      </c>
      <c r="CP45" s="128">
        <f t="shared" ref="CP45:CP108" si="134">IF(CT44="tak",
CN45*100,
CP44)</f>
        <v>100000</v>
      </c>
      <c r="CQ45" s="128">
        <f t="shared" ref="CQ45:CQ76" si="135">IF(CT44="tak",
 CP45,
IF(MOD($AA45,kapitalizacja_odsetek_mc_EDO)&lt;&gt;1,CQ44,CS44))</f>
        <v>100000</v>
      </c>
      <c r="CR45" s="130">
        <f t="shared" si="71"/>
        <v>5.7500000000000002E-2</v>
      </c>
      <c r="CS45" s="128">
        <f t="shared" si="72"/>
        <v>100958.33333333333</v>
      </c>
      <c r="CT45" s="128" t="str">
        <f t="shared" si="73"/>
        <v>nie</v>
      </c>
      <c r="CU45" s="128">
        <f t="shared" si="74"/>
        <v>958.33333333332848</v>
      </c>
      <c r="CV45" s="128">
        <f t="shared" si="75"/>
        <v>100000</v>
      </c>
      <c r="CW45" s="128">
        <f t="shared" si="76"/>
        <v>0</v>
      </c>
      <c r="CX45" s="130">
        <f t="shared" si="77"/>
        <v>4.4999999999999998E-2</v>
      </c>
      <c r="CY45" s="128">
        <f t="shared" si="78"/>
        <v>0</v>
      </c>
      <c r="CZ45" s="128">
        <f t="shared" si="79"/>
        <v>100000</v>
      </c>
      <c r="DA45" s="20"/>
      <c r="DB45" s="127">
        <f>IF(DH44="tak",
ROUNDDOWN(DJ44/100,0),
DB44)</f>
        <v>1000</v>
      </c>
      <c r="DC45" s="128">
        <f>IF(DH44="tak",
DB45*100,
DC44)</f>
        <v>100000</v>
      </c>
      <c r="DD45" s="128">
        <f t="shared" ref="DD45:DD108" si="136">IF(DH44="tak",
DB45*100,
DD44)</f>
        <v>100000</v>
      </c>
      <c r="DE45" s="128">
        <f t="shared" ref="DE45:DE76" si="137">IF(DH44="tak",
 DD45,
IF(MOD($AA45,kapitalizacja_odsetek_mc_ROS)&lt;&gt;1,DE44,DG44))</f>
        <v>100000</v>
      </c>
      <c r="DF45" s="130">
        <f t="shared" si="80"/>
        <v>5.45E-2</v>
      </c>
      <c r="DG45" s="128">
        <f t="shared" si="81"/>
        <v>100908.33333333333</v>
      </c>
      <c r="DH45" s="128" t="str">
        <f t="shared" si="82"/>
        <v>nie</v>
      </c>
      <c r="DI45" s="128">
        <f t="shared" si="83"/>
        <v>908.33333333332848</v>
      </c>
      <c r="DJ45" s="128">
        <f t="shared" si="84"/>
        <v>100000</v>
      </c>
      <c r="DK45" s="128">
        <f t="shared" si="85"/>
        <v>0</v>
      </c>
      <c r="DL45" s="130">
        <f t="shared" si="86"/>
        <v>4.4999999999999998E-2</v>
      </c>
      <c r="DM45" s="128">
        <f t="shared" si="87"/>
        <v>0</v>
      </c>
      <c r="DN45" s="128">
        <f>DM44*(1+DL45/12*(1-podatek_Belki))+DJ45</f>
        <v>100000</v>
      </c>
      <c r="DP45" s="127">
        <f>IF(DV44="tak",
ROUNDDOWN(DX44/100,0),
DP44)</f>
        <v>1000</v>
      </c>
      <c r="DQ45" s="128">
        <f>IF(DV44="tak",
DP45*100,
DQ44)</f>
        <v>100000</v>
      </c>
      <c r="DR45" s="128">
        <f t="shared" ref="DR45:DR108" si="138">IF(DV44="tak",
DP45*100,
DR44)</f>
        <v>100000</v>
      </c>
      <c r="DS45" s="128">
        <f t="shared" ref="DS45:DS76" si="139">IF(DV44="tak",
 DR45,
IF(MOD($AA45,kapitalizacja_odsetek_mc_ROD)&lt;&gt;1,DS44,DU44))</f>
        <v>100000</v>
      </c>
      <c r="DT45" s="130">
        <f t="shared" si="89"/>
        <v>0.06</v>
      </c>
      <c r="DU45" s="128">
        <f t="shared" si="90"/>
        <v>101000</v>
      </c>
      <c r="DV45" s="128" t="str">
        <f t="shared" si="91"/>
        <v>nie</v>
      </c>
      <c r="DW45" s="128">
        <f t="shared" si="92"/>
        <v>1000</v>
      </c>
      <c r="DX45" s="128">
        <f t="shared" si="93"/>
        <v>100000</v>
      </c>
      <c r="DY45" s="128">
        <f t="shared" si="94"/>
        <v>0</v>
      </c>
      <c r="DZ45" s="130">
        <f t="shared" si="95"/>
        <v>4.4999999999999998E-2</v>
      </c>
      <c r="EA45" s="128">
        <f t="shared" si="96"/>
        <v>0</v>
      </c>
      <c r="EB45" s="128">
        <f t="shared" si="97"/>
        <v>100000</v>
      </c>
    </row>
    <row r="46" spans="1:140">
      <c r="A46" s="212"/>
      <c r="B46" s="188">
        <f t="shared" si="98"/>
        <v>2</v>
      </c>
      <c r="C46" s="128">
        <f t="shared" si="99"/>
        <v>100203.42264062498</v>
      </c>
      <c r="D46" s="128">
        <f t="shared" si="100"/>
        <v>100061.70339531252</v>
      </c>
      <c r="E46" s="128">
        <f t="shared" si="101"/>
        <v>100000</v>
      </c>
      <c r="F46" s="128">
        <f t="shared" si="102"/>
        <v>100000</v>
      </c>
      <c r="G46" s="128">
        <f t="shared" si="103"/>
        <v>100000</v>
      </c>
      <c r="H46" s="128">
        <f t="shared" si="104"/>
        <v>100000</v>
      </c>
      <c r="I46" s="128">
        <f t="shared" si="105"/>
        <v>100000</v>
      </c>
      <c r="J46" s="128">
        <f t="shared" si="106"/>
        <v>100608.42264062501</v>
      </c>
      <c r="K46" s="128">
        <f t="shared" si="107"/>
        <v>100483.33333333333</v>
      </c>
      <c r="M46" s="36"/>
      <c r="N46" s="32">
        <f t="shared" si="108"/>
        <v>2</v>
      </c>
      <c r="O46" s="25">
        <f t="shared" si="109"/>
        <v>2.0342264062498394E-3</v>
      </c>
      <c r="P46" s="25">
        <f t="shared" si="110"/>
        <v>6.1703395312528997E-4</v>
      </c>
      <c r="Q46" s="25">
        <f t="shared" si="111"/>
        <v>0</v>
      </c>
      <c r="R46" s="25">
        <f t="shared" si="30"/>
        <v>0</v>
      </c>
      <c r="S46" s="25">
        <f t="shared" si="31"/>
        <v>0</v>
      </c>
      <c r="T46" s="25">
        <f t="shared" si="32"/>
        <v>0</v>
      </c>
      <c r="U46" s="25">
        <f t="shared" si="33"/>
        <v>0</v>
      </c>
      <c r="V46" s="25">
        <f t="shared" si="34"/>
        <v>6.0842264062501705E-3</v>
      </c>
      <c r="W46" s="25">
        <f t="shared" si="112"/>
        <v>4.8333333333332451E-3</v>
      </c>
      <c r="X46" s="36"/>
      <c r="AA46" s="124">
        <f t="shared" si="113"/>
        <v>3</v>
      </c>
      <c r="AB46" s="128">
        <f t="shared" si="35"/>
        <v>100725</v>
      </c>
      <c r="AC46" s="124">
        <f t="shared" si="114"/>
        <v>3</v>
      </c>
      <c r="AD46" s="130">
        <f t="shared" si="115"/>
        <v>4.4999999999999998E-2</v>
      </c>
      <c r="AE46" s="127">
        <f t="shared" si="116"/>
        <v>1000</v>
      </c>
      <c r="AF46" s="128">
        <f t="shared" si="117"/>
        <v>100000</v>
      </c>
      <c r="AG46" s="128">
        <f t="shared" ref="AG46:AG109" si="140">IF(AK45="tak",
AE46*100,
AG45)</f>
        <v>100000</v>
      </c>
      <c r="AH46" s="128">
        <f t="shared" si="118"/>
        <v>100000</v>
      </c>
      <c r="AI46" s="130">
        <f t="shared" si="36"/>
        <v>4.4999999999999998E-2</v>
      </c>
      <c r="AJ46" s="128">
        <f t="shared" si="37"/>
        <v>100374.99999999999</v>
      </c>
      <c r="AK46" s="128" t="str">
        <f t="shared" si="38"/>
        <v>nie</v>
      </c>
      <c r="AL46" s="128">
        <f t="shared" si="39"/>
        <v>500</v>
      </c>
      <c r="AM46" s="128">
        <f t="shared" si="40"/>
        <v>99898.749999999985</v>
      </c>
      <c r="AN46" s="128">
        <f t="shared" si="41"/>
        <v>303.74999999998823</v>
      </c>
      <c r="AO46" s="130">
        <f t="shared" si="42"/>
        <v>4.4999999999999998E-2</v>
      </c>
      <c r="AP46" s="128">
        <f t="shared" si="43"/>
        <v>914.020724395863</v>
      </c>
      <c r="AQ46" s="128">
        <f t="shared" si="44"/>
        <v>100509.02072439586</v>
      </c>
      <c r="AS46" s="124">
        <f t="shared" si="119"/>
        <v>3</v>
      </c>
      <c r="AT46" s="130">
        <f t="shared" si="120"/>
        <v>4.4999999999999998E-2</v>
      </c>
      <c r="AU46" s="127">
        <f t="shared" si="121"/>
        <v>1000</v>
      </c>
      <c r="AV46" s="128">
        <f t="shared" si="122"/>
        <v>100000</v>
      </c>
      <c r="AW46" s="128">
        <f t="shared" ref="AW46:AW55" si="141">IF(BA45="tak",
AU46*100,
AW45)</f>
        <v>100000</v>
      </c>
      <c r="AX46" s="128">
        <f t="shared" si="123"/>
        <v>100000</v>
      </c>
      <c r="AY46" s="130">
        <f t="shared" si="45"/>
        <v>4.65E-2</v>
      </c>
      <c r="AZ46" s="128">
        <f t="shared" si="46"/>
        <v>100387.50000000001</v>
      </c>
      <c r="BA46" s="128" t="str">
        <f t="shared" si="47"/>
        <v>nie</v>
      </c>
      <c r="BB46" s="128">
        <f t="shared" si="48"/>
        <v>700</v>
      </c>
      <c r="BC46" s="128">
        <f t="shared" si="49"/>
        <v>99746.875000000015</v>
      </c>
      <c r="BD46" s="128">
        <f t="shared" si="50"/>
        <v>313.87500000001182</v>
      </c>
      <c r="BE46" s="130">
        <f t="shared" si="51"/>
        <v>4.4999999999999998E-2</v>
      </c>
      <c r="BF46" s="128">
        <f t="shared" si="52"/>
        <v>944.48808187579743</v>
      </c>
      <c r="BG46" s="128">
        <f t="shared" si="53"/>
        <v>100377.4880818758</v>
      </c>
      <c r="BI46" s="124">
        <f t="shared" si="124"/>
        <v>3</v>
      </c>
      <c r="BJ46" s="129"/>
      <c r="BK46" s="127">
        <f t="shared" si="125"/>
        <v>1000</v>
      </c>
      <c r="BL46" s="128">
        <f t="shared" si="126"/>
        <v>100000</v>
      </c>
      <c r="BM46" s="128">
        <f t="shared" ref="BM46:BM109" si="142">IF(BQ45="tak",
BK46*100,
BM45)</f>
        <v>100000</v>
      </c>
      <c r="BN46" s="128">
        <f t="shared" si="127"/>
        <v>100000</v>
      </c>
      <c r="BO46" s="130">
        <f t="shared" si="54"/>
        <v>4.9000000000000002E-2</v>
      </c>
      <c r="BP46" s="128">
        <f t="shared" si="55"/>
        <v>101225.00000000001</v>
      </c>
      <c r="BQ46" s="128" t="str">
        <f t="shared" si="56"/>
        <v>nie</v>
      </c>
      <c r="BR46" s="128">
        <f t="shared" si="57"/>
        <v>1000</v>
      </c>
      <c r="BS46" s="128">
        <f t="shared" si="58"/>
        <v>100182.25000000001</v>
      </c>
      <c r="BT46" s="128">
        <f t="shared" si="128"/>
        <v>0</v>
      </c>
      <c r="BU46" s="130">
        <f t="shared" si="59"/>
        <v>4.4999999999999998E-2</v>
      </c>
      <c r="BV46" s="128">
        <f t="shared" si="60"/>
        <v>0</v>
      </c>
      <c r="BW46" s="128">
        <f t="shared" si="61"/>
        <v>100182.25000000001</v>
      </c>
      <c r="BY46" s="129"/>
      <c r="BZ46" s="127">
        <f t="shared" si="129"/>
        <v>1000</v>
      </c>
      <c r="CA46" s="128">
        <f t="shared" si="130"/>
        <v>100000</v>
      </c>
      <c r="CB46" s="128">
        <f t="shared" ref="CB46:CB55" si="143">IF(CF45="tak",
BZ46*100,
CB45)</f>
        <v>100000</v>
      </c>
      <c r="CC46" s="128">
        <f t="shared" si="131"/>
        <v>100000</v>
      </c>
      <c r="CD46" s="130">
        <f t="shared" si="62"/>
        <v>5.2499999999999998E-2</v>
      </c>
      <c r="CE46" s="128">
        <f t="shared" si="63"/>
        <v>101312.5</v>
      </c>
      <c r="CF46" s="128" t="str">
        <f t="shared" si="64"/>
        <v>nie</v>
      </c>
      <c r="CG46" s="128">
        <f t="shared" si="65"/>
        <v>1312.5</v>
      </c>
      <c r="CH46" s="128">
        <f t="shared" si="66"/>
        <v>100000</v>
      </c>
      <c r="CI46" s="128">
        <f t="shared" si="67"/>
        <v>0</v>
      </c>
      <c r="CJ46" s="130">
        <f t="shared" si="68"/>
        <v>4.4999999999999998E-2</v>
      </c>
      <c r="CK46" s="128">
        <f t="shared" si="69"/>
        <v>0</v>
      </c>
      <c r="CL46" s="128">
        <f t="shared" si="70"/>
        <v>100000</v>
      </c>
      <c r="CN46" s="127">
        <f t="shared" si="132"/>
        <v>1000</v>
      </c>
      <c r="CO46" s="128">
        <f t="shared" si="133"/>
        <v>100000</v>
      </c>
      <c r="CP46" s="128">
        <f t="shared" si="134"/>
        <v>100000</v>
      </c>
      <c r="CQ46" s="128">
        <f t="shared" si="135"/>
        <v>100000</v>
      </c>
      <c r="CR46" s="130">
        <f t="shared" si="71"/>
        <v>5.7500000000000002E-2</v>
      </c>
      <c r="CS46" s="128">
        <f t="shared" si="72"/>
        <v>101437.5</v>
      </c>
      <c r="CT46" s="128" t="str">
        <f t="shared" si="73"/>
        <v>nie</v>
      </c>
      <c r="CU46" s="128">
        <f t="shared" si="74"/>
        <v>1437.5</v>
      </c>
      <c r="CV46" s="128">
        <f t="shared" si="75"/>
        <v>100000</v>
      </c>
      <c r="CW46" s="128">
        <f t="shared" si="76"/>
        <v>0</v>
      </c>
      <c r="CX46" s="130">
        <f t="shared" si="77"/>
        <v>4.4999999999999998E-2</v>
      </c>
      <c r="CY46" s="128">
        <f t="shared" si="78"/>
        <v>0</v>
      </c>
      <c r="CZ46" s="128">
        <f t="shared" si="79"/>
        <v>100000</v>
      </c>
      <c r="DA46" s="20"/>
      <c r="DB46" s="127">
        <f t="shared" ref="DB46:DB109" si="144">IF(DH45="tak",
ROUNDDOWN(DJ45/100,0),
DB45)</f>
        <v>1000</v>
      </c>
      <c r="DC46" s="128">
        <f t="shared" ref="DC46:DC109" si="145">IF(DH45="tak",
DB46*100,
DC45)</f>
        <v>100000</v>
      </c>
      <c r="DD46" s="128">
        <f t="shared" si="136"/>
        <v>100000</v>
      </c>
      <c r="DE46" s="128">
        <f t="shared" si="137"/>
        <v>100000</v>
      </c>
      <c r="DF46" s="130">
        <f t="shared" si="80"/>
        <v>5.45E-2</v>
      </c>
      <c r="DG46" s="128">
        <f t="shared" si="81"/>
        <v>101362.5</v>
      </c>
      <c r="DH46" s="128" t="str">
        <f t="shared" si="82"/>
        <v>nie</v>
      </c>
      <c r="DI46" s="128">
        <f t="shared" si="83"/>
        <v>1362.5</v>
      </c>
      <c r="DJ46" s="128">
        <f t="shared" si="84"/>
        <v>100000</v>
      </c>
      <c r="DK46" s="128">
        <f t="shared" si="85"/>
        <v>0</v>
      </c>
      <c r="DL46" s="130">
        <f t="shared" si="86"/>
        <v>4.4999999999999998E-2</v>
      </c>
      <c r="DM46" s="128">
        <f t="shared" si="87"/>
        <v>0</v>
      </c>
      <c r="DN46" s="128">
        <f t="shared" si="88"/>
        <v>100000</v>
      </c>
      <c r="DP46" s="127">
        <f t="shared" ref="DP46:DP109" si="146">IF(DV45="tak",
ROUNDDOWN(DX45/100,0),
DP45)</f>
        <v>1000</v>
      </c>
      <c r="DQ46" s="128">
        <f t="shared" ref="DQ46:DQ109" si="147">IF(DV45="tak",
DP46*100,
DQ45)</f>
        <v>100000</v>
      </c>
      <c r="DR46" s="128">
        <f t="shared" si="138"/>
        <v>100000</v>
      </c>
      <c r="DS46" s="128">
        <f t="shared" si="139"/>
        <v>100000</v>
      </c>
      <c r="DT46" s="130">
        <f t="shared" si="89"/>
        <v>0.06</v>
      </c>
      <c r="DU46" s="128">
        <f t="shared" si="90"/>
        <v>101499.99999999999</v>
      </c>
      <c r="DV46" s="128" t="str">
        <f t="shared" si="91"/>
        <v>nie</v>
      </c>
      <c r="DW46" s="128">
        <f t="shared" si="92"/>
        <v>1499.9999999999854</v>
      </c>
      <c r="DX46" s="128">
        <f t="shared" si="93"/>
        <v>100000</v>
      </c>
      <c r="DY46" s="128">
        <f t="shared" si="94"/>
        <v>0</v>
      </c>
      <c r="DZ46" s="130">
        <f t="shared" si="95"/>
        <v>4.4999999999999998E-2</v>
      </c>
      <c r="EA46" s="128">
        <f t="shared" si="96"/>
        <v>0</v>
      </c>
      <c r="EB46" s="128">
        <f t="shared" si="97"/>
        <v>100000</v>
      </c>
    </row>
    <row r="47" spans="1:140">
      <c r="A47" s="212"/>
      <c r="B47" s="188">
        <f t="shared" si="98"/>
        <v>3</v>
      </c>
      <c r="C47" s="128">
        <f t="shared" si="99"/>
        <v>100509.02072439586</v>
      </c>
      <c r="D47" s="128">
        <f t="shared" si="100"/>
        <v>100377.4880818758</v>
      </c>
      <c r="E47" s="128">
        <f t="shared" si="101"/>
        <v>100182.25000000001</v>
      </c>
      <c r="F47" s="128">
        <f t="shared" si="102"/>
        <v>100000</v>
      </c>
      <c r="G47" s="128">
        <f t="shared" si="103"/>
        <v>100000</v>
      </c>
      <c r="H47" s="128">
        <f t="shared" si="104"/>
        <v>100000</v>
      </c>
      <c r="I47" s="128">
        <f t="shared" si="105"/>
        <v>100000</v>
      </c>
      <c r="J47" s="128">
        <f t="shared" si="106"/>
        <v>100914.02072439592</v>
      </c>
      <c r="K47" s="128">
        <f t="shared" si="107"/>
        <v>100725</v>
      </c>
      <c r="M47" s="36"/>
      <c r="N47" s="32">
        <f t="shared" si="108"/>
        <v>3</v>
      </c>
      <c r="O47" s="25">
        <f t="shared" si="109"/>
        <v>5.0902072439584778E-3</v>
      </c>
      <c r="P47" s="25">
        <f t="shared" si="110"/>
        <v>3.7748808187578753E-3</v>
      </c>
      <c r="Q47" s="25">
        <f t="shared" si="111"/>
        <v>1.8225000000000602E-3</v>
      </c>
      <c r="R47" s="25">
        <f t="shared" si="30"/>
        <v>0</v>
      </c>
      <c r="S47" s="25">
        <f t="shared" si="31"/>
        <v>0</v>
      </c>
      <c r="T47" s="25">
        <f t="shared" si="32"/>
        <v>0</v>
      </c>
      <c r="U47" s="25">
        <f t="shared" si="33"/>
        <v>0</v>
      </c>
      <c r="V47" s="25">
        <f t="shared" si="34"/>
        <v>9.140207243959253E-3</v>
      </c>
      <c r="W47" s="25">
        <f t="shared" si="112"/>
        <v>7.2499999999999787E-3</v>
      </c>
      <c r="X47" s="36"/>
      <c r="AA47" s="124">
        <f t="shared" si="113"/>
        <v>4</v>
      </c>
      <c r="AB47" s="128">
        <f t="shared" si="35"/>
        <v>100966.66666666667</v>
      </c>
      <c r="AC47" s="124">
        <f t="shared" si="114"/>
        <v>4</v>
      </c>
      <c r="AD47" s="130">
        <f t="shared" si="115"/>
        <v>4.4999999999999998E-2</v>
      </c>
      <c r="AE47" s="127">
        <f t="shared" si="116"/>
        <v>1000</v>
      </c>
      <c r="AF47" s="128">
        <f t="shared" si="117"/>
        <v>100000</v>
      </c>
      <c r="AG47" s="128">
        <f t="shared" si="140"/>
        <v>100000</v>
      </c>
      <c r="AH47" s="128">
        <f t="shared" si="118"/>
        <v>100000</v>
      </c>
      <c r="AI47" s="130">
        <f t="shared" si="36"/>
        <v>4.4999999999999998E-2</v>
      </c>
      <c r="AJ47" s="128">
        <f t="shared" si="37"/>
        <v>100374.99999999999</v>
      </c>
      <c r="AK47" s="128" t="str">
        <f t="shared" si="38"/>
        <v>nie</v>
      </c>
      <c r="AL47" s="128">
        <f t="shared" si="39"/>
        <v>500</v>
      </c>
      <c r="AM47" s="128">
        <f t="shared" si="40"/>
        <v>99898.749999999985</v>
      </c>
      <c r="AN47" s="128">
        <f t="shared" si="41"/>
        <v>303.74999999998823</v>
      </c>
      <c r="AO47" s="130">
        <f t="shared" si="42"/>
        <v>4.4999999999999998E-2</v>
      </c>
      <c r="AP47" s="128">
        <f t="shared" si="43"/>
        <v>1220.5470623462038</v>
      </c>
      <c r="AQ47" s="128">
        <f t="shared" si="44"/>
        <v>100815.5470623462</v>
      </c>
      <c r="AS47" s="124">
        <f t="shared" si="119"/>
        <v>4</v>
      </c>
      <c r="AT47" s="130">
        <f t="shared" si="120"/>
        <v>4.4999999999999998E-2</v>
      </c>
      <c r="AU47" s="127">
        <f t="shared" si="121"/>
        <v>1000</v>
      </c>
      <c r="AV47" s="128">
        <f t="shared" si="122"/>
        <v>100000</v>
      </c>
      <c r="AW47" s="128">
        <f t="shared" si="141"/>
        <v>100000</v>
      </c>
      <c r="AX47" s="128">
        <f t="shared" si="123"/>
        <v>100000</v>
      </c>
      <c r="AY47" s="130">
        <f t="shared" si="45"/>
        <v>4.65E-2</v>
      </c>
      <c r="AZ47" s="128">
        <f t="shared" si="46"/>
        <v>100387.50000000001</v>
      </c>
      <c r="BA47" s="128" t="str">
        <f t="shared" si="47"/>
        <v>nie</v>
      </c>
      <c r="BB47" s="128">
        <f t="shared" si="48"/>
        <v>700</v>
      </c>
      <c r="BC47" s="128">
        <f t="shared" si="49"/>
        <v>99746.875000000015</v>
      </c>
      <c r="BD47" s="128">
        <f t="shared" si="50"/>
        <v>313.87500000001182</v>
      </c>
      <c r="BE47" s="130">
        <f t="shared" si="51"/>
        <v>4.4999999999999998E-2</v>
      </c>
      <c r="BF47" s="128">
        <f t="shared" si="52"/>
        <v>1261.2319644245072</v>
      </c>
      <c r="BG47" s="128">
        <f t="shared" si="53"/>
        <v>100694.23196442451</v>
      </c>
      <c r="BI47" s="124">
        <f t="shared" si="124"/>
        <v>4</v>
      </c>
      <c r="BJ47" s="129"/>
      <c r="BK47" s="127">
        <f t="shared" si="125"/>
        <v>1000</v>
      </c>
      <c r="BL47" s="128">
        <f t="shared" si="126"/>
        <v>100000</v>
      </c>
      <c r="BM47" s="128">
        <f t="shared" si="142"/>
        <v>100000</v>
      </c>
      <c r="BN47" s="128">
        <f t="shared" si="127"/>
        <v>100000</v>
      </c>
      <c r="BO47" s="130">
        <f t="shared" si="54"/>
        <v>4.9000000000000002E-2</v>
      </c>
      <c r="BP47" s="128">
        <f t="shared" si="55"/>
        <v>101633.33333333333</v>
      </c>
      <c r="BQ47" s="128" t="str">
        <f t="shared" si="56"/>
        <v>nie</v>
      </c>
      <c r="BR47" s="128">
        <f t="shared" si="57"/>
        <v>1000</v>
      </c>
      <c r="BS47" s="128">
        <f t="shared" si="58"/>
        <v>100513</v>
      </c>
      <c r="BT47" s="128">
        <f t="shared" si="128"/>
        <v>0</v>
      </c>
      <c r="BU47" s="130">
        <f t="shared" si="59"/>
        <v>4.4999999999999998E-2</v>
      </c>
      <c r="BV47" s="128">
        <f t="shared" si="60"/>
        <v>0</v>
      </c>
      <c r="BW47" s="128">
        <f t="shared" si="61"/>
        <v>100513</v>
      </c>
      <c r="BY47" s="129"/>
      <c r="BZ47" s="127">
        <f t="shared" si="129"/>
        <v>1000</v>
      </c>
      <c r="CA47" s="128">
        <f t="shared" si="130"/>
        <v>100000</v>
      </c>
      <c r="CB47" s="128">
        <f t="shared" si="143"/>
        <v>100000</v>
      </c>
      <c r="CC47" s="128">
        <f t="shared" si="131"/>
        <v>100000</v>
      </c>
      <c r="CD47" s="130">
        <f t="shared" si="62"/>
        <v>5.2499999999999998E-2</v>
      </c>
      <c r="CE47" s="128">
        <f t="shared" si="63"/>
        <v>101750</v>
      </c>
      <c r="CF47" s="128" t="str">
        <f t="shared" si="64"/>
        <v>nie</v>
      </c>
      <c r="CG47" s="128">
        <f t="shared" si="65"/>
        <v>1750</v>
      </c>
      <c r="CH47" s="128">
        <f t="shared" si="66"/>
        <v>100000</v>
      </c>
      <c r="CI47" s="128">
        <f t="shared" si="67"/>
        <v>0</v>
      </c>
      <c r="CJ47" s="130">
        <f t="shared" si="68"/>
        <v>4.4999999999999998E-2</v>
      </c>
      <c r="CK47" s="128">
        <f t="shared" si="69"/>
        <v>0</v>
      </c>
      <c r="CL47" s="128">
        <f t="shared" si="70"/>
        <v>100000</v>
      </c>
      <c r="CN47" s="127">
        <f t="shared" si="132"/>
        <v>1000</v>
      </c>
      <c r="CO47" s="128">
        <f t="shared" si="133"/>
        <v>100000</v>
      </c>
      <c r="CP47" s="128">
        <f t="shared" si="134"/>
        <v>100000</v>
      </c>
      <c r="CQ47" s="128">
        <f t="shared" si="135"/>
        <v>100000</v>
      </c>
      <c r="CR47" s="130">
        <f t="shared" si="71"/>
        <v>5.7500000000000002E-2</v>
      </c>
      <c r="CS47" s="128">
        <f t="shared" si="72"/>
        <v>101916.66666666667</v>
      </c>
      <c r="CT47" s="128" t="str">
        <f t="shared" si="73"/>
        <v>nie</v>
      </c>
      <c r="CU47" s="128">
        <f t="shared" si="74"/>
        <v>1916.6666666666715</v>
      </c>
      <c r="CV47" s="128">
        <f t="shared" si="75"/>
        <v>100000</v>
      </c>
      <c r="CW47" s="128">
        <f t="shared" si="76"/>
        <v>0</v>
      </c>
      <c r="CX47" s="130">
        <f t="shared" si="77"/>
        <v>4.4999999999999998E-2</v>
      </c>
      <c r="CY47" s="128">
        <f t="shared" si="78"/>
        <v>0</v>
      </c>
      <c r="CZ47" s="128">
        <f t="shared" si="79"/>
        <v>100000</v>
      </c>
      <c r="DA47" s="20"/>
      <c r="DB47" s="127">
        <f t="shared" si="144"/>
        <v>1000</v>
      </c>
      <c r="DC47" s="128">
        <f t="shared" si="145"/>
        <v>100000</v>
      </c>
      <c r="DD47" s="128">
        <f t="shared" si="136"/>
        <v>100000</v>
      </c>
      <c r="DE47" s="128">
        <f t="shared" si="137"/>
        <v>100000</v>
      </c>
      <c r="DF47" s="130">
        <f t="shared" si="80"/>
        <v>5.45E-2</v>
      </c>
      <c r="DG47" s="128">
        <f t="shared" si="81"/>
        <v>101816.66666666667</v>
      </c>
      <c r="DH47" s="128" t="str">
        <f t="shared" si="82"/>
        <v>nie</v>
      </c>
      <c r="DI47" s="128">
        <f t="shared" si="83"/>
        <v>1816.6666666666715</v>
      </c>
      <c r="DJ47" s="128">
        <f t="shared" si="84"/>
        <v>100000</v>
      </c>
      <c r="DK47" s="128">
        <f t="shared" si="85"/>
        <v>0</v>
      </c>
      <c r="DL47" s="130">
        <f t="shared" si="86"/>
        <v>4.4999999999999998E-2</v>
      </c>
      <c r="DM47" s="128">
        <f t="shared" si="87"/>
        <v>0</v>
      </c>
      <c r="DN47" s="128">
        <f t="shared" si="88"/>
        <v>100000</v>
      </c>
      <c r="DP47" s="127">
        <f t="shared" si="146"/>
        <v>1000</v>
      </c>
      <c r="DQ47" s="128">
        <f t="shared" si="147"/>
        <v>100000</v>
      </c>
      <c r="DR47" s="128">
        <f t="shared" si="138"/>
        <v>100000</v>
      </c>
      <c r="DS47" s="128">
        <f t="shared" si="139"/>
        <v>100000</v>
      </c>
      <c r="DT47" s="130">
        <f t="shared" si="89"/>
        <v>0.06</v>
      </c>
      <c r="DU47" s="128">
        <f t="shared" si="90"/>
        <v>102000</v>
      </c>
      <c r="DV47" s="128" t="str">
        <f t="shared" si="91"/>
        <v>nie</v>
      </c>
      <c r="DW47" s="128">
        <f t="shared" si="92"/>
        <v>2000</v>
      </c>
      <c r="DX47" s="128">
        <f t="shared" si="93"/>
        <v>100000</v>
      </c>
      <c r="DY47" s="128">
        <f t="shared" si="94"/>
        <v>0</v>
      </c>
      <c r="DZ47" s="130">
        <f t="shared" si="95"/>
        <v>4.4999999999999998E-2</v>
      </c>
      <c r="EA47" s="128">
        <f t="shared" si="96"/>
        <v>0</v>
      </c>
      <c r="EB47" s="128">
        <f t="shared" si="97"/>
        <v>100000</v>
      </c>
    </row>
    <row r="48" spans="1:140">
      <c r="A48" s="212"/>
      <c r="B48" s="188">
        <f t="shared" si="98"/>
        <v>4</v>
      </c>
      <c r="C48" s="128">
        <f t="shared" si="99"/>
        <v>100815.5470623462</v>
      </c>
      <c r="D48" s="128">
        <f t="shared" si="100"/>
        <v>100694.23196442451</v>
      </c>
      <c r="E48" s="128">
        <f t="shared" si="101"/>
        <v>100513</v>
      </c>
      <c r="F48" s="128">
        <f t="shared" si="102"/>
        <v>100000</v>
      </c>
      <c r="G48" s="128">
        <f t="shared" si="103"/>
        <v>100000</v>
      </c>
      <c r="H48" s="128">
        <f t="shared" si="104"/>
        <v>100000</v>
      </c>
      <c r="I48" s="128">
        <f t="shared" si="105"/>
        <v>100000</v>
      </c>
      <c r="J48" s="128">
        <f t="shared" si="106"/>
        <v>101220.54706234628</v>
      </c>
      <c r="K48" s="128">
        <f t="shared" si="107"/>
        <v>100966.66666666667</v>
      </c>
      <c r="M48" s="36"/>
      <c r="N48" s="32">
        <f t="shared" si="108"/>
        <v>4</v>
      </c>
      <c r="O48" s="25">
        <f t="shared" si="109"/>
        <v>8.1554706234621133E-3</v>
      </c>
      <c r="P48" s="25">
        <f t="shared" si="110"/>
        <v>6.9423196442450763E-3</v>
      </c>
      <c r="Q48" s="25">
        <f t="shared" si="111"/>
        <v>5.1300000000000789E-3</v>
      </c>
      <c r="R48" s="25">
        <f t="shared" si="30"/>
        <v>0</v>
      </c>
      <c r="S48" s="25">
        <f t="shared" si="31"/>
        <v>0</v>
      </c>
      <c r="T48" s="25">
        <f t="shared" si="32"/>
        <v>0</v>
      </c>
      <c r="U48" s="25">
        <f t="shared" si="33"/>
        <v>0</v>
      </c>
      <c r="V48" s="25">
        <f t="shared" si="34"/>
        <v>1.2205470623462666E-2</v>
      </c>
      <c r="W48" s="25">
        <f t="shared" si="112"/>
        <v>9.6666666666667123E-3</v>
      </c>
      <c r="X48" s="36"/>
      <c r="AA48" s="124">
        <f t="shared" si="113"/>
        <v>5</v>
      </c>
      <c r="AB48" s="128">
        <f t="shared" si="35"/>
        <v>101208.33333333334</v>
      </c>
      <c r="AC48" s="124">
        <f t="shared" si="114"/>
        <v>5</v>
      </c>
      <c r="AD48" s="130">
        <f t="shared" si="115"/>
        <v>4.4999999999999998E-2</v>
      </c>
      <c r="AE48" s="127">
        <f t="shared" si="116"/>
        <v>1000</v>
      </c>
      <c r="AF48" s="128">
        <f t="shared" si="117"/>
        <v>100000</v>
      </c>
      <c r="AG48" s="128">
        <f t="shared" si="140"/>
        <v>100000</v>
      </c>
      <c r="AH48" s="128">
        <f t="shared" si="118"/>
        <v>100000</v>
      </c>
      <c r="AI48" s="130">
        <f t="shared" si="36"/>
        <v>4.4999999999999998E-2</v>
      </c>
      <c r="AJ48" s="128">
        <f t="shared" si="37"/>
        <v>100374.99999999999</v>
      </c>
      <c r="AK48" s="128" t="str">
        <f t="shared" si="38"/>
        <v>nie</v>
      </c>
      <c r="AL48" s="128">
        <f t="shared" si="39"/>
        <v>500</v>
      </c>
      <c r="AM48" s="128">
        <f t="shared" si="40"/>
        <v>99898.749999999985</v>
      </c>
      <c r="AN48" s="128">
        <f t="shared" si="41"/>
        <v>303.74999999998823</v>
      </c>
      <c r="AO48" s="130">
        <f t="shared" si="42"/>
        <v>4.4999999999999998E-2</v>
      </c>
      <c r="AP48" s="128">
        <f t="shared" si="43"/>
        <v>1528.0044740480687</v>
      </c>
      <c r="AQ48" s="128">
        <f t="shared" si="44"/>
        <v>101123.00447404807</v>
      </c>
      <c r="AS48" s="124">
        <f t="shared" si="119"/>
        <v>5</v>
      </c>
      <c r="AT48" s="130">
        <f t="shared" si="120"/>
        <v>4.4999999999999998E-2</v>
      </c>
      <c r="AU48" s="127">
        <f t="shared" si="121"/>
        <v>1000</v>
      </c>
      <c r="AV48" s="128">
        <f t="shared" si="122"/>
        <v>100000</v>
      </c>
      <c r="AW48" s="128">
        <f t="shared" si="141"/>
        <v>100000</v>
      </c>
      <c r="AX48" s="128">
        <f t="shared" si="123"/>
        <v>100000</v>
      </c>
      <c r="AY48" s="130">
        <f t="shared" si="45"/>
        <v>4.65E-2</v>
      </c>
      <c r="AZ48" s="128">
        <f t="shared" si="46"/>
        <v>100387.50000000001</v>
      </c>
      <c r="BA48" s="128" t="str">
        <f t="shared" si="47"/>
        <v>nie</v>
      </c>
      <c r="BB48" s="128">
        <f t="shared" si="48"/>
        <v>700</v>
      </c>
      <c r="BC48" s="128">
        <f t="shared" si="49"/>
        <v>99746.875000000015</v>
      </c>
      <c r="BD48" s="128">
        <f t="shared" si="50"/>
        <v>313.87500000001182</v>
      </c>
      <c r="BE48" s="130">
        <f t="shared" si="51"/>
        <v>4.4999999999999998E-2</v>
      </c>
      <c r="BF48" s="128">
        <f t="shared" si="52"/>
        <v>1578.9379565164584</v>
      </c>
      <c r="BG48" s="128">
        <f t="shared" si="53"/>
        <v>101011.93795651646</v>
      </c>
      <c r="BI48" s="124">
        <f t="shared" si="124"/>
        <v>5</v>
      </c>
      <c r="BJ48" s="129"/>
      <c r="BK48" s="127">
        <f t="shared" si="125"/>
        <v>1000</v>
      </c>
      <c r="BL48" s="128">
        <f t="shared" si="126"/>
        <v>100000</v>
      </c>
      <c r="BM48" s="128">
        <f t="shared" si="142"/>
        <v>100000</v>
      </c>
      <c r="BN48" s="128">
        <f t="shared" si="127"/>
        <v>100000</v>
      </c>
      <c r="BO48" s="130">
        <f t="shared" si="54"/>
        <v>4.9000000000000002E-2</v>
      </c>
      <c r="BP48" s="128">
        <f t="shared" si="55"/>
        <v>102041.66666666667</v>
      </c>
      <c r="BQ48" s="128" t="str">
        <f t="shared" si="56"/>
        <v>nie</v>
      </c>
      <c r="BR48" s="128">
        <f t="shared" si="57"/>
        <v>1000</v>
      </c>
      <c r="BS48" s="128">
        <f t="shared" si="58"/>
        <v>100843.75</v>
      </c>
      <c r="BT48" s="128">
        <f t="shared" si="128"/>
        <v>0</v>
      </c>
      <c r="BU48" s="130">
        <f t="shared" si="59"/>
        <v>4.4999999999999998E-2</v>
      </c>
      <c r="BV48" s="128">
        <f t="shared" si="60"/>
        <v>0</v>
      </c>
      <c r="BW48" s="128">
        <f t="shared" si="61"/>
        <v>100843.75</v>
      </c>
      <c r="BY48" s="129"/>
      <c r="BZ48" s="127">
        <f t="shared" si="129"/>
        <v>1000</v>
      </c>
      <c r="CA48" s="128">
        <f t="shared" si="130"/>
        <v>100000</v>
      </c>
      <c r="CB48" s="128">
        <f t="shared" si="143"/>
        <v>100000</v>
      </c>
      <c r="CC48" s="128">
        <f t="shared" si="131"/>
        <v>100000</v>
      </c>
      <c r="CD48" s="130">
        <f t="shared" si="62"/>
        <v>5.2499999999999998E-2</v>
      </c>
      <c r="CE48" s="128">
        <f t="shared" si="63"/>
        <v>102187.50000000001</v>
      </c>
      <c r="CF48" s="128" t="str">
        <f t="shared" si="64"/>
        <v>nie</v>
      </c>
      <c r="CG48" s="128">
        <f t="shared" si="65"/>
        <v>2000</v>
      </c>
      <c r="CH48" s="128">
        <f t="shared" si="66"/>
        <v>100151.87500000001</v>
      </c>
      <c r="CI48" s="128">
        <f t="shared" si="67"/>
        <v>0</v>
      </c>
      <c r="CJ48" s="130">
        <f t="shared" si="68"/>
        <v>4.4999999999999998E-2</v>
      </c>
      <c r="CK48" s="128">
        <f t="shared" si="69"/>
        <v>0</v>
      </c>
      <c r="CL48" s="128">
        <f t="shared" si="70"/>
        <v>100151.87500000001</v>
      </c>
      <c r="CN48" s="127">
        <f t="shared" si="132"/>
        <v>1000</v>
      </c>
      <c r="CO48" s="128">
        <f t="shared" si="133"/>
        <v>100000</v>
      </c>
      <c r="CP48" s="128">
        <f t="shared" si="134"/>
        <v>100000</v>
      </c>
      <c r="CQ48" s="128">
        <f t="shared" si="135"/>
        <v>100000</v>
      </c>
      <c r="CR48" s="130">
        <f t="shared" si="71"/>
        <v>5.7500000000000002E-2</v>
      </c>
      <c r="CS48" s="128">
        <f t="shared" si="72"/>
        <v>102395.83333333333</v>
      </c>
      <c r="CT48" s="128" t="str">
        <f t="shared" si="73"/>
        <v>nie</v>
      </c>
      <c r="CU48" s="128">
        <f t="shared" si="74"/>
        <v>2395.8333333333285</v>
      </c>
      <c r="CV48" s="128">
        <f t="shared" si="75"/>
        <v>100000</v>
      </c>
      <c r="CW48" s="128">
        <f t="shared" si="76"/>
        <v>0</v>
      </c>
      <c r="CX48" s="130">
        <f t="shared" si="77"/>
        <v>4.4999999999999998E-2</v>
      </c>
      <c r="CY48" s="128">
        <f t="shared" si="78"/>
        <v>0</v>
      </c>
      <c r="CZ48" s="128">
        <f t="shared" si="79"/>
        <v>100000</v>
      </c>
      <c r="DA48" s="20"/>
      <c r="DB48" s="127">
        <f t="shared" si="144"/>
        <v>1000</v>
      </c>
      <c r="DC48" s="128">
        <f t="shared" si="145"/>
        <v>100000</v>
      </c>
      <c r="DD48" s="128">
        <f t="shared" si="136"/>
        <v>100000</v>
      </c>
      <c r="DE48" s="128">
        <f t="shared" si="137"/>
        <v>100000</v>
      </c>
      <c r="DF48" s="130">
        <f t="shared" si="80"/>
        <v>5.45E-2</v>
      </c>
      <c r="DG48" s="128">
        <f t="shared" si="81"/>
        <v>102270.83333333333</v>
      </c>
      <c r="DH48" s="128" t="str">
        <f t="shared" si="82"/>
        <v>nie</v>
      </c>
      <c r="DI48" s="128">
        <f t="shared" si="83"/>
        <v>2000</v>
      </c>
      <c r="DJ48" s="128">
        <f t="shared" si="84"/>
        <v>100219.375</v>
      </c>
      <c r="DK48" s="128">
        <f t="shared" si="85"/>
        <v>0</v>
      </c>
      <c r="DL48" s="130">
        <f t="shared" si="86"/>
        <v>4.4999999999999998E-2</v>
      </c>
      <c r="DM48" s="128">
        <f t="shared" si="87"/>
        <v>0</v>
      </c>
      <c r="DN48" s="128">
        <f t="shared" si="88"/>
        <v>100219.375</v>
      </c>
      <c r="DP48" s="127">
        <f t="shared" si="146"/>
        <v>1000</v>
      </c>
      <c r="DQ48" s="128">
        <f t="shared" si="147"/>
        <v>100000</v>
      </c>
      <c r="DR48" s="128">
        <f t="shared" si="138"/>
        <v>100000</v>
      </c>
      <c r="DS48" s="128">
        <f t="shared" si="139"/>
        <v>100000</v>
      </c>
      <c r="DT48" s="130">
        <f t="shared" si="89"/>
        <v>0.06</v>
      </c>
      <c r="DU48" s="128">
        <f t="shared" si="90"/>
        <v>102499.99999999999</v>
      </c>
      <c r="DV48" s="128" t="str">
        <f t="shared" si="91"/>
        <v>nie</v>
      </c>
      <c r="DW48" s="128">
        <f t="shared" si="92"/>
        <v>2499.9999999999854</v>
      </c>
      <c r="DX48" s="128">
        <f t="shared" si="93"/>
        <v>100000</v>
      </c>
      <c r="DY48" s="128">
        <f t="shared" si="94"/>
        <v>0</v>
      </c>
      <c r="DZ48" s="130">
        <f t="shared" si="95"/>
        <v>4.4999999999999998E-2</v>
      </c>
      <c r="EA48" s="128">
        <f t="shared" si="96"/>
        <v>0</v>
      </c>
      <c r="EB48" s="128">
        <f t="shared" si="97"/>
        <v>100000</v>
      </c>
    </row>
    <row r="49" spans="1:132">
      <c r="A49" s="212"/>
      <c r="B49" s="188">
        <f t="shared" si="98"/>
        <v>5</v>
      </c>
      <c r="C49" s="128">
        <f t="shared" si="99"/>
        <v>101123.00447404807</v>
      </c>
      <c r="D49" s="128">
        <f t="shared" si="100"/>
        <v>101011.93795651646</v>
      </c>
      <c r="E49" s="128">
        <f t="shared" si="101"/>
        <v>100843.75</v>
      </c>
      <c r="F49" s="128">
        <f t="shared" si="102"/>
        <v>100151.87500000001</v>
      </c>
      <c r="G49" s="128">
        <f t="shared" si="103"/>
        <v>100000</v>
      </c>
      <c r="H49" s="128">
        <f t="shared" si="104"/>
        <v>100219.375</v>
      </c>
      <c r="I49" s="128">
        <f t="shared" si="105"/>
        <v>100000</v>
      </c>
      <c r="J49" s="128">
        <f t="shared" si="106"/>
        <v>101528.00447404815</v>
      </c>
      <c r="K49" s="128">
        <f t="shared" si="107"/>
        <v>101208.33333333334</v>
      </c>
      <c r="M49" s="36"/>
      <c r="N49" s="32">
        <f t="shared" si="108"/>
        <v>5</v>
      </c>
      <c r="O49" s="25">
        <f t="shared" si="109"/>
        <v>1.1230044740480727E-2</v>
      </c>
      <c r="P49" s="25">
        <f t="shared" si="110"/>
        <v>1.0119379565164621E-2</v>
      </c>
      <c r="Q49" s="25">
        <f t="shared" si="111"/>
        <v>8.4375000000000977E-3</v>
      </c>
      <c r="R49" s="25">
        <f t="shared" si="30"/>
        <v>1.5187500000002352E-3</v>
      </c>
      <c r="S49" s="25">
        <f t="shared" si="31"/>
        <v>0</v>
      </c>
      <c r="T49" s="25">
        <f t="shared" si="32"/>
        <v>2.1937499999999943E-3</v>
      </c>
      <c r="U49" s="25">
        <f t="shared" si="33"/>
        <v>0</v>
      </c>
      <c r="V49" s="25">
        <f t="shared" si="34"/>
        <v>1.5280044740481502E-2</v>
      </c>
      <c r="W49" s="25">
        <f t="shared" si="112"/>
        <v>1.2083333333333446E-2</v>
      </c>
      <c r="X49" s="36"/>
      <c r="AA49" s="124">
        <f t="shared" si="113"/>
        <v>6</v>
      </c>
      <c r="AB49" s="128">
        <f t="shared" si="35"/>
        <v>101450</v>
      </c>
      <c r="AC49" s="124">
        <f t="shared" si="114"/>
        <v>6</v>
      </c>
      <c r="AD49" s="130">
        <f t="shared" si="115"/>
        <v>4.4999999999999998E-2</v>
      </c>
      <c r="AE49" s="127">
        <f t="shared" si="116"/>
        <v>1000</v>
      </c>
      <c r="AF49" s="128">
        <f t="shared" si="117"/>
        <v>100000</v>
      </c>
      <c r="AG49" s="128">
        <f t="shared" si="140"/>
        <v>100000</v>
      </c>
      <c r="AH49" s="128">
        <f t="shared" si="118"/>
        <v>100000</v>
      </c>
      <c r="AI49" s="130">
        <f t="shared" si="36"/>
        <v>4.4999999999999998E-2</v>
      </c>
      <c r="AJ49" s="128">
        <f t="shared" si="37"/>
        <v>100374.99999999999</v>
      </c>
      <c r="AK49" s="128" t="str">
        <f t="shared" si="38"/>
        <v>nie</v>
      </c>
      <c r="AL49" s="128">
        <f t="shared" si="39"/>
        <v>500</v>
      </c>
      <c r="AM49" s="128">
        <f t="shared" si="40"/>
        <v>99898.749999999985</v>
      </c>
      <c r="AN49" s="128">
        <f t="shared" si="41"/>
        <v>303.74999999998823</v>
      </c>
      <c r="AO49" s="130">
        <f t="shared" si="42"/>
        <v>4.4999999999999998E-2</v>
      </c>
      <c r="AP49" s="128">
        <f t="shared" si="43"/>
        <v>1836.3957876379779</v>
      </c>
      <c r="AQ49" s="128">
        <f t="shared" si="44"/>
        <v>101431.39578763797</v>
      </c>
      <c r="AS49" s="124">
        <f t="shared" si="119"/>
        <v>6</v>
      </c>
      <c r="AT49" s="130">
        <f t="shared" si="120"/>
        <v>4.4999999999999998E-2</v>
      </c>
      <c r="AU49" s="127">
        <f t="shared" si="121"/>
        <v>1000</v>
      </c>
      <c r="AV49" s="128">
        <f t="shared" si="122"/>
        <v>100000</v>
      </c>
      <c r="AW49" s="128">
        <f t="shared" si="141"/>
        <v>100000</v>
      </c>
      <c r="AX49" s="128">
        <f t="shared" si="123"/>
        <v>100000</v>
      </c>
      <c r="AY49" s="130">
        <f t="shared" si="45"/>
        <v>4.65E-2</v>
      </c>
      <c r="AZ49" s="128">
        <f t="shared" si="46"/>
        <v>100387.50000000001</v>
      </c>
      <c r="BA49" s="128" t="str">
        <f t="shared" si="47"/>
        <v>nie</v>
      </c>
      <c r="BB49" s="128">
        <f t="shared" si="48"/>
        <v>700</v>
      </c>
      <c r="BC49" s="128">
        <f t="shared" si="49"/>
        <v>99746.875000000015</v>
      </c>
      <c r="BD49" s="128">
        <f t="shared" si="50"/>
        <v>313.87500000001182</v>
      </c>
      <c r="BE49" s="130">
        <f t="shared" si="51"/>
        <v>4.4999999999999998E-2</v>
      </c>
      <c r="BF49" s="128">
        <f t="shared" si="52"/>
        <v>1897.608980559389</v>
      </c>
      <c r="BG49" s="128">
        <f t="shared" si="53"/>
        <v>101330.60898055939</v>
      </c>
      <c r="BI49" s="124">
        <f t="shared" si="124"/>
        <v>6</v>
      </c>
      <c r="BJ49" s="129"/>
      <c r="BK49" s="127">
        <f t="shared" si="125"/>
        <v>1000</v>
      </c>
      <c r="BL49" s="128">
        <f t="shared" si="126"/>
        <v>100000</v>
      </c>
      <c r="BM49" s="128">
        <f t="shared" si="142"/>
        <v>100000</v>
      </c>
      <c r="BN49" s="128">
        <f t="shared" si="127"/>
        <v>100000</v>
      </c>
      <c r="BO49" s="130">
        <f t="shared" si="54"/>
        <v>4.9000000000000002E-2</v>
      </c>
      <c r="BP49" s="128">
        <f t="shared" si="55"/>
        <v>102450</v>
      </c>
      <c r="BQ49" s="128" t="str">
        <f t="shared" si="56"/>
        <v>nie</v>
      </c>
      <c r="BR49" s="128">
        <f t="shared" si="57"/>
        <v>1000</v>
      </c>
      <c r="BS49" s="128">
        <f t="shared" si="58"/>
        <v>101174.5</v>
      </c>
      <c r="BT49" s="128">
        <f t="shared" si="128"/>
        <v>0</v>
      </c>
      <c r="BU49" s="130">
        <f t="shared" si="59"/>
        <v>4.4999999999999998E-2</v>
      </c>
      <c r="BV49" s="128">
        <f t="shared" si="60"/>
        <v>0</v>
      </c>
      <c r="BW49" s="128">
        <f t="shared" si="61"/>
        <v>101174.5</v>
      </c>
      <c r="BY49" s="129"/>
      <c r="BZ49" s="127">
        <f t="shared" si="129"/>
        <v>1000</v>
      </c>
      <c r="CA49" s="128">
        <f t="shared" si="130"/>
        <v>100000</v>
      </c>
      <c r="CB49" s="128">
        <f t="shared" si="143"/>
        <v>100000</v>
      </c>
      <c r="CC49" s="128">
        <f t="shared" si="131"/>
        <v>100000</v>
      </c>
      <c r="CD49" s="130">
        <f t="shared" si="62"/>
        <v>5.2499999999999998E-2</v>
      </c>
      <c r="CE49" s="128">
        <f t="shared" si="63"/>
        <v>102625.00000000001</v>
      </c>
      <c r="CF49" s="128" t="str">
        <f t="shared" si="64"/>
        <v>nie</v>
      </c>
      <c r="CG49" s="128">
        <f t="shared" si="65"/>
        <v>2000</v>
      </c>
      <c r="CH49" s="128">
        <f t="shared" si="66"/>
        <v>100506.25000000001</v>
      </c>
      <c r="CI49" s="128">
        <f t="shared" si="67"/>
        <v>0</v>
      </c>
      <c r="CJ49" s="130">
        <f t="shared" si="68"/>
        <v>4.4999999999999998E-2</v>
      </c>
      <c r="CK49" s="128">
        <f t="shared" si="69"/>
        <v>0</v>
      </c>
      <c r="CL49" s="128">
        <f t="shared" si="70"/>
        <v>100506.25000000001</v>
      </c>
      <c r="CN49" s="127">
        <f t="shared" si="132"/>
        <v>1000</v>
      </c>
      <c r="CO49" s="128">
        <f t="shared" si="133"/>
        <v>100000</v>
      </c>
      <c r="CP49" s="128">
        <f t="shared" si="134"/>
        <v>100000</v>
      </c>
      <c r="CQ49" s="128">
        <f t="shared" si="135"/>
        <v>100000</v>
      </c>
      <c r="CR49" s="130">
        <f t="shared" si="71"/>
        <v>5.7500000000000002E-2</v>
      </c>
      <c r="CS49" s="128">
        <f t="shared" si="72"/>
        <v>102875</v>
      </c>
      <c r="CT49" s="128" t="str">
        <f t="shared" si="73"/>
        <v>nie</v>
      </c>
      <c r="CU49" s="128">
        <f t="shared" si="74"/>
        <v>2875</v>
      </c>
      <c r="CV49" s="128">
        <f t="shared" si="75"/>
        <v>100000</v>
      </c>
      <c r="CW49" s="128">
        <f t="shared" si="76"/>
        <v>0</v>
      </c>
      <c r="CX49" s="130">
        <f t="shared" si="77"/>
        <v>4.4999999999999998E-2</v>
      </c>
      <c r="CY49" s="128">
        <f t="shared" si="78"/>
        <v>0</v>
      </c>
      <c r="CZ49" s="128">
        <f t="shared" si="79"/>
        <v>100000</v>
      </c>
      <c r="DA49" s="20"/>
      <c r="DB49" s="127">
        <f t="shared" si="144"/>
        <v>1000</v>
      </c>
      <c r="DC49" s="128">
        <f t="shared" si="145"/>
        <v>100000</v>
      </c>
      <c r="DD49" s="128">
        <f t="shared" si="136"/>
        <v>100000</v>
      </c>
      <c r="DE49" s="128">
        <f t="shared" si="137"/>
        <v>100000</v>
      </c>
      <c r="DF49" s="130">
        <f t="shared" si="80"/>
        <v>5.45E-2</v>
      </c>
      <c r="DG49" s="128">
        <f t="shared" si="81"/>
        <v>102725</v>
      </c>
      <c r="DH49" s="128" t="str">
        <f t="shared" si="82"/>
        <v>nie</v>
      </c>
      <c r="DI49" s="128">
        <f t="shared" si="83"/>
        <v>2000</v>
      </c>
      <c r="DJ49" s="128">
        <f t="shared" si="84"/>
        <v>100587.25</v>
      </c>
      <c r="DK49" s="128">
        <f t="shared" si="85"/>
        <v>0</v>
      </c>
      <c r="DL49" s="130">
        <f t="shared" si="86"/>
        <v>4.4999999999999998E-2</v>
      </c>
      <c r="DM49" s="128">
        <f t="shared" si="87"/>
        <v>0</v>
      </c>
      <c r="DN49" s="128">
        <f t="shared" si="88"/>
        <v>100587.25</v>
      </c>
      <c r="DP49" s="127">
        <f t="shared" si="146"/>
        <v>1000</v>
      </c>
      <c r="DQ49" s="128">
        <f t="shared" si="147"/>
        <v>100000</v>
      </c>
      <c r="DR49" s="128">
        <f t="shared" si="138"/>
        <v>100000</v>
      </c>
      <c r="DS49" s="128">
        <f t="shared" si="139"/>
        <v>100000</v>
      </c>
      <c r="DT49" s="130">
        <f t="shared" si="89"/>
        <v>0.06</v>
      </c>
      <c r="DU49" s="128">
        <f t="shared" si="90"/>
        <v>103000</v>
      </c>
      <c r="DV49" s="128" t="str">
        <f t="shared" si="91"/>
        <v>nie</v>
      </c>
      <c r="DW49" s="128">
        <f t="shared" si="92"/>
        <v>3000</v>
      </c>
      <c r="DX49" s="128">
        <f t="shared" si="93"/>
        <v>100000</v>
      </c>
      <c r="DY49" s="128">
        <f t="shared" si="94"/>
        <v>0</v>
      </c>
      <c r="DZ49" s="130">
        <f t="shared" si="95"/>
        <v>4.4999999999999998E-2</v>
      </c>
      <c r="EA49" s="128">
        <f t="shared" si="96"/>
        <v>0</v>
      </c>
      <c r="EB49" s="128">
        <f t="shared" si="97"/>
        <v>100000</v>
      </c>
    </row>
    <row r="50" spans="1:132">
      <c r="A50" s="212"/>
      <c r="B50" s="188">
        <f t="shared" si="98"/>
        <v>6</v>
      </c>
      <c r="C50" s="128">
        <f t="shared" si="99"/>
        <v>101431.39578763797</v>
      </c>
      <c r="D50" s="128">
        <f t="shared" si="100"/>
        <v>101330.60898055939</v>
      </c>
      <c r="E50" s="128">
        <f t="shared" si="101"/>
        <v>101174.5</v>
      </c>
      <c r="F50" s="128">
        <f t="shared" si="102"/>
        <v>100506.25000000001</v>
      </c>
      <c r="G50" s="128">
        <f t="shared" si="103"/>
        <v>100000</v>
      </c>
      <c r="H50" s="128">
        <f t="shared" si="104"/>
        <v>100587.25</v>
      </c>
      <c r="I50" s="128">
        <f t="shared" si="105"/>
        <v>100000</v>
      </c>
      <c r="J50" s="128">
        <f t="shared" si="106"/>
        <v>101836.39578763807</v>
      </c>
      <c r="K50" s="128">
        <f t="shared" si="107"/>
        <v>101450</v>
      </c>
      <c r="M50" s="36"/>
      <c r="N50" s="32">
        <f t="shared" si="108"/>
        <v>6</v>
      </c>
      <c r="O50" s="25">
        <f t="shared" si="109"/>
        <v>1.431395787637979E-2</v>
      </c>
      <c r="P50" s="25">
        <f t="shared" si="110"/>
        <v>1.330608980559389E-2</v>
      </c>
      <c r="Q50" s="25">
        <f t="shared" si="111"/>
        <v>1.1744999999999894E-2</v>
      </c>
      <c r="R50" s="25">
        <f t="shared" si="30"/>
        <v>5.0625000000001918E-3</v>
      </c>
      <c r="S50" s="25">
        <f t="shared" si="31"/>
        <v>0</v>
      </c>
      <c r="T50" s="25">
        <f t="shared" si="32"/>
        <v>5.8724999999999472E-3</v>
      </c>
      <c r="U50" s="25">
        <f t="shared" si="33"/>
        <v>0</v>
      </c>
      <c r="V50" s="25">
        <f t="shared" si="34"/>
        <v>1.8363957876380788E-2</v>
      </c>
      <c r="W50" s="25">
        <f t="shared" si="112"/>
        <v>1.4499999999999957E-2</v>
      </c>
      <c r="X50" s="36"/>
      <c r="AA50" s="124">
        <f t="shared" si="113"/>
        <v>7</v>
      </c>
      <c r="AB50" s="128">
        <f t="shared" si="35"/>
        <v>101691.66666666667</v>
      </c>
      <c r="AC50" s="124">
        <f t="shared" si="114"/>
        <v>7</v>
      </c>
      <c r="AD50" s="130">
        <f t="shared" si="115"/>
        <v>4.4999999999999998E-2</v>
      </c>
      <c r="AE50" s="127">
        <f t="shared" si="116"/>
        <v>1000</v>
      </c>
      <c r="AF50" s="128">
        <f t="shared" si="117"/>
        <v>100000</v>
      </c>
      <c r="AG50" s="128">
        <f t="shared" si="140"/>
        <v>100000</v>
      </c>
      <c r="AH50" s="128">
        <f t="shared" si="118"/>
        <v>100000</v>
      </c>
      <c r="AI50" s="130">
        <f t="shared" si="36"/>
        <v>4.4999999999999998E-2</v>
      </c>
      <c r="AJ50" s="128">
        <f t="shared" si="37"/>
        <v>100374.99999999999</v>
      </c>
      <c r="AK50" s="128" t="str">
        <f t="shared" si="38"/>
        <v>nie</v>
      </c>
      <c r="AL50" s="128">
        <f t="shared" si="39"/>
        <v>500</v>
      </c>
      <c r="AM50" s="128">
        <f t="shared" si="40"/>
        <v>99898.749999999985</v>
      </c>
      <c r="AN50" s="128">
        <f t="shared" si="41"/>
        <v>303.74999999998823</v>
      </c>
      <c r="AO50" s="130">
        <f t="shared" si="42"/>
        <v>4.4999999999999998E-2</v>
      </c>
      <c r="AP50" s="128">
        <f t="shared" si="43"/>
        <v>2145.7238398429167</v>
      </c>
      <c r="AQ50" s="128">
        <f t="shared" si="44"/>
        <v>101740.72383984292</v>
      </c>
      <c r="AS50" s="124">
        <f t="shared" si="119"/>
        <v>7</v>
      </c>
      <c r="AT50" s="130">
        <f t="shared" si="120"/>
        <v>4.4999999999999998E-2</v>
      </c>
      <c r="AU50" s="127">
        <f t="shared" si="121"/>
        <v>1000</v>
      </c>
      <c r="AV50" s="128">
        <f t="shared" si="122"/>
        <v>100000</v>
      </c>
      <c r="AW50" s="128">
        <f t="shared" si="141"/>
        <v>100000</v>
      </c>
      <c r="AX50" s="128">
        <f t="shared" si="123"/>
        <v>100000</v>
      </c>
      <c r="AY50" s="130">
        <f t="shared" si="45"/>
        <v>4.65E-2</v>
      </c>
      <c r="AZ50" s="128">
        <f t="shared" si="46"/>
        <v>100387.50000000001</v>
      </c>
      <c r="BA50" s="128" t="str">
        <f t="shared" si="47"/>
        <v>nie</v>
      </c>
      <c r="BB50" s="128">
        <f t="shared" si="48"/>
        <v>700</v>
      </c>
      <c r="BC50" s="128">
        <f t="shared" si="49"/>
        <v>99746.875000000015</v>
      </c>
      <c r="BD50" s="128">
        <f t="shared" si="50"/>
        <v>313.87500000001182</v>
      </c>
      <c r="BE50" s="130">
        <f t="shared" si="51"/>
        <v>4.4999999999999998E-2</v>
      </c>
      <c r="BF50" s="128">
        <f t="shared" si="52"/>
        <v>2217.24796783785</v>
      </c>
      <c r="BG50" s="128">
        <f t="shared" si="53"/>
        <v>101650.24796783786</v>
      </c>
      <c r="BI50" s="124">
        <f t="shared" si="124"/>
        <v>7</v>
      </c>
      <c r="BJ50" s="130">
        <f t="shared" ref="BJ50:BJ81" si="148">MAX(INDEX(scenariusz_I_WIBOR6M,MATCH(ROUNDUP(BI50/12,0),scenariusz_I_rok,0)),0)</f>
        <v>4.3200000000000002E-2</v>
      </c>
      <c r="BK50" s="127">
        <f t="shared" si="125"/>
        <v>1000</v>
      </c>
      <c r="BL50" s="128">
        <f t="shared" si="126"/>
        <v>100000</v>
      </c>
      <c r="BM50" s="128">
        <f t="shared" si="142"/>
        <v>100000</v>
      </c>
      <c r="BN50" s="128">
        <f t="shared" si="127"/>
        <v>100000</v>
      </c>
      <c r="BO50" s="130">
        <f t="shared" si="54"/>
        <v>4.9000000000000002E-2</v>
      </c>
      <c r="BP50" s="128">
        <f t="shared" si="55"/>
        <v>102858.33333333334</v>
      </c>
      <c r="BQ50" s="128" t="str">
        <f t="shared" si="56"/>
        <v>nie</v>
      </c>
      <c r="BR50" s="128">
        <f t="shared" si="57"/>
        <v>1000</v>
      </c>
      <c r="BS50" s="128">
        <f t="shared" si="58"/>
        <v>101505.25000000001</v>
      </c>
      <c r="BT50" s="128">
        <f t="shared" si="128"/>
        <v>0</v>
      </c>
      <c r="BU50" s="130">
        <f t="shared" si="59"/>
        <v>4.4999999999999998E-2</v>
      </c>
      <c r="BV50" s="128">
        <f t="shared" si="60"/>
        <v>0</v>
      </c>
      <c r="BW50" s="128">
        <f t="shared" si="61"/>
        <v>101505.25000000001</v>
      </c>
      <c r="BY50" s="129"/>
      <c r="BZ50" s="127">
        <f t="shared" si="129"/>
        <v>1000</v>
      </c>
      <c r="CA50" s="128">
        <f t="shared" si="130"/>
        <v>100000</v>
      </c>
      <c r="CB50" s="128">
        <f t="shared" si="143"/>
        <v>100000</v>
      </c>
      <c r="CC50" s="128">
        <f t="shared" si="131"/>
        <v>100000</v>
      </c>
      <c r="CD50" s="130">
        <f t="shared" si="62"/>
        <v>5.2499999999999998E-2</v>
      </c>
      <c r="CE50" s="128">
        <f t="shared" si="63"/>
        <v>103062.49999999999</v>
      </c>
      <c r="CF50" s="128" t="str">
        <f t="shared" si="64"/>
        <v>nie</v>
      </c>
      <c r="CG50" s="128">
        <f t="shared" si="65"/>
        <v>2000</v>
      </c>
      <c r="CH50" s="128">
        <f t="shared" si="66"/>
        <v>100860.62499999999</v>
      </c>
      <c r="CI50" s="128">
        <f t="shared" si="67"/>
        <v>0</v>
      </c>
      <c r="CJ50" s="130">
        <f t="shared" si="68"/>
        <v>4.4999999999999998E-2</v>
      </c>
      <c r="CK50" s="128">
        <f t="shared" si="69"/>
        <v>0</v>
      </c>
      <c r="CL50" s="128">
        <f t="shared" si="70"/>
        <v>100860.62499999999</v>
      </c>
      <c r="CN50" s="127">
        <f t="shared" si="132"/>
        <v>1000</v>
      </c>
      <c r="CO50" s="128">
        <f t="shared" si="133"/>
        <v>100000</v>
      </c>
      <c r="CP50" s="128">
        <f t="shared" si="134"/>
        <v>100000</v>
      </c>
      <c r="CQ50" s="128">
        <f t="shared" si="135"/>
        <v>100000</v>
      </c>
      <c r="CR50" s="130">
        <f t="shared" si="71"/>
        <v>5.7500000000000002E-2</v>
      </c>
      <c r="CS50" s="128">
        <f t="shared" si="72"/>
        <v>103354.16666666666</v>
      </c>
      <c r="CT50" s="128" t="str">
        <f t="shared" si="73"/>
        <v>nie</v>
      </c>
      <c r="CU50" s="128">
        <f t="shared" si="74"/>
        <v>3000</v>
      </c>
      <c r="CV50" s="128">
        <f t="shared" si="75"/>
        <v>100286.87499999999</v>
      </c>
      <c r="CW50" s="128">
        <f t="shared" si="76"/>
        <v>0</v>
      </c>
      <c r="CX50" s="130">
        <f t="shared" si="77"/>
        <v>4.4999999999999998E-2</v>
      </c>
      <c r="CY50" s="128">
        <f t="shared" si="78"/>
        <v>0</v>
      </c>
      <c r="CZ50" s="128">
        <f t="shared" si="79"/>
        <v>100286.87499999999</v>
      </c>
      <c r="DA50" s="20"/>
      <c r="DB50" s="127">
        <f t="shared" si="144"/>
        <v>1000</v>
      </c>
      <c r="DC50" s="128">
        <f t="shared" si="145"/>
        <v>100000</v>
      </c>
      <c r="DD50" s="128">
        <f t="shared" si="136"/>
        <v>100000</v>
      </c>
      <c r="DE50" s="128">
        <f t="shared" si="137"/>
        <v>100000</v>
      </c>
      <c r="DF50" s="130">
        <f t="shared" si="80"/>
        <v>5.45E-2</v>
      </c>
      <c r="DG50" s="128">
        <f t="shared" si="81"/>
        <v>103179.16666666667</v>
      </c>
      <c r="DH50" s="128" t="str">
        <f t="shared" si="82"/>
        <v>nie</v>
      </c>
      <c r="DI50" s="128">
        <f t="shared" si="83"/>
        <v>2000</v>
      </c>
      <c r="DJ50" s="128">
        <f t="shared" si="84"/>
        <v>100955.125</v>
      </c>
      <c r="DK50" s="128">
        <f t="shared" si="85"/>
        <v>0</v>
      </c>
      <c r="DL50" s="130">
        <f t="shared" si="86"/>
        <v>4.4999999999999998E-2</v>
      </c>
      <c r="DM50" s="128">
        <f t="shared" si="87"/>
        <v>0</v>
      </c>
      <c r="DN50" s="128">
        <f t="shared" si="88"/>
        <v>100955.125</v>
      </c>
      <c r="DP50" s="127">
        <f t="shared" si="146"/>
        <v>1000</v>
      </c>
      <c r="DQ50" s="128">
        <f t="shared" si="147"/>
        <v>100000</v>
      </c>
      <c r="DR50" s="128">
        <f t="shared" si="138"/>
        <v>100000</v>
      </c>
      <c r="DS50" s="128">
        <f t="shared" si="139"/>
        <v>100000</v>
      </c>
      <c r="DT50" s="130">
        <f t="shared" si="89"/>
        <v>0.06</v>
      </c>
      <c r="DU50" s="128">
        <f t="shared" si="90"/>
        <v>103499.99999999999</v>
      </c>
      <c r="DV50" s="128" t="str">
        <f t="shared" si="91"/>
        <v>nie</v>
      </c>
      <c r="DW50" s="128">
        <f t="shared" si="92"/>
        <v>3000</v>
      </c>
      <c r="DX50" s="128">
        <f t="shared" si="93"/>
        <v>100404.99999999999</v>
      </c>
      <c r="DY50" s="128">
        <f t="shared" si="94"/>
        <v>0</v>
      </c>
      <c r="DZ50" s="130">
        <f t="shared" si="95"/>
        <v>4.4999999999999998E-2</v>
      </c>
      <c r="EA50" s="128">
        <f t="shared" si="96"/>
        <v>0</v>
      </c>
      <c r="EB50" s="128">
        <f t="shared" si="97"/>
        <v>100404.99999999999</v>
      </c>
    </row>
    <row r="51" spans="1:132">
      <c r="A51" s="212"/>
      <c r="B51" s="188">
        <f t="shared" si="98"/>
        <v>7</v>
      </c>
      <c r="C51" s="128">
        <f t="shared" si="99"/>
        <v>101740.72383984292</v>
      </c>
      <c r="D51" s="128">
        <f t="shared" si="100"/>
        <v>101650.24796783786</v>
      </c>
      <c r="E51" s="128">
        <f t="shared" si="101"/>
        <v>101505.25000000001</v>
      </c>
      <c r="F51" s="128">
        <f t="shared" si="102"/>
        <v>100860.62499999999</v>
      </c>
      <c r="G51" s="128">
        <f t="shared" si="103"/>
        <v>100286.87499999999</v>
      </c>
      <c r="H51" s="128">
        <f t="shared" si="104"/>
        <v>100955.125</v>
      </c>
      <c r="I51" s="128">
        <f t="shared" si="105"/>
        <v>100404.99999999999</v>
      </c>
      <c r="J51" s="128">
        <f t="shared" si="106"/>
        <v>102145.72383984302</v>
      </c>
      <c r="K51" s="128">
        <f t="shared" si="107"/>
        <v>101691.66666666667</v>
      </c>
      <c r="M51" s="36"/>
      <c r="N51" s="32">
        <f t="shared" si="108"/>
        <v>7</v>
      </c>
      <c r="O51" s="25">
        <f t="shared" si="109"/>
        <v>1.740723839842917E-2</v>
      </c>
      <c r="P51" s="25">
        <f t="shared" si="110"/>
        <v>1.650247967837859E-2</v>
      </c>
      <c r="Q51" s="25">
        <f t="shared" si="111"/>
        <v>1.5052500000000135E-2</v>
      </c>
      <c r="R51" s="25">
        <f t="shared" si="30"/>
        <v>8.6062499999999265E-3</v>
      </c>
      <c r="S51" s="25">
        <f t="shared" si="31"/>
        <v>2.8687499999997534E-3</v>
      </c>
      <c r="T51" s="25">
        <f t="shared" si="32"/>
        <v>9.5512499999999001E-3</v>
      </c>
      <c r="U51" s="25">
        <f t="shared" si="33"/>
        <v>4.049999999999887E-3</v>
      </c>
      <c r="V51" s="25">
        <f t="shared" si="34"/>
        <v>2.1457238398430167E-2</v>
      </c>
      <c r="W51" s="25">
        <f t="shared" si="112"/>
        <v>1.6916666666666691E-2</v>
      </c>
      <c r="X51" s="36"/>
      <c r="AA51" s="124">
        <f t="shared" si="113"/>
        <v>8</v>
      </c>
      <c r="AB51" s="128">
        <f t="shared" si="35"/>
        <v>101933.33333333334</v>
      </c>
      <c r="AC51" s="124">
        <f t="shared" si="114"/>
        <v>8</v>
      </c>
      <c r="AD51" s="130">
        <f t="shared" si="115"/>
        <v>4.4999999999999998E-2</v>
      </c>
      <c r="AE51" s="127">
        <f t="shared" si="116"/>
        <v>1000</v>
      </c>
      <c r="AF51" s="128">
        <f t="shared" si="117"/>
        <v>100000</v>
      </c>
      <c r="AG51" s="128">
        <f t="shared" si="140"/>
        <v>100000</v>
      </c>
      <c r="AH51" s="128">
        <f t="shared" si="118"/>
        <v>100000</v>
      </c>
      <c r="AI51" s="130">
        <f t="shared" si="36"/>
        <v>4.4999999999999998E-2</v>
      </c>
      <c r="AJ51" s="128">
        <f t="shared" si="37"/>
        <v>100374.99999999999</v>
      </c>
      <c r="AK51" s="128" t="str">
        <f t="shared" si="38"/>
        <v>nie</v>
      </c>
      <c r="AL51" s="128">
        <f t="shared" si="39"/>
        <v>500</v>
      </c>
      <c r="AM51" s="128">
        <f t="shared" si="40"/>
        <v>99898.749999999985</v>
      </c>
      <c r="AN51" s="128">
        <f t="shared" si="41"/>
        <v>303.74999999998823</v>
      </c>
      <c r="AO51" s="130">
        <f t="shared" si="42"/>
        <v>4.4999999999999998E-2</v>
      </c>
      <c r="AP51" s="128">
        <f t="shared" si="43"/>
        <v>2455.991476006428</v>
      </c>
      <c r="AQ51" s="128">
        <f t="shared" si="44"/>
        <v>102050.99147600643</v>
      </c>
      <c r="AS51" s="124">
        <f t="shared" si="119"/>
        <v>8</v>
      </c>
      <c r="AT51" s="130">
        <f t="shared" si="120"/>
        <v>4.4999999999999998E-2</v>
      </c>
      <c r="AU51" s="127">
        <f t="shared" si="121"/>
        <v>1000</v>
      </c>
      <c r="AV51" s="128">
        <f t="shared" si="122"/>
        <v>100000</v>
      </c>
      <c r="AW51" s="128">
        <f t="shared" si="141"/>
        <v>100000</v>
      </c>
      <c r="AX51" s="128">
        <f t="shared" si="123"/>
        <v>100000</v>
      </c>
      <c r="AY51" s="130">
        <f t="shared" si="45"/>
        <v>4.65E-2</v>
      </c>
      <c r="AZ51" s="128">
        <f t="shared" si="46"/>
        <v>100387.50000000001</v>
      </c>
      <c r="BA51" s="128" t="str">
        <f t="shared" si="47"/>
        <v>nie</v>
      </c>
      <c r="BB51" s="128">
        <f t="shared" si="48"/>
        <v>700</v>
      </c>
      <c r="BC51" s="128">
        <f t="shared" si="49"/>
        <v>99746.875000000015</v>
      </c>
      <c r="BD51" s="128">
        <f t="shared" si="50"/>
        <v>313.87500000001182</v>
      </c>
      <c r="BE51" s="130">
        <f t="shared" si="51"/>
        <v>4.4999999999999998E-2</v>
      </c>
      <c r="BF51" s="128">
        <f t="shared" si="52"/>
        <v>2537.8578585401692</v>
      </c>
      <c r="BG51" s="128">
        <f t="shared" si="53"/>
        <v>101970.85785854017</v>
      </c>
      <c r="BI51" s="124">
        <f t="shared" si="124"/>
        <v>8</v>
      </c>
      <c r="BJ51" s="130">
        <f t="shared" si="148"/>
        <v>4.3200000000000002E-2</v>
      </c>
      <c r="BK51" s="127">
        <f t="shared" si="125"/>
        <v>1000</v>
      </c>
      <c r="BL51" s="128">
        <f t="shared" si="126"/>
        <v>100000</v>
      </c>
      <c r="BM51" s="128">
        <f t="shared" si="142"/>
        <v>100000</v>
      </c>
      <c r="BN51" s="128">
        <f t="shared" si="127"/>
        <v>100000</v>
      </c>
      <c r="BO51" s="130">
        <f t="shared" si="54"/>
        <v>4.9000000000000002E-2</v>
      </c>
      <c r="BP51" s="128">
        <f t="shared" si="55"/>
        <v>103266.66666666666</v>
      </c>
      <c r="BQ51" s="128" t="str">
        <f t="shared" si="56"/>
        <v>nie</v>
      </c>
      <c r="BR51" s="128">
        <f t="shared" si="57"/>
        <v>1000</v>
      </c>
      <c r="BS51" s="128">
        <f t="shared" si="58"/>
        <v>101835.99999999999</v>
      </c>
      <c r="BT51" s="128">
        <f t="shared" si="128"/>
        <v>0</v>
      </c>
      <c r="BU51" s="130">
        <f t="shared" si="59"/>
        <v>4.4999999999999998E-2</v>
      </c>
      <c r="BV51" s="128">
        <f t="shared" si="60"/>
        <v>0</v>
      </c>
      <c r="BW51" s="128">
        <f t="shared" si="61"/>
        <v>101835.99999999999</v>
      </c>
      <c r="BY51" s="129"/>
      <c r="BZ51" s="127">
        <f t="shared" si="129"/>
        <v>1000</v>
      </c>
      <c r="CA51" s="128">
        <f t="shared" si="130"/>
        <v>100000</v>
      </c>
      <c r="CB51" s="128">
        <f t="shared" si="143"/>
        <v>100000</v>
      </c>
      <c r="CC51" s="128">
        <f t="shared" si="131"/>
        <v>100000</v>
      </c>
      <c r="CD51" s="130">
        <f t="shared" si="62"/>
        <v>5.2499999999999998E-2</v>
      </c>
      <c r="CE51" s="128">
        <f t="shared" si="63"/>
        <v>103499.99999999999</v>
      </c>
      <c r="CF51" s="128" t="str">
        <f t="shared" si="64"/>
        <v>nie</v>
      </c>
      <c r="CG51" s="128">
        <f t="shared" si="65"/>
        <v>2000</v>
      </c>
      <c r="CH51" s="128">
        <f t="shared" si="66"/>
        <v>101214.99999999999</v>
      </c>
      <c r="CI51" s="128">
        <f t="shared" si="67"/>
        <v>0</v>
      </c>
      <c r="CJ51" s="130">
        <f t="shared" si="68"/>
        <v>4.4999999999999998E-2</v>
      </c>
      <c r="CK51" s="128">
        <f t="shared" si="69"/>
        <v>0</v>
      </c>
      <c r="CL51" s="128">
        <f t="shared" si="70"/>
        <v>101214.99999999999</v>
      </c>
      <c r="CN51" s="127">
        <f t="shared" si="132"/>
        <v>1000</v>
      </c>
      <c r="CO51" s="128">
        <f t="shared" si="133"/>
        <v>100000</v>
      </c>
      <c r="CP51" s="128">
        <f t="shared" si="134"/>
        <v>100000</v>
      </c>
      <c r="CQ51" s="128">
        <f t="shared" si="135"/>
        <v>100000</v>
      </c>
      <c r="CR51" s="130">
        <f t="shared" si="71"/>
        <v>5.7500000000000002E-2</v>
      </c>
      <c r="CS51" s="128">
        <f t="shared" si="72"/>
        <v>103833.33333333333</v>
      </c>
      <c r="CT51" s="128" t="str">
        <f t="shared" si="73"/>
        <v>nie</v>
      </c>
      <c r="CU51" s="128">
        <f t="shared" si="74"/>
        <v>3000</v>
      </c>
      <c r="CV51" s="128">
        <f t="shared" si="75"/>
        <v>100675</v>
      </c>
      <c r="CW51" s="128">
        <f t="shared" si="76"/>
        <v>0</v>
      </c>
      <c r="CX51" s="130">
        <f t="shared" si="77"/>
        <v>4.4999999999999998E-2</v>
      </c>
      <c r="CY51" s="128">
        <f t="shared" si="78"/>
        <v>0</v>
      </c>
      <c r="CZ51" s="128">
        <f t="shared" si="79"/>
        <v>100675</v>
      </c>
      <c r="DA51" s="20"/>
      <c r="DB51" s="127">
        <f t="shared" si="144"/>
        <v>1000</v>
      </c>
      <c r="DC51" s="128">
        <f t="shared" si="145"/>
        <v>100000</v>
      </c>
      <c r="DD51" s="128">
        <f t="shared" si="136"/>
        <v>100000</v>
      </c>
      <c r="DE51" s="128">
        <f t="shared" si="137"/>
        <v>100000</v>
      </c>
      <c r="DF51" s="130">
        <f t="shared" si="80"/>
        <v>5.45E-2</v>
      </c>
      <c r="DG51" s="128">
        <f t="shared" si="81"/>
        <v>103633.33333333333</v>
      </c>
      <c r="DH51" s="128" t="str">
        <f t="shared" si="82"/>
        <v>nie</v>
      </c>
      <c r="DI51" s="128">
        <f t="shared" si="83"/>
        <v>2000</v>
      </c>
      <c r="DJ51" s="128">
        <f t="shared" si="84"/>
        <v>101323</v>
      </c>
      <c r="DK51" s="128">
        <f t="shared" si="85"/>
        <v>0</v>
      </c>
      <c r="DL51" s="130">
        <f t="shared" si="86"/>
        <v>4.4999999999999998E-2</v>
      </c>
      <c r="DM51" s="128">
        <f t="shared" si="87"/>
        <v>0</v>
      </c>
      <c r="DN51" s="128">
        <f t="shared" si="88"/>
        <v>101323</v>
      </c>
      <c r="DP51" s="127">
        <f t="shared" si="146"/>
        <v>1000</v>
      </c>
      <c r="DQ51" s="128">
        <f t="shared" si="147"/>
        <v>100000</v>
      </c>
      <c r="DR51" s="128">
        <f t="shared" si="138"/>
        <v>100000</v>
      </c>
      <c r="DS51" s="128">
        <f t="shared" si="139"/>
        <v>100000</v>
      </c>
      <c r="DT51" s="130">
        <f t="shared" si="89"/>
        <v>0.06</v>
      </c>
      <c r="DU51" s="128">
        <f t="shared" si="90"/>
        <v>104000</v>
      </c>
      <c r="DV51" s="128" t="str">
        <f t="shared" si="91"/>
        <v>nie</v>
      </c>
      <c r="DW51" s="128">
        <f t="shared" si="92"/>
        <v>3000</v>
      </c>
      <c r="DX51" s="128">
        <f t="shared" si="93"/>
        <v>100810</v>
      </c>
      <c r="DY51" s="128">
        <f t="shared" si="94"/>
        <v>0</v>
      </c>
      <c r="DZ51" s="130">
        <f t="shared" si="95"/>
        <v>4.4999999999999998E-2</v>
      </c>
      <c r="EA51" s="128">
        <f t="shared" si="96"/>
        <v>0</v>
      </c>
      <c r="EB51" s="128">
        <f t="shared" si="97"/>
        <v>100810</v>
      </c>
    </row>
    <row r="52" spans="1:132">
      <c r="A52" s="212"/>
      <c r="B52" s="188">
        <f t="shared" si="98"/>
        <v>8</v>
      </c>
      <c r="C52" s="128">
        <f t="shared" si="99"/>
        <v>102050.99147600643</v>
      </c>
      <c r="D52" s="128">
        <f t="shared" si="100"/>
        <v>101970.85785854017</v>
      </c>
      <c r="E52" s="128">
        <f t="shared" si="101"/>
        <v>101835.99999999999</v>
      </c>
      <c r="F52" s="128">
        <f t="shared" si="102"/>
        <v>101214.99999999999</v>
      </c>
      <c r="G52" s="128">
        <f t="shared" si="103"/>
        <v>100675</v>
      </c>
      <c r="H52" s="128">
        <f t="shared" si="104"/>
        <v>101323</v>
      </c>
      <c r="I52" s="128">
        <f t="shared" si="105"/>
        <v>100810</v>
      </c>
      <c r="J52" s="128">
        <f t="shared" si="106"/>
        <v>102455.99147600654</v>
      </c>
      <c r="K52" s="128">
        <f t="shared" si="107"/>
        <v>101933.33333333334</v>
      </c>
      <c r="M52" s="36"/>
      <c r="N52" s="32">
        <f t="shared" si="108"/>
        <v>8</v>
      </c>
      <c r="O52" s="25">
        <f t="shared" si="109"/>
        <v>2.0509914760064252E-2</v>
      </c>
      <c r="P52" s="25">
        <f t="shared" si="110"/>
        <v>1.9708578585401648E-2</v>
      </c>
      <c r="Q52" s="25">
        <f t="shared" si="111"/>
        <v>1.8359999999999932E-2</v>
      </c>
      <c r="R52" s="25">
        <f t="shared" si="30"/>
        <v>1.2149999999999883E-2</v>
      </c>
      <c r="S52" s="25">
        <f t="shared" si="31"/>
        <v>6.7500000000000338E-3</v>
      </c>
      <c r="T52" s="25">
        <f t="shared" si="32"/>
        <v>1.3230000000000075E-2</v>
      </c>
      <c r="U52" s="25">
        <f t="shared" si="33"/>
        <v>8.0999999999999961E-3</v>
      </c>
      <c r="V52" s="25">
        <f t="shared" si="34"/>
        <v>2.4559914760065471E-2</v>
      </c>
      <c r="W52" s="25">
        <f t="shared" si="112"/>
        <v>1.9333333333333425E-2</v>
      </c>
      <c r="X52" s="36"/>
      <c r="AA52" s="124">
        <f t="shared" si="113"/>
        <v>9</v>
      </c>
      <c r="AB52" s="128">
        <f t="shared" si="35"/>
        <v>102175</v>
      </c>
      <c r="AC52" s="124">
        <f t="shared" si="114"/>
        <v>9</v>
      </c>
      <c r="AD52" s="130">
        <f t="shared" si="115"/>
        <v>4.4999999999999998E-2</v>
      </c>
      <c r="AE52" s="127">
        <f t="shared" si="116"/>
        <v>1000</v>
      </c>
      <c r="AF52" s="128">
        <f t="shared" si="117"/>
        <v>100000</v>
      </c>
      <c r="AG52" s="128">
        <f t="shared" si="140"/>
        <v>100000</v>
      </c>
      <c r="AH52" s="128">
        <f t="shared" si="118"/>
        <v>100000</v>
      </c>
      <c r="AI52" s="130">
        <f t="shared" si="36"/>
        <v>4.4999999999999998E-2</v>
      </c>
      <c r="AJ52" s="128">
        <f t="shared" si="37"/>
        <v>100374.99999999999</v>
      </c>
      <c r="AK52" s="128" t="str">
        <f t="shared" si="38"/>
        <v>nie</v>
      </c>
      <c r="AL52" s="128">
        <f t="shared" si="39"/>
        <v>500</v>
      </c>
      <c r="AM52" s="128">
        <f t="shared" si="40"/>
        <v>99898.749999999985</v>
      </c>
      <c r="AN52" s="128">
        <f t="shared" si="41"/>
        <v>303.74999999998823</v>
      </c>
      <c r="AO52" s="130">
        <f t="shared" si="42"/>
        <v>4.4999999999999998E-2</v>
      </c>
      <c r="AP52" s="128">
        <f t="shared" si="43"/>
        <v>2767.2015501147857</v>
      </c>
      <c r="AQ52" s="128">
        <f t="shared" si="44"/>
        <v>102362.20155011478</v>
      </c>
      <c r="AS52" s="124">
        <f t="shared" si="119"/>
        <v>9</v>
      </c>
      <c r="AT52" s="130">
        <f t="shared" si="120"/>
        <v>4.4999999999999998E-2</v>
      </c>
      <c r="AU52" s="127">
        <f t="shared" si="121"/>
        <v>1000</v>
      </c>
      <c r="AV52" s="128">
        <f t="shared" si="122"/>
        <v>100000</v>
      </c>
      <c r="AW52" s="128">
        <f t="shared" si="141"/>
        <v>100000</v>
      </c>
      <c r="AX52" s="128">
        <f t="shared" si="123"/>
        <v>100000</v>
      </c>
      <c r="AY52" s="130">
        <f t="shared" si="45"/>
        <v>4.65E-2</v>
      </c>
      <c r="AZ52" s="128">
        <f t="shared" si="46"/>
        <v>100387.50000000001</v>
      </c>
      <c r="BA52" s="128" t="str">
        <f t="shared" si="47"/>
        <v>nie</v>
      </c>
      <c r="BB52" s="128">
        <f t="shared" si="48"/>
        <v>700</v>
      </c>
      <c r="BC52" s="128">
        <f t="shared" si="49"/>
        <v>99746.875000000015</v>
      </c>
      <c r="BD52" s="128">
        <f t="shared" si="50"/>
        <v>313.87500000001182</v>
      </c>
      <c r="BE52" s="130">
        <f t="shared" si="51"/>
        <v>4.4999999999999998E-2</v>
      </c>
      <c r="BF52" s="128">
        <f t="shared" si="52"/>
        <v>2859.4416017854969</v>
      </c>
      <c r="BG52" s="128">
        <f t="shared" si="53"/>
        <v>102292.4416017855</v>
      </c>
      <c r="BI52" s="124">
        <f t="shared" si="124"/>
        <v>9</v>
      </c>
      <c r="BJ52" s="130">
        <f t="shared" si="148"/>
        <v>4.3200000000000002E-2</v>
      </c>
      <c r="BK52" s="127">
        <f t="shared" si="125"/>
        <v>1000</v>
      </c>
      <c r="BL52" s="128">
        <f t="shared" si="126"/>
        <v>100000</v>
      </c>
      <c r="BM52" s="128">
        <f t="shared" si="142"/>
        <v>100000</v>
      </c>
      <c r="BN52" s="128">
        <f t="shared" si="127"/>
        <v>100000</v>
      </c>
      <c r="BO52" s="130">
        <f t="shared" si="54"/>
        <v>4.9000000000000002E-2</v>
      </c>
      <c r="BP52" s="128">
        <f t="shared" si="55"/>
        <v>103675</v>
      </c>
      <c r="BQ52" s="128" t="str">
        <f t="shared" si="56"/>
        <v>nie</v>
      </c>
      <c r="BR52" s="128">
        <f t="shared" si="57"/>
        <v>1000</v>
      </c>
      <c r="BS52" s="128">
        <f t="shared" si="58"/>
        <v>102166.75</v>
      </c>
      <c r="BT52" s="128">
        <f t="shared" si="128"/>
        <v>0</v>
      </c>
      <c r="BU52" s="130">
        <f t="shared" si="59"/>
        <v>4.4999999999999998E-2</v>
      </c>
      <c r="BV52" s="128">
        <f t="shared" si="60"/>
        <v>0</v>
      </c>
      <c r="BW52" s="128">
        <f t="shared" si="61"/>
        <v>102166.75</v>
      </c>
      <c r="BY52" s="129"/>
      <c r="BZ52" s="127">
        <f t="shared" si="129"/>
        <v>1000</v>
      </c>
      <c r="CA52" s="128">
        <f t="shared" si="130"/>
        <v>100000</v>
      </c>
      <c r="CB52" s="128">
        <f t="shared" si="143"/>
        <v>100000</v>
      </c>
      <c r="CC52" s="128">
        <f t="shared" si="131"/>
        <v>100000</v>
      </c>
      <c r="CD52" s="130">
        <f t="shared" si="62"/>
        <v>5.2499999999999998E-2</v>
      </c>
      <c r="CE52" s="128">
        <f t="shared" si="63"/>
        <v>103937.5</v>
      </c>
      <c r="CF52" s="128" t="str">
        <f t="shared" si="64"/>
        <v>nie</v>
      </c>
      <c r="CG52" s="128">
        <f t="shared" si="65"/>
        <v>2000</v>
      </c>
      <c r="CH52" s="128">
        <f t="shared" si="66"/>
        <v>101569.375</v>
      </c>
      <c r="CI52" s="128">
        <f t="shared" si="67"/>
        <v>0</v>
      </c>
      <c r="CJ52" s="130">
        <f t="shared" si="68"/>
        <v>4.4999999999999998E-2</v>
      </c>
      <c r="CK52" s="128">
        <f t="shared" si="69"/>
        <v>0</v>
      </c>
      <c r="CL52" s="128">
        <f t="shared" si="70"/>
        <v>101569.375</v>
      </c>
      <c r="CN52" s="127">
        <f t="shared" si="132"/>
        <v>1000</v>
      </c>
      <c r="CO52" s="128">
        <f t="shared" si="133"/>
        <v>100000</v>
      </c>
      <c r="CP52" s="128">
        <f t="shared" si="134"/>
        <v>100000</v>
      </c>
      <c r="CQ52" s="128">
        <f t="shared" si="135"/>
        <v>100000</v>
      </c>
      <c r="CR52" s="130">
        <f t="shared" si="71"/>
        <v>5.7500000000000002E-2</v>
      </c>
      <c r="CS52" s="128">
        <f t="shared" si="72"/>
        <v>104312.50000000001</v>
      </c>
      <c r="CT52" s="128" t="str">
        <f t="shared" si="73"/>
        <v>nie</v>
      </c>
      <c r="CU52" s="128">
        <f t="shared" si="74"/>
        <v>3000</v>
      </c>
      <c r="CV52" s="128">
        <f t="shared" si="75"/>
        <v>101063.12500000001</v>
      </c>
      <c r="CW52" s="128">
        <f t="shared" si="76"/>
        <v>0</v>
      </c>
      <c r="CX52" s="130">
        <f t="shared" si="77"/>
        <v>4.4999999999999998E-2</v>
      </c>
      <c r="CY52" s="128">
        <f t="shared" si="78"/>
        <v>0</v>
      </c>
      <c r="CZ52" s="128">
        <f t="shared" si="79"/>
        <v>101063.12500000001</v>
      </c>
      <c r="DA52" s="20"/>
      <c r="DB52" s="127">
        <f t="shared" si="144"/>
        <v>1000</v>
      </c>
      <c r="DC52" s="128">
        <f t="shared" si="145"/>
        <v>100000</v>
      </c>
      <c r="DD52" s="128">
        <f t="shared" si="136"/>
        <v>100000</v>
      </c>
      <c r="DE52" s="128">
        <f t="shared" si="137"/>
        <v>100000</v>
      </c>
      <c r="DF52" s="130">
        <f t="shared" si="80"/>
        <v>5.45E-2</v>
      </c>
      <c r="DG52" s="128">
        <f t="shared" si="81"/>
        <v>104087.5</v>
      </c>
      <c r="DH52" s="128" t="str">
        <f t="shared" si="82"/>
        <v>nie</v>
      </c>
      <c r="DI52" s="128">
        <f t="shared" si="83"/>
        <v>2000</v>
      </c>
      <c r="DJ52" s="128">
        <f t="shared" si="84"/>
        <v>101690.875</v>
      </c>
      <c r="DK52" s="128">
        <f t="shared" si="85"/>
        <v>0</v>
      </c>
      <c r="DL52" s="130">
        <f t="shared" si="86"/>
        <v>4.4999999999999998E-2</v>
      </c>
      <c r="DM52" s="128">
        <f t="shared" si="87"/>
        <v>0</v>
      </c>
      <c r="DN52" s="128">
        <f t="shared" si="88"/>
        <v>101690.875</v>
      </c>
      <c r="DP52" s="127">
        <f t="shared" si="146"/>
        <v>1000</v>
      </c>
      <c r="DQ52" s="128">
        <f t="shared" si="147"/>
        <v>100000</v>
      </c>
      <c r="DR52" s="128">
        <f t="shared" si="138"/>
        <v>100000</v>
      </c>
      <c r="DS52" s="128">
        <f t="shared" si="139"/>
        <v>100000</v>
      </c>
      <c r="DT52" s="130">
        <f t="shared" si="89"/>
        <v>0.06</v>
      </c>
      <c r="DU52" s="128">
        <f t="shared" si="90"/>
        <v>104500</v>
      </c>
      <c r="DV52" s="128" t="str">
        <f t="shared" si="91"/>
        <v>nie</v>
      </c>
      <c r="DW52" s="128">
        <f t="shared" si="92"/>
        <v>3000</v>
      </c>
      <c r="DX52" s="128">
        <f t="shared" si="93"/>
        <v>101215</v>
      </c>
      <c r="DY52" s="128">
        <f t="shared" si="94"/>
        <v>0</v>
      </c>
      <c r="DZ52" s="130">
        <f t="shared" si="95"/>
        <v>4.4999999999999998E-2</v>
      </c>
      <c r="EA52" s="128">
        <f t="shared" si="96"/>
        <v>0</v>
      </c>
      <c r="EB52" s="128">
        <f t="shared" si="97"/>
        <v>101215</v>
      </c>
    </row>
    <row r="53" spans="1:132">
      <c r="A53" s="212"/>
      <c r="B53" s="188">
        <f t="shared" si="98"/>
        <v>9</v>
      </c>
      <c r="C53" s="128">
        <f t="shared" si="99"/>
        <v>102362.20155011478</v>
      </c>
      <c r="D53" s="128">
        <f t="shared" si="100"/>
        <v>102292.4416017855</v>
      </c>
      <c r="E53" s="128">
        <f t="shared" si="101"/>
        <v>102166.75</v>
      </c>
      <c r="F53" s="128">
        <f t="shared" si="102"/>
        <v>101569.375</v>
      </c>
      <c r="G53" s="128">
        <f t="shared" si="103"/>
        <v>101063.12500000001</v>
      </c>
      <c r="H53" s="128">
        <f t="shared" si="104"/>
        <v>101690.875</v>
      </c>
      <c r="I53" s="128">
        <f t="shared" si="105"/>
        <v>101215</v>
      </c>
      <c r="J53" s="128">
        <f t="shared" si="106"/>
        <v>102767.20155011491</v>
      </c>
      <c r="K53" s="128">
        <f t="shared" si="107"/>
        <v>102175</v>
      </c>
      <c r="M53" s="36"/>
      <c r="N53" s="32">
        <f t="shared" si="108"/>
        <v>9</v>
      </c>
      <c r="O53" s="25">
        <f t="shared" si="109"/>
        <v>2.3622015501147731E-2</v>
      </c>
      <c r="P53" s="25">
        <f t="shared" si="110"/>
        <v>2.2924416017854998E-2</v>
      </c>
      <c r="Q53" s="25">
        <f t="shared" si="111"/>
        <v>2.1667499999999951E-2</v>
      </c>
      <c r="R53" s="25">
        <f t="shared" si="30"/>
        <v>1.5693750000000062E-2</v>
      </c>
      <c r="S53" s="25">
        <f t="shared" si="31"/>
        <v>1.0631250000000092E-2</v>
      </c>
      <c r="T53" s="25">
        <f t="shared" si="32"/>
        <v>1.6908750000000028E-2</v>
      </c>
      <c r="U53" s="25">
        <f t="shared" si="33"/>
        <v>1.2150000000000105E-2</v>
      </c>
      <c r="V53" s="25">
        <f t="shared" si="34"/>
        <v>2.7672015501149172E-2</v>
      </c>
      <c r="W53" s="25">
        <f t="shared" si="112"/>
        <v>2.1749999999999936E-2</v>
      </c>
      <c r="X53" s="36"/>
      <c r="AA53" s="124">
        <f t="shared" si="113"/>
        <v>10</v>
      </c>
      <c r="AB53" s="128">
        <f t="shared" si="35"/>
        <v>102416.66666666667</v>
      </c>
      <c r="AC53" s="124">
        <f t="shared" si="114"/>
        <v>10</v>
      </c>
      <c r="AD53" s="130">
        <f t="shared" si="115"/>
        <v>4.4999999999999998E-2</v>
      </c>
      <c r="AE53" s="127">
        <f t="shared" si="116"/>
        <v>1000</v>
      </c>
      <c r="AF53" s="128">
        <f t="shared" si="117"/>
        <v>100000</v>
      </c>
      <c r="AG53" s="128">
        <f t="shared" si="140"/>
        <v>100000</v>
      </c>
      <c r="AH53" s="128">
        <f t="shared" si="118"/>
        <v>100000</v>
      </c>
      <c r="AI53" s="130">
        <f t="shared" si="36"/>
        <v>4.4999999999999998E-2</v>
      </c>
      <c r="AJ53" s="128">
        <f t="shared" si="37"/>
        <v>100374.99999999999</v>
      </c>
      <c r="AK53" s="128" t="str">
        <f t="shared" si="38"/>
        <v>nie</v>
      </c>
      <c r="AL53" s="128">
        <f t="shared" si="39"/>
        <v>500</v>
      </c>
      <c r="AM53" s="128">
        <f t="shared" si="40"/>
        <v>99898.749999999985</v>
      </c>
      <c r="AN53" s="128">
        <f t="shared" si="41"/>
        <v>303.74999999998823</v>
      </c>
      <c r="AO53" s="130">
        <f t="shared" si="42"/>
        <v>4.4999999999999998E-2</v>
      </c>
      <c r="AP53" s="128">
        <f t="shared" si="43"/>
        <v>3079.3569248232475</v>
      </c>
      <c r="AQ53" s="128">
        <f t="shared" si="44"/>
        <v>102674.35692482324</v>
      </c>
      <c r="AS53" s="124">
        <f t="shared" si="119"/>
        <v>10</v>
      </c>
      <c r="AT53" s="130">
        <f t="shared" si="120"/>
        <v>4.4999999999999998E-2</v>
      </c>
      <c r="AU53" s="127">
        <f t="shared" si="121"/>
        <v>1000</v>
      </c>
      <c r="AV53" s="128">
        <f t="shared" si="122"/>
        <v>100000</v>
      </c>
      <c r="AW53" s="128">
        <f t="shared" si="141"/>
        <v>100000</v>
      </c>
      <c r="AX53" s="128">
        <f t="shared" si="123"/>
        <v>100000</v>
      </c>
      <c r="AY53" s="130">
        <f t="shared" si="45"/>
        <v>4.65E-2</v>
      </c>
      <c r="AZ53" s="128">
        <f t="shared" si="46"/>
        <v>100387.50000000001</v>
      </c>
      <c r="BA53" s="128" t="str">
        <f t="shared" si="47"/>
        <v>nie</v>
      </c>
      <c r="BB53" s="128">
        <f t="shared" si="48"/>
        <v>700</v>
      </c>
      <c r="BC53" s="128">
        <f t="shared" si="49"/>
        <v>99746.875000000015</v>
      </c>
      <c r="BD53" s="128">
        <f t="shared" si="50"/>
        <v>313.87500000001182</v>
      </c>
      <c r="BE53" s="130">
        <f t="shared" si="51"/>
        <v>4.4999999999999998E-2</v>
      </c>
      <c r="BF53" s="128">
        <f t="shared" si="52"/>
        <v>3182.0021556509323</v>
      </c>
      <c r="BG53" s="128">
        <f t="shared" si="53"/>
        <v>102615.00215565093</v>
      </c>
      <c r="BI53" s="124">
        <f t="shared" si="124"/>
        <v>10</v>
      </c>
      <c r="BJ53" s="130">
        <f t="shared" si="148"/>
        <v>4.3200000000000002E-2</v>
      </c>
      <c r="BK53" s="127">
        <f t="shared" si="125"/>
        <v>1000</v>
      </c>
      <c r="BL53" s="128">
        <f t="shared" si="126"/>
        <v>100000</v>
      </c>
      <c r="BM53" s="128">
        <f t="shared" si="142"/>
        <v>100000</v>
      </c>
      <c r="BN53" s="128">
        <f t="shared" si="127"/>
        <v>100000</v>
      </c>
      <c r="BO53" s="130">
        <f t="shared" si="54"/>
        <v>4.9000000000000002E-2</v>
      </c>
      <c r="BP53" s="128">
        <f t="shared" si="55"/>
        <v>104083.33333333333</v>
      </c>
      <c r="BQ53" s="128" t="str">
        <f t="shared" si="56"/>
        <v>nie</v>
      </c>
      <c r="BR53" s="128">
        <f t="shared" si="57"/>
        <v>1000</v>
      </c>
      <c r="BS53" s="128">
        <f t="shared" si="58"/>
        <v>102497.5</v>
      </c>
      <c r="BT53" s="128">
        <f t="shared" si="128"/>
        <v>0</v>
      </c>
      <c r="BU53" s="130">
        <f t="shared" si="59"/>
        <v>4.4999999999999998E-2</v>
      </c>
      <c r="BV53" s="128">
        <f t="shared" si="60"/>
        <v>0</v>
      </c>
      <c r="BW53" s="128">
        <f t="shared" si="61"/>
        <v>102497.5</v>
      </c>
      <c r="BY53" s="129"/>
      <c r="BZ53" s="127">
        <f t="shared" si="129"/>
        <v>1000</v>
      </c>
      <c r="CA53" s="128">
        <f t="shared" si="130"/>
        <v>100000</v>
      </c>
      <c r="CB53" s="128">
        <f t="shared" si="143"/>
        <v>100000</v>
      </c>
      <c r="CC53" s="128">
        <f t="shared" si="131"/>
        <v>100000</v>
      </c>
      <c r="CD53" s="130">
        <f t="shared" si="62"/>
        <v>5.2499999999999998E-2</v>
      </c>
      <c r="CE53" s="128">
        <f t="shared" si="63"/>
        <v>104375</v>
      </c>
      <c r="CF53" s="128" t="str">
        <f t="shared" si="64"/>
        <v>nie</v>
      </c>
      <c r="CG53" s="128">
        <f t="shared" si="65"/>
        <v>2000</v>
      </c>
      <c r="CH53" s="128">
        <f t="shared" si="66"/>
        <v>101923.75</v>
      </c>
      <c r="CI53" s="128">
        <f t="shared" si="67"/>
        <v>0</v>
      </c>
      <c r="CJ53" s="130">
        <f t="shared" si="68"/>
        <v>4.4999999999999998E-2</v>
      </c>
      <c r="CK53" s="128">
        <f t="shared" si="69"/>
        <v>0</v>
      </c>
      <c r="CL53" s="128">
        <f t="shared" si="70"/>
        <v>101923.75</v>
      </c>
      <c r="CN53" s="127">
        <f t="shared" si="132"/>
        <v>1000</v>
      </c>
      <c r="CO53" s="128">
        <f t="shared" si="133"/>
        <v>100000</v>
      </c>
      <c r="CP53" s="128">
        <f t="shared" si="134"/>
        <v>100000</v>
      </c>
      <c r="CQ53" s="128">
        <f t="shared" si="135"/>
        <v>100000</v>
      </c>
      <c r="CR53" s="130">
        <f t="shared" si="71"/>
        <v>5.7500000000000002E-2</v>
      </c>
      <c r="CS53" s="128">
        <f t="shared" si="72"/>
        <v>104791.66666666666</v>
      </c>
      <c r="CT53" s="128" t="str">
        <f t="shared" si="73"/>
        <v>nie</v>
      </c>
      <c r="CU53" s="128">
        <f t="shared" si="74"/>
        <v>3000</v>
      </c>
      <c r="CV53" s="128">
        <f t="shared" si="75"/>
        <v>101451.24999999999</v>
      </c>
      <c r="CW53" s="128">
        <f t="shared" si="76"/>
        <v>0</v>
      </c>
      <c r="CX53" s="130">
        <f t="shared" si="77"/>
        <v>4.4999999999999998E-2</v>
      </c>
      <c r="CY53" s="128">
        <f t="shared" si="78"/>
        <v>0</v>
      </c>
      <c r="CZ53" s="128">
        <f t="shared" si="79"/>
        <v>101451.24999999999</v>
      </c>
      <c r="DA53" s="20"/>
      <c r="DB53" s="127">
        <f t="shared" si="144"/>
        <v>1000</v>
      </c>
      <c r="DC53" s="128">
        <f t="shared" si="145"/>
        <v>100000</v>
      </c>
      <c r="DD53" s="128">
        <f t="shared" si="136"/>
        <v>100000</v>
      </c>
      <c r="DE53" s="128">
        <f t="shared" si="137"/>
        <v>100000</v>
      </c>
      <c r="DF53" s="130">
        <f t="shared" si="80"/>
        <v>5.45E-2</v>
      </c>
      <c r="DG53" s="128">
        <f t="shared" si="81"/>
        <v>104541.66666666667</v>
      </c>
      <c r="DH53" s="128" t="str">
        <f t="shared" si="82"/>
        <v>nie</v>
      </c>
      <c r="DI53" s="128">
        <f t="shared" si="83"/>
        <v>2000</v>
      </c>
      <c r="DJ53" s="128">
        <f t="shared" si="84"/>
        <v>102058.75</v>
      </c>
      <c r="DK53" s="128">
        <f t="shared" si="85"/>
        <v>0</v>
      </c>
      <c r="DL53" s="130">
        <f t="shared" si="86"/>
        <v>4.4999999999999998E-2</v>
      </c>
      <c r="DM53" s="128">
        <f t="shared" si="87"/>
        <v>0</v>
      </c>
      <c r="DN53" s="128">
        <f t="shared" si="88"/>
        <v>102058.75</v>
      </c>
      <c r="DP53" s="127">
        <f t="shared" si="146"/>
        <v>1000</v>
      </c>
      <c r="DQ53" s="128">
        <f t="shared" si="147"/>
        <v>100000</v>
      </c>
      <c r="DR53" s="128">
        <f t="shared" si="138"/>
        <v>100000</v>
      </c>
      <c r="DS53" s="128">
        <f t="shared" si="139"/>
        <v>100000</v>
      </c>
      <c r="DT53" s="130">
        <f t="shared" si="89"/>
        <v>0.06</v>
      </c>
      <c r="DU53" s="128">
        <f t="shared" si="90"/>
        <v>105000</v>
      </c>
      <c r="DV53" s="128" t="str">
        <f t="shared" si="91"/>
        <v>nie</v>
      </c>
      <c r="DW53" s="128">
        <f t="shared" si="92"/>
        <v>3000</v>
      </c>
      <c r="DX53" s="128">
        <f t="shared" si="93"/>
        <v>101620</v>
      </c>
      <c r="DY53" s="128">
        <f t="shared" si="94"/>
        <v>0</v>
      </c>
      <c r="DZ53" s="130">
        <f t="shared" si="95"/>
        <v>4.4999999999999998E-2</v>
      </c>
      <c r="EA53" s="128">
        <f t="shared" si="96"/>
        <v>0</v>
      </c>
      <c r="EB53" s="128">
        <f t="shared" si="97"/>
        <v>101620</v>
      </c>
    </row>
    <row r="54" spans="1:132">
      <c r="A54" s="212"/>
      <c r="B54" s="188">
        <f t="shared" si="98"/>
        <v>10</v>
      </c>
      <c r="C54" s="128">
        <f t="shared" si="99"/>
        <v>102674.35692482324</v>
      </c>
      <c r="D54" s="128">
        <f t="shared" si="100"/>
        <v>102615.00215565093</v>
      </c>
      <c r="E54" s="128">
        <f t="shared" si="101"/>
        <v>102497.5</v>
      </c>
      <c r="F54" s="128">
        <f t="shared" si="102"/>
        <v>101923.75</v>
      </c>
      <c r="G54" s="128">
        <f t="shared" si="103"/>
        <v>101451.24999999999</v>
      </c>
      <c r="H54" s="128">
        <f t="shared" si="104"/>
        <v>102058.75</v>
      </c>
      <c r="I54" s="128">
        <f t="shared" si="105"/>
        <v>101620</v>
      </c>
      <c r="J54" s="128">
        <f t="shared" si="106"/>
        <v>103079.3569248234</v>
      </c>
      <c r="K54" s="128">
        <f t="shared" si="107"/>
        <v>102416.66666666667</v>
      </c>
      <c r="M54" s="36"/>
      <c r="N54" s="32">
        <f t="shared" si="108"/>
        <v>10</v>
      </c>
      <c r="O54" s="25">
        <f t="shared" si="109"/>
        <v>2.6743569248232291E-2</v>
      </c>
      <c r="P54" s="25">
        <f t="shared" si="110"/>
        <v>2.6150021556509362E-2</v>
      </c>
      <c r="Q54" s="25">
        <f t="shared" si="111"/>
        <v>2.4974999999999969E-2</v>
      </c>
      <c r="R54" s="25">
        <f t="shared" si="30"/>
        <v>1.9237500000000018E-2</v>
      </c>
      <c r="S54" s="25">
        <f t="shared" si="31"/>
        <v>1.4512499999999928E-2</v>
      </c>
      <c r="T54" s="25">
        <f t="shared" si="32"/>
        <v>2.0587499999999981E-2</v>
      </c>
      <c r="U54" s="25">
        <f t="shared" si="33"/>
        <v>1.6199999999999992E-2</v>
      </c>
      <c r="V54" s="25">
        <f t="shared" si="34"/>
        <v>3.0793569248233954E-2</v>
      </c>
      <c r="W54" s="25">
        <f t="shared" si="112"/>
        <v>2.416666666666667E-2</v>
      </c>
      <c r="X54" s="36"/>
      <c r="AA54" s="124">
        <f t="shared" si="113"/>
        <v>11</v>
      </c>
      <c r="AB54" s="128">
        <f t="shared" si="35"/>
        <v>102658.33333333334</v>
      </c>
      <c r="AC54" s="124">
        <f t="shared" si="114"/>
        <v>11</v>
      </c>
      <c r="AD54" s="130">
        <f t="shared" si="115"/>
        <v>4.4999999999999998E-2</v>
      </c>
      <c r="AE54" s="127">
        <f t="shared" si="116"/>
        <v>1000</v>
      </c>
      <c r="AF54" s="128">
        <f t="shared" si="117"/>
        <v>100000</v>
      </c>
      <c r="AG54" s="128">
        <f t="shared" si="140"/>
        <v>100000</v>
      </c>
      <c r="AH54" s="128">
        <f t="shared" si="118"/>
        <v>100000</v>
      </c>
      <c r="AI54" s="130">
        <f t="shared" si="36"/>
        <v>4.4999999999999998E-2</v>
      </c>
      <c r="AJ54" s="128">
        <f t="shared" si="37"/>
        <v>100374.99999999999</v>
      </c>
      <c r="AK54" s="128" t="str">
        <f t="shared" si="38"/>
        <v>nie</v>
      </c>
      <c r="AL54" s="128">
        <f t="shared" si="39"/>
        <v>500</v>
      </c>
      <c r="AM54" s="128">
        <f t="shared" si="40"/>
        <v>99898.749999999985</v>
      </c>
      <c r="AN54" s="128">
        <f t="shared" si="41"/>
        <v>303.74999999998823</v>
      </c>
      <c r="AO54" s="130">
        <f t="shared" si="42"/>
        <v>4.4999999999999998E-2</v>
      </c>
      <c r="AP54" s="128">
        <f t="shared" si="43"/>
        <v>3392.4604714823863</v>
      </c>
      <c r="AQ54" s="128">
        <f t="shared" si="44"/>
        <v>102987.46047148238</v>
      </c>
      <c r="AS54" s="124">
        <f t="shared" si="119"/>
        <v>11</v>
      </c>
      <c r="AT54" s="130">
        <f t="shared" si="120"/>
        <v>4.4999999999999998E-2</v>
      </c>
      <c r="AU54" s="127">
        <f t="shared" si="121"/>
        <v>1000</v>
      </c>
      <c r="AV54" s="128">
        <f t="shared" si="122"/>
        <v>100000</v>
      </c>
      <c r="AW54" s="128">
        <f t="shared" si="141"/>
        <v>100000</v>
      </c>
      <c r="AX54" s="128">
        <f t="shared" si="123"/>
        <v>100000</v>
      </c>
      <c r="AY54" s="130">
        <f t="shared" si="45"/>
        <v>4.65E-2</v>
      </c>
      <c r="AZ54" s="128">
        <f t="shared" si="46"/>
        <v>100387.50000000001</v>
      </c>
      <c r="BA54" s="128" t="str">
        <f t="shared" si="47"/>
        <v>nie</v>
      </c>
      <c r="BB54" s="128">
        <f t="shared" si="48"/>
        <v>700</v>
      </c>
      <c r="BC54" s="128">
        <f t="shared" si="49"/>
        <v>99746.875000000015</v>
      </c>
      <c r="BD54" s="128">
        <f t="shared" si="50"/>
        <v>313.87500000001182</v>
      </c>
      <c r="BE54" s="130">
        <f t="shared" si="51"/>
        <v>4.4999999999999998E-2</v>
      </c>
      <c r="BF54" s="128">
        <f t="shared" si="52"/>
        <v>3505.5424871987339</v>
      </c>
      <c r="BG54" s="128">
        <f t="shared" si="53"/>
        <v>102938.54248719873</v>
      </c>
      <c r="BI54" s="124">
        <f t="shared" si="124"/>
        <v>11</v>
      </c>
      <c r="BJ54" s="130">
        <f t="shared" si="148"/>
        <v>4.3200000000000002E-2</v>
      </c>
      <c r="BK54" s="127">
        <f t="shared" si="125"/>
        <v>1000</v>
      </c>
      <c r="BL54" s="128">
        <f t="shared" si="126"/>
        <v>100000</v>
      </c>
      <c r="BM54" s="128">
        <f t="shared" si="142"/>
        <v>100000</v>
      </c>
      <c r="BN54" s="128">
        <f t="shared" si="127"/>
        <v>100000</v>
      </c>
      <c r="BO54" s="130">
        <f t="shared" si="54"/>
        <v>4.9000000000000002E-2</v>
      </c>
      <c r="BP54" s="128">
        <f t="shared" si="55"/>
        <v>104491.66666666667</v>
      </c>
      <c r="BQ54" s="128" t="str">
        <f t="shared" si="56"/>
        <v>nie</v>
      </c>
      <c r="BR54" s="128">
        <f t="shared" si="57"/>
        <v>1000</v>
      </c>
      <c r="BS54" s="128">
        <f t="shared" si="58"/>
        <v>102828.25</v>
      </c>
      <c r="BT54" s="128">
        <f t="shared" si="128"/>
        <v>0</v>
      </c>
      <c r="BU54" s="130">
        <f t="shared" si="59"/>
        <v>4.4999999999999998E-2</v>
      </c>
      <c r="BV54" s="128">
        <f t="shared" si="60"/>
        <v>0</v>
      </c>
      <c r="BW54" s="128">
        <f t="shared" si="61"/>
        <v>102828.25</v>
      </c>
      <c r="BY54" s="129"/>
      <c r="BZ54" s="127">
        <f t="shared" si="129"/>
        <v>1000</v>
      </c>
      <c r="CA54" s="128">
        <f t="shared" si="130"/>
        <v>100000</v>
      </c>
      <c r="CB54" s="128">
        <f t="shared" si="143"/>
        <v>100000</v>
      </c>
      <c r="CC54" s="128">
        <f t="shared" si="131"/>
        <v>100000</v>
      </c>
      <c r="CD54" s="130">
        <f t="shared" si="62"/>
        <v>5.2499999999999998E-2</v>
      </c>
      <c r="CE54" s="128">
        <f t="shared" si="63"/>
        <v>104812.5</v>
      </c>
      <c r="CF54" s="128" t="str">
        <f t="shared" si="64"/>
        <v>nie</v>
      </c>
      <c r="CG54" s="128">
        <f t="shared" si="65"/>
        <v>2000</v>
      </c>
      <c r="CH54" s="128">
        <f t="shared" si="66"/>
        <v>102278.125</v>
      </c>
      <c r="CI54" s="128">
        <f t="shared" si="67"/>
        <v>0</v>
      </c>
      <c r="CJ54" s="130">
        <f t="shared" si="68"/>
        <v>4.4999999999999998E-2</v>
      </c>
      <c r="CK54" s="128">
        <f t="shared" si="69"/>
        <v>0</v>
      </c>
      <c r="CL54" s="128">
        <f t="shared" si="70"/>
        <v>102278.125</v>
      </c>
      <c r="CN54" s="127">
        <f t="shared" si="132"/>
        <v>1000</v>
      </c>
      <c r="CO54" s="128">
        <f t="shared" si="133"/>
        <v>100000</v>
      </c>
      <c r="CP54" s="128">
        <f t="shared" si="134"/>
        <v>100000</v>
      </c>
      <c r="CQ54" s="128">
        <f t="shared" si="135"/>
        <v>100000</v>
      </c>
      <c r="CR54" s="130">
        <f t="shared" si="71"/>
        <v>5.7500000000000002E-2</v>
      </c>
      <c r="CS54" s="128">
        <f t="shared" si="72"/>
        <v>105270.83333333333</v>
      </c>
      <c r="CT54" s="128" t="str">
        <f t="shared" si="73"/>
        <v>nie</v>
      </c>
      <c r="CU54" s="128">
        <f t="shared" si="74"/>
        <v>3000</v>
      </c>
      <c r="CV54" s="128">
        <f t="shared" si="75"/>
        <v>101839.375</v>
      </c>
      <c r="CW54" s="128">
        <f t="shared" si="76"/>
        <v>0</v>
      </c>
      <c r="CX54" s="130">
        <f t="shared" si="77"/>
        <v>4.4999999999999998E-2</v>
      </c>
      <c r="CY54" s="128">
        <f t="shared" si="78"/>
        <v>0</v>
      </c>
      <c r="CZ54" s="128">
        <f t="shared" si="79"/>
        <v>101839.375</v>
      </c>
      <c r="DA54" s="20"/>
      <c r="DB54" s="127">
        <f t="shared" si="144"/>
        <v>1000</v>
      </c>
      <c r="DC54" s="128">
        <f t="shared" si="145"/>
        <v>100000</v>
      </c>
      <c r="DD54" s="128">
        <f t="shared" si="136"/>
        <v>100000</v>
      </c>
      <c r="DE54" s="128">
        <f t="shared" si="137"/>
        <v>100000</v>
      </c>
      <c r="DF54" s="130">
        <f t="shared" si="80"/>
        <v>5.45E-2</v>
      </c>
      <c r="DG54" s="128">
        <f t="shared" si="81"/>
        <v>104995.83333333333</v>
      </c>
      <c r="DH54" s="128" t="str">
        <f t="shared" si="82"/>
        <v>nie</v>
      </c>
      <c r="DI54" s="128">
        <f t="shared" si="83"/>
        <v>2000</v>
      </c>
      <c r="DJ54" s="128">
        <f t="shared" si="84"/>
        <v>102426.625</v>
      </c>
      <c r="DK54" s="128">
        <f t="shared" si="85"/>
        <v>0</v>
      </c>
      <c r="DL54" s="130">
        <f t="shared" si="86"/>
        <v>4.4999999999999998E-2</v>
      </c>
      <c r="DM54" s="128">
        <f t="shared" si="87"/>
        <v>0</v>
      </c>
      <c r="DN54" s="128">
        <f t="shared" si="88"/>
        <v>102426.625</v>
      </c>
      <c r="DP54" s="127">
        <f t="shared" si="146"/>
        <v>1000</v>
      </c>
      <c r="DQ54" s="128">
        <f t="shared" si="147"/>
        <v>100000</v>
      </c>
      <c r="DR54" s="128">
        <f t="shared" si="138"/>
        <v>100000</v>
      </c>
      <c r="DS54" s="128">
        <f t="shared" si="139"/>
        <v>100000</v>
      </c>
      <c r="DT54" s="130">
        <f t="shared" si="89"/>
        <v>0.06</v>
      </c>
      <c r="DU54" s="128">
        <f t="shared" si="90"/>
        <v>105500</v>
      </c>
      <c r="DV54" s="128" t="str">
        <f t="shared" si="91"/>
        <v>nie</v>
      </c>
      <c r="DW54" s="128">
        <f t="shared" si="92"/>
        <v>3000</v>
      </c>
      <c r="DX54" s="128">
        <f t="shared" si="93"/>
        <v>102025</v>
      </c>
      <c r="DY54" s="128">
        <f t="shared" si="94"/>
        <v>0</v>
      </c>
      <c r="DZ54" s="130">
        <f t="shared" si="95"/>
        <v>4.4999999999999998E-2</v>
      </c>
      <c r="EA54" s="128">
        <f t="shared" si="96"/>
        <v>0</v>
      </c>
      <c r="EB54" s="128">
        <f t="shared" si="97"/>
        <v>102025</v>
      </c>
    </row>
    <row r="55" spans="1:132" ht="14.25" customHeight="1">
      <c r="A55" s="212"/>
      <c r="B55" s="188">
        <f t="shared" si="98"/>
        <v>11</v>
      </c>
      <c r="C55" s="128">
        <f t="shared" si="99"/>
        <v>102987.46047148238</v>
      </c>
      <c r="D55" s="128">
        <f t="shared" si="100"/>
        <v>102938.54248719873</v>
      </c>
      <c r="E55" s="128">
        <f t="shared" si="101"/>
        <v>102828.25</v>
      </c>
      <c r="F55" s="128">
        <f t="shared" si="102"/>
        <v>102278.125</v>
      </c>
      <c r="G55" s="128">
        <f t="shared" si="103"/>
        <v>101839.375</v>
      </c>
      <c r="H55" s="128">
        <f t="shared" si="104"/>
        <v>102426.625</v>
      </c>
      <c r="I55" s="128">
        <f t="shared" si="105"/>
        <v>102025</v>
      </c>
      <c r="J55" s="128">
        <f t="shared" si="106"/>
        <v>103392.46047148255</v>
      </c>
      <c r="K55" s="128">
        <f t="shared" si="107"/>
        <v>102658.33333333334</v>
      </c>
      <c r="M55" s="36"/>
      <c r="N55" s="32">
        <f t="shared" si="108"/>
        <v>11</v>
      </c>
      <c r="O55" s="25">
        <f t="shared" si="109"/>
        <v>2.9874604714823727E-2</v>
      </c>
      <c r="P55" s="25">
        <f t="shared" si="110"/>
        <v>2.9385424871987365E-2</v>
      </c>
      <c r="Q55" s="25">
        <f t="shared" si="111"/>
        <v>2.8282499999999988E-2</v>
      </c>
      <c r="R55" s="25">
        <f t="shared" si="30"/>
        <v>2.2781249999999975E-2</v>
      </c>
      <c r="S55" s="25">
        <f t="shared" si="31"/>
        <v>1.8393749999999986E-2</v>
      </c>
      <c r="T55" s="25">
        <f t="shared" si="32"/>
        <v>2.4266249999999934E-2</v>
      </c>
      <c r="U55" s="25">
        <f t="shared" si="33"/>
        <v>2.0250000000000101E-2</v>
      </c>
      <c r="V55" s="25">
        <f t="shared" si="34"/>
        <v>3.3924604714825612E-2</v>
      </c>
      <c r="W55" s="25">
        <f t="shared" si="112"/>
        <v>2.6583333333333403E-2</v>
      </c>
      <c r="X55" s="36"/>
      <c r="AA55" s="124">
        <f t="shared" si="113"/>
        <v>12</v>
      </c>
      <c r="AB55" s="128">
        <f t="shared" si="35"/>
        <v>102899.99999999999</v>
      </c>
      <c r="AC55" s="124">
        <f t="shared" si="114"/>
        <v>12</v>
      </c>
      <c r="AD55" s="130">
        <f t="shared" si="115"/>
        <v>4.4999999999999998E-2</v>
      </c>
      <c r="AE55" s="127">
        <f t="shared" si="116"/>
        <v>1000</v>
      </c>
      <c r="AF55" s="128">
        <f t="shared" si="117"/>
        <v>100000</v>
      </c>
      <c r="AG55" s="128">
        <f t="shared" si="140"/>
        <v>100000</v>
      </c>
      <c r="AH55" s="128">
        <f t="shared" si="118"/>
        <v>100000</v>
      </c>
      <c r="AI55" s="130">
        <f t="shared" si="36"/>
        <v>4.4999999999999998E-2</v>
      </c>
      <c r="AJ55" s="128">
        <f t="shared" si="37"/>
        <v>100374.99999999999</v>
      </c>
      <c r="AK55" s="128" t="str">
        <f t="shared" si="38"/>
        <v>tak</v>
      </c>
      <c r="AL55" s="128">
        <f t="shared" si="39"/>
        <v>0</v>
      </c>
      <c r="AM55" s="128">
        <f t="shared" si="40"/>
        <v>100303.74999999999</v>
      </c>
      <c r="AN55" s="128">
        <f t="shared" si="41"/>
        <v>404.14999999998253</v>
      </c>
      <c r="AO55" s="130">
        <f t="shared" si="42"/>
        <v>4.4999999999999998E-2</v>
      </c>
      <c r="AP55" s="128">
        <f t="shared" si="43"/>
        <v>3806.9150701644967</v>
      </c>
      <c r="AQ55" s="128">
        <f t="shared" si="44"/>
        <v>103706.5150701645</v>
      </c>
      <c r="AS55" s="124">
        <f t="shared" si="119"/>
        <v>12</v>
      </c>
      <c r="AT55" s="130">
        <f t="shared" si="120"/>
        <v>4.4999999999999998E-2</v>
      </c>
      <c r="AU55" s="127">
        <f t="shared" si="121"/>
        <v>1000</v>
      </c>
      <c r="AV55" s="128">
        <f t="shared" si="122"/>
        <v>100000</v>
      </c>
      <c r="AW55" s="128">
        <f t="shared" si="141"/>
        <v>100000</v>
      </c>
      <c r="AX55" s="128">
        <f t="shared" si="123"/>
        <v>100000</v>
      </c>
      <c r="AY55" s="130">
        <f t="shared" si="45"/>
        <v>4.65E-2</v>
      </c>
      <c r="AZ55" s="128">
        <f t="shared" si="46"/>
        <v>100387.50000000001</v>
      </c>
      <c r="BA55" s="128" t="str">
        <f t="shared" si="47"/>
        <v>nie</v>
      </c>
      <c r="BB55" s="128">
        <f t="shared" si="48"/>
        <v>700</v>
      </c>
      <c r="BC55" s="128">
        <f t="shared" si="49"/>
        <v>99746.875000000015</v>
      </c>
      <c r="BD55" s="128">
        <f t="shared" si="50"/>
        <v>313.87500000001182</v>
      </c>
      <c r="BE55" s="130">
        <f t="shared" si="51"/>
        <v>4.4999999999999998E-2</v>
      </c>
      <c r="BF55" s="128">
        <f t="shared" si="52"/>
        <v>3830.0655725036117</v>
      </c>
      <c r="BG55" s="128">
        <f t="shared" si="53"/>
        <v>103263.06557250362</v>
      </c>
      <c r="BI55" s="124">
        <f t="shared" si="124"/>
        <v>12</v>
      </c>
      <c r="BJ55" s="130">
        <f t="shared" si="148"/>
        <v>4.3200000000000002E-2</v>
      </c>
      <c r="BK55" s="127">
        <f t="shared" si="125"/>
        <v>1000</v>
      </c>
      <c r="BL55" s="128">
        <f t="shared" si="126"/>
        <v>100000</v>
      </c>
      <c r="BM55" s="128">
        <f t="shared" si="142"/>
        <v>100000</v>
      </c>
      <c r="BN55" s="128">
        <f t="shared" si="127"/>
        <v>100000</v>
      </c>
      <c r="BO55" s="130">
        <f t="shared" si="54"/>
        <v>4.9000000000000002E-2</v>
      </c>
      <c r="BP55" s="128">
        <f t="shared" si="55"/>
        <v>104900</v>
      </c>
      <c r="BQ55" s="128" t="str">
        <f t="shared" si="56"/>
        <v>nie</v>
      </c>
      <c r="BR55" s="128">
        <f t="shared" si="57"/>
        <v>1000</v>
      </c>
      <c r="BS55" s="128">
        <f t="shared" si="58"/>
        <v>103159</v>
      </c>
      <c r="BT55" s="128">
        <f>IF(AND(BQ55="tak",BL56&lt;&gt;""),
 BS55-BL56,
0)</f>
        <v>0</v>
      </c>
      <c r="BU55" s="130">
        <f t="shared" si="59"/>
        <v>4.4999999999999998E-2</v>
      </c>
      <c r="BV55" s="128">
        <f t="shared" si="60"/>
        <v>0</v>
      </c>
      <c r="BW55" s="128">
        <f t="shared" si="61"/>
        <v>103159</v>
      </c>
      <c r="BY55" s="129"/>
      <c r="BZ55" s="127">
        <f t="shared" si="129"/>
        <v>1000</v>
      </c>
      <c r="CA55" s="128">
        <f t="shared" si="130"/>
        <v>100000</v>
      </c>
      <c r="CB55" s="128">
        <f t="shared" si="143"/>
        <v>100000</v>
      </c>
      <c r="CC55" s="128">
        <f t="shared" si="131"/>
        <v>100000</v>
      </c>
      <c r="CD55" s="130">
        <f t="shared" si="62"/>
        <v>5.2499999999999998E-2</v>
      </c>
      <c r="CE55" s="128">
        <f t="shared" si="63"/>
        <v>105250</v>
      </c>
      <c r="CF55" s="128" t="str">
        <f t="shared" si="64"/>
        <v>nie</v>
      </c>
      <c r="CG55" s="128">
        <f t="shared" si="65"/>
        <v>2000</v>
      </c>
      <c r="CH55" s="128">
        <f t="shared" si="66"/>
        <v>102632.5</v>
      </c>
      <c r="CI55" s="128">
        <f t="shared" si="67"/>
        <v>4252.5</v>
      </c>
      <c r="CJ55" s="130">
        <f t="shared" si="68"/>
        <v>4.4999999999999998E-2</v>
      </c>
      <c r="CK55" s="128">
        <f t="shared" si="69"/>
        <v>4252.5</v>
      </c>
      <c r="CL55" s="128">
        <f t="shared" si="70"/>
        <v>102632.5</v>
      </c>
      <c r="CN55" s="127">
        <f t="shared" si="132"/>
        <v>1000</v>
      </c>
      <c r="CO55" s="128">
        <f t="shared" si="133"/>
        <v>100000</v>
      </c>
      <c r="CP55" s="128">
        <f t="shared" si="134"/>
        <v>100000</v>
      </c>
      <c r="CQ55" s="128">
        <f t="shared" si="135"/>
        <v>100000</v>
      </c>
      <c r="CR55" s="130">
        <f t="shared" si="71"/>
        <v>5.7500000000000002E-2</v>
      </c>
      <c r="CS55" s="128">
        <f t="shared" si="72"/>
        <v>105750.00000000001</v>
      </c>
      <c r="CT55" s="128" t="str">
        <f t="shared" si="73"/>
        <v>nie</v>
      </c>
      <c r="CU55" s="128">
        <f t="shared" si="74"/>
        <v>3000</v>
      </c>
      <c r="CV55" s="128">
        <f t="shared" si="75"/>
        <v>102227.50000000001</v>
      </c>
      <c r="CW55" s="128">
        <f>IF(AND(CT55="tak",CO56&lt;&gt;""),
 CV55-CO56,
0)</f>
        <v>0</v>
      </c>
      <c r="CX55" s="130">
        <f t="shared" si="77"/>
        <v>4.4999999999999998E-2</v>
      </c>
      <c r="CY55" s="128">
        <f t="shared" si="78"/>
        <v>0</v>
      </c>
      <c r="CZ55" s="128">
        <f t="shared" si="79"/>
        <v>102227.50000000001</v>
      </c>
      <c r="DA55" s="20"/>
      <c r="DB55" s="127">
        <f t="shared" si="144"/>
        <v>1000</v>
      </c>
      <c r="DC55" s="128">
        <f t="shared" si="145"/>
        <v>100000</v>
      </c>
      <c r="DD55" s="128">
        <f t="shared" si="136"/>
        <v>100000</v>
      </c>
      <c r="DE55" s="128">
        <f t="shared" si="137"/>
        <v>100000</v>
      </c>
      <c r="DF55" s="130">
        <f t="shared" si="80"/>
        <v>5.45E-2</v>
      </c>
      <c r="DG55" s="128">
        <f t="shared" si="81"/>
        <v>105450</v>
      </c>
      <c r="DH55" s="128" t="str">
        <f t="shared" si="82"/>
        <v>nie</v>
      </c>
      <c r="DI55" s="128">
        <f t="shared" si="83"/>
        <v>2000</v>
      </c>
      <c r="DJ55" s="128">
        <f t="shared" si="84"/>
        <v>102794.5</v>
      </c>
      <c r="DK55" s="128">
        <f>IF(AND(DH55="tak",DC56&lt;&gt;""),
 DJ55-DC56,
0)</f>
        <v>0</v>
      </c>
      <c r="DL55" s="130">
        <f t="shared" si="86"/>
        <v>4.4999999999999998E-2</v>
      </c>
      <c r="DM55" s="128">
        <f t="shared" si="87"/>
        <v>0</v>
      </c>
      <c r="DN55" s="128">
        <f t="shared" si="88"/>
        <v>102794.5</v>
      </c>
      <c r="DP55" s="127">
        <f t="shared" si="146"/>
        <v>1000</v>
      </c>
      <c r="DQ55" s="128">
        <f t="shared" si="147"/>
        <v>100000</v>
      </c>
      <c r="DR55" s="128">
        <f t="shared" si="138"/>
        <v>100000</v>
      </c>
      <c r="DS55" s="128">
        <f t="shared" si="139"/>
        <v>100000</v>
      </c>
      <c r="DT55" s="130">
        <f t="shared" si="89"/>
        <v>0.06</v>
      </c>
      <c r="DU55" s="128">
        <f t="shared" si="90"/>
        <v>106000</v>
      </c>
      <c r="DV55" s="128" t="str">
        <f t="shared" si="91"/>
        <v>nie</v>
      </c>
      <c r="DW55" s="128">
        <f t="shared" si="92"/>
        <v>3000</v>
      </c>
      <c r="DX55" s="128">
        <f t="shared" si="93"/>
        <v>102430</v>
      </c>
      <c r="DY55" s="128">
        <f>IF(AND(DV55="tak",DQ56&lt;&gt;""),
 DX55-DQ56,
0)</f>
        <v>0</v>
      </c>
      <c r="DZ55" s="130">
        <f t="shared" si="95"/>
        <v>4.4999999999999998E-2</v>
      </c>
      <c r="EA55" s="128">
        <f t="shared" si="96"/>
        <v>0</v>
      </c>
      <c r="EB55" s="128">
        <f t="shared" si="97"/>
        <v>102430</v>
      </c>
    </row>
    <row r="56" spans="1:132">
      <c r="A56" s="212"/>
      <c r="B56" s="188">
        <f t="shared" si="98"/>
        <v>12</v>
      </c>
      <c r="C56" s="128">
        <f t="shared" si="99"/>
        <v>103706.5150701645</v>
      </c>
      <c r="D56" s="128">
        <f t="shared" si="100"/>
        <v>103263.06557250362</v>
      </c>
      <c r="E56" s="128">
        <f t="shared" si="101"/>
        <v>103159</v>
      </c>
      <c r="F56" s="128">
        <f t="shared" si="102"/>
        <v>102632.5</v>
      </c>
      <c r="G56" s="128">
        <f t="shared" si="103"/>
        <v>102227.50000000001</v>
      </c>
      <c r="H56" s="128">
        <f t="shared" si="104"/>
        <v>102794.5</v>
      </c>
      <c r="I56" s="128">
        <f t="shared" si="105"/>
        <v>102430</v>
      </c>
      <c r="J56" s="128">
        <f t="shared" si="106"/>
        <v>103706.51507016469</v>
      </c>
      <c r="K56" s="128">
        <f t="shared" si="107"/>
        <v>102899.99999999999</v>
      </c>
      <c r="M56" s="36"/>
      <c r="N56" s="32">
        <f t="shared" si="108"/>
        <v>12</v>
      </c>
      <c r="O56" s="25">
        <f t="shared" si="109"/>
        <v>3.7065150701645067E-2</v>
      </c>
      <c r="P56" s="25">
        <f t="shared" si="110"/>
        <v>3.2630655725036206E-2</v>
      </c>
      <c r="Q56" s="25">
        <f t="shared" si="111"/>
        <v>3.1590000000000007E-2</v>
      </c>
      <c r="R56" s="25">
        <f t="shared" si="30"/>
        <v>2.6324999999999932E-2</v>
      </c>
      <c r="S56" s="25">
        <f t="shared" si="31"/>
        <v>2.2275000000000045E-2</v>
      </c>
      <c r="T56" s="25">
        <f t="shared" si="32"/>
        <v>2.7945000000000109E-2</v>
      </c>
      <c r="U56" s="25">
        <f t="shared" si="33"/>
        <v>2.4299999999999988E-2</v>
      </c>
      <c r="V56" s="25">
        <f t="shared" si="34"/>
        <v>3.7065150701646843E-2</v>
      </c>
      <c r="W56" s="25">
        <f t="shared" si="112"/>
        <v>2.8999999999999915E-2</v>
      </c>
      <c r="X56" s="36"/>
      <c r="AA56" s="131">
        <f>AA55+1</f>
        <v>13</v>
      </c>
      <c r="AB56" s="132">
        <f t="shared" si="35"/>
        <v>103148.67499999999</v>
      </c>
      <c r="AC56" s="131">
        <f>AC55+1</f>
        <v>13</v>
      </c>
      <c r="AD56" s="133">
        <f t="shared" si="115"/>
        <v>4.4999999999999998E-2</v>
      </c>
      <c r="AE56" s="127">
        <f t="shared" si="116"/>
        <v>1042</v>
      </c>
      <c r="AF56" s="132">
        <f t="shared" si="117"/>
        <v>104099.6</v>
      </c>
      <c r="AG56" s="132">
        <f>IF(AK55="tak",
AE56*100,
AG55)</f>
        <v>104200</v>
      </c>
      <c r="AH56" s="132">
        <f t="shared" si="118"/>
        <v>104200</v>
      </c>
      <c r="AI56" s="133">
        <f t="shared" si="36"/>
        <v>4.4999999999999998E-2</v>
      </c>
      <c r="AJ56" s="132">
        <f t="shared" si="37"/>
        <v>104590.74999999999</v>
      </c>
      <c r="AK56" s="132" t="str">
        <f t="shared" si="38"/>
        <v>nie</v>
      </c>
      <c r="AL56" s="128">
        <f t="shared" si="39"/>
        <v>390.74999999998545</v>
      </c>
      <c r="AM56" s="132">
        <f>AJ56-AL56
-(AJ56-AG56-AL56)*podatek_Belki</f>
        <v>104200</v>
      </c>
      <c r="AN56" s="132">
        <f t="shared" si="41"/>
        <v>316.50749999998823</v>
      </c>
      <c r="AO56" s="133">
        <f t="shared" si="42"/>
        <v>4.4999999999999998E-2</v>
      </c>
      <c r="AP56" s="128">
        <f t="shared" si="43"/>
        <v>323.44357469010959</v>
      </c>
      <c r="AQ56" s="132">
        <f>AP55*(1+AO56/12*(1-podatek_Belki))+AM56</f>
        <v>108018.47857469012</v>
      </c>
      <c r="AS56" s="131">
        <f>AS55+1</f>
        <v>13</v>
      </c>
      <c r="AT56" s="133">
        <f t="shared" si="120"/>
        <v>4.4999999999999998E-2</v>
      </c>
      <c r="AU56" s="127">
        <f t="shared" si="121"/>
        <v>1000</v>
      </c>
      <c r="AV56" s="132">
        <f t="shared" si="122"/>
        <v>100000</v>
      </c>
      <c r="AW56" s="132">
        <f>IF(BA55="tak",
AU56*100,
AW55)</f>
        <v>100000</v>
      </c>
      <c r="AX56" s="132">
        <f t="shared" si="123"/>
        <v>100000</v>
      </c>
      <c r="AY56" s="133">
        <f t="shared" si="45"/>
        <v>4.65E-2</v>
      </c>
      <c r="AZ56" s="132">
        <f t="shared" si="46"/>
        <v>100387.50000000001</v>
      </c>
      <c r="BA56" s="132" t="str">
        <f t="shared" si="47"/>
        <v>nie</v>
      </c>
      <c r="BB56" s="128">
        <f t="shared" si="48"/>
        <v>700</v>
      </c>
      <c r="BC56" s="132">
        <f>AZ56-BB56
-(AZ56-AW56-BB56)*podatek_Belki</f>
        <v>99746.875000000015</v>
      </c>
      <c r="BD56" s="132">
        <f t="shared" si="50"/>
        <v>313.87500000001182</v>
      </c>
      <c r="BE56" s="133">
        <f t="shared" si="51"/>
        <v>4.4999999999999998E-2</v>
      </c>
      <c r="BF56" s="128">
        <f t="shared" si="52"/>
        <v>4155.5743966801037</v>
      </c>
      <c r="BG56" s="132">
        <f>BF55*(1+BE56/12*(1-podatek_Belki))+BC56</f>
        <v>103588.57439668011</v>
      </c>
      <c r="BI56" s="131">
        <f>BI55+1</f>
        <v>13</v>
      </c>
      <c r="BJ56" s="133">
        <f t="shared" si="148"/>
        <v>4.3200000000000002E-2</v>
      </c>
      <c r="BK56" s="127">
        <f>IF(BQ55="tak",
ROUNDDOWN(BS55/zamiana_TOS,0),
BK55)</f>
        <v>1000</v>
      </c>
      <c r="BL56" s="132">
        <f>IF(BQ55="tak",
BK56*zamiana_TOS,
BL55)</f>
        <v>100000</v>
      </c>
      <c r="BM56" s="132">
        <f>IF(BQ55="tak",
BK56*100,
BM55)</f>
        <v>100000</v>
      </c>
      <c r="BN56" s="128">
        <f t="shared" si="127"/>
        <v>104900</v>
      </c>
      <c r="BO56" s="130">
        <f t="shared" si="54"/>
        <v>4.9000000000000002E-2</v>
      </c>
      <c r="BP56" s="128">
        <f t="shared" si="55"/>
        <v>105328.34166666667</v>
      </c>
      <c r="BQ56" s="132" t="str">
        <f t="shared" si="56"/>
        <v>nie</v>
      </c>
      <c r="BR56" s="128">
        <f t="shared" si="57"/>
        <v>1000</v>
      </c>
      <c r="BS56" s="132">
        <f>BP56-BR56
-(BP56-BM56-BR56)*podatek_Belki</f>
        <v>103505.95675000001</v>
      </c>
      <c r="BT56" s="128">
        <f t="shared" si="128"/>
        <v>0</v>
      </c>
      <c r="BU56" s="133">
        <f t="shared" si="59"/>
        <v>4.4999999999999998E-2</v>
      </c>
      <c r="BV56" s="132">
        <f>BV55*(1+BU56/12*(1-podatek_Belki))+BT56</f>
        <v>0</v>
      </c>
      <c r="BW56" s="128">
        <f>BV55*(1+BU56/12*(1-podatek_Belki))+BS56</f>
        <v>103505.95675000001</v>
      </c>
      <c r="BY56" s="133">
        <f t="shared" ref="BY56:BY87" si="149">MAX(INDEX(scenariusz_I_inflacja,MATCH(ROUNDUP(AA56/12,0)-1,scenariusz_I_rok,0)),0)</f>
        <v>2.9000000000000001E-2</v>
      </c>
      <c r="BZ56" s="127">
        <f t="shared" si="129"/>
        <v>1000</v>
      </c>
      <c r="CA56" s="132">
        <f t="shared" si="130"/>
        <v>100000</v>
      </c>
      <c r="CB56" s="132">
        <f>IF(CF55="tak",
BZ56*100,
CB55)</f>
        <v>100000</v>
      </c>
      <c r="CC56" s="132">
        <f t="shared" si="131"/>
        <v>100000</v>
      </c>
      <c r="CD56" s="133">
        <f t="shared" si="62"/>
        <v>4.3999999999999997E-2</v>
      </c>
      <c r="CE56" s="132">
        <f t="shared" si="63"/>
        <v>100366.66666666667</v>
      </c>
      <c r="CF56" s="132" t="str">
        <f t="shared" si="64"/>
        <v>nie</v>
      </c>
      <c r="CG56" s="128">
        <f t="shared" si="65"/>
        <v>2000</v>
      </c>
      <c r="CH56" s="132">
        <f>CE56-CG56
-(CE56-CB56-CG56)*podatek_Belki</f>
        <v>98677</v>
      </c>
      <c r="CI56" s="128">
        <f t="shared" si="67"/>
        <v>0</v>
      </c>
      <c r="CJ56" s="133">
        <f t="shared" si="68"/>
        <v>4.4999999999999998E-2</v>
      </c>
      <c r="CK56" s="128">
        <f t="shared" si="69"/>
        <v>4265.4169687499998</v>
      </c>
      <c r="CL56" s="128">
        <f t="shared" si="70"/>
        <v>102942.41696875</v>
      </c>
      <c r="CN56" s="142">
        <f>IF(CT55="tak",
ROUNDDOWN(CV55/zamiana_EDO,0),
CN55)</f>
        <v>1000</v>
      </c>
      <c r="CO56" s="132">
        <f>IF(CT55="tak",
CN56*zamiana_EDO,
CO55)</f>
        <v>100000</v>
      </c>
      <c r="CP56" s="132">
        <f>IF(CT55="tak",
CN56*100,
CP55)</f>
        <v>100000</v>
      </c>
      <c r="CQ56" s="132">
        <f t="shared" si="135"/>
        <v>105750.00000000001</v>
      </c>
      <c r="CR56" s="133">
        <f t="shared" si="71"/>
        <v>4.9000000000000002E-2</v>
      </c>
      <c r="CS56" s="132">
        <f t="shared" si="72"/>
        <v>106181.81250000003</v>
      </c>
      <c r="CT56" s="132" t="str">
        <f t="shared" si="73"/>
        <v>nie</v>
      </c>
      <c r="CU56" s="132">
        <f t="shared" si="74"/>
        <v>3000</v>
      </c>
      <c r="CV56" s="132">
        <f t="shared" si="75"/>
        <v>102577.26812500002</v>
      </c>
      <c r="CW56" s="132">
        <f t="shared" si="76"/>
        <v>0</v>
      </c>
      <c r="CX56" s="133">
        <f t="shared" si="77"/>
        <v>4.4999999999999998E-2</v>
      </c>
      <c r="CY56" s="132">
        <f>CY55*(1+CX56/12*(1-podatek_Belki))+CW56</f>
        <v>0</v>
      </c>
      <c r="CZ56" s="132">
        <f>CY55*(1+CX56/12*(1-podatek_Belki))+CV56</f>
        <v>102577.26812500002</v>
      </c>
      <c r="DB56" s="142">
        <f>IF(DH55="tak",
ROUNDDOWN(DJ55/100,0),
DB55)</f>
        <v>1000</v>
      </c>
      <c r="DC56" s="132">
        <f>IF(DH55="tak",
DB56*100,
DC55)</f>
        <v>100000</v>
      </c>
      <c r="DD56" s="132">
        <f>IF(DH55="tak",
DB56*100,
DD55)</f>
        <v>100000</v>
      </c>
      <c r="DE56" s="132">
        <f t="shared" si="137"/>
        <v>105450</v>
      </c>
      <c r="DF56" s="133">
        <f t="shared" si="80"/>
        <v>4.9000000000000002E-2</v>
      </c>
      <c r="DG56" s="132">
        <f t="shared" si="81"/>
        <v>105880.58750000001</v>
      </c>
      <c r="DH56" s="132" t="str">
        <f t="shared" si="82"/>
        <v>nie</v>
      </c>
      <c r="DI56" s="132">
        <f t="shared" si="83"/>
        <v>2000</v>
      </c>
      <c r="DJ56" s="132">
        <f t="shared" si="84"/>
        <v>103143.27587500001</v>
      </c>
      <c r="DK56" s="132">
        <f t="shared" si="85"/>
        <v>0</v>
      </c>
      <c r="DL56" s="133">
        <f t="shared" si="86"/>
        <v>4.4999999999999998E-2</v>
      </c>
      <c r="DM56" s="132">
        <f>DM55*(1+DL56/12*(1-podatek_Belki))+DK56</f>
        <v>0</v>
      </c>
      <c r="DN56" s="132">
        <f>DM55*(1+DL56/12*(1-podatek_Belki))+DJ56</f>
        <v>103143.27587500001</v>
      </c>
      <c r="DP56" s="142">
        <f>IF(DV55="tak",
ROUNDDOWN(DX55/100,0),
DP55)</f>
        <v>1000</v>
      </c>
      <c r="DQ56" s="132">
        <f>IF(DV55="tak",
DP56*100,
DQ55)</f>
        <v>100000</v>
      </c>
      <c r="DR56" s="132">
        <f>IF(DV55="tak",
DP56*100,
DR55)</f>
        <v>100000</v>
      </c>
      <c r="DS56" s="132">
        <f t="shared" si="139"/>
        <v>106000</v>
      </c>
      <c r="DT56" s="133">
        <f t="shared" si="89"/>
        <v>5.4000000000000006E-2</v>
      </c>
      <c r="DU56" s="132">
        <f t="shared" si="90"/>
        <v>106477</v>
      </c>
      <c r="DV56" s="132" t="str">
        <f t="shared" si="91"/>
        <v>nie</v>
      </c>
      <c r="DW56" s="132">
        <f t="shared" si="92"/>
        <v>3000</v>
      </c>
      <c r="DX56" s="132">
        <f t="shared" si="93"/>
        <v>102816.37</v>
      </c>
      <c r="DY56" s="132">
        <f t="shared" si="94"/>
        <v>0</v>
      </c>
      <c r="DZ56" s="133">
        <f t="shared" si="95"/>
        <v>4.4999999999999998E-2</v>
      </c>
      <c r="EA56" s="132">
        <f>EA55*(1+DZ56/12*(1-podatek_Belki))+DY56</f>
        <v>0</v>
      </c>
      <c r="EB56" s="132">
        <f>EA55*(1+DZ56/12*(1-podatek_Belki))+DX56</f>
        <v>102816.37</v>
      </c>
    </row>
    <row r="57" spans="1:132" ht="23.25">
      <c r="A57" s="212">
        <f>ROUNDUP(B68/12,0)</f>
        <v>2</v>
      </c>
      <c r="B57" s="188">
        <f t="shared" si="98"/>
        <v>13</v>
      </c>
      <c r="C57" s="128">
        <f t="shared" si="99"/>
        <v>108018.47857469012</v>
      </c>
      <c r="D57" s="128">
        <f t="shared" si="100"/>
        <v>103588.57439668011</v>
      </c>
      <c r="E57" s="128">
        <f t="shared" si="101"/>
        <v>103505.95675000001</v>
      </c>
      <c r="F57" s="128">
        <f t="shared" si="102"/>
        <v>102942.41696875</v>
      </c>
      <c r="G57" s="128">
        <f t="shared" si="103"/>
        <v>102577.26812500002</v>
      </c>
      <c r="H57" s="128">
        <f t="shared" si="104"/>
        <v>103143.27587500001</v>
      </c>
      <c r="I57" s="128">
        <f t="shared" si="105"/>
        <v>102816.37</v>
      </c>
      <c r="J57" s="128">
        <f t="shared" si="106"/>
        <v>104021.52360969032</v>
      </c>
      <c r="K57" s="128">
        <f t="shared" si="107"/>
        <v>103148.67499999999</v>
      </c>
      <c r="M57" s="36"/>
      <c r="N57" s="32">
        <f t="shared" si="108"/>
        <v>13</v>
      </c>
      <c r="O57" s="25">
        <f t="shared" si="109"/>
        <v>8.0184785746901133E-2</v>
      </c>
      <c r="P57" s="25">
        <f t="shared" si="110"/>
        <v>3.5885743966800998E-2</v>
      </c>
      <c r="Q57" s="25">
        <f t="shared" si="111"/>
        <v>3.5059567500000055E-2</v>
      </c>
      <c r="R57" s="25">
        <f t="shared" si="30"/>
        <v>2.9424169687499946E-2</v>
      </c>
      <c r="S57" s="25">
        <f t="shared" si="31"/>
        <v>2.5772681250000096E-2</v>
      </c>
      <c r="T57" s="25">
        <f t="shared" si="32"/>
        <v>3.1432758750000067E-2</v>
      </c>
      <c r="U57" s="25">
        <f t="shared" si="33"/>
        <v>2.8163699999999903E-2</v>
      </c>
      <c r="V57" s="25">
        <f t="shared" si="34"/>
        <v>4.0215236096903251E-2</v>
      </c>
      <c r="W57" s="25">
        <f t="shared" si="112"/>
        <v>3.1486749999999786E-2</v>
      </c>
      <c r="X57" s="36"/>
      <c r="Y57" s="73"/>
      <c r="AA57" s="124">
        <f t="shared" si="113"/>
        <v>14</v>
      </c>
      <c r="AB57" s="128">
        <f t="shared" si="35"/>
        <v>103397.34999999998</v>
      </c>
      <c r="AC57" s="124">
        <f t="shared" si="114"/>
        <v>14</v>
      </c>
      <c r="AD57" s="130">
        <f t="shared" si="115"/>
        <v>4.4999999999999998E-2</v>
      </c>
      <c r="AE57" s="127">
        <f t="shared" si="116"/>
        <v>1042</v>
      </c>
      <c r="AF57" s="128">
        <f t="shared" si="117"/>
        <v>104099.6</v>
      </c>
      <c r="AG57" s="128">
        <f t="shared" si="140"/>
        <v>104200</v>
      </c>
      <c r="AH57" s="128">
        <f t="shared" si="118"/>
        <v>104200</v>
      </c>
      <c r="AI57" s="130">
        <f t="shared" si="36"/>
        <v>4.4999999999999998E-2</v>
      </c>
      <c r="AJ57" s="128">
        <f t="shared" si="37"/>
        <v>104590.74999999999</v>
      </c>
      <c r="AK57" s="128" t="str">
        <f t="shared" si="38"/>
        <v>nie</v>
      </c>
      <c r="AL57" s="128">
        <f t="shared" si="39"/>
        <v>521</v>
      </c>
      <c r="AM57" s="128">
        <f t="shared" ref="AM57:AM120" si="150">AJ57-AL57
-(AJ57-AG57-AL57)*podatek_Belki</f>
        <v>104094.49749999998</v>
      </c>
      <c r="AN57" s="128">
        <f t="shared" si="41"/>
        <v>316.50749999998823</v>
      </c>
      <c r="AO57" s="130">
        <f t="shared" si="42"/>
        <v>4.4999999999999998E-2</v>
      </c>
      <c r="AP57" s="128">
        <f t="shared" si="43"/>
        <v>640.93353454821909</v>
      </c>
      <c r="AQ57" s="128">
        <f>AP56*(1+AO57/12*(1-podatek_Belki))+AM57</f>
        <v>104418.92353454822</v>
      </c>
      <c r="AS57" s="124">
        <f t="shared" si="119"/>
        <v>14</v>
      </c>
      <c r="AT57" s="130">
        <f t="shared" si="120"/>
        <v>4.4999999999999998E-2</v>
      </c>
      <c r="AU57" s="127">
        <f t="shared" si="121"/>
        <v>1000</v>
      </c>
      <c r="AV57" s="128">
        <f t="shared" si="122"/>
        <v>100000</v>
      </c>
      <c r="AW57" s="128">
        <f t="shared" ref="AW57:AW120" si="151">IF(BA56="tak",
AU57*100,
AW56)</f>
        <v>100000</v>
      </c>
      <c r="AX57" s="128">
        <f t="shared" si="123"/>
        <v>100000</v>
      </c>
      <c r="AY57" s="130">
        <f t="shared" si="45"/>
        <v>4.65E-2</v>
      </c>
      <c r="AZ57" s="128">
        <f t="shared" si="46"/>
        <v>100387.50000000001</v>
      </c>
      <c r="BA57" s="128" t="str">
        <f t="shared" si="47"/>
        <v>nie</v>
      </c>
      <c r="BB57" s="128">
        <f t="shared" si="48"/>
        <v>700</v>
      </c>
      <c r="BC57" s="128">
        <f t="shared" ref="BC57:BC66" si="152">AZ57-BB57
-(AZ57-AW57-BB57)*podatek_Belki</f>
        <v>99746.875000000015</v>
      </c>
      <c r="BD57" s="128">
        <f t="shared" si="50"/>
        <v>313.87500000001182</v>
      </c>
      <c r="BE57" s="130">
        <f t="shared" si="51"/>
        <v>4.4999999999999998E-2</v>
      </c>
      <c r="BF57" s="128">
        <f t="shared" si="52"/>
        <v>4482.0719539100319</v>
      </c>
      <c r="BG57" s="128">
        <f>BF56*(1+BE57/12*(1-podatek_Belki))+BC57</f>
        <v>103915.07195391004</v>
      </c>
      <c r="BI57" s="124">
        <f t="shared" si="124"/>
        <v>14</v>
      </c>
      <c r="BJ57" s="130">
        <f t="shared" si="148"/>
        <v>4.3200000000000002E-2</v>
      </c>
      <c r="BK57" s="127">
        <f t="shared" si="125"/>
        <v>1000</v>
      </c>
      <c r="BL57" s="128">
        <f t="shared" si="126"/>
        <v>100000</v>
      </c>
      <c r="BM57" s="128">
        <f t="shared" si="142"/>
        <v>100000</v>
      </c>
      <c r="BN57" s="128">
        <f t="shared" si="127"/>
        <v>104900</v>
      </c>
      <c r="BO57" s="130">
        <f t="shared" si="54"/>
        <v>4.9000000000000002E-2</v>
      </c>
      <c r="BP57" s="128">
        <f t="shared" si="55"/>
        <v>105756.68333333333</v>
      </c>
      <c r="BQ57" s="128" t="str">
        <f t="shared" si="56"/>
        <v>nie</v>
      </c>
      <c r="BR57" s="128">
        <f t="shared" si="57"/>
        <v>1000</v>
      </c>
      <c r="BS57" s="128">
        <f t="shared" ref="BS57:BS120" si="153">BP57-BR57
-(BP57-BM57-BR57)*podatek_Belki</f>
        <v>103852.9135</v>
      </c>
      <c r="BT57" s="128">
        <f t="shared" si="128"/>
        <v>0</v>
      </c>
      <c r="BU57" s="130">
        <f t="shared" si="59"/>
        <v>4.4999999999999998E-2</v>
      </c>
      <c r="BV57" s="128">
        <f t="shared" si="60"/>
        <v>0</v>
      </c>
      <c r="BW57" s="128">
        <f t="shared" si="61"/>
        <v>103852.9135</v>
      </c>
      <c r="BY57" s="130">
        <f t="shared" si="149"/>
        <v>2.9000000000000001E-2</v>
      </c>
      <c r="BZ57" s="127">
        <f t="shared" si="129"/>
        <v>1000</v>
      </c>
      <c r="CA57" s="128">
        <f t="shared" si="130"/>
        <v>100000</v>
      </c>
      <c r="CB57" s="128">
        <f t="shared" ref="CB57:CB120" si="154">IF(CF56="tak",
BZ57*100,
CB56)</f>
        <v>100000</v>
      </c>
      <c r="CC57" s="128">
        <f t="shared" si="131"/>
        <v>100000</v>
      </c>
      <c r="CD57" s="130">
        <f t="shared" si="62"/>
        <v>4.3999999999999997E-2</v>
      </c>
      <c r="CE57" s="128">
        <f t="shared" si="63"/>
        <v>100733.33333333334</v>
      </c>
      <c r="CF57" s="128" t="str">
        <f t="shared" si="64"/>
        <v>nie</v>
      </c>
      <c r="CG57" s="128">
        <f t="shared" si="65"/>
        <v>2000</v>
      </c>
      <c r="CH57" s="128">
        <f t="shared" ref="CH57:CH66" si="155">CE57-CG57
-(CE57-CB57-CG57)*podatek_Belki</f>
        <v>98974.000000000015</v>
      </c>
      <c r="CI57" s="128">
        <f t="shared" si="67"/>
        <v>0</v>
      </c>
      <c r="CJ57" s="130">
        <f t="shared" si="68"/>
        <v>4.4999999999999998E-2</v>
      </c>
      <c r="CK57" s="128">
        <f t="shared" si="69"/>
        <v>4278.3731727925779</v>
      </c>
      <c r="CL57" s="128">
        <f t="shared" si="70"/>
        <v>103252.37317279259</v>
      </c>
      <c r="CN57" s="127">
        <f t="shared" si="132"/>
        <v>1000</v>
      </c>
      <c r="CO57" s="128">
        <f t="shared" si="133"/>
        <v>100000</v>
      </c>
      <c r="CP57" s="128">
        <f t="shared" si="134"/>
        <v>100000</v>
      </c>
      <c r="CQ57" s="128">
        <f t="shared" si="135"/>
        <v>105750.00000000001</v>
      </c>
      <c r="CR57" s="130">
        <f t="shared" si="71"/>
        <v>4.9000000000000002E-2</v>
      </c>
      <c r="CS57" s="128">
        <f t="shared" si="72"/>
        <v>106613.62500000001</v>
      </c>
      <c r="CT57" s="128" t="str">
        <f t="shared" si="73"/>
        <v>nie</v>
      </c>
      <c r="CU57" s="128">
        <f t="shared" si="74"/>
        <v>3000</v>
      </c>
      <c r="CV57" s="128">
        <f t="shared" si="75"/>
        <v>102927.03625</v>
      </c>
      <c r="CW57" s="128">
        <f t="shared" si="76"/>
        <v>0</v>
      </c>
      <c r="CX57" s="130">
        <f t="shared" si="77"/>
        <v>4.4999999999999998E-2</v>
      </c>
      <c r="CY57" s="128">
        <f t="shared" si="78"/>
        <v>0</v>
      </c>
      <c r="CZ57" s="128">
        <f t="shared" si="79"/>
        <v>102927.03625</v>
      </c>
      <c r="DA57" s="20"/>
      <c r="DB57" s="127">
        <f t="shared" si="144"/>
        <v>1000</v>
      </c>
      <c r="DC57" s="128">
        <f t="shared" si="145"/>
        <v>100000</v>
      </c>
      <c r="DD57" s="128">
        <f t="shared" si="136"/>
        <v>100000</v>
      </c>
      <c r="DE57" s="128">
        <f t="shared" si="137"/>
        <v>105450</v>
      </c>
      <c r="DF57" s="130">
        <f t="shared" si="80"/>
        <v>4.9000000000000002E-2</v>
      </c>
      <c r="DG57" s="128">
        <f t="shared" si="81"/>
        <v>106311.175</v>
      </c>
      <c r="DH57" s="128" t="str">
        <f t="shared" si="82"/>
        <v>nie</v>
      </c>
      <c r="DI57" s="128">
        <f t="shared" si="83"/>
        <v>2000</v>
      </c>
      <c r="DJ57" s="128">
        <f t="shared" si="84"/>
        <v>103492.05175</v>
      </c>
      <c r="DK57" s="128">
        <f t="shared" si="85"/>
        <v>0</v>
      </c>
      <c r="DL57" s="130">
        <f t="shared" si="86"/>
        <v>4.4999999999999998E-2</v>
      </c>
      <c r="DM57" s="128">
        <f t="shared" si="87"/>
        <v>0</v>
      </c>
      <c r="DN57" s="128">
        <f t="shared" si="88"/>
        <v>103492.05175</v>
      </c>
      <c r="DP57" s="127">
        <f t="shared" si="146"/>
        <v>1000</v>
      </c>
      <c r="DQ57" s="128">
        <f t="shared" si="147"/>
        <v>100000</v>
      </c>
      <c r="DR57" s="128">
        <f t="shared" si="138"/>
        <v>100000</v>
      </c>
      <c r="DS57" s="128">
        <f t="shared" si="139"/>
        <v>106000</v>
      </c>
      <c r="DT57" s="130">
        <f t="shared" si="89"/>
        <v>5.4000000000000006E-2</v>
      </c>
      <c r="DU57" s="128">
        <f t="shared" si="90"/>
        <v>106953.99999999999</v>
      </c>
      <c r="DV57" s="128" t="str">
        <f t="shared" si="91"/>
        <v>nie</v>
      </c>
      <c r="DW57" s="128">
        <f t="shared" si="92"/>
        <v>3000</v>
      </c>
      <c r="DX57" s="128">
        <f t="shared" si="93"/>
        <v>103202.73999999999</v>
      </c>
      <c r="DY57" s="128">
        <f t="shared" si="94"/>
        <v>0</v>
      </c>
      <c r="DZ57" s="130">
        <f t="shared" si="95"/>
        <v>4.4999999999999998E-2</v>
      </c>
      <c r="EA57" s="128">
        <f t="shared" si="96"/>
        <v>0</v>
      </c>
      <c r="EB57" s="128">
        <f t="shared" si="97"/>
        <v>103202.73999999999</v>
      </c>
    </row>
    <row r="58" spans="1:132">
      <c r="A58" s="212"/>
      <c r="B58" s="188">
        <f t="shared" si="98"/>
        <v>14</v>
      </c>
      <c r="C58" s="128">
        <f t="shared" si="99"/>
        <v>104418.92353454822</v>
      </c>
      <c r="D58" s="128">
        <f t="shared" si="100"/>
        <v>103915.07195391004</v>
      </c>
      <c r="E58" s="128">
        <f t="shared" si="101"/>
        <v>103852.9135</v>
      </c>
      <c r="F58" s="128">
        <f t="shared" si="102"/>
        <v>103252.37317279259</v>
      </c>
      <c r="G58" s="128">
        <f t="shared" si="103"/>
        <v>102927.03625</v>
      </c>
      <c r="H58" s="128">
        <f t="shared" si="104"/>
        <v>103492.05175</v>
      </c>
      <c r="I58" s="128">
        <f t="shared" si="105"/>
        <v>103202.73999999999</v>
      </c>
      <c r="J58" s="128">
        <f t="shared" si="106"/>
        <v>104337.48898765477</v>
      </c>
      <c r="K58" s="128">
        <f t="shared" si="107"/>
        <v>103397.34999999998</v>
      </c>
      <c r="M58" s="36"/>
      <c r="N58" s="32">
        <f t="shared" si="108"/>
        <v>14</v>
      </c>
      <c r="O58" s="25">
        <f t="shared" si="109"/>
        <v>4.4189235345482247E-2</v>
      </c>
      <c r="P58" s="25">
        <f t="shared" si="110"/>
        <v>3.915071953910032E-2</v>
      </c>
      <c r="Q58" s="25">
        <f t="shared" si="111"/>
        <v>3.8529134999999881E-2</v>
      </c>
      <c r="R58" s="25">
        <f t="shared" si="30"/>
        <v>3.2523731727925886E-2</v>
      </c>
      <c r="S58" s="25">
        <f t="shared" si="31"/>
        <v>2.9270362500000147E-2</v>
      </c>
      <c r="T58" s="25">
        <f t="shared" si="32"/>
        <v>3.4920517500000026E-2</v>
      </c>
      <c r="U58" s="25">
        <f t="shared" si="33"/>
        <v>3.2027399999999817E-2</v>
      </c>
      <c r="V58" s="25">
        <f t="shared" si="34"/>
        <v>4.3374889876547584E-2</v>
      </c>
      <c r="W58" s="25">
        <f t="shared" si="112"/>
        <v>3.3973499999999657E-2</v>
      </c>
      <c r="X58" s="36"/>
      <c r="Y58" s="74"/>
      <c r="AA58" s="124">
        <f t="shared" si="113"/>
        <v>15</v>
      </c>
      <c r="AB58" s="128">
        <f t="shared" si="35"/>
        <v>103646.02499999998</v>
      </c>
      <c r="AC58" s="124">
        <f t="shared" si="114"/>
        <v>15</v>
      </c>
      <c r="AD58" s="130">
        <f t="shared" si="115"/>
        <v>4.4999999999999998E-2</v>
      </c>
      <c r="AE58" s="127">
        <f t="shared" si="116"/>
        <v>1042</v>
      </c>
      <c r="AF58" s="128">
        <f t="shared" si="117"/>
        <v>104099.6</v>
      </c>
      <c r="AG58" s="128">
        <f t="shared" si="140"/>
        <v>104200</v>
      </c>
      <c r="AH58" s="128">
        <f t="shared" si="118"/>
        <v>104200</v>
      </c>
      <c r="AI58" s="130">
        <f t="shared" si="36"/>
        <v>4.4999999999999998E-2</v>
      </c>
      <c r="AJ58" s="128">
        <f t="shared" si="37"/>
        <v>104590.74999999999</v>
      </c>
      <c r="AK58" s="128" t="str">
        <f t="shared" si="38"/>
        <v>nie</v>
      </c>
      <c r="AL58" s="128">
        <f t="shared" si="39"/>
        <v>521</v>
      </c>
      <c r="AM58" s="128">
        <f t="shared" si="150"/>
        <v>104094.49749999998</v>
      </c>
      <c r="AN58" s="128">
        <f t="shared" si="41"/>
        <v>316.50749999998823</v>
      </c>
      <c r="AO58" s="130">
        <f t="shared" si="42"/>
        <v>4.4999999999999998E-2</v>
      </c>
      <c r="AP58" s="128">
        <f t="shared" si="43"/>
        <v>959.38787015939749</v>
      </c>
      <c r="AQ58" s="128">
        <f t="shared" ref="AQ58:AQ120" si="156">AP57*(1+AO58/12*(1-podatek_Belki))+AM58</f>
        <v>104737.3778701594</v>
      </c>
      <c r="AS58" s="124">
        <f t="shared" si="119"/>
        <v>15</v>
      </c>
      <c r="AT58" s="130">
        <f t="shared" si="120"/>
        <v>4.4999999999999998E-2</v>
      </c>
      <c r="AU58" s="127">
        <f t="shared" si="121"/>
        <v>1000</v>
      </c>
      <c r="AV58" s="128">
        <f t="shared" si="122"/>
        <v>100000</v>
      </c>
      <c r="AW58" s="128">
        <f t="shared" si="151"/>
        <v>100000</v>
      </c>
      <c r="AX58" s="128">
        <f t="shared" si="123"/>
        <v>100000</v>
      </c>
      <c r="AY58" s="130">
        <f t="shared" si="45"/>
        <v>4.65E-2</v>
      </c>
      <c r="AZ58" s="128">
        <f t="shared" si="46"/>
        <v>100387.50000000001</v>
      </c>
      <c r="BA58" s="128" t="str">
        <f t="shared" si="47"/>
        <v>nie</v>
      </c>
      <c r="BB58" s="128">
        <f t="shared" si="48"/>
        <v>700</v>
      </c>
      <c r="BC58" s="128">
        <f t="shared" si="152"/>
        <v>99746.875000000015</v>
      </c>
      <c r="BD58" s="128">
        <f t="shared" si="50"/>
        <v>313.87500000001182</v>
      </c>
      <c r="BE58" s="130">
        <f t="shared" si="51"/>
        <v>4.4999999999999998E-2</v>
      </c>
      <c r="BF58" s="128">
        <f t="shared" si="52"/>
        <v>4809.5612474700456</v>
      </c>
      <c r="BG58" s="128">
        <f t="shared" ref="BG58:BG66" si="157">BF57*(1+BE58/12*(1-podatek_Belki))+BC58</f>
        <v>104242.56124747005</v>
      </c>
      <c r="BI58" s="124">
        <f t="shared" si="124"/>
        <v>15</v>
      </c>
      <c r="BJ58" s="130">
        <f t="shared" si="148"/>
        <v>4.3200000000000002E-2</v>
      </c>
      <c r="BK58" s="127">
        <f t="shared" si="125"/>
        <v>1000</v>
      </c>
      <c r="BL58" s="128">
        <f t="shared" si="126"/>
        <v>100000</v>
      </c>
      <c r="BM58" s="128">
        <f t="shared" si="142"/>
        <v>100000</v>
      </c>
      <c r="BN58" s="128">
        <f t="shared" si="127"/>
        <v>104900</v>
      </c>
      <c r="BO58" s="130">
        <f t="shared" si="54"/>
        <v>4.9000000000000002E-2</v>
      </c>
      <c r="BP58" s="128">
        <f t="shared" si="55"/>
        <v>106185.02500000001</v>
      </c>
      <c r="BQ58" s="128" t="str">
        <f t="shared" si="56"/>
        <v>nie</v>
      </c>
      <c r="BR58" s="128">
        <f t="shared" si="57"/>
        <v>1000</v>
      </c>
      <c r="BS58" s="128">
        <f t="shared" si="153"/>
        <v>104199.87025000001</v>
      </c>
      <c r="BT58" s="128">
        <f t="shared" si="128"/>
        <v>0</v>
      </c>
      <c r="BU58" s="130">
        <f t="shared" si="59"/>
        <v>4.4999999999999998E-2</v>
      </c>
      <c r="BV58" s="128">
        <f t="shared" si="60"/>
        <v>0</v>
      </c>
      <c r="BW58" s="128">
        <f t="shared" si="61"/>
        <v>104199.87025000001</v>
      </c>
      <c r="BY58" s="130">
        <f t="shared" si="149"/>
        <v>2.9000000000000001E-2</v>
      </c>
      <c r="BZ58" s="127">
        <f t="shared" si="129"/>
        <v>1000</v>
      </c>
      <c r="CA58" s="128">
        <f t="shared" si="130"/>
        <v>100000</v>
      </c>
      <c r="CB58" s="128">
        <f t="shared" si="154"/>
        <v>100000</v>
      </c>
      <c r="CC58" s="128">
        <f t="shared" si="131"/>
        <v>100000</v>
      </c>
      <c r="CD58" s="130">
        <f t="shared" si="62"/>
        <v>4.3999999999999997E-2</v>
      </c>
      <c r="CE58" s="128">
        <f t="shared" si="63"/>
        <v>101099.99999999999</v>
      </c>
      <c r="CF58" s="128" t="str">
        <f t="shared" si="64"/>
        <v>nie</v>
      </c>
      <c r="CG58" s="128">
        <f t="shared" si="65"/>
        <v>2000</v>
      </c>
      <c r="CH58" s="128">
        <f t="shared" si="155"/>
        <v>99270.999999999985</v>
      </c>
      <c r="CI58" s="128">
        <f t="shared" si="67"/>
        <v>0</v>
      </c>
      <c r="CJ58" s="130">
        <f t="shared" si="68"/>
        <v>4.4999999999999998E-2</v>
      </c>
      <c r="CK58" s="128">
        <f t="shared" si="69"/>
        <v>4291.3687313049359</v>
      </c>
      <c r="CL58" s="128">
        <f t="shared" si="70"/>
        <v>103562.36873130492</v>
      </c>
      <c r="CN58" s="127">
        <f t="shared" si="132"/>
        <v>1000</v>
      </c>
      <c r="CO58" s="128">
        <f t="shared" si="133"/>
        <v>100000</v>
      </c>
      <c r="CP58" s="128">
        <f t="shared" si="134"/>
        <v>100000</v>
      </c>
      <c r="CQ58" s="128">
        <f t="shared" si="135"/>
        <v>105750.00000000001</v>
      </c>
      <c r="CR58" s="130">
        <f t="shared" si="71"/>
        <v>4.9000000000000002E-2</v>
      </c>
      <c r="CS58" s="128">
        <f t="shared" si="72"/>
        <v>107045.43750000003</v>
      </c>
      <c r="CT58" s="128" t="str">
        <f t="shared" si="73"/>
        <v>nie</v>
      </c>
      <c r="CU58" s="128">
        <f t="shared" si="74"/>
        <v>3000</v>
      </c>
      <c r="CV58" s="128">
        <f t="shared" si="75"/>
        <v>103276.80437500002</v>
      </c>
      <c r="CW58" s="128">
        <f t="shared" si="76"/>
        <v>0</v>
      </c>
      <c r="CX58" s="130">
        <f t="shared" si="77"/>
        <v>4.4999999999999998E-2</v>
      </c>
      <c r="CY58" s="128">
        <f t="shared" si="78"/>
        <v>0</v>
      </c>
      <c r="CZ58" s="128">
        <f t="shared" si="79"/>
        <v>103276.80437500002</v>
      </c>
      <c r="DA58" s="20"/>
      <c r="DB58" s="127">
        <f t="shared" si="144"/>
        <v>1000</v>
      </c>
      <c r="DC58" s="128">
        <f t="shared" si="145"/>
        <v>100000</v>
      </c>
      <c r="DD58" s="128">
        <f t="shared" si="136"/>
        <v>100000</v>
      </c>
      <c r="DE58" s="128">
        <f t="shared" si="137"/>
        <v>105450</v>
      </c>
      <c r="DF58" s="130">
        <f t="shared" si="80"/>
        <v>4.9000000000000002E-2</v>
      </c>
      <c r="DG58" s="128">
        <f t="shared" si="81"/>
        <v>106741.76250000001</v>
      </c>
      <c r="DH58" s="128" t="str">
        <f t="shared" si="82"/>
        <v>nie</v>
      </c>
      <c r="DI58" s="128">
        <f t="shared" si="83"/>
        <v>2000</v>
      </c>
      <c r="DJ58" s="128">
        <f t="shared" si="84"/>
        <v>103840.82762500001</v>
      </c>
      <c r="DK58" s="128">
        <f t="shared" si="85"/>
        <v>0</v>
      </c>
      <c r="DL58" s="130">
        <f t="shared" si="86"/>
        <v>4.4999999999999998E-2</v>
      </c>
      <c r="DM58" s="128">
        <f t="shared" si="87"/>
        <v>0</v>
      </c>
      <c r="DN58" s="128">
        <f t="shared" si="88"/>
        <v>103840.82762500001</v>
      </c>
      <c r="DP58" s="127">
        <f t="shared" si="146"/>
        <v>1000</v>
      </c>
      <c r="DQ58" s="128">
        <f t="shared" si="147"/>
        <v>100000</v>
      </c>
      <c r="DR58" s="128">
        <f t="shared" si="138"/>
        <v>100000</v>
      </c>
      <c r="DS58" s="128">
        <f t="shared" si="139"/>
        <v>106000</v>
      </c>
      <c r="DT58" s="130">
        <f t="shared" si="89"/>
        <v>5.4000000000000006E-2</v>
      </c>
      <c r="DU58" s="128">
        <f t="shared" si="90"/>
        <v>107431</v>
      </c>
      <c r="DV58" s="128" t="str">
        <f t="shared" si="91"/>
        <v>nie</v>
      </c>
      <c r="DW58" s="128">
        <f t="shared" si="92"/>
        <v>3000</v>
      </c>
      <c r="DX58" s="128">
        <f t="shared" si="93"/>
        <v>103589.11</v>
      </c>
      <c r="DY58" s="128">
        <f t="shared" si="94"/>
        <v>0</v>
      </c>
      <c r="DZ58" s="130">
        <f t="shared" si="95"/>
        <v>4.4999999999999998E-2</v>
      </c>
      <c r="EA58" s="128">
        <f t="shared" si="96"/>
        <v>0</v>
      </c>
      <c r="EB58" s="128">
        <f t="shared" si="97"/>
        <v>103589.11</v>
      </c>
    </row>
    <row r="59" spans="1:132">
      <c r="A59" s="212"/>
      <c r="B59" s="188">
        <f t="shared" si="98"/>
        <v>15</v>
      </c>
      <c r="C59" s="128">
        <f t="shared" si="99"/>
        <v>104737.3778701594</v>
      </c>
      <c r="D59" s="128">
        <f t="shared" si="100"/>
        <v>104242.56124747005</v>
      </c>
      <c r="E59" s="128">
        <f t="shared" si="101"/>
        <v>104199.87025000001</v>
      </c>
      <c r="F59" s="128">
        <f t="shared" si="102"/>
        <v>103562.36873130492</v>
      </c>
      <c r="G59" s="128">
        <f t="shared" si="103"/>
        <v>103276.80437500002</v>
      </c>
      <c r="H59" s="128">
        <f t="shared" si="104"/>
        <v>103840.82762500001</v>
      </c>
      <c r="I59" s="128">
        <f t="shared" si="105"/>
        <v>103589.11</v>
      </c>
      <c r="J59" s="128">
        <f t="shared" si="106"/>
        <v>104654.41411045477</v>
      </c>
      <c r="K59" s="128">
        <f t="shared" si="107"/>
        <v>103646.02499999998</v>
      </c>
      <c r="M59" s="36"/>
      <c r="N59" s="32">
        <f t="shared" si="108"/>
        <v>15</v>
      </c>
      <c r="O59" s="25">
        <f t="shared" si="109"/>
        <v>4.7373778701593983E-2</v>
      </c>
      <c r="P59" s="25">
        <f t="shared" si="110"/>
        <v>4.2425612474700447E-2</v>
      </c>
      <c r="Q59" s="25">
        <f t="shared" si="111"/>
        <v>4.1998702500000151E-2</v>
      </c>
      <c r="R59" s="25">
        <f t="shared" si="30"/>
        <v>3.5623687313049102E-2</v>
      </c>
      <c r="S59" s="25">
        <f t="shared" si="31"/>
        <v>3.2768043750000198E-2</v>
      </c>
      <c r="T59" s="25">
        <f t="shared" si="32"/>
        <v>3.8408276249999984E-2</v>
      </c>
      <c r="U59" s="25">
        <f t="shared" si="33"/>
        <v>3.5891099999999954E-2</v>
      </c>
      <c r="V59" s="25">
        <f t="shared" si="34"/>
        <v>4.6544141104547743E-2</v>
      </c>
      <c r="W59" s="25">
        <f t="shared" si="112"/>
        <v>3.646024999999975E-2</v>
      </c>
      <c r="X59" s="36"/>
      <c r="Y59" s="36"/>
      <c r="AA59" s="124">
        <f t="shared" si="113"/>
        <v>16</v>
      </c>
      <c r="AB59" s="128">
        <f t="shared" si="35"/>
        <v>103894.7</v>
      </c>
      <c r="AC59" s="124">
        <f t="shared" si="114"/>
        <v>16</v>
      </c>
      <c r="AD59" s="130">
        <f t="shared" si="115"/>
        <v>4.4999999999999998E-2</v>
      </c>
      <c r="AE59" s="127">
        <f t="shared" si="116"/>
        <v>1042</v>
      </c>
      <c r="AF59" s="128">
        <f t="shared" si="117"/>
        <v>104099.6</v>
      </c>
      <c r="AG59" s="128">
        <f t="shared" si="140"/>
        <v>104200</v>
      </c>
      <c r="AH59" s="128">
        <f t="shared" si="118"/>
        <v>104200</v>
      </c>
      <c r="AI59" s="130">
        <f t="shared" si="36"/>
        <v>4.4999999999999998E-2</v>
      </c>
      <c r="AJ59" s="128">
        <f t="shared" si="37"/>
        <v>104590.74999999999</v>
      </c>
      <c r="AK59" s="128" t="str">
        <f t="shared" si="38"/>
        <v>nie</v>
      </c>
      <c r="AL59" s="128">
        <f t="shared" si="39"/>
        <v>521</v>
      </c>
      <c r="AM59" s="128">
        <f t="shared" si="150"/>
        <v>104094.49749999998</v>
      </c>
      <c r="AN59" s="128">
        <f t="shared" si="41"/>
        <v>316.50749999998823</v>
      </c>
      <c r="AO59" s="130">
        <f t="shared" si="42"/>
        <v>4.4999999999999998E-2</v>
      </c>
      <c r="AP59" s="128">
        <f t="shared" si="43"/>
        <v>1278.8095108149951</v>
      </c>
      <c r="AQ59" s="128">
        <f t="shared" si="156"/>
        <v>105056.79951081499</v>
      </c>
      <c r="AS59" s="124">
        <f t="shared" si="119"/>
        <v>16</v>
      </c>
      <c r="AT59" s="130">
        <f t="shared" si="120"/>
        <v>4.4999999999999998E-2</v>
      </c>
      <c r="AU59" s="127">
        <f t="shared" si="121"/>
        <v>1000</v>
      </c>
      <c r="AV59" s="128">
        <f t="shared" si="122"/>
        <v>100000</v>
      </c>
      <c r="AW59" s="128">
        <f t="shared" si="151"/>
        <v>100000</v>
      </c>
      <c r="AX59" s="128">
        <f t="shared" si="123"/>
        <v>100000</v>
      </c>
      <c r="AY59" s="130">
        <f t="shared" si="45"/>
        <v>4.65E-2</v>
      </c>
      <c r="AZ59" s="128">
        <f t="shared" si="46"/>
        <v>100387.50000000001</v>
      </c>
      <c r="BA59" s="128" t="str">
        <f t="shared" si="47"/>
        <v>nie</v>
      </c>
      <c r="BB59" s="128">
        <f t="shared" si="48"/>
        <v>700</v>
      </c>
      <c r="BC59" s="128">
        <f t="shared" si="152"/>
        <v>99746.875000000015</v>
      </c>
      <c r="BD59" s="128">
        <f t="shared" si="50"/>
        <v>313.87500000001182</v>
      </c>
      <c r="BE59" s="130">
        <f t="shared" si="51"/>
        <v>4.4999999999999998E-2</v>
      </c>
      <c r="BF59" s="128">
        <f t="shared" si="52"/>
        <v>5138.0452897592477</v>
      </c>
      <c r="BG59" s="128">
        <f t="shared" si="157"/>
        <v>104571.04528975925</v>
      </c>
      <c r="BI59" s="124">
        <f t="shared" si="124"/>
        <v>16</v>
      </c>
      <c r="BJ59" s="130">
        <f t="shared" si="148"/>
        <v>4.3200000000000002E-2</v>
      </c>
      <c r="BK59" s="127">
        <f t="shared" si="125"/>
        <v>1000</v>
      </c>
      <c r="BL59" s="128">
        <f t="shared" si="126"/>
        <v>100000</v>
      </c>
      <c r="BM59" s="128">
        <f t="shared" si="142"/>
        <v>100000</v>
      </c>
      <c r="BN59" s="128">
        <f t="shared" si="127"/>
        <v>104900</v>
      </c>
      <c r="BO59" s="130">
        <f t="shared" si="54"/>
        <v>4.9000000000000002E-2</v>
      </c>
      <c r="BP59" s="128">
        <f t="shared" si="55"/>
        <v>106613.36666666667</v>
      </c>
      <c r="BQ59" s="128" t="str">
        <f t="shared" si="56"/>
        <v>nie</v>
      </c>
      <c r="BR59" s="128">
        <f t="shared" si="57"/>
        <v>1000</v>
      </c>
      <c r="BS59" s="128">
        <f t="shared" si="153"/>
        <v>104546.827</v>
      </c>
      <c r="BT59" s="128">
        <f t="shared" si="128"/>
        <v>0</v>
      </c>
      <c r="BU59" s="130">
        <f t="shared" si="59"/>
        <v>4.4999999999999998E-2</v>
      </c>
      <c r="BV59" s="128">
        <f t="shared" si="60"/>
        <v>0</v>
      </c>
      <c r="BW59" s="128">
        <f t="shared" si="61"/>
        <v>104546.827</v>
      </c>
      <c r="BY59" s="130">
        <f t="shared" si="149"/>
        <v>2.9000000000000001E-2</v>
      </c>
      <c r="BZ59" s="127">
        <f t="shared" si="129"/>
        <v>1000</v>
      </c>
      <c r="CA59" s="128">
        <f t="shared" si="130"/>
        <v>100000</v>
      </c>
      <c r="CB59" s="128">
        <f t="shared" si="154"/>
        <v>100000</v>
      </c>
      <c r="CC59" s="128">
        <f t="shared" si="131"/>
        <v>100000</v>
      </c>
      <c r="CD59" s="130">
        <f t="shared" si="62"/>
        <v>4.3999999999999997E-2</v>
      </c>
      <c r="CE59" s="128">
        <f t="shared" si="63"/>
        <v>101466.66666666666</v>
      </c>
      <c r="CF59" s="128" t="str">
        <f t="shared" si="64"/>
        <v>nie</v>
      </c>
      <c r="CG59" s="128">
        <f t="shared" si="65"/>
        <v>2000</v>
      </c>
      <c r="CH59" s="128">
        <f t="shared" si="155"/>
        <v>99567.999999999985</v>
      </c>
      <c r="CI59" s="128">
        <f t="shared" si="67"/>
        <v>0</v>
      </c>
      <c r="CJ59" s="130">
        <f t="shared" si="68"/>
        <v>4.4999999999999998E-2</v>
      </c>
      <c r="CK59" s="128">
        <f t="shared" si="69"/>
        <v>4304.4037638262744</v>
      </c>
      <c r="CL59" s="128">
        <f t="shared" si="70"/>
        <v>103872.40376382627</v>
      </c>
      <c r="CN59" s="127">
        <f t="shared" si="132"/>
        <v>1000</v>
      </c>
      <c r="CO59" s="128">
        <f t="shared" si="133"/>
        <v>100000</v>
      </c>
      <c r="CP59" s="128">
        <f t="shared" si="134"/>
        <v>100000</v>
      </c>
      <c r="CQ59" s="128">
        <f t="shared" si="135"/>
        <v>105750.00000000001</v>
      </c>
      <c r="CR59" s="130">
        <f t="shared" si="71"/>
        <v>4.9000000000000002E-2</v>
      </c>
      <c r="CS59" s="128">
        <f t="shared" si="72"/>
        <v>107477.25000000001</v>
      </c>
      <c r="CT59" s="128" t="str">
        <f t="shared" si="73"/>
        <v>nie</v>
      </c>
      <c r="CU59" s="128">
        <f t="shared" si="74"/>
        <v>3000</v>
      </c>
      <c r="CV59" s="128">
        <f t="shared" si="75"/>
        <v>103626.57250000001</v>
      </c>
      <c r="CW59" s="128">
        <f t="shared" si="76"/>
        <v>0</v>
      </c>
      <c r="CX59" s="130">
        <f t="shared" si="77"/>
        <v>4.4999999999999998E-2</v>
      </c>
      <c r="CY59" s="128">
        <f t="shared" si="78"/>
        <v>0</v>
      </c>
      <c r="CZ59" s="128">
        <f t="shared" si="79"/>
        <v>103626.57250000001</v>
      </c>
      <c r="DA59" s="20"/>
      <c r="DB59" s="127">
        <f t="shared" si="144"/>
        <v>1000</v>
      </c>
      <c r="DC59" s="128">
        <f t="shared" si="145"/>
        <v>100000</v>
      </c>
      <c r="DD59" s="128">
        <f t="shared" si="136"/>
        <v>100000</v>
      </c>
      <c r="DE59" s="128">
        <f t="shared" si="137"/>
        <v>105450</v>
      </c>
      <c r="DF59" s="130">
        <f t="shared" si="80"/>
        <v>4.9000000000000002E-2</v>
      </c>
      <c r="DG59" s="128">
        <f t="shared" si="81"/>
        <v>107172.34999999999</v>
      </c>
      <c r="DH59" s="128" t="str">
        <f t="shared" si="82"/>
        <v>nie</v>
      </c>
      <c r="DI59" s="128">
        <f t="shared" si="83"/>
        <v>2000</v>
      </c>
      <c r="DJ59" s="128">
        <f t="shared" si="84"/>
        <v>104189.6035</v>
      </c>
      <c r="DK59" s="128">
        <f t="shared" si="85"/>
        <v>0</v>
      </c>
      <c r="DL59" s="130">
        <f t="shared" si="86"/>
        <v>4.4999999999999998E-2</v>
      </c>
      <c r="DM59" s="128">
        <f t="shared" si="87"/>
        <v>0</v>
      </c>
      <c r="DN59" s="128">
        <f t="shared" si="88"/>
        <v>104189.6035</v>
      </c>
      <c r="DP59" s="127">
        <f t="shared" si="146"/>
        <v>1000</v>
      </c>
      <c r="DQ59" s="128">
        <f t="shared" si="147"/>
        <v>100000</v>
      </c>
      <c r="DR59" s="128">
        <f t="shared" si="138"/>
        <v>100000</v>
      </c>
      <c r="DS59" s="128">
        <f t="shared" si="139"/>
        <v>106000</v>
      </c>
      <c r="DT59" s="130">
        <f t="shared" si="89"/>
        <v>5.4000000000000006E-2</v>
      </c>
      <c r="DU59" s="128">
        <f t="shared" si="90"/>
        <v>107908</v>
      </c>
      <c r="DV59" s="128" t="str">
        <f t="shared" si="91"/>
        <v>nie</v>
      </c>
      <c r="DW59" s="128">
        <f t="shared" si="92"/>
        <v>3000</v>
      </c>
      <c r="DX59" s="128">
        <f t="shared" si="93"/>
        <v>103975.48</v>
      </c>
      <c r="DY59" s="128">
        <f t="shared" si="94"/>
        <v>0</v>
      </c>
      <c r="DZ59" s="130">
        <f t="shared" si="95"/>
        <v>4.4999999999999998E-2</v>
      </c>
      <c r="EA59" s="128">
        <f t="shared" si="96"/>
        <v>0</v>
      </c>
      <c r="EB59" s="128">
        <f t="shared" si="97"/>
        <v>103975.48</v>
      </c>
    </row>
    <row r="60" spans="1:132">
      <c r="A60" s="212"/>
      <c r="B60" s="188">
        <f t="shared" si="98"/>
        <v>16</v>
      </c>
      <c r="C60" s="128">
        <f t="shared" si="99"/>
        <v>105056.79951081499</v>
      </c>
      <c r="D60" s="128">
        <f t="shared" si="100"/>
        <v>104571.04528975925</v>
      </c>
      <c r="E60" s="128">
        <f t="shared" si="101"/>
        <v>104546.827</v>
      </c>
      <c r="F60" s="128">
        <f t="shared" si="102"/>
        <v>103872.40376382627</v>
      </c>
      <c r="G60" s="128">
        <f t="shared" si="103"/>
        <v>103626.57250000001</v>
      </c>
      <c r="H60" s="128">
        <f t="shared" si="104"/>
        <v>104189.6035</v>
      </c>
      <c r="I60" s="128">
        <f t="shared" si="105"/>
        <v>103975.48</v>
      </c>
      <c r="J60" s="128">
        <f t="shared" si="106"/>
        <v>104972.30189331528</v>
      </c>
      <c r="K60" s="128">
        <f t="shared" si="107"/>
        <v>103894.7</v>
      </c>
      <c r="M60" s="36"/>
      <c r="N60" s="32">
        <f t="shared" si="108"/>
        <v>16</v>
      </c>
      <c r="O60" s="25">
        <f t="shared" si="109"/>
        <v>5.056799510814991E-2</v>
      </c>
      <c r="P60" s="25">
        <f t="shared" si="110"/>
        <v>4.5710452897592457E-2</v>
      </c>
      <c r="Q60" s="25">
        <f t="shared" si="111"/>
        <v>4.5468269999999977E-2</v>
      </c>
      <c r="R60" s="25">
        <f t="shared" si="30"/>
        <v>3.8724037638262709E-2</v>
      </c>
      <c r="S60" s="25">
        <f t="shared" si="31"/>
        <v>3.6265725000000026E-2</v>
      </c>
      <c r="T60" s="25">
        <f t="shared" si="32"/>
        <v>4.1896034999999943E-2</v>
      </c>
      <c r="U60" s="25">
        <f t="shared" si="33"/>
        <v>3.9754799999999868E-2</v>
      </c>
      <c r="V60" s="25">
        <f t="shared" si="34"/>
        <v>4.9723018933152785E-2</v>
      </c>
      <c r="W60" s="25">
        <f t="shared" si="112"/>
        <v>3.8947000000000065E-2</v>
      </c>
      <c r="X60" s="36"/>
      <c r="Y60" s="36"/>
      <c r="AA60" s="124">
        <f t="shared" si="113"/>
        <v>17</v>
      </c>
      <c r="AB60" s="128">
        <f t="shared" si="35"/>
        <v>104143.375</v>
      </c>
      <c r="AC60" s="124">
        <f t="shared" si="114"/>
        <v>17</v>
      </c>
      <c r="AD60" s="130">
        <f t="shared" si="115"/>
        <v>4.4999999999999998E-2</v>
      </c>
      <c r="AE60" s="127">
        <f t="shared" si="116"/>
        <v>1042</v>
      </c>
      <c r="AF60" s="128">
        <f t="shared" si="117"/>
        <v>104099.6</v>
      </c>
      <c r="AG60" s="128">
        <f t="shared" si="140"/>
        <v>104200</v>
      </c>
      <c r="AH60" s="128">
        <f t="shared" si="118"/>
        <v>104200</v>
      </c>
      <c r="AI60" s="130">
        <f t="shared" si="36"/>
        <v>4.4999999999999998E-2</v>
      </c>
      <c r="AJ60" s="128">
        <f t="shared" si="37"/>
        <v>104590.74999999999</v>
      </c>
      <c r="AK60" s="128" t="str">
        <f t="shared" si="38"/>
        <v>nie</v>
      </c>
      <c r="AL60" s="128">
        <f t="shared" si="39"/>
        <v>521</v>
      </c>
      <c r="AM60" s="128">
        <f t="shared" si="150"/>
        <v>104094.49749999998</v>
      </c>
      <c r="AN60" s="128">
        <f t="shared" si="41"/>
        <v>316.50749999998823</v>
      </c>
      <c r="AO60" s="130">
        <f t="shared" si="42"/>
        <v>4.4999999999999998E-2</v>
      </c>
      <c r="AP60" s="128">
        <f t="shared" si="43"/>
        <v>1599.2013947040837</v>
      </c>
      <c r="AQ60" s="128">
        <f t="shared" si="156"/>
        <v>105377.19139470407</v>
      </c>
      <c r="AS60" s="124">
        <f t="shared" si="119"/>
        <v>17</v>
      </c>
      <c r="AT60" s="130">
        <f t="shared" si="120"/>
        <v>4.4999999999999998E-2</v>
      </c>
      <c r="AU60" s="127">
        <f t="shared" si="121"/>
        <v>1000</v>
      </c>
      <c r="AV60" s="128">
        <f t="shared" si="122"/>
        <v>100000</v>
      </c>
      <c r="AW60" s="128">
        <f t="shared" si="151"/>
        <v>100000</v>
      </c>
      <c r="AX60" s="128">
        <f t="shared" si="123"/>
        <v>100000</v>
      </c>
      <c r="AY60" s="130">
        <f t="shared" si="45"/>
        <v>4.65E-2</v>
      </c>
      <c r="AZ60" s="128">
        <f t="shared" si="46"/>
        <v>100387.50000000001</v>
      </c>
      <c r="BA60" s="128" t="str">
        <f t="shared" si="47"/>
        <v>nie</v>
      </c>
      <c r="BB60" s="128">
        <f t="shared" si="48"/>
        <v>700</v>
      </c>
      <c r="BC60" s="128">
        <f t="shared" si="152"/>
        <v>99746.875000000015</v>
      </c>
      <c r="BD60" s="128">
        <f t="shared" si="50"/>
        <v>313.87500000001182</v>
      </c>
      <c r="BE60" s="130">
        <f t="shared" si="51"/>
        <v>4.4999999999999998E-2</v>
      </c>
      <c r="BF60" s="128">
        <f t="shared" si="52"/>
        <v>5467.5271023269033</v>
      </c>
      <c r="BG60" s="128">
        <f t="shared" si="157"/>
        <v>104900.5271023269</v>
      </c>
      <c r="BI60" s="124">
        <f t="shared" si="124"/>
        <v>17</v>
      </c>
      <c r="BJ60" s="130">
        <f t="shared" si="148"/>
        <v>4.3200000000000002E-2</v>
      </c>
      <c r="BK60" s="127">
        <f t="shared" si="125"/>
        <v>1000</v>
      </c>
      <c r="BL60" s="128">
        <f t="shared" si="126"/>
        <v>100000</v>
      </c>
      <c r="BM60" s="128">
        <f t="shared" si="142"/>
        <v>100000</v>
      </c>
      <c r="BN60" s="128">
        <f t="shared" si="127"/>
        <v>104900</v>
      </c>
      <c r="BO60" s="130">
        <f t="shared" si="54"/>
        <v>4.9000000000000002E-2</v>
      </c>
      <c r="BP60" s="128">
        <f t="shared" si="55"/>
        <v>107041.70833333334</v>
      </c>
      <c r="BQ60" s="128" t="str">
        <f t="shared" si="56"/>
        <v>nie</v>
      </c>
      <c r="BR60" s="128">
        <f t="shared" si="57"/>
        <v>1000</v>
      </c>
      <c r="BS60" s="128">
        <f t="shared" si="153"/>
        <v>104893.78375</v>
      </c>
      <c r="BT60" s="128">
        <f t="shared" si="128"/>
        <v>0</v>
      </c>
      <c r="BU60" s="130">
        <f t="shared" si="59"/>
        <v>4.4999999999999998E-2</v>
      </c>
      <c r="BV60" s="128">
        <f t="shared" si="60"/>
        <v>0</v>
      </c>
      <c r="BW60" s="128">
        <f t="shared" si="61"/>
        <v>104893.78375</v>
      </c>
      <c r="BY60" s="130">
        <f t="shared" si="149"/>
        <v>2.9000000000000001E-2</v>
      </c>
      <c r="BZ60" s="127">
        <f t="shared" si="129"/>
        <v>1000</v>
      </c>
      <c r="CA60" s="128">
        <f t="shared" si="130"/>
        <v>100000</v>
      </c>
      <c r="CB60" s="128">
        <f t="shared" si="154"/>
        <v>100000</v>
      </c>
      <c r="CC60" s="128">
        <f t="shared" si="131"/>
        <v>100000</v>
      </c>
      <c r="CD60" s="130">
        <f t="shared" si="62"/>
        <v>4.3999999999999997E-2</v>
      </c>
      <c r="CE60" s="128">
        <f t="shared" si="63"/>
        <v>101833.33333333333</v>
      </c>
      <c r="CF60" s="128" t="str">
        <f t="shared" si="64"/>
        <v>nie</v>
      </c>
      <c r="CG60" s="128">
        <f t="shared" si="65"/>
        <v>2000</v>
      </c>
      <c r="CH60" s="128">
        <f t="shared" si="155"/>
        <v>99865</v>
      </c>
      <c r="CI60" s="128">
        <f t="shared" si="67"/>
        <v>0</v>
      </c>
      <c r="CJ60" s="130">
        <f t="shared" si="68"/>
        <v>4.4999999999999998E-2</v>
      </c>
      <c r="CK60" s="128">
        <f t="shared" si="69"/>
        <v>4317.478390258897</v>
      </c>
      <c r="CL60" s="128">
        <f t="shared" si="70"/>
        <v>104182.4783902589</v>
      </c>
      <c r="CN60" s="127">
        <f t="shared" si="132"/>
        <v>1000</v>
      </c>
      <c r="CO60" s="128">
        <f t="shared" si="133"/>
        <v>100000</v>
      </c>
      <c r="CP60" s="128">
        <f t="shared" si="134"/>
        <v>100000</v>
      </c>
      <c r="CQ60" s="128">
        <f t="shared" si="135"/>
        <v>105750.00000000001</v>
      </c>
      <c r="CR60" s="130">
        <f t="shared" si="71"/>
        <v>4.9000000000000002E-2</v>
      </c>
      <c r="CS60" s="128">
        <f t="shared" si="72"/>
        <v>107909.06250000003</v>
      </c>
      <c r="CT60" s="128" t="str">
        <f t="shared" si="73"/>
        <v>nie</v>
      </c>
      <c r="CU60" s="128">
        <f t="shared" si="74"/>
        <v>3000</v>
      </c>
      <c r="CV60" s="128">
        <f t="shared" si="75"/>
        <v>103976.34062500003</v>
      </c>
      <c r="CW60" s="128">
        <f t="shared" si="76"/>
        <v>0</v>
      </c>
      <c r="CX60" s="130">
        <f t="shared" si="77"/>
        <v>4.4999999999999998E-2</v>
      </c>
      <c r="CY60" s="128">
        <f t="shared" si="78"/>
        <v>0</v>
      </c>
      <c r="CZ60" s="128">
        <f t="shared" si="79"/>
        <v>103976.34062500003</v>
      </c>
      <c r="DA60" s="20"/>
      <c r="DB60" s="127">
        <f t="shared" si="144"/>
        <v>1000</v>
      </c>
      <c r="DC60" s="128">
        <f t="shared" si="145"/>
        <v>100000</v>
      </c>
      <c r="DD60" s="128">
        <f t="shared" si="136"/>
        <v>100000</v>
      </c>
      <c r="DE60" s="128">
        <f t="shared" si="137"/>
        <v>105450</v>
      </c>
      <c r="DF60" s="130">
        <f t="shared" si="80"/>
        <v>4.9000000000000002E-2</v>
      </c>
      <c r="DG60" s="128">
        <f t="shared" si="81"/>
        <v>107602.93750000001</v>
      </c>
      <c r="DH60" s="128" t="str">
        <f t="shared" si="82"/>
        <v>nie</v>
      </c>
      <c r="DI60" s="128">
        <f t="shared" si="83"/>
        <v>2000</v>
      </c>
      <c r="DJ60" s="128">
        <f t="shared" si="84"/>
        <v>104538.37937500002</v>
      </c>
      <c r="DK60" s="128">
        <f t="shared" si="85"/>
        <v>0</v>
      </c>
      <c r="DL60" s="130">
        <f t="shared" si="86"/>
        <v>4.4999999999999998E-2</v>
      </c>
      <c r="DM60" s="128">
        <f t="shared" si="87"/>
        <v>0</v>
      </c>
      <c r="DN60" s="128">
        <f t="shared" si="88"/>
        <v>104538.37937500002</v>
      </c>
      <c r="DP60" s="127">
        <f t="shared" si="146"/>
        <v>1000</v>
      </c>
      <c r="DQ60" s="128">
        <f t="shared" si="147"/>
        <v>100000</v>
      </c>
      <c r="DR60" s="128">
        <f t="shared" si="138"/>
        <v>100000</v>
      </c>
      <c r="DS60" s="128">
        <f t="shared" si="139"/>
        <v>106000</v>
      </c>
      <c r="DT60" s="130">
        <f t="shared" si="89"/>
        <v>5.4000000000000006E-2</v>
      </c>
      <c r="DU60" s="128">
        <f t="shared" si="90"/>
        <v>108385</v>
      </c>
      <c r="DV60" s="128" t="str">
        <f t="shared" si="91"/>
        <v>nie</v>
      </c>
      <c r="DW60" s="128">
        <f t="shared" si="92"/>
        <v>3000</v>
      </c>
      <c r="DX60" s="128">
        <f t="shared" si="93"/>
        <v>104361.85</v>
      </c>
      <c r="DY60" s="128">
        <f t="shared" si="94"/>
        <v>0</v>
      </c>
      <c r="DZ60" s="130">
        <f t="shared" si="95"/>
        <v>4.4999999999999998E-2</v>
      </c>
      <c r="EA60" s="128">
        <f t="shared" si="96"/>
        <v>0</v>
      </c>
      <c r="EB60" s="128">
        <f t="shared" si="97"/>
        <v>104361.85</v>
      </c>
    </row>
    <row r="61" spans="1:132">
      <c r="A61" s="212"/>
      <c r="B61" s="188">
        <f t="shared" si="98"/>
        <v>17</v>
      </c>
      <c r="C61" s="128">
        <f t="shared" si="99"/>
        <v>105377.19139470407</v>
      </c>
      <c r="D61" s="128">
        <f t="shared" si="100"/>
        <v>104900.5271023269</v>
      </c>
      <c r="E61" s="128">
        <f t="shared" si="101"/>
        <v>104893.78375</v>
      </c>
      <c r="F61" s="128">
        <f t="shared" si="102"/>
        <v>104182.4783902589</v>
      </c>
      <c r="G61" s="128">
        <f t="shared" si="103"/>
        <v>103976.34062500003</v>
      </c>
      <c r="H61" s="128">
        <f t="shared" si="104"/>
        <v>104538.37937500002</v>
      </c>
      <c r="I61" s="128">
        <f t="shared" si="105"/>
        <v>104361.85</v>
      </c>
      <c r="J61" s="128">
        <f t="shared" si="106"/>
        <v>105291.15526031623</v>
      </c>
      <c r="K61" s="128">
        <f t="shared" si="107"/>
        <v>104143.375</v>
      </c>
      <c r="M61" s="36"/>
      <c r="N61" s="32">
        <f t="shared" si="108"/>
        <v>17</v>
      </c>
      <c r="O61" s="25">
        <f t="shared" si="109"/>
        <v>5.3771913947040728E-2</v>
      </c>
      <c r="P61" s="25">
        <f t="shared" si="110"/>
        <v>4.9005271023269126E-2</v>
      </c>
      <c r="Q61" s="25">
        <f t="shared" si="111"/>
        <v>4.8937837500000025E-2</v>
      </c>
      <c r="R61" s="25">
        <f t="shared" si="30"/>
        <v>4.1824783902588925E-2</v>
      </c>
      <c r="S61" s="25">
        <f t="shared" si="31"/>
        <v>3.9763406250000299E-2</v>
      </c>
      <c r="T61" s="25">
        <f t="shared" si="32"/>
        <v>4.5383793750000123E-2</v>
      </c>
      <c r="U61" s="25">
        <f t="shared" si="33"/>
        <v>4.3618500000000004E-2</v>
      </c>
      <c r="V61" s="25">
        <f t="shared" si="34"/>
        <v>5.2911552603162271E-2</v>
      </c>
      <c r="W61" s="25">
        <f t="shared" si="112"/>
        <v>4.1433749999999936E-2</v>
      </c>
      <c r="X61" s="36"/>
      <c r="Y61" s="36"/>
      <c r="AA61" s="124">
        <f t="shared" si="113"/>
        <v>18</v>
      </c>
      <c r="AB61" s="128">
        <f t="shared" si="35"/>
        <v>104392.04999999997</v>
      </c>
      <c r="AC61" s="124">
        <f t="shared" si="114"/>
        <v>18</v>
      </c>
      <c r="AD61" s="130">
        <f t="shared" si="115"/>
        <v>4.4999999999999998E-2</v>
      </c>
      <c r="AE61" s="127">
        <f t="shared" si="116"/>
        <v>1042</v>
      </c>
      <c r="AF61" s="128">
        <f t="shared" si="117"/>
        <v>104099.6</v>
      </c>
      <c r="AG61" s="128">
        <f t="shared" si="140"/>
        <v>104200</v>
      </c>
      <c r="AH61" s="128">
        <f t="shared" si="118"/>
        <v>104200</v>
      </c>
      <c r="AI61" s="130">
        <f t="shared" si="36"/>
        <v>4.4999999999999998E-2</v>
      </c>
      <c r="AJ61" s="128">
        <f t="shared" si="37"/>
        <v>104590.74999999999</v>
      </c>
      <c r="AK61" s="128" t="str">
        <f t="shared" si="38"/>
        <v>nie</v>
      </c>
      <c r="AL61" s="128">
        <f t="shared" si="39"/>
        <v>521</v>
      </c>
      <c r="AM61" s="128">
        <f t="shared" si="150"/>
        <v>104094.49749999998</v>
      </c>
      <c r="AN61" s="128">
        <f t="shared" si="41"/>
        <v>316.50749999998823</v>
      </c>
      <c r="AO61" s="130">
        <f t="shared" si="42"/>
        <v>4.4999999999999998E-2</v>
      </c>
      <c r="AP61" s="128">
        <f t="shared" si="43"/>
        <v>1920.5664689404857</v>
      </c>
      <c r="AQ61" s="128">
        <f t="shared" si="156"/>
        <v>105698.55646894049</v>
      </c>
      <c r="AS61" s="124">
        <f t="shared" si="119"/>
        <v>18</v>
      </c>
      <c r="AT61" s="130">
        <f t="shared" si="120"/>
        <v>4.4999999999999998E-2</v>
      </c>
      <c r="AU61" s="127">
        <f t="shared" si="121"/>
        <v>1000</v>
      </c>
      <c r="AV61" s="128">
        <f t="shared" si="122"/>
        <v>100000</v>
      </c>
      <c r="AW61" s="128">
        <f t="shared" si="151"/>
        <v>100000</v>
      </c>
      <c r="AX61" s="128">
        <f t="shared" si="123"/>
        <v>100000</v>
      </c>
      <c r="AY61" s="130">
        <f t="shared" si="45"/>
        <v>4.65E-2</v>
      </c>
      <c r="AZ61" s="128">
        <f t="shared" si="46"/>
        <v>100387.50000000001</v>
      </c>
      <c r="BA61" s="128" t="str">
        <f t="shared" si="47"/>
        <v>nie</v>
      </c>
      <c r="BB61" s="128">
        <f t="shared" si="48"/>
        <v>700</v>
      </c>
      <c r="BC61" s="128">
        <f t="shared" si="152"/>
        <v>99746.875000000015</v>
      </c>
      <c r="BD61" s="128">
        <f t="shared" si="50"/>
        <v>313.87500000001182</v>
      </c>
      <c r="BE61" s="130">
        <f t="shared" si="51"/>
        <v>4.4999999999999998E-2</v>
      </c>
      <c r="BF61" s="128">
        <f t="shared" si="52"/>
        <v>5798.0097159002335</v>
      </c>
      <c r="BG61" s="128">
        <f t="shared" si="157"/>
        <v>105231.00971590023</v>
      </c>
      <c r="BI61" s="124">
        <f t="shared" si="124"/>
        <v>18</v>
      </c>
      <c r="BJ61" s="130">
        <f t="shared" si="148"/>
        <v>4.3200000000000002E-2</v>
      </c>
      <c r="BK61" s="127">
        <f t="shared" si="125"/>
        <v>1000</v>
      </c>
      <c r="BL61" s="128">
        <f t="shared" si="126"/>
        <v>100000</v>
      </c>
      <c r="BM61" s="128">
        <f t="shared" si="142"/>
        <v>100000</v>
      </c>
      <c r="BN61" s="128">
        <f t="shared" si="127"/>
        <v>104900</v>
      </c>
      <c r="BO61" s="130">
        <f t="shared" si="54"/>
        <v>4.9000000000000002E-2</v>
      </c>
      <c r="BP61" s="128">
        <f t="shared" si="55"/>
        <v>107470.05</v>
      </c>
      <c r="BQ61" s="128" t="str">
        <f t="shared" si="56"/>
        <v>nie</v>
      </c>
      <c r="BR61" s="128">
        <f t="shared" si="57"/>
        <v>1000</v>
      </c>
      <c r="BS61" s="128">
        <f t="shared" si="153"/>
        <v>105240.7405</v>
      </c>
      <c r="BT61" s="128">
        <f t="shared" si="128"/>
        <v>0</v>
      </c>
      <c r="BU61" s="130">
        <f t="shared" si="59"/>
        <v>4.4999999999999998E-2</v>
      </c>
      <c r="BV61" s="128">
        <f t="shared" si="60"/>
        <v>0</v>
      </c>
      <c r="BW61" s="128">
        <f t="shared" si="61"/>
        <v>105240.7405</v>
      </c>
      <c r="BY61" s="130">
        <f t="shared" si="149"/>
        <v>2.9000000000000001E-2</v>
      </c>
      <c r="BZ61" s="127">
        <f t="shared" si="129"/>
        <v>1000</v>
      </c>
      <c r="CA61" s="128">
        <f t="shared" si="130"/>
        <v>100000</v>
      </c>
      <c r="CB61" s="128">
        <f t="shared" si="154"/>
        <v>100000</v>
      </c>
      <c r="CC61" s="128">
        <f t="shared" si="131"/>
        <v>100000</v>
      </c>
      <c r="CD61" s="130">
        <f t="shared" si="62"/>
        <v>4.3999999999999997E-2</v>
      </c>
      <c r="CE61" s="128">
        <f t="shared" si="63"/>
        <v>102200</v>
      </c>
      <c r="CF61" s="128" t="str">
        <f t="shared" si="64"/>
        <v>nie</v>
      </c>
      <c r="CG61" s="128">
        <f t="shared" si="65"/>
        <v>2000</v>
      </c>
      <c r="CH61" s="128">
        <f t="shared" si="155"/>
        <v>100162</v>
      </c>
      <c r="CI61" s="128">
        <f t="shared" si="67"/>
        <v>0</v>
      </c>
      <c r="CJ61" s="130">
        <f t="shared" si="68"/>
        <v>4.4999999999999998E-2</v>
      </c>
      <c r="CK61" s="128">
        <f t="shared" si="69"/>
        <v>4330.5927308693081</v>
      </c>
      <c r="CL61" s="128">
        <f t="shared" si="70"/>
        <v>104492.59273086931</v>
      </c>
      <c r="CN61" s="127">
        <f t="shared" si="132"/>
        <v>1000</v>
      </c>
      <c r="CO61" s="128">
        <f t="shared" si="133"/>
        <v>100000</v>
      </c>
      <c r="CP61" s="128">
        <f t="shared" si="134"/>
        <v>100000</v>
      </c>
      <c r="CQ61" s="128">
        <f t="shared" si="135"/>
        <v>105750.00000000001</v>
      </c>
      <c r="CR61" s="130">
        <f t="shared" si="71"/>
        <v>4.9000000000000002E-2</v>
      </c>
      <c r="CS61" s="128">
        <f t="shared" si="72"/>
        <v>108340.87500000001</v>
      </c>
      <c r="CT61" s="128" t="str">
        <f t="shared" si="73"/>
        <v>nie</v>
      </c>
      <c r="CU61" s="128">
        <f t="shared" si="74"/>
        <v>3000</v>
      </c>
      <c r="CV61" s="128">
        <f t="shared" si="75"/>
        <v>104326.10875000001</v>
      </c>
      <c r="CW61" s="128">
        <f t="shared" si="76"/>
        <v>0</v>
      </c>
      <c r="CX61" s="130">
        <f t="shared" si="77"/>
        <v>4.4999999999999998E-2</v>
      </c>
      <c r="CY61" s="128">
        <f t="shared" si="78"/>
        <v>0</v>
      </c>
      <c r="CZ61" s="128">
        <f t="shared" si="79"/>
        <v>104326.10875000001</v>
      </c>
      <c r="DA61" s="20"/>
      <c r="DB61" s="127">
        <f t="shared" si="144"/>
        <v>1000</v>
      </c>
      <c r="DC61" s="128">
        <f t="shared" si="145"/>
        <v>100000</v>
      </c>
      <c r="DD61" s="128">
        <f t="shared" si="136"/>
        <v>100000</v>
      </c>
      <c r="DE61" s="128">
        <f t="shared" si="137"/>
        <v>105450</v>
      </c>
      <c r="DF61" s="130">
        <f t="shared" si="80"/>
        <v>4.9000000000000002E-2</v>
      </c>
      <c r="DG61" s="128">
        <f t="shared" si="81"/>
        <v>108033.52499999999</v>
      </c>
      <c r="DH61" s="128" t="str">
        <f t="shared" si="82"/>
        <v>nie</v>
      </c>
      <c r="DI61" s="128">
        <f t="shared" si="83"/>
        <v>2000</v>
      </c>
      <c r="DJ61" s="128">
        <f t="shared" si="84"/>
        <v>104887.15525</v>
      </c>
      <c r="DK61" s="128">
        <f t="shared" si="85"/>
        <v>0</v>
      </c>
      <c r="DL61" s="130">
        <f t="shared" si="86"/>
        <v>4.4999999999999998E-2</v>
      </c>
      <c r="DM61" s="128">
        <f t="shared" si="87"/>
        <v>0</v>
      </c>
      <c r="DN61" s="128">
        <f t="shared" si="88"/>
        <v>104887.15525</v>
      </c>
      <c r="DP61" s="127">
        <f t="shared" si="146"/>
        <v>1000</v>
      </c>
      <c r="DQ61" s="128">
        <f t="shared" si="147"/>
        <v>100000</v>
      </c>
      <c r="DR61" s="128">
        <f t="shared" si="138"/>
        <v>100000</v>
      </c>
      <c r="DS61" s="128">
        <f t="shared" si="139"/>
        <v>106000</v>
      </c>
      <c r="DT61" s="130">
        <f t="shared" si="89"/>
        <v>5.4000000000000006E-2</v>
      </c>
      <c r="DU61" s="128">
        <f t="shared" si="90"/>
        <v>108861.99999999999</v>
      </c>
      <c r="DV61" s="128" t="str">
        <f t="shared" si="91"/>
        <v>nie</v>
      </c>
      <c r="DW61" s="128">
        <f t="shared" si="92"/>
        <v>3000</v>
      </c>
      <c r="DX61" s="128">
        <f t="shared" si="93"/>
        <v>104748.21999999999</v>
      </c>
      <c r="DY61" s="128">
        <f t="shared" si="94"/>
        <v>0</v>
      </c>
      <c r="DZ61" s="130">
        <f t="shared" si="95"/>
        <v>4.4999999999999998E-2</v>
      </c>
      <c r="EA61" s="128">
        <f t="shared" si="96"/>
        <v>0</v>
      </c>
      <c r="EB61" s="128">
        <f t="shared" si="97"/>
        <v>104748.21999999999</v>
      </c>
    </row>
    <row r="62" spans="1:132" ht="12.95" customHeight="1">
      <c r="A62" s="212"/>
      <c r="B62" s="188">
        <f t="shared" si="98"/>
        <v>18</v>
      </c>
      <c r="C62" s="128">
        <f t="shared" si="99"/>
        <v>105698.55646894049</v>
      </c>
      <c r="D62" s="128">
        <f t="shared" si="100"/>
        <v>105231.00971590023</v>
      </c>
      <c r="E62" s="128">
        <f t="shared" si="101"/>
        <v>105240.7405</v>
      </c>
      <c r="F62" s="128">
        <f t="shared" si="102"/>
        <v>104492.59273086931</v>
      </c>
      <c r="G62" s="128">
        <f t="shared" si="103"/>
        <v>104326.10875000001</v>
      </c>
      <c r="H62" s="128">
        <f t="shared" si="104"/>
        <v>104887.15525</v>
      </c>
      <c r="I62" s="128">
        <f t="shared" si="105"/>
        <v>104748.21999999999</v>
      </c>
      <c r="J62" s="128">
        <f t="shared" si="106"/>
        <v>105610.97714441943</v>
      </c>
      <c r="K62" s="128">
        <f t="shared" si="107"/>
        <v>104392.04999999997</v>
      </c>
      <c r="M62" s="36"/>
      <c r="N62" s="32">
        <f t="shared" si="108"/>
        <v>18</v>
      </c>
      <c r="O62" s="25">
        <f t="shared" si="109"/>
        <v>5.6985564689404855E-2</v>
      </c>
      <c r="P62" s="25">
        <f t="shared" si="110"/>
        <v>5.2310097159002256E-2</v>
      </c>
      <c r="Q62" s="25">
        <f t="shared" si="111"/>
        <v>5.2407405000000074E-2</v>
      </c>
      <c r="R62" s="25">
        <f t="shared" si="30"/>
        <v>4.4925927308693048E-2</v>
      </c>
      <c r="S62" s="25">
        <f t="shared" si="31"/>
        <v>4.3261087500000128E-2</v>
      </c>
      <c r="T62" s="25">
        <f t="shared" si="32"/>
        <v>4.887155249999986E-2</v>
      </c>
      <c r="U62" s="25">
        <f t="shared" si="33"/>
        <v>4.7482199999999919E-2</v>
      </c>
      <c r="V62" s="25">
        <f t="shared" si="34"/>
        <v>5.6109771444194267E-2</v>
      </c>
      <c r="W62" s="25">
        <f t="shared" si="112"/>
        <v>4.3920499999999807E-2</v>
      </c>
      <c r="X62" s="36"/>
      <c r="Y62" s="36"/>
      <c r="AA62" s="124">
        <f t="shared" si="113"/>
        <v>19</v>
      </c>
      <c r="AB62" s="128">
        <f t="shared" si="35"/>
        <v>104640.72499999999</v>
      </c>
      <c r="AC62" s="124">
        <f t="shared" si="114"/>
        <v>19</v>
      </c>
      <c r="AD62" s="130">
        <f t="shared" si="115"/>
        <v>4.4999999999999998E-2</v>
      </c>
      <c r="AE62" s="127">
        <f t="shared" si="116"/>
        <v>1042</v>
      </c>
      <c r="AF62" s="128">
        <f t="shared" si="117"/>
        <v>104099.6</v>
      </c>
      <c r="AG62" s="128">
        <f t="shared" si="140"/>
        <v>104200</v>
      </c>
      <c r="AH62" s="128">
        <f t="shared" si="118"/>
        <v>104200</v>
      </c>
      <c r="AI62" s="130">
        <f t="shared" si="36"/>
        <v>4.4999999999999998E-2</v>
      </c>
      <c r="AJ62" s="128">
        <f t="shared" si="37"/>
        <v>104590.74999999999</v>
      </c>
      <c r="AK62" s="128" t="str">
        <f t="shared" si="38"/>
        <v>nie</v>
      </c>
      <c r="AL62" s="128">
        <f t="shared" si="39"/>
        <v>521</v>
      </c>
      <c r="AM62" s="128">
        <f t="shared" si="150"/>
        <v>104094.49749999998</v>
      </c>
      <c r="AN62" s="128">
        <f t="shared" si="41"/>
        <v>316.50749999998823</v>
      </c>
      <c r="AO62" s="130">
        <f t="shared" si="42"/>
        <v>4.4999999999999998E-2</v>
      </c>
      <c r="AP62" s="128">
        <f t="shared" si="43"/>
        <v>2242.9076895898806</v>
      </c>
      <c r="AQ62" s="128">
        <f t="shared" si="156"/>
        <v>106020.89768958988</v>
      </c>
      <c r="AS62" s="124">
        <f t="shared" si="119"/>
        <v>19</v>
      </c>
      <c r="AT62" s="130">
        <f t="shared" si="120"/>
        <v>4.4999999999999998E-2</v>
      </c>
      <c r="AU62" s="127">
        <f t="shared" si="121"/>
        <v>1000</v>
      </c>
      <c r="AV62" s="128">
        <f t="shared" si="122"/>
        <v>100000</v>
      </c>
      <c r="AW62" s="128">
        <f t="shared" si="151"/>
        <v>100000</v>
      </c>
      <c r="AX62" s="128">
        <f t="shared" si="123"/>
        <v>100000</v>
      </c>
      <c r="AY62" s="130">
        <f t="shared" si="45"/>
        <v>4.65E-2</v>
      </c>
      <c r="AZ62" s="128">
        <f t="shared" si="46"/>
        <v>100387.50000000001</v>
      </c>
      <c r="BA62" s="128" t="str">
        <f t="shared" si="47"/>
        <v>nie</v>
      </c>
      <c r="BB62" s="128">
        <f t="shared" si="48"/>
        <v>700</v>
      </c>
      <c r="BC62" s="128">
        <f t="shared" si="152"/>
        <v>99746.875000000015</v>
      </c>
      <c r="BD62" s="128">
        <f t="shared" si="50"/>
        <v>313.87500000001182</v>
      </c>
      <c r="BE62" s="130">
        <f t="shared" si="51"/>
        <v>4.4999999999999998E-2</v>
      </c>
      <c r="BF62" s="128">
        <f t="shared" si="52"/>
        <v>6129.4961704122925</v>
      </c>
      <c r="BG62" s="128">
        <f t="shared" si="157"/>
        <v>105562.4961704123</v>
      </c>
      <c r="BI62" s="124">
        <f t="shared" si="124"/>
        <v>19</v>
      </c>
      <c r="BJ62" s="130">
        <f t="shared" si="148"/>
        <v>4.3200000000000002E-2</v>
      </c>
      <c r="BK62" s="127">
        <f t="shared" si="125"/>
        <v>1000</v>
      </c>
      <c r="BL62" s="128">
        <f t="shared" si="126"/>
        <v>100000</v>
      </c>
      <c r="BM62" s="128">
        <f t="shared" si="142"/>
        <v>100000</v>
      </c>
      <c r="BN62" s="128">
        <f t="shared" si="127"/>
        <v>104900</v>
      </c>
      <c r="BO62" s="130">
        <f t="shared" si="54"/>
        <v>4.9000000000000002E-2</v>
      </c>
      <c r="BP62" s="128">
        <f t="shared" si="55"/>
        <v>107898.39166666668</v>
      </c>
      <c r="BQ62" s="128" t="str">
        <f t="shared" si="56"/>
        <v>nie</v>
      </c>
      <c r="BR62" s="128">
        <f t="shared" si="57"/>
        <v>1000</v>
      </c>
      <c r="BS62" s="128">
        <f t="shared" si="153"/>
        <v>105587.69725000001</v>
      </c>
      <c r="BT62" s="128">
        <f t="shared" si="128"/>
        <v>0</v>
      </c>
      <c r="BU62" s="130">
        <f t="shared" si="59"/>
        <v>4.4999999999999998E-2</v>
      </c>
      <c r="BV62" s="128">
        <f t="shared" si="60"/>
        <v>0</v>
      </c>
      <c r="BW62" s="128">
        <f t="shared" si="61"/>
        <v>105587.69725000001</v>
      </c>
      <c r="BY62" s="130">
        <f t="shared" si="149"/>
        <v>2.9000000000000001E-2</v>
      </c>
      <c r="BZ62" s="127">
        <f t="shared" si="129"/>
        <v>1000</v>
      </c>
      <c r="CA62" s="128">
        <f t="shared" si="130"/>
        <v>100000</v>
      </c>
      <c r="CB62" s="128">
        <f t="shared" si="154"/>
        <v>100000</v>
      </c>
      <c r="CC62" s="128">
        <f t="shared" si="131"/>
        <v>100000</v>
      </c>
      <c r="CD62" s="130">
        <f t="shared" si="62"/>
        <v>4.3999999999999997E-2</v>
      </c>
      <c r="CE62" s="128">
        <f t="shared" si="63"/>
        <v>102566.66666666667</v>
      </c>
      <c r="CF62" s="128" t="str">
        <f t="shared" si="64"/>
        <v>nie</v>
      </c>
      <c r="CG62" s="128">
        <f t="shared" si="65"/>
        <v>2000</v>
      </c>
      <c r="CH62" s="128">
        <f t="shared" si="155"/>
        <v>100459</v>
      </c>
      <c r="CI62" s="128">
        <f t="shared" si="67"/>
        <v>0</v>
      </c>
      <c r="CJ62" s="130">
        <f t="shared" si="68"/>
        <v>4.4999999999999998E-2</v>
      </c>
      <c r="CK62" s="128">
        <f t="shared" si="69"/>
        <v>4343.7469062893233</v>
      </c>
      <c r="CL62" s="128">
        <f t="shared" si="70"/>
        <v>104802.74690628932</v>
      </c>
      <c r="CN62" s="127">
        <f t="shared" si="132"/>
        <v>1000</v>
      </c>
      <c r="CO62" s="128">
        <f t="shared" si="133"/>
        <v>100000</v>
      </c>
      <c r="CP62" s="128">
        <f t="shared" si="134"/>
        <v>100000</v>
      </c>
      <c r="CQ62" s="128">
        <f t="shared" si="135"/>
        <v>105750.00000000001</v>
      </c>
      <c r="CR62" s="130">
        <f t="shared" si="71"/>
        <v>4.9000000000000002E-2</v>
      </c>
      <c r="CS62" s="128">
        <f t="shared" si="72"/>
        <v>108772.68750000003</v>
      </c>
      <c r="CT62" s="128" t="str">
        <f t="shared" si="73"/>
        <v>nie</v>
      </c>
      <c r="CU62" s="128">
        <f t="shared" si="74"/>
        <v>3000</v>
      </c>
      <c r="CV62" s="128">
        <f t="shared" si="75"/>
        <v>104675.87687500002</v>
      </c>
      <c r="CW62" s="128">
        <f t="shared" si="76"/>
        <v>0</v>
      </c>
      <c r="CX62" s="130">
        <f t="shared" si="77"/>
        <v>4.4999999999999998E-2</v>
      </c>
      <c r="CY62" s="128">
        <f t="shared" si="78"/>
        <v>0</v>
      </c>
      <c r="CZ62" s="128">
        <f t="shared" si="79"/>
        <v>104675.87687500002</v>
      </c>
      <c r="DA62" s="20"/>
      <c r="DB62" s="127">
        <f t="shared" si="144"/>
        <v>1000</v>
      </c>
      <c r="DC62" s="128">
        <f t="shared" si="145"/>
        <v>100000</v>
      </c>
      <c r="DD62" s="128">
        <f t="shared" si="136"/>
        <v>100000</v>
      </c>
      <c r="DE62" s="128">
        <f t="shared" si="137"/>
        <v>105450</v>
      </c>
      <c r="DF62" s="130">
        <f t="shared" si="80"/>
        <v>4.9000000000000002E-2</v>
      </c>
      <c r="DG62" s="128">
        <f t="shared" si="81"/>
        <v>108464.1125</v>
      </c>
      <c r="DH62" s="128" t="str">
        <f t="shared" si="82"/>
        <v>nie</v>
      </c>
      <c r="DI62" s="128">
        <f t="shared" si="83"/>
        <v>2000</v>
      </c>
      <c r="DJ62" s="128">
        <f t="shared" si="84"/>
        <v>105235.931125</v>
      </c>
      <c r="DK62" s="128">
        <f t="shared" si="85"/>
        <v>0</v>
      </c>
      <c r="DL62" s="130">
        <f t="shared" si="86"/>
        <v>4.4999999999999998E-2</v>
      </c>
      <c r="DM62" s="128">
        <f t="shared" si="87"/>
        <v>0</v>
      </c>
      <c r="DN62" s="128">
        <f t="shared" si="88"/>
        <v>105235.931125</v>
      </c>
      <c r="DP62" s="127">
        <f t="shared" si="146"/>
        <v>1000</v>
      </c>
      <c r="DQ62" s="128">
        <f t="shared" si="147"/>
        <v>100000</v>
      </c>
      <c r="DR62" s="128">
        <f t="shared" si="138"/>
        <v>100000</v>
      </c>
      <c r="DS62" s="128">
        <f t="shared" si="139"/>
        <v>106000</v>
      </c>
      <c r="DT62" s="130">
        <f t="shared" si="89"/>
        <v>5.4000000000000006E-2</v>
      </c>
      <c r="DU62" s="128">
        <f t="shared" si="90"/>
        <v>109339.00000000001</v>
      </c>
      <c r="DV62" s="128" t="str">
        <f t="shared" si="91"/>
        <v>nie</v>
      </c>
      <c r="DW62" s="128">
        <f t="shared" si="92"/>
        <v>3000</v>
      </c>
      <c r="DX62" s="128">
        <f t="shared" si="93"/>
        <v>105134.59000000001</v>
      </c>
      <c r="DY62" s="128">
        <f t="shared" si="94"/>
        <v>0</v>
      </c>
      <c r="DZ62" s="130">
        <f t="shared" si="95"/>
        <v>4.4999999999999998E-2</v>
      </c>
      <c r="EA62" s="128">
        <f t="shared" si="96"/>
        <v>0</v>
      </c>
      <c r="EB62" s="128">
        <f t="shared" si="97"/>
        <v>105134.59000000001</v>
      </c>
    </row>
    <row r="63" spans="1:132">
      <c r="A63" s="212"/>
      <c r="B63" s="188">
        <f t="shared" si="98"/>
        <v>19</v>
      </c>
      <c r="C63" s="128">
        <f t="shared" si="99"/>
        <v>106020.89768958988</v>
      </c>
      <c r="D63" s="128">
        <f t="shared" si="100"/>
        <v>105562.4961704123</v>
      </c>
      <c r="E63" s="128">
        <f t="shared" si="101"/>
        <v>105587.69725000001</v>
      </c>
      <c r="F63" s="128">
        <f t="shared" si="102"/>
        <v>104802.74690628932</v>
      </c>
      <c r="G63" s="128">
        <f t="shared" si="103"/>
        <v>104675.87687500002</v>
      </c>
      <c r="H63" s="128">
        <f t="shared" si="104"/>
        <v>105235.931125</v>
      </c>
      <c r="I63" s="128">
        <f t="shared" si="105"/>
        <v>105134.59000000001</v>
      </c>
      <c r="J63" s="128">
        <f t="shared" si="106"/>
        <v>105931.77048749561</v>
      </c>
      <c r="K63" s="128">
        <f t="shared" si="107"/>
        <v>104640.72499999999</v>
      </c>
      <c r="M63" s="36"/>
      <c r="N63" s="32">
        <f t="shared" si="108"/>
        <v>19</v>
      </c>
      <c r="O63" s="25">
        <f t="shared" si="109"/>
        <v>6.020897689589888E-2</v>
      </c>
      <c r="P63" s="25">
        <f t="shared" si="110"/>
        <v>5.5624961704122899E-2</v>
      </c>
      <c r="Q63" s="25">
        <f t="shared" si="111"/>
        <v>5.5876972500000122E-2</v>
      </c>
      <c r="R63" s="25">
        <f t="shared" si="30"/>
        <v>4.8027469062893235E-2</v>
      </c>
      <c r="S63" s="25">
        <f t="shared" si="31"/>
        <v>4.6758768750000179E-2</v>
      </c>
      <c r="T63" s="25">
        <f t="shared" si="32"/>
        <v>5.235931125000004E-2</v>
      </c>
      <c r="U63" s="25">
        <f t="shared" si="33"/>
        <v>5.1345900000000055E-2</v>
      </c>
      <c r="V63" s="25">
        <f t="shared" si="34"/>
        <v>5.9317704874956023E-2</v>
      </c>
      <c r="W63" s="25">
        <f t="shared" si="112"/>
        <v>4.64072499999999E-2</v>
      </c>
      <c r="X63" s="36"/>
      <c r="Y63" s="36"/>
      <c r="AA63" s="124">
        <f t="shared" si="113"/>
        <v>20</v>
      </c>
      <c r="AB63" s="128">
        <f t="shared" si="35"/>
        <v>104889.4</v>
      </c>
      <c r="AC63" s="124">
        <f t="shared" si="114"/>
        <v>20</v>
      </c>
      <c r="AD63" s="130">
        <f t="shared" si="115"/>
        <v>4.4999999999999998E-2</v>
      </c>
      <c r="AE63" s="127">
        <f t="shared" si="116"/>
        <v>1042</v>
      </c>
      <c r="AF63" s="128">
        <f t="shared" si="117"/>
        <v>104099.6</v>
      </c>
      <c r="AG63" s="128">
        <f t="shared" si="140"/>
        <v>104200</v>
      </c>
      <c r="AH63" s="128">
        <f t="shared" si="118"/>
        <v>104200</v>
      </c>
      <c r="AI63" s="130">
        <f t="shared" si="36"/>
        <v>4.4999999999999998E-2</v>
      </c>
      <c r="AJ63" s="128">
        <f t="shared" si="37"/>
        <v>104590.74999999999</v>
      </c>
      <c r="AK63" s="128" t="str">
        <f t="shared" si="38"/>
        <v>nie</v>
      </c>
      <c r="AL63" s="128">
        <f t="shared" si="39"/>
        <v>521</v>
      </c>
      <c r="AM63" s="128">
        <f t="shared" si="150"/>
        <v>104094.49749999998</v>
      </c>
      <c r="AN63" s="128">
        <f t="shared" si="41"/>
        <v>316.50749999998823</v>
      </c>
      <c r="AO63" s="130">
        <f t="shared" si="42"/>
        <v>4.4999999999999998E-2</v>
      </c>
      <c r="AP63" s="128">
        <f t="shared" si="43"/>
        <v>2566.2280216969984</v>
      </c>
      <c r="AQ63" s="128">
        <f t="shared" si="156"/>
        <v>106344.21802169699</v>
      </c>
      <c r="AS63" s="124">
        <f t="shared" si="119"/>
        <v>20</v>
      </c>
      <c r="AT63" s="130">
        <f t="shared" si="120"/>
        <v>4.4999999999999998E-2</v>
      </c>
      <c r="AU63" s="127">
        <f t="shared" si="121"/>
        <v>1000</v>
      </c>
      <c r="AV63" s="128">
        <f t="shared" si="122"/>
        <v>100000</v>
      </c>
      <c r="AW63" s="128">
        <f t="shared" si="151"/>
        <v>100000</v>
      </c>
      <c r="AX63" s="128">
        <f t="shared" si="123"/>
        <v>100000</v>
      </c>
      <c r="AY63" s="130">
        <f t="shared" si="45"/>
        <v>4.65E-2</v>
      </c>
      <c r="AZ63" s="128">
        <f t="shared" si="46"/>
        <v>100387.50000000001</v>
      </c>
      <c r="BA63" s="128" t="str">
        <f t="shared" si="47"/>
        <v>nie</v>
      </c>
      <c r="BB63" s="128">
        <f t="shared" si="48"/>
        <v>700</v>
      </c>
      <c r="BC63" s="128">
        <f t="shared" si="152"/>
        <v>99746.875000000015</v>
      </c>
      <c r="BD63" s="128">
        <f t="shared" si="50"/>
        <v>313.87500000001182</v>
      </c>
      <c r="BE63" s="130">
        <f t="shared" si="51"/>
        <v>4.4999999999999998E-2</v>
      </c>
      <c r="BF63" s="128">
        <f t="shared" si="52"/>
        <v>6461.9895150299317</v>
      </c>
      <c r="BG63" s="128">
        <f t="shared" si="157"/>
        <v>105894.98951502994</v>
      </c>
      <c r="BI63" s="124">
        <f t="shared" si="124"/>
        <v>20</v>
      </c>
      <c r="BJ63" s="130">
        <f t="shared" si="148"/>
        <v>4.3200000000000002E-2</v>
      </c>
      <c r="BK63" s="127">
        <f t="shared" si="125"/>
        <v>1000</v>
      </c>
      <c r="BL63" s="128">
        <f t="shared" si="126"/>
        <v>100000</v>
      </c>
      <c r="BM63" s="128">
        <f t="shared" si="142"/>
        <v>100000</v>
      </c>
      <c r="BN63" s="128">
        <f t="shared" si="127"/>
        <v>104900</v>
      </c>
      <c r="BO63" s="130">
        <f t="shared" si="54"/>
        <v>4.9000000000000002E-2</v>
      </c>
      <c r="BP63" s="128">
        <f t="shared" si="55"/>
        <v>108326.73333333332</v>
      </c>
      <c r="BQ63" s="128" t="str">
        <f t="shared" si="56"/>
        <v>nie</v>
      </c>
      <c r="BR63" s="128">
        <f t="shared" si="57"/>
        <v>1000</v>
      </c>
      <c r="BS63" s="128">
        <f t="shared" si="153"/>
        <v>105934.65399999999</v>
      </c>
      <c r="BT63" s="128">
        <f t="shared" si="128"/>
        <v>0</v>
      </c>
      <c r="BU63" s="130">
        <f t="shared" si="59"/>
        <v>4.4999999999999998E-2</v>
      </c>
      <c r="BV63" s="128">
        <f t="shared" si="60"/>
        <v>0</v>
      </c>
      <c r="BW63" s="128">
        <f t="shared" si="61"/>
        <v>105934.65399999999</v>
      </c>
      <c r="BY63" s="130">
        <f t="shared" si="149"/>
        <v>2.9000000000000001E-2</v>
      </c>
      <c r="BZ63" s="127">
        <f t="shared" si="129"/>
        <v>1000</v>
      </c>
      <c r="CA63" s="128">
        <f t="shared" si="130"/>
        <v>100000</v>
      </c>
      <c r="CB63" s="128">
        <f t="shared" si="154"/>
        <v>100000</v>
      </c>
      <c r="CC63" s="128">
        <f t="shared" si="131"/>
        <v>100000</v>
      </c>
      <c r="CD63" s="130">
        <f t="shared" si="62"/>
        <v>4.3999999999999997E-2</v>
      </c>
      <c r="CE63" s="128">
        <f t="shared" si="63"/>
        <v>102933.33333333334</v>
      </c>
      <c r="CF63" s="128" t="str">
        <f t="shared" si="64"/>
        <v>nie</v>
      </c>
      <c r="CG63" s="128">
        <f t="shared" si="65"/>
        <v>2000</v>
      </c>
      <c r="CH63" s="128">
        <f t="shared" si="155"/>
        <v>100756.00000000001</v>
      </c>
      <c r="CI63" s="128">
        <f t="shared" si="67"/>
        <v>0</v>
      </c>
      <c r="CJ63" s="130">
        <f t="shared" si="68"/>
        <v>4.4999999999999998E-2</v>
      </c>
      <c r="CK63" s="128">
        <f t="shared" si="69"/>
        <v>4356.9410375171774</v>
      </c>
      <c r="CL63" s="128">
        <f t="shared" si="70"/>
        <v>105112.94103751719</v>
      </c>
      <c r="CN63" s="127">
        <f t="shared" si="132"/>
        <v>1000</v>
      </c>
      <c r="CO63" s="128">
        <f t="shared" si="133"/>
        <v>100000</v>
      </c>
      <c r="CP63" s="128">
        <f t="shared" si="134"/>
        <v>100000</v>
      </c>
      <c r="CQ63" s="128">
        <f t="shared" si="135"/>
        <v>105750.00000000001</v>
      </c>
      <c r="CR63" s="130">
        <f t="shared" si="71"/>
        <v>4.9000000000000002E-2</v>
      </c>
      <c r="CS63" s="128">
        <f t="shared" si="72"/>
        <v>109204.50000000001</v>
      </c>
      <c r="CT63" s="128" t="str">
        <f t="shared" si="73"/>
        <v>nie</v>
      </c>
      <c r="CU63" s="128">
        <f t="shared" si="74"/>
        <v>3000</v>
      </c>
      <c r="CV63" s="128">
        <f t="shared" si="75"/>
        <v>105025.64500000002</v>
      </c>
      <c r="CW63" s="128">
        <f t="shared" si="76"/>
        <v>0</v>
      </c>
      <c r="CX63" s="130">
        <f t="shared" si="77"/>
        <v>4.4999999999999998E-2</v>
      </c>
      <c r="CY63" s="128">
        <f t="shared" si="78"/>
        <v>0</v>
      </c>
      <c r="CZ63" s="128">
        <f t="shared" si="79"/>
        <v>105025.64500000002</v>
      </c>
      <c r="DA63" s="20"/>
      <c r="DB63" s="127">
        <f t="shared" si="144"/>
        <v>1000</v>
      </c>
      <c r="DC63" s="128">
        <f t="shared" si="145"/>
        <v>100000</v>
      </c>
      <c r="DD63" s="128">
        <f t="shared" si="136"/>
        <v>100000</v>
      </c>
      <c r="DE63" s="128">
        <f t="shared" si="137"/>
        <v>105450</v>
      </c>
      <c r="DF63" s="130">
        <f t="shared" si="80"/>
        <v>4.9000000000000002E-2</v>
      </c>
      <c r="DG63" s="128">
        <f t="shared" si="81"/>
        <v>108894.7</v>
      </c>
      <c r="DH63" s="128" t="str">
        <f t="shared" si="82"/>
        <v>nie</v>
      </c>
      <c r="DI63" s="128">
        <f t="shared" si="83"/>
        <v>2000</v>
      </c>
      <c r="DJ63" s="128">
        <f t="shared" si="84"/>
        <v>105584.70699999999</v>
      </c>
      <c r="DK63" s="128">
        <f t="shared" si="85"/>
        <v>0</v>
      </c>
      <c r="DL63" s="130">
        <f t="shared" si="86"/>
        <v>4.4999999999999998E-2</v>
      </c>
      <c r="DM63" s="128">
        <f t="shared" si="87"/>
        <v>0</v>
      </c>
      <c r="DN63" s="128">
        <f t="shared" si="88"/>
        <v>105584.70699999999</v>
      </c>
      <c r="DP63" s="127">
        <f t="shared" si="146"/>
        <v>1000</v>
      </c>
      <c r="DQ63" s="128">
        <f t="shared" si="147"/>
        <v>100000</v>
      </c>
      <c r="DR63" s="128">
        <f t="shared" si="138"/>
        <v>100000</v>
      </c>
      <c r="DS63" s="128">
        <f t="shared" si="139"/>
        <v>106000</v>
      </c>
      <c r="DT63" s="130">
        <f t="shared" si="89"/>
        <v>5.4000000000000006E-2</v>
      </c>
      <c r="DU63" s="128">
        <f t="shared" si="90"/>
        <v>109816</v>
      </c>
      <c r="DV63" s="128" t="str">
        <f t="shared" si="91"/>
        <v>nie</v>
      </c>
      <c r="DW63" s="128">
        <f t="shared" si="92"/>
        <v>3000</v>
      </c>
      <c r="DX63" s="128">
        <f t="shared" si="93"/>
        <v>105520.96000000001</v>
      </c>
      <c r="DY63" s="128">
        <f t="shared" si="94"/>
        <v>0</v>
      </c>
      <c r="DZ63" s="130">
        <f t="shared" si="95"/>
        <v>4.4999999999999998E-2</v>
      </c>
      <c r="EA63" s="128">
        <f t="shared" si="96"/>
        <v>0</v>
      </c>
      <c r="EB63" s="128">
        <f t="shared" si="97"/>
        <v>105520.96000000001</v>
      </c>
    </row>
    <row r="64" spans="1:132">
      <c r="A64" s="212"/>
      <c r="B64" s="188">
        <f t="shared" si="98"/>
        <v>20</v>
      </c>
      <c r="C64" s="128">
        <f t="shared" si="99"/>
        <v>106344.21802169699</v>
      </c>
      <c r="D64" s="128">
        <f t="shared" si="100"/>
        <v>105894.98951502994</v>
      </c>
      <c r="E64" s="128">
        <f t="shared" si="101"/>
        <v>105934.65399999999</v>
      </c>
      <c r="F64" s="128">
        <f t="shared" si="102"/>
        <v>105112.94103751719</v>
      </c>
      <c r="G64" s="128">
        <f t="shared" si="103"/>
        <v>105025.64500000002</v>
      </c>
      <c r="H64" s="128">
        <f t="shared" si="104"/>
        <v>105584.70699999999</v>
      </c>
      <c r="I64" s="128">
        <f t="shared" si="105"/>
        <v>105520.96000000001</v>
      </c>
      <c r="J64" s="128">
        <f t="shared" si="106"/>
        <v>106253.53824035138</v>
      </c>
      <c r="K64" s="128">
        <f t="shared" si="107"/>
        <v>104889.4</v>
      </c>
      <c r="M64" s="36"/>
      <c r="N64" s="32">
        <f t="shared" si="108"/>
        <v>20</v>
      </c>
      <c r="O64" s="25">
        <f t="shared" si="109"/>
        <v>6.344218021696979E-2</v>
      </c>
      <c r="P64" s="25">
        <f t="shared" si="110"/>
        <v>5.8949895150299358E-2</v>
      </c>
      <c r="Q64" s="25">
        <f t="shared" si="111"/>
        <v>5.9346539999999948E-2</v>
      </c>
      <c r="R64" s="25">
        <f t="shared" si="30"/>
        <v>5.1129410375171824E-2</v>
      </c>
      <c r="S64" s="25">
        <f t="shared" si="31"/>
        <v>5.025645000000023E-2</v>
      </c>
      <c r="T64" s="25">
        <f t="shared" si="32"/>
        <v>5.5847069999999999E-2</v>
      </c>
      <c r="U64" s="25">
        <f t="shared" si="33"/>
        <v>5.520959999999997E-2</v>
      </c>
      <c r="V64" s="25">
        <f t="shared" si="34"/>
        <v>6.2535382403513751E-2</v>
      </c>
      <c r="W64" s="25">
        <f t="shared" si="112"/>
        <v>4.8893999999999993E-2</v>
      </c>
      <c r="X64" s="36"/>
      <c r="Y64" s="36"/>
      <c r="AA64" s="124">
        <f t="shared" si="113"/>
        <v>21</v>
      </c>
      <c r="AB64" s="128">
        <f t="shared" si="35"/>
        <v>105138.07499999998</v>
      </c>
      <c r="AC64" s="124">
        <f t="shared" si="114"/>
        <v>21</v>
      </c>
      <c r="AD64" s="130">
        <f t="shared" si="115"/>
        <v>4.4999999999999998E-2</v>
      </c>
      <c r="AE64" s="127">
        <f t="shared" si="116"/>
        <v>1042</v>
      </c>
      <c r="AF64" s="128">
        <f t="shared" si="117"/>
        <v>104099.6</v>
      </c>
      <c r="AG64" s="128">
        <f t="shared" si="140"/>
        <v>104200</v>
      </c>
      <c r="AH64" s="128">
        <f t="shared" si="118"/>
        <v>104200</v>
      </c>
      <c r="AI64" s="130">
        <f t="shared" si="36"/>
        <v>4.4999999999999998E-2</v>
      </c>
      <c r="AJ64" s="128">
        <f t="shared" si="37"/>
        <v>104590.74999999999</v>
      </c>
      <c r="AK64" s="128" t="str">
        <f t="shared" si="38"/>
        <v>nie</v>
      </c>
      <c r="AL64" s="128">
        <f t="shared" si="39"/>
        <v>521</v>
      </c>
      <c r="AM64" s="128">
        <f t="shared" si="150"/>
        <v>104094.49749999998</v>
      </c>
      <c r="AN64" s="128">
        <f t="shared" si="41"/>
        <v>316.50749999998823</v>
      </c>
      <c r="AO64" s="130">
        <f t="shared" si="42"/>
        <v>4.4999999999999998E-2</v>
      </c>
      <c r="AP64" s="128">
        <f t="shared" si="43"/>
        <v>2890.5304393128913</v>
      </c>
      <c r="AQ64" s="128">
        <f t="shared" si="156"/>
        <v>106668.52043931288</v>
      </c>
      <c r="AS64" s="124">
        <f t="shared" si="119"/>
        <v>21</v>
      </c>
      <c r="AT64" s="130">
        <f t="shared" si="120"/>
        <v>4.4999999999999998E-2</v>
      </c>
      <c r="AU64" s="127">
        <f t="shared" si="121"/>
        <v>1000</v>
      </c>
      <c r="AV64" s="128">
        <f t="shared" si="122"/>
        <v>100000</v>
      </c>
      <c r="AW64" s="128">
        <f t="shared" si="151"/>
        <v>100000</v>
      </c>
      <c r="AX64" s="128">
        <f t="shared" si="123"/>
        <v>100000</v>
      </c>
      <c r="AY64" s="130">
        <f t="shared" si="45"/>
        <v>4.65E-2</v>
      </c>
      <c r="AZ64" s="128">
        <f t="shared" si="46"/>
        <v>100387.50000000001</v>
      </c>
      <c r="BA64" s="128" t="str">
        <f t="shared" si="47"/>
        <v>nie</v>
      </c>
      <c r="BB64" s="128">
        <f t="shared" si="48"/>
        <v>700</v>
      </c>
      <c r="BC64" s="128">
        <f t="shared" si="152"/>
        <v>99746.875000000015</v>
      </c>
      <c r="BD64" s="128">
        <f t="shared" si="50"/>
        <v>313.87500000001182</v>
      </c>
      <c r="BE64" s="130">
        <f t="shared" si="51"/>
        <v>4.4999999999999998E-2</v>
      </c>
      <c r="BF64" s="128">
        <f t="shared" si="52"/>
        <v>6795.4928081818471</v>
      </c>
      <c r="BG64" s="128">
        <f t="shared" si="157"/>
        <v>106228.49280818185</v>
      </c>
      <c r="BI64" s="124">
        <f t="shared" si="124"/>
        <v>21</v>
      </c>
      <c r="BJ64" s="130">
        <f t="shared" si="148"/>
        <v>4.3200000000000002E-2</v>
      </c>
      <c r="BK64" s="127">
        <f t="shared" si="125"/>
        <v>1000</v>
      </c>
      <c r="BL64" s="128">
        <f t="shared" si="126"/>
        <v>100000</v>
      </c>
      <c r="BM64" s="128">
        <f t="shared" si="142"/>
        <v>100000</v>
      </c>
      <c r="BN64" s="128">
        <f t="shared" si="127"/>
        <v>104900</v>
      </c>
      <c r="BO64" s="130">
        <f t="shared" si="54"/>
        <v>4.9000000000000002E-2</v>
      </c>
      <c r="BP64" s="128">
        <f t="shared" si="55"/>
        <v>108755.07500000001</v>
      </c>
      <c r="BQ64" s="128" t="str">
        <f t="shared" si="56"/>
        <v>nie</v>
      </c>
      <c r="BR64" s="128">
        <f t="shared" si="57"/>
        <v>1000</v>
      </c>
      <c r="BS64" s="128">
        <f t="shared" si="153"/>
        <v>106281.61075000001</v>
      </c>
      <c r="BT64" s="128">
        <f t="shared" si="128"/>
        <v>0</v>
      </c>
      <c r="BU64" s="130">
        <f t="shared" si="59"/>
        <v>4.4999999999999998E-2</v>
      </c>
      <c r="BV64" s="128">
        <f t="shared" si="60"/>
        <v>0</v>
      </c>
      <c r="BW64" s="128">
        <f t="shared" si="61"/>
        <v>106281.61075000001</v>
      </c>
      <c r="BY64" s="130">
        <f t="shared" si="149"/>
        <v>2.9000000000000001E-2</v>
      </c>
      <c r="BZ64" s="127">
        <f t="shared" si="129"/>
        <v>1000</v>
      </c>
      <c r="CA64" s="128">
        <f t="shared" si="130"/>
        <v>100000</v>
      </c>
      <c r="CB64" s="128">
        <f t="shared" si="154"/>
        <v>100000</v>
      </c>
      <c r="CC64" s="128">
        <f t="shared" si="131"/>
        <v>100000</v>
      </c>
      <c r="CD64" s="130">
        <f t="shared" si="62"/>
        <v>4.3999999999999997E-2</v>
      </c>
      <c r="CE64" s="128">
        <f t="shared" si="63"/>
        <v>103299.99999999999</v>
      </c>
      <c r="CF64" s="128" t="str">
        <f t="shared" si="64"/>
        <v>nie</v>
      </c>
      <c r="CG64" s="128">
        <f t="shared" si="65"/>
        <v>2000</v>
      </c>
      <c r="CH64" s="128">
        <f t="shared" si="155"/>
        <v>101052.99999999999</v>
      </c>
      <c r="CI64" s="128">
        <f t="shared" si="67"/>
        <v>0</v>
      </c>
      <c r="CJ64" s="130">
        <f t="shared" si="68"/>
        <v>4.4999999999999998E-2</v>
      </c>
      <c r="CK64" s="128">
        <f t="shared" si="69"/>
        <v>4370.1752459186355</v>
      </c>
      <c r="CL64" s="128">
        <f t="shared" si="70"/>
        <v>105423.17524591862</v>
      </c>
      <c r="CN64" s="127">
        <f t="shared" si="132"/>
        <v>1000</v>
      </c>
      <c r="CO64" s="128">
        <f t="shared" si="133"/>
        <v>100000</v>
      </c>
      <c r="CP64" s="128">
        <f t="shared" si="134"/>
        <v>100000</v>
      </c>
      <c r="CQ64" s="128">
        <f t="shared" si="135"/>
        <v>105750.00000000001</v>
      </c>
      <c r="CR64" s="130">
        <f t="shared" si="71"/>
        <v>4.9000000000000002E-2</v>
      </c>
      <c r="CS64" s="128">
        <f t="shared" si="72"/>
        <v>109636.31250000001</v>
      </c>
      <c r="CT64" s="128" t="str">
        <f t="shared" si="73"/>
        <v>nie</v>
      </c>
      <c r="CU64" s="128">
        <f t="shared" si="74"/>
        <v>3000</v>
      </c>
      <c r="CV64" s="128">
        <f t="shared" si="75"/>
        <v>105375.41312500001</v>
      </c>
      <c r="CW64" s="128">
        <f t="shared" si="76"/>
        <v>0</v>
      </c>
      <c r="CX64" s="130">
        <f t="shared" si="77"/>
        <v>4.4999999999999998E-2</v>
      </c>
      <c r="CY64" s="128">
        <f t="shared" si="78"/>
        <v>0</v>
      </c>
      <c r="CZ64" s="128">
        <f t="shared" si="79"/>
        <v>105375.41312500001</v>
      </c>
      <c r="DA64" s="20"/>
      <c r="DB64" s="127">
        <f t="shared" si="144"/>
        <v>1000</v>
      </c>
      <c r="DC64" s="128">
        <f t="shared" si="145"/>
        <v>100000</v>
      </c>
      <c r="DD64" s="128">
        <f t="shared" si="136"/>
        <v>100000</v>
      </c>
      <c r="DE64" s="128">
        <f t="shared" si="137"/>
        <v>105450</v>
      </c>
      <c r="DF64" s="130">
        <f t="shared" si="80"/>
        <v>4.9000000000000002E-2</v>
      </c>
      <c r="DG64" s="128">
        <f t="shared" si="81"/>
        <v>109325.28750000001</v>
      </c>
      <c r="DH64" s="128" t="str">
        <f t="shared" si="82"/>
        <v>nie</v>
      </c>
      <c r="DI64" s="128">
        <f t="shared" si="83"/>
        <v>2000</v>
      </c>
      <c r="DJ64" s="128">
        <f t="shared" si="84"/>
        <v>105933.482875</v>
      </c>
      <c r="DK64" s="128">
        <f t="shared" si="85"/>
        <v>0</v>
      </c>
      <c r="DL64" s="130">
        <f t="shared" si="86"/>
        <v>4.4999999999999998E-2</v>
      </c>
      <c r="DM64" s="128">
        <f t="shared" si="87"/>
        <v>0</v>
      </c>
      <c r="DN64" s="128">
        <f t="shared" si="88"/>
        <v>105933.482875</v>
      </c>
      <c r="DP64" s="127">
        <f t="shared" si="146"/>
        <v>1000</v>
      </c>
      <c r="DQ64" s="128">
        <f t="shared" si="147"/>
        <v>100000</v>
      </c>
      <c r="DR64" s="128">
        <f t="shared" si="138"/>
        <v>100000</v>
      </c>
      <c r="DS64" s="128">
        <f t="shared" si="139"/>
        <v>106000</v>
      </c>
      <c r="DT64" s="130">
        <f t="shared" si="89"/>
        <v>5.4000000000000006E-2</v>
      </c>
      <c r="DU64" s="128">
        <f t="shared" si="90"/>
        <v>110293</v>
      </c>
      <c r="DV64" s="128" t="str">
        <f t="shared" si="91"/>
        <v>nie</v>
      </c>
      <c r="DW64" s="128">
        <f t="shared" si="92"/>
        <v>3000</v>
      </c>
      <c r="DX64" s="128">
        <f t="shared" si="93"/>
        <v>105907.33</v>
      </c>
      <c r="DY64" s="128">
        <f t="shared" si="94"/>
        <v>0</v>
      </c>
      <c r="DZ64" s="130">
        <f t="shared" si="95"/>
        <v>4.4999999999999998E-2</v>
      </c>
      <c r="EA64" s="128">
        <f t="shared" si="96"/>
        <v>0</v>
      </c>
      <c r="EB64" s="128">
        <f t="shared" si="97"/>
        <v>105907.33</v>
      </c>
    </row>
    <row r="65" spans="1:137">
      <c r="A65" s="212"/>
      <c r="B65" s="188">
        <f t="shared" si="98"/>
        <v>21</v>
      </c>
      <c r="C65" s="128">
        <f t="shared" si="99"/>
        <v>106668.52043931288</v>
      </c>
      <c r="D65" s="128">
        <f t="shared" si="100"/>
        <v>106228.49280818185</v>
      </c>
      <c r="E65" s="128">
        <f t="shared" si="101"/>
        <v>106281.61075000001</v>
      </c>
      <c r="F65" s="128">
        <f t="shared" si="102"/>
        <v>105423.17524591862</v>
      </c>
      <c r="G65" s="128">
        <f t="shared" si="103"/>
        <v>105375.41312500001</v>
      </c>
      <c r="H65" s="128">
        <f t="shared" si="104"/>
        <v>105933.482875</v>
      </c>
      <c r="I65" s="128">
        <f t="shared" si="105"/>
        <v>105907.33</v>
      </c>
      <c r="J65" s="128">
        <f t="shared" si="106"/>
        <v>106576.28336275645</v>
      </c>
      <c r="K65" s="128">
        <f t="shared" si="107"/>
        <v>105138.07499999998</v>
      </c>
      <c r="M65" s="36"/>
      <c r="N65" s="32">
        <f t="shared" si="108"/>
        <v>21</v>
      </c>
      <c r="O65" s="25">
        <f t="shared" si="109"/>
        <v>6.668520439312875E-2</v>
      </c>
      <c r="P65" s="25">
        <f t="shared" si="110"/>
        <v>6.2284928081818514E-2</v>
      </c>
      <c r="Q65" s="25">
        <f t="shared" si="111"/>
        <v>6.2816107499999996E-2</v>
      </c>
      <c r="R65" s="25">
        <f t="shared" si="30"/>
        <v>5.4231752459186211E-2</v>
      </c>
      <c r="S65" s="25">
        <f t="shared" si="31"/>
        <v>5.3754131250000059E-2</v>
      </c>
      <c r="T65" s="25">
        <f t="shared" si="32"/>
        <v>5.9334828749999957E-2</v>
      </c>
      <c r="U65" s="25">
        <f t="shared" si="33"/>
        <v>5.9073300000000106E-2</v>
      </c>
      <c r="V65" s="25">
        <f t="shared" si="34"/>
        <v>6.5762833627564632E-2</v>
      </c>
      <c r="W65" s="25">
        <f t="shared" si="112"/>
        <v>5.1380749999999864E-2</v>
      </c>
      <c r="X65" s="36"/>
      <c r="Y65" s="36"/>
      <c r="AA65" s="124">
        <f t="shared" si="113"/>
        <v>22</v>
      </c>
      <c r="AB65" s="128">
        <f t="shared" si="35"/>
        <v>105386.74999999999</v>
      </c>
      <c r="AC65" s="124">
        <f t="shared" si="114"/>
        <v>22</v>
      </c>
      <c r="AD65" s="130">
        <f t="shared" si="115"/>
        <v>4.4999999999999998E-2</v>
      </c>
      <c r="AE65" s="127">
        <f t="shared" si="116"/>
        <v>1042</v>
      </c>
      <c r="AF65" s="128">
        <f t="shared" si="117"/>
        <v>104099.6</v>
      </c>
      <c r="AG65" s="128">
        <f t="shared" si="140"/>
        <v>104200</v>
      </c>
      <c r="AH65" s="128">
        <f t="shared" si="118"/>
        <v>104200</v>
      </c>
      <c r="AI65" s="130">
        <f t="shared" si="36"/>
        <v>4.4999999999999998E-2</v>
      </c>
      <c r="AJ65" s="128">
        <f t="shared" si="37"/>
        <v>104590.74999999999</v>
      </c>
      <c r="AK65" s="128" t="str">
        <f t="shared" si="38"/>
        <v>nie</v>
      </c>
      <c r="AL65" s="128">
        <f t="shared" si="39"/>
        <v>521</v>
      </c>
      <c r="AM65" s="128">
        <f t="shared" si="150"/>
        <v>104094.49749999998</v>
      </c>
      <c r="AN65" s="128">
        <f t="shared" si="41"/>
        <v>316.50749999998823</v>
      </c>
      <c r="AO65" s="130">
        <f t="shared" si="42"/>
        <v>4.4999999999999998E-2</v>
      </c>
      <c r="AP65" s="128">
        <f t="shared" si="43"/>
        <v>3215.8179255222926</v>
      </c>
      <c r="AQ65" s="128">
        <f t="shared" si="156"/>
        <v>106993.80792552228</v>
      </c>
      <c r="AS65" s="124">
        <f t="shared" si="119"/>
        <v>22</v>
      </c>
      <c r="AT65" s="130">
        <f t="shared" si="120"/>
        <v>4.4999999999999998E-2</v>
      </c>
      <c r="AU65" s="127">
        <f t="shared" si="121"/>
        <v>1000</v>
      </c>
      <c r="AV65" s="128">
        <f t="shared" si="122"/>
        <v>100000</v>
      </c>
      <c r="AW65" s="128">
        <f t="shared" si="151"/>
        <v>100000</v>
      </c>
      <c r="AX65" s="128">
        <f t="shared" si="123"/>
        <v>100000</v>
      </c>
      <c r="AY65" s="130">
        <f t="shared" si="45"/>
        <v>4.65E-2</v>
      </c>
      <c r="AZ65" s="128">
        <f t="shared" si="46"/>
        <v>100387.50000000001</v>
      </c>
      <c r="BA65" s="128" t="str">
        <f t="shared" si="47"/>
        <v>nie</v>
      </c>
      <c r="BB65" s="128">
        <f t="shared" si="48"/>
        <v>700</v>
      </c>
      <c r="BC65" s="128">
        <f t="shared" si="152"/>
        <v>99746.875000000015</v>
      </c>
      <c r="BD65" s="128">
        <f t="shared" si="50"/>
        <v>313.87500000001182</v>
      </c>
      <c r="BE65" s="130">
        <f t="shared" si="51"/>
        <v>4.4999999999999998E-2</v>
      </c>
      <c r="BF65" s="128">
        <f t="shared" si="52"/>
        <v>7130.009117586711</v>
      </c>
      <c r="BG65" s="128">
        <f t="shared" si="157"/>
        <v>106563.00911758671</v>
      </c>
      <c r="BI65" s="124">
        <f t="shared" si="124"/>
        <v>22</v>
      </c>
      <c r="BJ65" s="130">
        <f t="shared" si="148"/>
        <v>4.3200000000000002E-2</v>
      </c>
      <c r="BK65" s="127">
        <f t="shared" si="125"/>
        <v>1000</v>
      </c>
      <c r="BL65" s="128">
        <f t="shared" si="126"/>
        <v>100000</v>
      </c>
      <c r="BM65" s="128">
        <f t="shared" si="142"/>
        <v>100000</v>
      </c>
      <c r="BN65" s="128">
        <f t="shared" si="127"/>
        <v>104900</v>
      </c>
      <c r="BO65" s="130">
        <f t="shared" si="54"/>
        <v>4.9000000000000002E-2</v>
      </c>
      <c r="BP65" s="128">
        <f t="shared" si="55"/>
        <v>109183.41666666666</v>
      </c>
      <c r="BQ65" s="128" t="str">
        <f t="shared" si="56"/>
        <v>nie</v>
      </c>
      <c r="BR65" s="128">
        <f t="shared" si="57"/>
        <v>1000</v>
      </c>
      <c r="BS65" s="128">
        <f t="shared" si="153"/>
        <v>106628.56749999999</v>
      </c>
      <c r="BT65" s="128">
        <f t="shared" si="128"/>
        <v>0</v>
      </c>
      <c r="BU65" s="130">
        <f t="shared" si="59"/>
        <v>4.4999999999999998E-2</v>
      </c>
      <c r="BV65" s="128">
        <f t="shared" si="60"/>
        <v>0</v>
      </c>
      <c r="BW65" s="128">
        <f t="shared" si="61"/>
        <v>106628.56749999999</v>
      </c>
      <c r="BY65" s="130">
        <f t="shared" si="149"/>
        <v>2.9000000000000001E-2</v>
      </c>
      <c r="BZ65" s="127">
        <f t="shared" si="129"/>
        <v>1000</v>
      </c>
      <c r="CA65" s="128">
        <f t="shared" si="130"/>
        <v>100000</v>
      </c>
      <c r="CB65" s="128">
        <f t="shared" si="154"/>
        <v>100000</v>
      </c>
      <c r="CC65" s="128">
        <f t="shared" si="131"/>
        <v>100000</v>
      </c>
      <c r="CD65" s="130">
        <f t="shared" si="62"/>
        <v>4.3999999999999997E-2</v>
      </c>
      <c r="CE65" s="128">
        <f t="shared" si="63"/>
        <v>103666.66666666666</v>
      </c>
      <c r="CF65" s="128" t="str">
        <f t="shared" si="64"/>
        <v>nie</v>
      </c>
      <c r="CG65" s="128">
        <f t="shared" si="65"/>
        <v>2000</v>
      </c>
      <c r="CH65" s="128">
        <f t="shared" si="155"/>
        <v>101349.99999999999</v>
      </c>
      <c r="CI65" s="128">
        <f t="shared" si="67"/>
        <v>0</v>
      </c>
      <c r="CJ65" s="130">
        <f t="shared" si="68"/>
        <v>4.4999999999999998E-2</v>
      </c>
      <c r="CK65" s="128">
        <f t="shared" si="69"/>
        <v>4383.4496532281137</v>
      </c>
      <c r="CL65" s="128">
        <f t="shared" si="70"/>
        <v>105733.4496532281</v>
      </c>
      <c r="CN65" s="127">
        <f t="shared" si="132"/>
        <v>1000</v>
      </c>
      <c r="CO65" s="128">
        <f t="shared" si="133"/>
        <v>100000</v>
      </c>
      <c r="CP65" s="128">
        <f t="shared" si="134"/>
        <v>100000</v>
      </c>
      <c r="CQ65" s="128">
        <f t="shared" si="135"/>
        <v>105750.00000000001</v>
      </c>
      <c r="CR65" s="130">
        <f t="shared" si="71"/>
        <v>4.9000000000000002E-2</v>
      </c>
      <c r="CS65" s="128">
        <f t="shared" si="72"/>
        <v>110068.12500000001</v>
      </c>
      <c r="CT65" s="128" t="str">
        <f t="shared" si="73"/>
        <v>nie</v>
      </c>
      <c r="CU65" s="128">
        <f t="shared" si="74"/>
        <v>3000</v>
      </c>
      <c r="CV65" s="128">
        <f t="shared" si="75"/>
        <v>105725.18125000001</v>
      </c>
      <c r="CW65" s="128">
        <f t="shared" si="76"/>
        <v>0</v>
      </c>
      <c r="CX65" s="130">
        <f t="shared" si="77"/>
        <v>4.4999999999999998E-2</v>
      </c>
      <c r="CY65" s="128">
        <f t="shared" si="78"/>
        <v>0</v>
      </c>
      <c r="CZ65" s="128">
        <f t="shared" si="79"/>
        <v>105725.18125000001</v>
      </c>
      <c r="DA65" s="20"/>
      <c r="DB65" s="127">
        <f t="shared" si="144"/>
        <v>1000</v>
      </c>
      <c r="DC65" s="128">
        <f t="shared" si="145"/>
        <v>100000</v>
      </c>
      <c r="DD65" s="128">
        <f t="shared" si="136"/>
        <v>100000</v>
      </c>
      <c r="DE65" s="128">
        <f t="shared" si="137"/>
        <v>105450</v>
      </c>
      <c r="DF65" s="130">
        <f t="shared" si="80"/>
        <v>4.9000000000000002E-2</v>
      </c>
      <c r="DG65" s="128">
        <f t="shared" si="81"/>
        <v>109755.875</v>
      </c>
      <c r="DH65" s="128" t="str">
        <f t="shared" si="82"/>
        <v>nie</v>
      </c>
      <c r="DI65" s="128">
        <f t="shared" si="83"/>
        <v>2000</v>
      </c>
      <c r="DJ65" s="128">
        <f t="shared" si="84"/>
        <v>106282.25874999999</v>
      </c>
      <c r="DK65" s="128">
        <f t="shared" si="85"/>
        <v>0</v>
      </c>
      <c r="DL65" s="130">
        <f t="shared" si="86"/>
        <v>4.4999999999999998E-2</v>
      </c>
      <c r="DM65" s="128">
        <f t="shared" si="87"/>
        <v>0</v>
      </c>
      <c r="DN65" s="128">
        <f t="shared" si="88"/>
        <v>106282.25874999999</v>
      </c>
      <c r="DP65" s="127">
        <f t="shared" si="146"/>
        <v>1000</v>
      </c>
      <c r="DQ65" s="128">
        <f t="shared" si="147"/>
        <v>100000</v>
      </c>
      <c r="DR65" s="128">
        <f t="shared" si="138"/>
        <v>100000</v>
      </c>
      <c r="DS65" s="128">
        <f t="shared" si="139"/>
        <v>106000</v>
      </c>
      <c r="DT65" s="130">
        <f t="shared" si="89"/>
        <v>5.4000000000000006E-2</v>
      </c>
      <c r="DU65" s="128">
        <f t="shared" si="90"/>
        <v>110769.99999999999</v>
      </c>
      <c r="DV65" s="128" t="str">
        <f t="shared" si="91"/>
        <v>nie</v>
      </c>
      <c r="DW65" s="128">
        <f t="shared" si="92"/>
        <v>3000</v>
      </c>
      <c r="DX65" s="128">
        <f t="shared" si="93"/>
        <v>106293.69999999998</v>
      </c>
      <c r="DY65" s="128">
        <f t="shared" si="94"/>
        <v>0</v>
      </c>
      <c r="DZ65" s="130">
        <f t="shared" si="95"/>
        <v>4.4999999999999998E-2</v>
      </c>
      <c r="EA65" s="128">
        <f t="shared" si="96"/>
        <v>0</v>
      </c>
      <c r="EB65" s="128">
        <f t="shared" si="97"/>
        <v>106293.69999999998</v>
      </c>
    </row>
    <row r="66" spans="1:137">
      <c r="A66" s="212"/>
      <c r="B66" s="188">
        <f t="shared" si="98"/>
        <v>22</v>
      </c>
      <c r="C66" s="128">
        <f t="shared" si="99"/>
        <v>106993.80792552228</v>
      </c>
      <c r="D66" s="128">
        <f t="shared" si="100"/>
        <v>106563.00911758671</v>
      </c>
      <c r="E66" s="128">
        <f t="shared" si="101"/>
        <v>106628.56749999999</v>
      </c>
      <c r="F66" s="128">
        <f t="shared" si="102"/>
        <v>105733.4496532281</v>
      </c>
      <c r="G66" s="128">
        <f t="shared" si="103"/>
        <v>105725.18125000001</v>
      </c>
      <c r="H66" s="128">
        <f t="shared" si="104"/>
        <v>106282.25874999999</v>
      </c>
      <c r="I66" s="128">
        <f t="shared" si="105"/>
        <v>106293.69999999998</v>
      </c>
      <c r="J66" s="128">
        <f t="shared" si="106"/>
        <v>106900.00882347082</v>
      </c>
      <c r="K66" s="128">
        <f t="shared" si="107"/>
        <v>105386.74999999999</v>
      </c>
      <c r="M66" s="36"/>
      <c r="N66" s="32">
        <f t="shared" si="108"/>
        <v>22</v>
      </c>
      <c r="O66" s="25">
        <f t="shared" si="109"/>
        <v>6.9938079255222885E-2</v>
      </c>
      <c r="P66" s="25">
        <f t="shared" si="110"/>
        <v>6.5630091175867156E-2</v>
      </c>
      <c r="Q66" s="25">
        <f t="shared" si="111"/>
        <v>6.6285674999999822E-2</v>
      </c>
      <c r="R66" s="25">
        <f t="shared" si="30"/>
        <v>5.7334496532281065E-2</v>
      </c>
      <c r="S66" s="25">
        <f t="shared" si="31"/>
        <v>5.725181250000011E-2</v>
      </c>
      <c r="T66" s="25">
        <f t="shared" si="32"/>
        <v>6.2822587499999916E-2</v>
      </c>
      <c r="U66" s="25">
        <f t="shared" si="33"/>
        <v>6.2936999999999799E-2</v>
      </c>
      <c r="V66" s="25">
        <f t="shared" si="34"/>
        <v>6.9000088234708157E-2</v>
      </c>
      <c r="W66" s="25">
        <f t="shared" si="112"/>
        <v>5.3867499999999957E-2</v>
      </c>
      <c r="X66" s="36"/>
      <c r="Y66" s="36"/>
      <c r="AA66" s="124">
        <f t="shared" si="113"/>
        <v>23</v>
      </c>
      <c r="AB66" s="128">
        <f t="shared" si="35"/>
        <v>105635.42499999999</v>
      </c>
      <c r="AC66" s="124">
        <f t="shared" si="114"/>
        <v>23</v>
      </c>
      <c r="AD66" s="130">
        <f t="shared" si="115"/>
        <v>4.4999999999999998E-2</v>
      </c>
      <c r="AE66" s="127">
        <f t="shared" si="116"/>
        <v>1042</v>
      </c>
      <c r="AF66" s="128">
        <f t="shared" si="117"/>
        <v>104099.6</v>
      </c>
      <c r="AG66" s="128">
        <f t="shared" si="140"/>
        <v>104200</v>
      </c>
      <c r="AH66" s="128">
        <f t="shared" si="118"/>
        <v>104200</v>
      </c>
      <c r="AI66" s="130">
        <f t="shared" si="36"/>
        <v>4.4999999999999998E-2</v>
      </c>
      <c r="AJ66" s="128">
        <f t="shared" si="37"/>
        <v>104590.74999999999</v>
      </c>
      <c r="AK66" s="128" t="str">
        <f t="shared" si="38"/>
        <v>nie</v>
      </c>
      <c r="AL66" s="128">
        <f t="shared" si="39"/>
        <v>521</v>
      </c>
      <c r="AM66" s="128">
        <f t="shared" si="150"/>
        <v>104094.49749999998</v>
      </c>
      <c r="AN66" s="128">
        <f t="shared" si="41"/>
        <v>316.50749999998823</v>
      </c>
      <c r="AO66" s="130">
        <f t="shared" si="42"/>
        <v>4.4999999999999998E-2</v>
      </c>
      <c r="AP66" s="128">
        <f t="shared" si="43"/>
        <v>3542.0934724710551</v>
      </c>
      <c r="AQ66" s="128">
        <f t="shared" si="156"/>
        <v>107320.08347247104</v>
      </c>
      <c r="AS66" s="124">
        <f t="shared" si="119"/>
        <v>23</v>
      </c>
      <c r="AT66" s="130">
        <f t="shared" si="120"/>
        <v>4.4999999999999998E-2</v>
      </c>
      <c r="AU66" s="127">
        <f t="shared" si="121"/>
        <v>1000</v>
      </c>
      <c r="AV66" s="128">
        <f t="shared" si="122"/>
        <v>100000</v>
      </c>
      <c r="AW66" s="128">
        <f t="shared" si="151"/>
        <v>100000</v>
      </c>
      <c r="AX66" s="128">
        <f t="shared" si="123"/>
        <v>100000</v>
      </c>
      <c r="AY66" s="130">
        <f t="shared" si="45"/>
        <v>4.65E-2</v>
      </c>
      <c r="AZ66" s="128">
        <f t="shared" si="46"/>
        <v>100387.50000000001</v>
      </c>
      <c r="BA66" s="128" t="str">
        <f t="shared" si="47"/>
        <v>nie</v>
      </c>
      <c r="BB66" s="128">
        <f t="shared" si="48"/>
        <v>700</v>
      </c>
      <c r="BC66" s="128">
        <f t="shared" si="152"/>
        <v>99746.875000000015</v>
      </c>
      <c r="BD66" s="128">
        <f t="shared" si="50"/>
        <v>313.87500000001182</v>
      </c>
      <c r="BE66" s="130">
        <f t="shared" si="51"/>
        <v>4.4999999999999998E-2</v>
      </c>
      <c r="BF66" s="128">
        <f t="shared" si="52"/>
        <v>7465.5415202813929</v>
      </c>
      <c r="BG66" s="128">
        <f t="shared" si="157"/>
        <v>106898.54152028139</v>
      </c>
      <c r="BI66" s="124">
        <f t="shared" si="124"/>
        <v>23</v>
      </c>
      <c r="BJ66" s="130">
        <f t="shared" si="148"/>
        <v>4.3200000000000002E-2</v>
      </c>
      <c r="BK66" s="127">
        <f t="shared" si="125"/>
        <v>1000</v>
      </c>
      <c r="BL66" s="128">
        <f t="shared" si="126"/>
        <v>100000</v>
      </c>
      <c r="BM66" s="128">
        <f t="shared" si="142"/>
        <v>100000</v>
      </c>
      <c r="BN66" s="128">
        <f t="shared" si="127"/>
        <v>104900</v>
      </c>
      <c r="BO66" s="130">
        <f t="shared" si="54"/>
        <v>4.9000000000000002E-2</v>
      </c>
      <c r="BP66" s="128">
        <f t="shared" si="55"/>
        <v>109611.75833333333</v>
      </c>
      <c r="BQ66" s="128" t="str">
        <f t="shared" si="56"/>
        <v>nie</v>
      </c>
      <c r="BR66" s="128">
        <f t="shared" si="57"/>
        <v>1000</v>
      </c>
      <c r="BS66" s="128">
        <f t="shared" si="153"/>
        <v>106975.52425</v>
      </c>
      <c r="BT66" s="128">
        <f t="shared" si="128"/>
        <v>0</v>
      </c>
      <c r="BU66" s="130">
        <f t="shared" si="59"/>
        <v>4.4999999999999998E-2</v>
      </c>
      <c r="BV66" s="128">
        <f t="shared" si="60"/>
        <v>0</v>
      </c>
      <c r="BW66" s="128">
        <f t="shared" si="61"/>
        <v>106975.52425</v>
      </c>
      <c r="BY66" s="130">
        <f t="shared" si="149"/>
        <v>2.9000000000000001E-2</v>
      </c>
      <c r="BZ66" s="127">
        <f t="shared" si="129"/>
        <v>1000</v>
      </c>
      <c r="CA66" s="128">
        <f t="shared" si="130"/>
        <v>100000</v>
      </c>
      <c r="CB66" s="128">
        <f t="shared" si="154"/>
        <v>100000</v>
      </c>
      <c r="CC66" s="128">
        <f t="shared" si="131"/>
        <v>100000</v>
      </c>
      <c r="CD66" s="130">
        <f t="shared" si="62"/>
        <v>4.3999999999999997E-2</v>
      </c>
      <c r="CE66" s="128">
        <f t="shared" si="63"/>
        <v>104033.33333333333</v>
      </c>
      <c r="CF66" s="128" t="str">
        <f t="shared" si="64"/>
        <v>nie</v>
      </c>
      <c r="CG66" s="128">
        <f t="shared" si="65"/>
        <v>2000</v>
      </c>
      <c r="CH66" s="128">
        <f t="shared" si="155"/>
        <v>101647</v>
      </c>
      <c r="CI66" s="128">
        <f t="shared" si="67"/>
        <v>0</v>
      </c>
      <c r="CJ66" s="130">
        <f t="shared" si="68"/>
        <v>4.4999999999999998E-2</v>
      </c>
      <c r="CK66" s="128">
        <f t="shared" si="69"/>
        <v>4396.7643815497941</v>
      </c>
      <c r="CL66" s="128">
        <f t="shared" si="70"/>
        <v>106043.76438154979</v>
      </c>
      <c r="CN66" s="127">
        <f t="shared" si="132"/>
        <v>1000</v>
      </c>
      <c r="CO66" s="128">
        <f t="shared" si="133"/>
        <v>100000</v>
      </c>
      <c r="CP66" s="128">
        <f t="shared" si="134"/>
        <v>100000</v>
      </c>
      <c r="CQ66" s="128">
        <f t="shared" si="135"/>
        <v>105750.00000000001</v>
      </c>
      <c r="CR66" s="130">
        <f t="shared" si="71"/>
        <v>4.9000000000000002E-2</v>
      </c>
      <c r="CS66" s="128">
        <f t="shared" si="72"/>
        <v>110499.93750000001</v>
      </c>
      <c r="CT66" s="128" t="str">
        <f t="shared" si="73"/>
        <v>nie</v>
      </c>
      <c r="CU66" s="128">
        <f t="shared" si="74"/>
        <v>3000</v>
      </c>
      <c r="CV66" s="128">
        <f t="shared" si="75"/>
        <v>106074.94937500001</v>
      </c>
      <c r="CW66" s="128">
        <f t="shared" si="76"/>
        <v>0</v>
      </c>
      <c r="CX66" s="130">
        <f t="shared" si="77"/>
        <v>4.4999999999999998E-2</v>
      </c>
      <c r="CY66" s="128">
        <f t="shared" si="78"/>
        <v>0</v>
      </c>
      <c r="CZ66" s="128">
        <f t="shared" si="79"/>
        <v>106074.94937500001</v>
      </c>
      <c r="DA66" s="20"/>
      <c r="DB66" s="127">
        <f t="shared" si="144"/>
        <v>1000</v>
      </c>
      <c r="DC66" s="128">
        <f t="shared" si="145"/>
        <v>100000</v>
      </c>
      <c r="DD66" s="128">
        <f t="shared" si="136"/>
        <v>100000</v>
      </c>
      <c r="DE66" s="128">
        <f t="shared" si="137"/>
        <v>105450</v>
      </c>
      <c r="DF66" s="130">
        <f t="shared" si="80"/>
        <v>4.9000000000000002E-2</v>
      </c>
      <c r="DG66" s="128">
        <f t="shared" si="81"/>
        <v>110186.46250000001</v>
      </c>
      <c r="DH66" s="128" t="str">
        <f t="shared" si="82"/>
        <v>nie</v>
      </c>
      <c r="DI66" s="128">
        <f t="shared" si="83"/>
        <v>2000</v>
      </c>
      <c r="DJ66" s="128">
        <f t="shared" si="84"/>
        <v>106631.034625</v>
      </c>
      <c r="DK66" s="128">
        <f t="shared" si="85"/>
        <v>0</v>
      </c>
      <c r="DL66" s="130">
        <f t="shared" si="86"/>
        <v>4.4999999999999998E-2</v>
      </c>
      <c r="DM66" s="128">
        <f t="shared" si="87"/>
        <v>0</v>
      </c>
      <c r="DN66" s="128">
        <f t="shared" si="88"/>
        <v>106631.034625</v>
      </c>
      <c r="DP66" s="127">
        <f t="shared" si="146"/>
        <v>1000</v>
      </c>
      <c r="DQ66" s="128">
        <f t="shared" si="147"/>
        <v>100000</v>
      </c>
      <c r="DR66" s="128">
        <f t="shared" si="138"/>
        <v>100000</v>
      </c>
      <c r="DS66" s="128">
        <f t="shared" si="139"/>
        <v>106000</v>
      </c>
      <c r="DT66" s="130">
        <f t="shared" si="89"/>
        <v>5.4000000000000006E-2</v>
      </c>
      <c r="DU66" s="128">
        <f t="shared" si="90"/>
        <v>111247.00000000001</v>
      </c>
      <c r="DV66" s="128" t="str">
        <f t="shared" si="91"/>
        <v>nie</v>
      </c>
      <c r="DW66" s="128">
        <f t="shared" si="92"/>
        <v>3000</v>
      </c>
      <c r="DX66" s="128">
        <f t="shared" si="93"/>
        <v>106680.07</v>
      </c>
      <c r="DY66" s="128">
        <f t="shared" si="94"/>
        <v>0</v>
      </c>
      <c r="DZ66" s="130">
        <f t="shared" si="95"/>
        <v>4.4999999999999998E-2</v>
      </c>
      <c r="EA66" s="128">
        <f t="shared" si="96"/>
        <v>0</v>
      </c>
      <c r="EB66" s="128">
        <f t="shared" si="97"/>
        <v>106680.07</v>
      </c>
    </row>
    <row r="67" spans="1:137" ht="14.25" customHeight="1">
      <c r="A67" s="212"/>
      <c r="B67" s="188">
        <f t="shared" si="98"/>
        <v>23</v>
      </c>
      <c r="C67" s="128">
        <f t="shared" si="99"/>
        <v>107320.08347247104</v>
      </c>
      <c r="D67" s="128">
        <f t="shared" si="100"/>
        <v>106898.54152028139</v>
      </c>
      <c r="E67" s="128">
        <f t="shared" si="101"/>
        <v>106975.52425</v>
      </c>
      <c r="F67" s="128">
        <f t="shared" si="102"/>
        <v>106043.76438154979</v>
      </c>
      <c r="G67" s="128">
        <f t="shared" si="103"/>
        <v>106074.94937500001</v>
      </c>
      <c r="H67" s="128">
        <f t="shared" si="104"/>
        <v>106631.034625</v>
      </c>
      <c r="I67" s="128">
        <f t="shared" si="105"/>
        <v>106680.07</v>
      </c>
      <c r="J67" s="128">
        <f t="shared" si="106"/>
        <v>107224.71760027212</v>
      </c>
      <c r="K67" s="128">
        <f t="shared" si="107"/>
        <v>105635.42499999999</v>
      </c>
      <c r="M67" s="36"/>
      <c r="N67" s="32">
        <f t="shared" si="108"/>
        <v>23</v>
      </c>
      <c r="O67" s="25">
        <f t="shared" si="109"/>
        <v>7.3200834724710395E-2</v>
      </c>
      <c r="P67" s="25">
        <f t="shared" si="110"/>
        <v>6.8985415202813982E-2</v>
      </c>
      <c r="Q67" s="25">
        <f t="shared" si="111"/>
        <v>6.9755242500000092E-2</v>
      </c>
      <c r="R67" s="25">
        <f t="shared" si="30"/>
        <v>6.0437643815497877E-2</v>
      </c>
      <c r="S67" s="25">
        <f t="shared" si="31"/>
        <v>6.0749493750000161E-2</v>
      </c>
      <c r="T67" s="25">
        <f t="shared" si="32"/>
        <v>6.6310346250000096E-2</v>
      </c>
      <c r="U67" s="25">
        <f t="shared" si="33"/>
        <v>6.6800700000000157E-2</v>
      </c>
      <c r="V67" s="25">
        <f t="shared" si="34"/>
        <v>7.2247176002721236E-2</v>
      </c>
      <c r="W67" s="25">
        <f t="shared" si="112"/>
        <v>5.6354249999999828E-2</v>
      </c>
      <c r="X67" s="36"/>
      <c r="Y67" s="36"/>
      <c r="AA67" s="124">
        <f t="shared" si="113"/>
        <v>24</v>
      </c>
      <c r="AB67" s="128">
        <f t="shared" si="35"/>
        <v>105884.09999999999</v>
      </c>
      <c r="AC67" s="124">
        <f t="shared" si="114"/>
        <v>24</v>
      </c>
      <c r="AD67" s="130">
        <f t="shared" si="115"/>
        <v>4.4999999999999998E-2</v>
      </c>
      <c r="AE67" s="127">
        <f t="shared" si="116"/>
        <v>1042</v>
      </c>
      <c r="AF67" s="128">
        <f t="shared" si="117"/>
        <v>104099.6</v>
      </c>
      <c r="AG67" s="128">
        <f t="shared" si="140"/>
        <v>104200</v>
      </c>
      <c r="AH67" s="128">
        <f t="shared" si="118"/>
        <v>104200</v>
      </c>
      <c r="AI67" s="130">
        <f t="shared" si="36"/>
        <v>4.4999999999999998E-2</v>
      </c>
      <c r="AJ67" s="128">
        <f t="shared" si="37"/>
        <v>104590.74999999999</v>
      </c>
      <c r="AK67" s="128" t="str">
        <f t="shared" si="38"/>
        <v>tak</v>
      </c>
      <c r="AL67" s="128">
        <f t="shared" si="39"/>
        <v>0</v>
      </c>
      <c r="AM67" s="128">
        <f>AJ67-AL67
-(AJ67-AG67-AL67)*podatek_Belki</f>
        <v>104516.50749999999</v>
      </c>
      <c r="AN67" s="128">
        <f t="shared" si="41"/>
        <v>421.10749999998228</v>
      </c>
      <c r="AO67" s="130">
        <f t="shared" si="42"/>
        <v>4.4999999999999998E-2</v>
      </c>
      <c r="AP67" s="128">
        <f t="shared" si="43"/>
        <v>3973.9600813936681</v>
      </c>
      <c r="AQ67" s="128">
        <f>AP66*(1+AO67/12*(1-podatek_Belki))+AM67</f>
        <v>108069.36008139368</v>
      </c>
      <c r="AS67" s="124">
        <f t="shared" si="119"/>
        <v>24</v>
      </c>
      <c r="AT67" s="130">
        <f t="shared" si="120"/>
        <v>4.4999999999999998E-2</v>
      </c>
      <c r="AU67" s="127">
        <f t="shared" si="121"/>
        <v>1000</v>
      </c>
      <c r="AV67" s="128">
        <f t="shared" si="122"/>
        <v>100000</v>
      </c>
      <c r="AW67" s="128">
        <f t="shared" si="151"/>
        <v>100000</v>
      </c>
      <c r="AX67" s="128">
        <f t="shared" si="123"/>
        <v>100000</v>
      </c>
      <c r="AY67" s="130">
        <f t="shared" si="45"/>
        <v>4.65E-2</v>
      </c>
      <c r="AZ67" s="128">
        <f t="shared" si="46"/>
        <v>100387.50000000001</v>
      </c>
      <c r="BA67" s="128" t="str">
        <f t="shared" si="47"/>
        <v>tak</v>
      </c>
      <c r="BB67" s="128">
        <f t="shared" si="48"/>
        <v>0</v>
      </c>
      <c r="BC67" s="128">
        <f>AZ67-BB67
-(AZ67-AW67-BB67)*podatek_Belki</f>
        <v>100313.87500000001</v>
      </c>
      <c r="BD67" s="128">
        <f t="shared" si="50"/>
        <v>414.27500000000612</v>
      </c>
      <c r="BE67" s="130">
        <f t="shared" si="51"/>
        <v>4.4999999999999998E-2</v>
      </c>
      <c r="BF67" s="128">
        <f t="shared" si="52"/>
        <v>7902.4931026492541</v>
      </c>
      <c r="BG67" s="128">
        <f>BF66*(1+BE67/12*(1-podatek_Belki))+BC67</f>
        <v>107802.09310264926</v>
      </c>
      <c r="BI67" s="124">
        <f t="shared" si="124"/>
        <v>24</v>
      </c>
      <c r="BJ67" s="130">
        <f t="shared" si="148"/>
        <v>4.3200000000000002E-2</v>
      </c>
      <c r="BK67" s="127">
        <f t="shared" si="125"/>
        <v>1000</v>
      </c>
      <c r="BL67" s="128">
        <f t="shared" si="126"/>
        <v>100000</v>
      </c>
      <c r="BM67" s="128">
        <f t="shared" si="142"/>
        <v>100000</v>
      </c>
      <c r="BN67" s="128">
        <f t="shared" si="127"/>
        <v>104900</v>
      </c>
      <c r="BO67" s="130">
        <f t="shared" si="54"/>
        <v>4.9000000000000002E-2</v>
      </c>
      <c r="BP67" s="128">
        <f t="shared" si="55"/>
        <v>110040.09999999999</v>
      </c>
      <c r="BQ67" s="128" t="str">
        <f t="shared" si="56"/>
        <v>nie</v>
      </c>
      <c r="BR67" s="128">
        <f t="shared" si="57"/>
        <v>1000</v>
      </c>
      <c r="BS67" s="128">
        <f t="shared" si="153"/>
        <v>107322.481</v>
      </c>
      <c r="BT67" s="128">
        <f t="shared" si="128"/>
        <v>0</v>
      </c>
      <c r="BU67" s="130">
        <f t="shared" si="59"/>
        <v>4.4999999999999998E-2</v>
      </c>
      <c r="BV67" s="128">
        <f t="shared" si="60"/>
        <v>0</v>
      </c>
      <c r="BW67" s="128">
        <f t="shared" si="61"/>
        <v>107322.481</v>
      </c>
      <c r="BY67" s="130">
        <f t="shared" si="149"/>
        <v>2.9000000000000001E-2</v>
      </c>
      <c r="BZ67" s="127">
        <f t="shared" si="129"/>
        <v>1000</v>
      </c>
      <c r="CA67" s="128">
        <f t="shared" si="130"/>
        <v>100000</v>
      </c>
      <c r="CB67" s="128">
        <f t="shared" si="154"/>
        <v>100000</v>
      </c>
      <c r="CC67" s="128">
        <f t="shared" si="131"/>
        <v>100000</v>
      </c>
      <c r="CD67" s="130">
        <f t="shared" si="62"/>
        <v>4.3999999999999997E-2</v>
      </c>
      <c r="CE67" s="128">
        <f t="shared" si="63"/>
        <v>104400</v>
      </c>
      <c r="CF67" s="128" t="str">
        <f t="shared" si="64"/>
        <v>nie</v>
      </c>
      <c r="CG67" s="128">
        <f t="shared" si="65"/>
        <v>2000</v>
      </c>
      <c r="CH67" s="128">
        <f>CE67-CG67
-(CE67-CB67-CG67)*podatek_Belki</f>
        <v>101944</v>
      </c>
      <c r="CI67" s="128">
        <f t="shared" si="67"/>
        <v>3564.0000000000005</v>
      </c>
      <c r="CJ67" s="130">
        <f t="shared" si="68"/>
        <v>4.4999999999999998E-2</v>
      </c>
      <c r="CK67" s="128">
        <f t="shared" si="69"/>
        <v>7974.1195533587525</v>
      </c>
      <c r="CL67" s="128">
        <f t="shared" si="70"/>
        <v>106354.11955335875</v>
      </c>
      <c r="CN67" s="127">
        <f t="shared" si="132"/>
        <v>1000</v>
      </c>
      <c r="CO67" s="128">
        <f t="shared" si="133"/>
        <v>100000</v>
      </c>
      <c r="CP67" s="128">
        <f t="shared" si="134"/>
        <v>100000</v>
      </c>
      <c r="CQ67" s="128">
        <f t="shared" si="135"/>
        <v>105750.00000000001</v>
      </c>
      <c r="CR67" s="130">
        <f t="shared" si="71"/>
        <v>4.9000000000000002E-2</v>
      </c>
      <c r="CS67" s="128">
        <f t="shared" si="72"/>
        <v>110931.75000000001</v>
      </c>
      <c r="CT67" s="128" t="str">
        <f t="shared" si="73"/>
        <v>nie</v>
      </c>
      <c r="CU67" s="128">
        <f t="shared" si="74"/>
        <v>3000</v>
      </c>
      <c r="CV67" s="128">
        <f t="shared" si="75"/>
        <v>106424.71750000001</v>
      </c>
      <c r="CW67" s="128">
        <f t="shared" si="76"/>
        <v>0</v>
      </c>
      <c r="CX67" s="130">
        <f t="shared" si="77"/>
        <v>4.4999999999999998E-2</v>
      </c>
      <c r="CY67" s="128">
        <f t="shared" si="78"/>
        <v>0</v>
      </c>
      <c r="CZ67" s="128">
        <f t="shared" si="79"/>
        <v>106424.71750000001</v>
      </c>
      <c r="DA67" s="20"/>
      <c r="DB67" s="127">
        <f t="shared" si="144"/>
        <v>1000</v>
      </c>
      <c r="DC67" s="128">
        <f t="shared" si="145"/>
        <v>100000</v>
      </c>
      <c r="DD67" s="128">
        <f t="shared" si="136"/>
        <v>100000</v>
      </c>
      <c r="DE67" s="128">
        <f t="shared" si="137"/>
        <v>105450</v>
      </c>
      <c r="DF67" s="130">
        <f t="shared" si="80"/>
        <v>4.9000000000000002E-2</v>
      </c>
      <c r="DG67" s="128">
        <f t="shared" si="81"/>
        <v>110617.04999999999</v>
      </c>
      <c r="DH67" s="128" t="str">
        <f t="shared" si="82"/>
        <v>nie</v>
      </c>
      <c r="DI67" s="128">
        <f t="shared" si="83"/>
        <v>2000</v>
      </c>
      <c r="DJ67" s="128">
        <f t="shared" si="84"/>
        <v>106979.81049999999</v>
      </c>
      <c r="DK67" s="128">
        <f t="shared" si="85"/>
        <v>0</v>
      </c>
      <c r="DL67" s="130">
        <f t="shared" si="86"/>
        <v>4.4999999999999998E-2</v>
      </c>
      <c r="DM67" s="128">
        <f t="shared" si="87"/>
        <v>0</v>
      </c>
      <c r="DN67" s="128">
        <f t="shared" si="88"/>
        <v>106979.81049999999</v>
      </c>
      <c r="DP67" s="127">
        <f t="shared" si="146"/>
        <v>1000</v>
      </c>
      <c r="DQ67" s="128">
        <f t="shared" si="147"/>
        <v>100000</v>
      </c>
      <c r="DR67" s="128">
        <f t="shared" si="138"/>
        <v>100000</v>
      </c>
      <c r="DS67" s="128">
        <f t="shared" si="139"/>
        <v>106000</v>
      </c>
      <c r="DT67" s="130">
        <f t="shared" si="89"/>
        <v>5.4000000000000006E-2</v>
      </c>
      <c r="DU67" s="128">
        <f t="shared" si="90"/>
        <v>111724</v>
      </c>
      <c r="DV67" s="128" t="str">
        <f t="shared" si="91"/>
        <v>nie</v>
      </c>
      <c r="DW67" s="128">
        <f t="shared" si="92"/>
        <v>3000</v>
      </c>
      <c r="DX67" s="128">
        <f t="shared" si="93"/>
        <v>107066.44</v>
      </c>
      <c r="DY67" s="128">
        <f t="shared" si="94"/>
        <v>0</v>
      </c>
      <c r="DZ67" s="130">
        <f t="shared" si="95"/>
        <v>4.4999999999999998E-2</v>
      </c>
      <c r="EA67" s="128">
        <f t="shared" si="96"/>
        <v>0</v>
      </c>
      <c r="EB67" s="128">
        <f t="shared" si="97"/>
        <v>107066.44</v>
      </c>
    </row>
    <row r="68" spans="1:137">
      <c r="A68" s="212"/>
      <c r="B68" s="188">
        <f t="shared" si="98"/>
        <v>24</v>
      </c>
      <c r="C68" s="128">
        <f t="shared" si="99"/>
        <v>108069.36008139368</v>
      </c>
      <c r="D68" s="128">
        <f t="shared" si="100"/>
        <v>107802.09310264926</v>
      </c>
      <c r="E68" s="128">
        <f t="shared" si="101"/>
        <v>107322.481</v>
      </c>
      <c r="F68" s="128">
        <f t="shared" si="102"/>
        <v>106354.11955335875</v>
      </c>
      <c r="G68" s="128">
        <f t="shared" si="103"/>
        <v>106424.71750000001</v>
      </c>
      <c r="H68" s="128">
        <f t="shared" si="104"/>
        <v>106979.81049999999</v>
      </c>
      <c r="I68" s="128">
        <f t="shared" si="105"/>
        <v>107066.44</v>
      </c>
      <c r="J68" s="128">
        <f t="shared" si="106"/>
        <v>107550.41267998295</v>
      </c>
      <c r="K68" s="128">
        <f t="shared" si="107"/>
        <v>105884.09999999999</v>
      </c>
      <c r="M68" s="36"/>
      <c r="N68" s="32">
        <f t="shared" si="108"/>
        <v>24</v>
      </c>
      <c r="O68" s="25">
        <f t="shared" si="109"/>
        <v>8.0693600813936728E-2</v>
      </c>
      <c r="P68" s="25">
        <f t="shared" si="110"/>
        <v>7.8020931026492546E-2</v>
      </c>
      <c r="Q68" s="25">
        <f t="shared" si="111"/>
        <v>7.3224809999999918E-2</v>
      </c>
      <c r="R68" s="25">
        <f t="shared" si="30"/>
        <v>6.3541195533587391E-2</v>
      </c>
      <c r="S68" s="25">
        <f t="shared" si="31"/>
        <v>6.4247175000000212E-2</v>
      </c>
      <c r="T68" s="25">
        <f t="shared" si="32"/>
        <v>6.9798104999999833E-2</v>
      </c>
      <c r="U68" s="25">
        <f t="shared" si="33"/>
        <v>7.0664400000000072E-2</v>
      </c>
      <c r="V68" s="25">
        <f t="shared" si="34"/>
        <v>7.5504126799829541E-2</v>
      </c>
      <c r="W68" s="25">
        <f t="shared" si="112"/>
        <v>5.8840999999999921E-2</v>
      </c>
      <c r="X68" s="36"/>
      <c r="Y68" s="36"/>
      <c r="AA68" s="124">
        <f t="shared" si="113"/>
        <v>25</v>
      </c>
      <c r="AB68" s="128">
        <f t="shared" si="35"/>
        <v>106139.986575</v>
      </c>
      <c r="AC68" s="124">
        <f t="shared" si="114"/>
        <v>25</v>
      </c>
      <c r="AD68" s="130">
        <f t="shared" si="115"/>
        <v>4.4999999999999998E-2</v>
      </c>
      <c r="AE68" s="127">
        <f t="shared" si="116"/>
        <v>1085</v>
      </c>
      <c r="AF68" s="128">
        <f t="shared" si="117"/>
        <v>108395.40000000001</v>
      </c>
      <c r="AG68" s="128">
        <f t="shared" si="140"/>
        <v>108500</v>
      </c>
      <c r="AH68" s="128">
        <f t="shared" si="118"/>
        <v>108500</v>
      </c>
      <c r="AI68" s="130">
        <f t="shared" si="36"/>
        <v>4.4999999999999998E-2</v>
      </c>
      <c r="AJ68" s="128">
        <f t="shared" si="37"/>
        <v>108906.87499999999</v>
      </c>
      <c r="AK68" s="128" t="str">
        <f t="shared" si="38"/>
        <v>nie</v>
      </c>
      <c r="AL68" s="128">
        <f t="shared" si="39"/>
        <v>406.87499999998545</v>
      </c>
      <c r="AM68" s="128">
        <f t="shared" si="150"/>
        <v>108500</v>
      </c>
      <c r="AN68" s="128">
        <f t="shared" si="41"/>
        <v>329.56874999998826</v>
      </c>
      <c r="AO68" s="130">
        <f t="shared" si="42"/>
        <v>4.4999999999999998E-2</v>
      </c>
      <c r="AP68" s="128">
        <f t="shared" si="43"/>
        <v>403.75348514088967</v>
      </c>
      <c r="AQ68" s="128">
        <f t="shared" si="156"/>
        <v>112486.0309851409</v>
      </c>
      <c r="AS68" s="124">
        <f t="shared" si="119"/>
        <v>25</v>
      </c>
      <c r="AT68" s="130">
        <f t="shared" si="120"/>
        <v>4.4999999999999998E-2</v>
      </c>
      <c r="AU68" s="127">
        <f t="shared" si="121"/>
        <v>1083</v>
      </c>
      <c r="AV68" s="128">
        <f t="shared" si="122"/>
        <v>108199.6</v>
      </c>
      <c r="AW68" s="128">
        <f t="shared" si="151"/>
        <v>108300</v>
      </c>
      <c r="AX68" s="128">
        <f t="shared" si="123"/>
        <v>108300</v>
      </c>
      <c r="AY68" s="130">
        <f t="shared" si="45"/>
        <v>4.65E-2</v>
      </c>
      <c r="AZ68" s="128">
        <f t="shared" si="46"/>
        <v>108719.66250000001</v>
      </c>
      <c r="BA68" s="128" t="str">
        <f t="shared" si="47"/>
        <v>nie</v>
      </c>
      <c r="BB68" s="128">
        <f t="shared" si="48"/>
        <v>419.66250000000582</v>
      </c>
      <c r="BC68" s="128">
        <f t="shared" ref="BC68:BC131" si="158">AZ68-BB68
-(AZ68-AW68-BB68)*podatek_Belki</f>
        <v>108300</v>
      </c>
      <c r="BD68" s="128">
        <f t="shared" si="50"/>
        <v>339.92662500000472</v>
      </c>
      <c r="BE68" s="130">
        <f t="shared" si="51"/>
        <v>4.4999999999999998E-2</v>
      </c>
      <c r="BF68" s="128">
        <f t="shared" si="52"/>
        <v>342.42730044855591</v>
      </c>
      <c r="BG68" s="128">
        <f t="shared" ref="BG68:BG131" si="159">BF67*(1+BE68/12*(1-podatek_Belki))+BC68</f>
        <v>116226.49692544855</v>
      </c>
      <c r="BI68" s="124">
        <f t="shared" si="124"/>
        <v>25</v>
      </c>
      <c r="BJ68" s="130">
        <f t="shared" si="148"/>
        <v>4.3200000000000002E-2</v>
      </c>
      <c r="BK68" s="127">
        <f t="shared" si="125"/>
        <v>1000</v>
      </c>
      <c r="BL68" s="128">
        <f t="shared" si="126"/>
        <v>100000</v>
      </c>
      <c r="BM68" s="128">
        <f t="shared" si="142"/>
        <v>100000</v>
      </c>
      <c r="BN68" s="128">
        <f t="shared" si="127"/>
        <v>110040.09999999999</v>
      </c>
      <c r="BO68" s="130">
        <f t="shared" si="54"/>
        <v>4.9000000000000002E-2</v>
      </c>
      <c r="BP68" s="128">
        <f t="shared" si="55"/>
        <v>110489.43040833334</v>
      </c>
      <c r="BQ68" s="128" t="str">
        <f t="shared" si="56"/>
        <v>nie</v>
      </c>
      <c r="BR68" s="128">
        <f t="shared" si="57"/>
        <v>1000</v>
      </c>
      <c r="BS68" s="128">
        <f t="shared" si="153"/>
        <v>107686.43863075001</v>
      </c>
      <c r="BT68" s="128">
        <f>IF(AND(BQ68="tak",BL69&lt;&gt;""),
 BS68-BL69,
0)</f>
        <v>0</v>
      </c>
      <c r="BU68" s="130">
        <f t="shared" si="59"/>
        <v>4.4999999999999998E-2</v>
      </c>
      <c r="BV68" s="128">
        <f t="shared" si="60"/>
        <v>0</v>
      </c>
      <c r="BW68" s="128">
        <f t="shared" si="61"/>
        <v>107686.43863075001</v>
      </c>
      <c r="BY68" s="130">
        <f t="shared" si="149"/>
        <v>2.9000000000000001E-2</v>
      </c>
      <c r="BZ68" s="127">
        <f t="shared" si="129"/>
        <v>1000</v>
      </c>
      <c r="CA68" s="128">
        <f t="shared" si="130"/>
        <v>100000</v>
      </c>
      <c r="CB68" s="128">
        <f t="shared" si="154"/>
        <v>100000</v>
      </c>
      <c r="CC68" s="128">
        <f t="shared" si="131"/>
        <v>100000</v>
      </c>
      <c r="CD68" s="130">
        <f t="shared" si="62"/>
        <v>4.3999999999999997E-2</v>
      </c>
      <c r="CE68" s="128">
        <f t="shared" si="63"/>
        <v>100366.66666666667</v>
      </c>
      <c r="CF68" s="128" t="str">
        <f t="shared" si="64"/>
        <v>nie</v>
      </c>
      <c r="CG68" s="128">
        <f t="shared" si="65"/>
        <v>2000</v>
      </c>
      <c r="CH68" s="128">
        <f t="shared" ref="CH68:CH131" si="160">CE68-CG68
-(CE68-CB68-CG68)*podatek_Belki</f>
        <v>98677</v>
      </c>
      <c r="CI68" s="128">
        <f t="shared" si="67"/>
        <v>0</v>
      </c>
      <c r="CJ68" s="130">
        <f t="shared" si="68"/>
        <v>4.4999999999999998E-2</v>
      </c>
      <c r="CK68" s="128">
        <f t="shared" si="69"/>
        <v>7998.3409415020797</v>
      </c>
      <c r="CL68" s="128">
        <f t="shared" si="70"/>
        <v>106675.34094150207</v>
      </c>
      <c r="CN68" s="127">
        <f t="shared" si="132"/>
        <v>1000</v>
      </c>
      <c r="CO68" s="128">
        <f t="shared" si="133"/>
        <v>100000</v>
      </c>
      <c r="CP68" s="128">
        <f t="shared" si="134"/>
        <v>100000</v>
      </c>
      <c r="CQ68" s="128">
        <f t="shared" si="135"/>
        <v>110931.75000000001</v>
      </c>
      <c r="CR68" s="130">
        <f t="shared" si="71"/>
        <v>4.9000000000000002E-2</v>
      </c>
      <c r="CS68" s="128">
        <f t="shared" si="72"/>
        <v>111384.72131250003</v>
      </c>
      <c r="CT68" s="128" t="str">
        <f t="shared" si="73"/>
        <v>nie</v>
      </c>
      <c r="CU68" s="128">
        <f t="shared" si="74"/>
        <v>3000</v>
      </c>
      <c r="CV68" s="128">
        <f t="shared" si="75"/>
        <v>106791.62426312502</v>
      </c>
      <c r="CW68" s="128">
        <f t="shared" si="76"/>
        <v>0</v>
      </c>
      <c r="CX68" s="130">
        <f t="shared" si="77"/>
        <v>4.4999999999999998E-2</v>
      </c>
      <c r="CY68" s="128">
        <f t="shared" si="78"/>
        <v>0</v>
      </c>
      <c r="CZ68" s="128">
        <f t="shared" si="79"/>
        <v>106791.62426312502</v>
      </c>
      <c r="DA68" s="20"/>
      <c r="DB68" s="127">
        <f t="shared" si="144"/>
        <v>1000</v>
      </c>
      <c r="DC68" s="128">
        <f t="shared" si="145"/>
        <v>100000</v>
      </c>
      <c r="DD68" s="128">
        <f t="shared" si="136"/>
        <v>100000</v>
      </c>
      <c r="DE68" s="128">
        <f t="shared" si="137"/>
        <v>110617.04999999999</v>
      </c>
      <c r="DF68" s="130">
        <f t="shared" si="80"/>
        <v>4.9000000000000002E-2</v>
      </c>
      <c r="DG68" s="128">
        <f t="shared" si="81"/>
        <v>111068.7362875</v>
      </c>
      <c r="DH68" s="128" t="str">
        <f t="shared" si="82"/>
        <v>nie</v>
      </c>
      <c r="DI68" s="128">
        <f t="shared" si="83"/>
        <v>2000</v>
      </c>
      <c r="DJ68" s="128">
        <f t="shared" si="84"/>
        <v>107345.676392875</v>
      </c>
      <c r="DK68" s="128">
        <f t="shared" si="85"/>
        <v>0</v>
      </c>
      <c r="DL68" s="130">
        <f t="shared" si="86"/>
        <v>4.4999999999999998E-2</v>
      </c>
      <c r="DM68" s="128">
        <f t="shared" si="87"/>
        <v>0</v>
      </c>
      <c r="DN68" s="128">
        <f t="shared" si="88"/>
        <v>107345.676392875</v>
      </c>
      <c r="DP68" s="127">
        <f t="shared" si="146"/>
        <v>1000</v>
      </c>
      <c r="DQ68" s="128">
        <f t="shared" si="147"/>
        <v>100000</v>
      </c>
      <c r="DR68" s="128">
        <f t="shared" si="138"/>
        <v>100000</v>
      </c>
      <c r="DS68" s="128">
        <f t="shared" si="139"/>
        <v>111724</v>
      </c>
      <c r="DT68" s="130">
        <f t="shared" si="89"/>
        <v>5.4000000000000006E-2</v>
      </c>
      <c r="DU68" s="128">
        <f t="shared" si="90"/>
        <v>112226.75799999999</v>
      </c>
      <c r="DV68" s="128" t="str">
        <f t="shared" si="91"/>
        <v>nie</v>
      </c>
      <c r="DW68" s="128">
        <f t="shared" si="92"/>
        <v>3000</v>
      </c>
      <c r="DX68" s="128">
        <f t="shared" si="93"/>
        <v>107473.67397999999</v>
      </c>
      <c r="DY68" s="128">
        <f t="shared" si="94"/>
        <v>0</v>
      </c>
      <c r="DZ68" s="130">
        <f t="shared" si="95"/>
        <v>4.4999999999999998E-2</v>
      </c>
      <c r="EA68" s="128">
        <f t="shared" si="96"/>
        <v>0</v>
      </c>
      <c r="EB68" s="128">
        <f t="shared" si="97"/>
        <v>107473.67397999999</v>
      </c>
    </row>
    <row r="69" spans="1:137">
      <c r="A69" s="212">
        <f>ROUNDUP(B80/12,0)</f>
        <v>3</v>
      </c>
      <c r="B69" s="188">
        <f t="shared" si="98"/>
        <v>25</v>
      </c>
      <c r="C69" s="128">
        <f t="shared" si="99"/>
        <v>112486.0309851409</v>
      </c>
      <c r="D69" s="128">
        <f t="shared" si="100"/>
        <v>116226.49692544855</v>
      </c>
      <c r="E69" s="128">
        <f t="shared" si="101"/>
        <v>107686.43863075001</v>
      </c>
      <c r="F69" s="128">
        <f t="shared" si="102"/>
        <v>106675.34094150207</v>
      </c>
      <c r="G69" s="128">
        <f t="shared" si="103"/>
        <v>106791.62426312502</v>
      </c>
      <c r="H69" s="128">
        <f t="shared" si="104"/>
        <v>107345.676392875</v>
      </c>
      <c r="I69" s="128">
        <f t="shared" si="105"/>
        <v>107473.67397999999</v>
      </c>
      <c r="J69" s="128">
        <f t="shared" si="106"/>
        <v>107877.0970584984</v>
      </c>
      <c r="K69" s="128">
        <f t="shared" si="107"/>
        <v>106139.986575</v>
      </c>
      <c r="M69" s="36"/>
      <c r="N69" s="32">
        <f t="shared" si="108"/>
        <v>25</v>
      </c>
      <c r="O69" s="25">
        <f t="shared" si="109"/>
        <v>0.12486030985140895</v>
      </c>
      <c r="P69" s="25">
        <f t="shared" si="110"/>
        <v>0.16226496925448552</v>
      </c>
      <c r="Q69" s="25">
        <f t="shared" si="111"/>
        <v>7.6864386307500032E-2</v>
      </c>
      <c r="R69" s="25">
        <f t="shared" si="30"/>
        <v>6.6753409415020615E-2</v>
      </c>
      <c r="S69" s="25">
        <f t="shared" si="31"/>
        <v>6.791624263125029E-2</v>
      </c>
      <c r="T69" s="25">
        <f t="shared" si="32"/>
        <v>7.3456763928750002E-2</v>
      </c>
      <c r="U69" s="25">
        <f t="shared" si="33"/>
        <v>7.4736739799999841E-2</v>
      </c>
      <c r="V69" s="25">
        <f t="shared" si="34"/>
        <v>7.8770970584983946E-2</v>
      </c>
      <c r="W69" s="25">
        <f t="shared" si="112"/>
        <v>6.1399865750000115E-2</v>
      </c>
      <c r="X69" s="36"/>
      <c r="Y69" s="36"/>
      <c r="AA69" s="124">
        <f t="shared" si="113"/>
        <v>26</v>
      </c>
      <c r="AB69" s="128">
        <f t="shared" si="35"/>
        <v>106395.87314999998</v>
      </c>
      <c r="AC69" s="124">
        <f t="shared" si="114"/>
        <v>26</v>
      </c>
      <c r="AD69" s="130">
        <f t="shared" si="115"/>
        <v>4.4999999999999998E-2</v>
      </c>
      <c r="AE69" s="127">
        <f t="shared" si="116"/>
        <v>1085</v>
      </c>
      <c r="AF69" s="128">
        <f t="shared" si="117"/>
        <v>108395.40000000001</v>
      </c>
      <c r="AG69" s="128">
        <f t="shared" si="140"/>
        <v>108500</v>
      </c>
      <c r="AH69" s="128">
        <f t="shared" si="118"/>
        <v>108500</v>
      </c>
      <c r="AI69" s="130">
        <f t="shared" si="36"/>
        <v>4.4999999999999998E-2</v>
      </c>
      <c r="AJ69" s="128">
        <f t="shared" si="37"/>
        <v>108906.87499999999</v>
      </c>
      <c r="AK69" s="128" t="str">
        <f t="shared" si="38"/>
        <v>nie</v>
      </c>
      <c r="AL69" s="128">
        <f t="shared" si="39"/>
        <v>542.5</v>
      </c>
      <c r="AM69" s="128">
        <f t="shared" si="150"/>
        <v>108390.14374999999</v>
      </c>
      <c r="AN69" s="128">
        <f t="shared" si="41"/>
        <v>329.56874999998826</v>
      </c>
      <c r="AO69" s="130">
        <f t="shared" si="42"/>
        <v>4.4999999999999998E-2</v>
      </c>
      <c r="AP69" s="128">
        <f t="shared" si="43"/>
        <v>734.54863635199331</v>
      </c>
      <c r="AQ69" s="128">
        <f t="shared" si="156"/>
        <v>108795.123636352</v>
      </c>
      <c r="AS69" s="124">
        <f t="shared" si="119"/>
        <v>26</v>
      </c>
      <c r="AT69" s="130">
        <f t="shared" si="120"/>
        <v>4.4999999999999998E-2</v>
      </c>
      <c r="AU69" s="127">
        <f t="shared" si="121"/>
        <v>1083</v>
      </c>
      <c r="AV69" s="128">
        <f t="shared" si="122"/>
        <v>108199.6</v>
      </c>
      <c r="AW69" s="128">
        <f t="shared" si="151"/>
        <v>108300</v>
      </c>
      <c r="AX69" s="128">
        <f t="shared" si="123"/>
        <v>108300</v>
      </c>
      <c r="AY69" s="130">
        <f t="shared" si="45"/>
        <v>4.65E-2</v>
      </c>
      <c r="AZ69" s="128">
        <f t="shared" si="46"/>
        <v>108719.66250000001</v>
      </c>
      <c r="BA69" s="128" t="str">
        <f t="shared" si="47"/>
        <v>nie</v>
      </c>
      <c r="BB69" s="128">
        <f t="shared" si="48"/>
        <v>758.09999999999991</v>
      </c>
      <c r="BC69" s="128">
        <f t="shared" si="158"/>
        <v>108025.86562500001</v>
      </c>
      <c r="BD69" s="128">
        <f t="shared" si="50"/>
        <v>339.92662500000472</v>
      </c>
      <c r="BE69" s="130">
        <f t="shared" si="51"/>
        <v>4.4999999999999998E-2</v>
      </c>
      <c r="BF69" s="128">
        <f t="shared" si="52"/>
        <v>683.39404837367306</v>
      </c>
      <c r="BG69" s="128">
        <f t="shared" si="159"/>
        <v>108369.33304837368</v>
      </c>
      <c r="BI69" s="124">
        <f t="shared" si="124"/>
        <v>26</v>
      </c>
      <c r="BJ69" s="130">
        <f t="shared" si="148"/>
        <v>4.3200000000000002E-2</v>
      </c>
      <c r="BK69" s="127">
        <f t="shared" si="125"/>
        <v>1000</v>
      </c>
      <c r="BL69" s="128">
        <f t="shared" si="126"/>
        <v>100000</v>
      </c>
      <c r="BM69" s="128">
        <f t="shared" si="142"/>
        <v>100000</v>
      </c>
      <c r="BN69" s="128">
        <f t="shared" si="127"/>
        <v>110040.09999999999</v>
      </c>
      <c r="BO69" s="130">
        <f t="shared" si="54"/>
        <v>4.9000000000000002E-2</v>
      </c>
      <c r="BP69" s="128">
        <f t="shared" si="55"/>
        <v>110938.76081666666</v>
      </c>
      <c r="BQ69" s="128" t="str">
        <f t="shared" si="56"/>
        <v>nie</v>
      </c>
      <c r="BR69" s="128">
        <f t="shared" si="57"/>
        <v>1000</v>
      </c>
      <c r="BS69" s="128">
        <f t="shared" si="153"/>
        <v>108050.39626149999</v>
      </c>
      <c r="BT69" s="128">
        <f t="shared" si="128"/>
        <v>0</v>
      </c>
      <c r="BU69" s="130">
        <f t="shared" si="59"/>
        <v>4.4999999999999998E-2</v>
      </c>
      <c r="BV69" s="128">
        <f t="shared" si="60"/>
        <v>0</v>
      </c>
      <c r="BW69" s="128">
        <f t="shared" si="61"/>
        <v>108050.39626149999</v>
      </c>
      <c r="BY69" s="130">
        <f t="shared" si="149"/>
        <v>2.9000000000000001E-2</v>
      </c>
      <c r="BZ69" s="127">
        <f t="shared" si="129"/>
        <v>1000</v>
      </c>
      <c r="CA69" s="128">
        <f t="shared" si="130"/>
        <v>100000</v>
      </c>
      <c r="CB69" s="128">
        <f t="shared" si="154"/>
        <v>100000</v>
      </c>
      <c r="CC69" s="128">
        <f t="shared" si="131"/>
        <v>100000</v>
      </c>
      <c r="CD69" s="130">
        <f t="shared" si="62"/>
        <v>4.3999999999999997E-2</v>
      </c>
      <c r="CE69" s="128">
        <f t="shared" si="63"/>
        <v>100733.33333333334</v>
      </c>
      <c r="CF69" s="128" t="str">
        <f t="shared" si="64"/>
        <v>nie</v>
      </c>
      <c r="CG69" s="128">
        <f t="shared" si="65"/>
        <v>2000</v>
      </c>
      <c r="CH69" s="128">
        <f t="shared" si="160"/>
        <v>98974.000000000015</v>
      </c>
      <c r="CI69" s="128">
        <f t="shared" si="67"/>
        <v>0</v>
      </c>
      <c r="CJ69" s="130">
        <f t="shared" si="68"/>
        <v>4.4999999999999998E-2</v>
      </c>
      <c r="CK69" s="128">
        <f t="shared" si="69"/>
        <v>8022.6359021118924</v>
      </c>
      <c r="CL69" s="128">
        <f t="shared" si="70"/>
        <v>106996.63590211191</v>
      </c>
      <c r="CN69" s="127">
        <f t="shared" si="132"/>
        <v>1000</v>
      </c>
      <c r="CO69" s="128">
        <f t="shared" si="133"/>
        <v>100000</v>
      </c>
      <c r="CP69" s="128">
        <f t="shared" si="134"/>
        <v>100000</v>
      </c>
      <c r="CQ69" s="128">
        <f t="shared" si="135"/>
        <v>110931.75000000001</v>
      </c>
      <c r="CR69" s="130">
        <f t="shared" si="71"/>
        <v>4.9000000000000002E-2</v>
      </c>
      <c r="CS69" s="128">
        <f t="shared" si="72"/>
        <v>111837.69262500001</v>
      </c>
      <c r="CT69" s="128" t="str">
        <f t="shared" si="73"/>
        <v>nie</v>
      </c>
      <c r="CU69" s="128">
        <f t="shared" si="74"/>
        <v>3000</v>
      </c>
      <c r="CV69" s="128">
        <f t="shared" si="75"/>
        <v>107158.53102625001</v>
      </c>
      <c r="CW69" s="128">
        <f t="shared" si="76"/>
        <v>0</v>
      </c>
      <c r="CX69" s="130">
        <f t="shared" si="77"/>
        <v>4.4999999999999998E-2</v>
      </c>
      <c r="CY69" s="128">
        <f t="shared" si="78"/>
        <v>0</v>
      </c>
      <c r="CZ69" s="128">
        <f t="shared" si="79"/>
        <v>107158.53102625001</v>
      </c>
      <c r="DA69" s="20"/>
      <c r="DB69" s="127">
        <f t="shared" si="144"/>
        <v>1000</v>
      </c>
      <c r="DC69" s="128">
        <f t="shared" si="145"/>
        <v>100000</v>
      </c>
      <c r="DD69" s="128">
        <f t="shared" si="136"/>
        <v>100000</v>
      </c>
      <c r="DE69" s="128">
        <f t="shared" si="137"/>
        <v>110617.04999999999</v>
      </c>
      <c r="DF69" s="130">
        <f t="shared" si="80"/>
        <v>4.9000000000000002E-2</v>
      </c>
      <c r="DG69" s="128">
        <f t="shared" si="81"/>
        <v>111520.42257499999</v>
      </c>
      <c r="DH69" s="128" t="str">
        <f t="shared" si="82"/>
        <v>nie</v>
      </c>
      <c r="DI69" s="128">
        <f t="shared" si="83"/>
        <v>2000</v>
      </c>
      <c r="DJ69" s="128">
        <f t="shared" si="84"/>
        <v>107711.54228574999</v>
      </c>
      <c r="DK69" s="128">
        <f t="shared" si="85"/>
        <v>0</v>
      </c>
      <c r="DL69" s="130">
        <f t="shared" si="86"/>
        <v>4.4999999999999998E-2</v>
      </c>
      <c r="DM69" s="128">
        <f t="shared" si="87"/>
        <v>0</v>
      </c>
      <c r="DN69" s="128">
        <f t="shared" si="88"/>
        <v>107711.54228574999</v>
      </c>
      <c r="DP69" s="127">
        <f t="shared" si="146"/>
        <v>1000</v>
      </c>
      <c r="DQ69" s="128">
        <f t="shared" si="147"/>
        <v>100000</v>
      </c>
      <c r="DR69" s="128">
        <f t="shared" si="138"/>
        <v>100000</v>
      </c>
      <c r="DS69" s="128">
        <f t="shared" si="139"/>
        <v>111724</v>
      </c>
      <c r="DT69" s="130">
        <f t="shared" si="89"/>
        <v>5.4000000000000006E-2</v>
      </c>
      <c r="DU69" s="128">
        <f t="shared" si="90"/>
        <v>112729.51599999999</v>
      </c>
      <c r="DV69" s="128" t="str">
        <f t="shared" si="91"/>
        <v>nie</v>
      </c>
      <c r="DW69" s="128">
        <f t="shared" si="92"/>
        <v>3000</v>
      </c>
      <c r="DX69" s="128">
        <f t="shared" si="93"/>
        <v>107880.90796</v>
      </c>
      <c r="DY69" s="128">
        <f t="shared" si="94"/>
        <v>0</v>
      </c>
      <c r="DZ69" s="130">
        <f t="shared" si="95"/>
        <v>4.4999999999999998E-2</v>
      </c>
      <c r="EA69" s="128">
        <f t="shared" si="96"/>
        <v>0</v>
      </c>
      <c r="EB69" s="128">
        <f t="shared" si="97"/>
        <v>107880.90796</v>
      </c>
    </row>
    <row r="70" spans="1:137">
      <c r="A70" s="212"/>
      <c r="B70" s="188">
        <f t="shared" si="98"/>
        <v>26</v>
      </c>
      <c r="C70" s="128">
        <f t="shared" si="99"/>
        <v>108795.123636352</v>
      </c>
      <c r="D70" s="128">
        <f t="shared" si="100"/>
        <v>108369.33304837368</v>
      </c>
      <c r="E70" s="128">
        <f t="shared" si="101"/>
        <v>108050.39626149999</v>
      </c>
      <c r="F70" s="128">
        <f t="shared" si="102"/>
        <v>106996.63590211191</v>
      </c>
      <c r="G70" s="128">
        <f t="shared" si="103"/>
        <v>107158.53102625001</v>
      </c>
      <c r="H70" s="128">
        <f t="shared" si="104"/>
        <v>107711.54228574999</v>
      </c>
      <c r="I70" s="128">
        <f t="shared" si="105"/>
        <v>107880.90796</v>
      </c>
      <c r="J70" s="128">
        <f t="shared" si="106"/>
        <v>108204.77374081359</v>
      </c>
      <c r="K70" s="128">
        <f t="shared" si="107"/>
        <v>106395.87314999998</v>
      </c>
      <c r="M70" s="36"/>
      <c r="N70" s="32">
        <f t="shared" si="108"/>
        <v>26</v>
      </c>
      <c r="O70" s="25">
        <f t="shared" si="109"/>
        <v>8.795123636351998E-2</v>
      </c>
      <c r="P70" s="25">
        <f t="shared" si="110"/>
        <v>8.3693330483736839E-2</v>
      </c>
      <c r="Q70" s="25">
        <f t="shared" si="111"/>
        <v>8.0503962614999924E-2</v>
      </c>
      <c r="R70" s="25">
        <f t="shared" si="30"/>
        <v>6.9966359021119029E-2</v>
      </c>
      <c r="S70" s="25">
        <f t="shared" si="31"/>
        <v>7.1585310262500146E-2</v>
      </c>
      <c r="T70" s="25">
        <f t="shared" si="32"/>
        <v>7.7115422857499949E-2</v>
      </c>
      <c r="U70" s="25">
        <f t="shared" si="33"/>
        <v>7.8809079600000054E-2</v>
      </c>
      <c r="V70" s="25">
        <f t="shared" si="34"/>
        <v>8.2047737408135868E-2</v>
      </c>
      <c r="W70" s="25">
        <f t="shared" si="112"/>
        <v>6.3958731499999866E-2</v>
      </c>
      <c r="X70" s="36"/>
      <c r="Y70" s="36"/>
      <c r="AA70" s="124">
        <f t="shared" si="113"/>
        <v>27</v>
      </c>
      <c r="AB70" s="128">
        <f t="shared" si="35"/>
        <v>106651.75972499998</v>
      </c>
      <c r="AC70" s="124">
        <f t="shared" si="114"/>
        <v>27</v>
      </c>
      <c r="AD70" s="130">
        <f t="shared" si="115"/>
        <v>4.4999999999999998E-2</v>
      </c>
      <c r="AE70" s="127">
        <f t="shared" si="116"/>
        <v>1085</v>
      </c>
      <c r="AF70" s="128">
        <f t="shared" si="117"/>
        <v>108395.40000000001</v>
      </c>
      <c r="AG70" s="128">
        <f t="shared" si="140"/>
        <v>108500</v>
      </c>
      <c r="AH70" s="128">
        <f t="shared" si="118"/>
        <v>108500</v>
      </c>
      <c r="AI70" s="130">
        <f t="shared" si="36"/>
        <v>4.4999999999999998E-2</v>
      </c>
      <c r="AJ70" s="128">
        <f t="shared" si="37"/>
        <v>108906.87499999999</v>
      </c>
      <c r="AK70" s="128" t="str">
        <f t="shared" si="38"/>
        <v>nie</v>
      </c>
      <c r="AL70" s="128">
        <f t="shared" si="39"/>
        <v>542.5</v>
      </c>
      <c r="AM70" s="128">
        <f t="shared" si="150"/>
        <v>108390.14374999999</v>
      </c>
      <c r="AN70" s="128">
        <f t="shared" si="41"/>
        <v>329.56874999998826</v>
      </c>
      <c r="AO70" s="130">
        <f t="shared" si="42"/>
        <v>4.4999999999999998E-2</v>
      </c>
      <c r="AP70" s="128">
        <f t="shared" si="43"/>
        <v>1066.3485778349007</v>
      </c>
      <c r="AQ70" s="128">
        <f t="shared" si="156"/>
        <v>109126.9235778349</v>
      </c>
      <c r="AS70" s="124">
        <f t="shared" si="119"/>
        <v>27</v>
      </c>
      <c r="AT70" s="130">
        <f t="shared" si="120"/>
        <v>4.4999999999999998E-2</v>
      </c>
      <c r="AU70" s="127">
        <f t="shared" si="121"/>
        <v>1083</v>
      </c>
      <c r="AV70" s="128">
        <f t="shared" si="122"/>
        <v>108199.6</v>
      </c>
      <c r="AW70" s="128">
        <f t="shared" si="151"/>
        <v>108300</v>
      </c>
      <c r="AX70" s="128">
        <f t="shared" si="123"/>
        <v>108300</v>
      </c>
      <c r="AY70" s="130">
        <f t="shared" si="45"/>
        <v>4.65E-2</v>
      </c>
      <c r="AZ70" s="128">
        <f t="shared" si="46"/>
        <v>108719.66250000001</v>
      </c>
      <c r="BA70" s="128" t="str">
        <f t="shared" si="47"/>
        <v>nie</v>
      </c>
      <c r="BB70" s="128">
        <f t="shared" si="48"/>
        <v>758.09999999999991</v>
      </c>
      <c r="BC70" s="128">
        <f t="shared" si="158"/>
        <v>108025.86562500001</v>
      </c>
      <c r="BD70" s="128">
        <f t="shared" si="50"/>
        <v>339.92662500000472</v>
      </c>
      <c r="BE70" s="130">
        <f t="shared" si="51"/>
        <v>4.4999999999999998E-2</v>
      </c>
      <c r="BF70" s="128">
        <f t="shared" si="52"/>
        <v>1025.3964827956129</v>
      </c>
      <c r="BG70" s="128">
        <f t="shared" si="159"/>
        <v>108711.33548279562</v>
      </c>
      <c r="BI70" s="124">
        <f t="shared" si="124"/>
        <v>27</v>
      </c>
      <c r="BJ70" s="130">
        <f t="shared" si="148"/>
        <v>4.3200000000000002E-2</v>
      </c>
      <c r="BK70" s="127">
        <f t="shared" si="125"/>
        <v>1000</v>
      </c>
      <c r="BL70" s="128">
        <f t="shared" si="126"/>
        <v>100000</v>
      </c>
      <c r="BM70" s="128">
        <f t="shared" si="142"/>
        <v>100000</v>
      </c>
      <c r="BN70" s="128">
        <f t="shared" si="127"/>
        <v>110040.09999999999</v>
      </c>
      <c r="BO70" s="130">
        <f t="shared" si="54"/>
        <v>4.9000000000000002E-2</v>
      </c>
      <c r="BP70" s="128">
        <f t="shared" si="55"/>
        <v>111388.091225</v>
      </c>
      <c r="BQ70" s="128" t="str">
        <f t="shared" si="56"/>
        <v>nie</v>
      </c>
      <c r="BR70" s="128">
        <f t="shared" si="57"/>
        <v>1000</v>
      </c>
      <c r="BS70" s="128">
        <f t="shared" si="153"/>
        <v>108414.35389225</v>
      </c>
      <c r="BT70" s="128">
        <f t="shared" si="128"/>
        <v>0</v>
      </c>
      <c r="BU70" s="130">
        <f t="shared" si="59"/>
        <v>4.4999999999999998E-2</v>
      </c>
      <c r="BV70" s="128">
        <f t="shared" si="60"/>
        <v>0</v>
      </c>
      <c r="BW70" s="128">
        <f t="shared" si="61"/>
        <v>108414.35389225</v>
      </c>
      <c r="BY70" s="130">
        <f t="shared" si="149"/>
        <v>2.9000000000000001E-2</v>
      </c>
      <c r="BZ70" s="127">
        <f t="shared" si="129"/>
        <v>1000</v>
      </c>
      <c r="CA70" s="128">
        <f t="shared" si="130"/>
        <v>100000</v>
      </c>
      <c r="CB70" s="128">
        <f t="shared" si="154"/>
        <v>100000</v>
      </c>
      <c r="CC70" s="128">
        <f t="shared" si="131"/>
        <v>100000</v>
      </c>
      <c r="CD70" s="130">
        <f t="shared" si="62"/>
        <v>4.3999999999999997E-2</v>
      </c>
      <c r="CE70" s="128">
        <f t="shared" si="63"/>
        <v>101099.99999999999</v>
      </c>
      <c r="CF70" s="128" t="str">
        <f t="shared" si="64"/>
        <v>nie</v>
      </c>
      <c r="CG70" s="128">
        <f t="shared" si="65"/>
        <v>2000</v>
      </c>
      <c r="CH70" s="128">
        <f t="shared" si="160"/>
        <v>99270.999999999985</v>
      </c>
      <c r="CI70" s="128">
        <f t="shared" si="67"/>
        <v>0</v>
      </c>
      <c r="CJ70" s="130">
        <f t="shared" si="68"/>
        <v>4.4999999999999998E-2</v>
      </c>
      <c r="CK70" s="128">
        <f t="shared" si="69"/>
        <v>8047.0046586645576</v>
      </c>
      <c r="CL70" s="128">
        <f t="shared" si="70"/>
        <v>107318.00465866455</v>
      </c>
      <c r="CN70" s="127">
        <f t="shared" si="132"/>
        <v>1000</v>
      </c>
      <c r="CO70" s="128">
        <f t="shared" si="133"/>
        <v>100000</v>
      </c>
      <c r="CP70" s="128">
        <f t="shared" si="134"/>
        <v>100000</v>
      </c>
      <c r="CQ70" s="128">
        <f t="shared" si="135"/>
        <v>110931.75000000001</v>
      </c>
      <c r="CR70" s="130">
        <f t="shared" si="71"/>
        <v>4.9000000000000002E-2</v>
      </c>
      <c r="CS70" s="128">
        <f t="shared" si="72"/>
        <v>112290.66393750002</v>
      </c>
      <c r="CT70" s="128" t="str">
        <f t="shared" si="73"/>
        <v>nie</v>
      </c>
      <c r="CU70" s="128">
        <f t="shared" si="74"/>
        <v>3000</v>
      </c>
      <c r="CV70" s="128">
        <f t="shared" si="75"/>
        <v>107525.43778937502</v>
      </c>
      <c r="CW70" s="128">
        <f t="shared" si="76"/>
        <v>0</v>
      </c>
      <c r="CX70" s="130">
        <f t="shared" si="77"/>
        <v>4.4999999999999998E-2</v>
      </c>
      <c r="CY70" s="128">
        <f t="shared" si="78"/>
        <v>0</v>
      </c>
      <c r="CZ70" s="128">
        <f t="shared" si="79"/>
        <v>107525.43778937502</v>
      </c>
      <c r="DA70" s="20"/>
      <c r="DB70" s="127">
        <f t="shared" si="144"/>
        <v>1000</v>
      </c>
      <c r="DC70" s="128">
        <f t="shared" si="145"/>
        <v>100000</v>
      </c>
      <c r="DD70" s="128">
        <f t="shared" si="136"/>
        <v>100000</v>
      </c>
      <c r="DE70" s="128">
        <f t="shared" si="137"/>
        <v>110617.04999999999</v>
      </c>
      <c r="DF70" s="130">
        <f t="shared" si="80"/>
        <v>4.9000000000000002E-2</v>
      </c>
      <c r="DG70" s="128">
        <f t="shared" si="81"/>
        <v>111972.1088625</v>
      </c>
      <c r="DH70" s="128" t="str">
        <f t="shared" si="82"/>
        <v>nie</v>
      </c>
      <c r="DI70" s="128">
        <f t="shared" si="83"/>
        <v>2000</v>
      </c>
      <c r="DJ70" s="128">
        <f t="shared" si="84"/>
        <v>108077.408178625</v>
      </c>
      <c r="DK70" s="128">
        <f t="shared" si="85"/>
        <v>0</v>
      </c>
      <c r="DL70" s="130">
        <f t="shared" si="86"/>
        <v>4.4999999999999998E-2</v>
      </c>
      <c r="DM70" s="128">
        <f t="shared" si="87"/>
        <v>0</v>
      </c>
      <c r="DN70" s="128">
        <f t="shared" si="88"/>
        <v>108077.408178625</v>
      </c>
      <c r="DP70" s="127">
        <f t="shared" si="146"/>
        <v>1000</v>
      </c>
      <c r="DQ70" s="128">
        <f t="shared" si="147"/>
        <v>100000</v>
      </c>
      <c r="DR70" s="128">
        <f t="shared" si="138"/>
        <v>100000</v>
      </c>
      <c r="DS70" s="128">
        <f t="shared" si="139"/>
        <v>111724</v>
      </c>
      <c r="DT70" s="130">
        <f t="shared" si="89"/>
        <v>5.4000000000000006E-2</v>
      </c>
      <c r="DU70" s="128">
        <f t="shared" si="90"/>
        <v>113232.274</v>
      </c>
      <c r="DV70" s="128" t="str">
        <f t="shared" si="91"/>
        <v>nie</v>
      </c>
      <c r="DW70" s="128">
        <f t="shared" si="92"/>
        <v>3000</v>
      </c>
      <c r="DX70" s="128">
        <f t="shared" si="93"/>
        <v>108288.14194</v>
      </c>
      <c r="DY70" s="128">
        <f t="shared" si="94"/>
        <v>0</v>
      </c>
      <c r="DZ70" s="130">
        <f t="shared" si="95"/>
        <v>4.4999999999999998E-2</v>
      </c>
      <c r="EA70" s="128">
        <f t="shared" si="96"/>
        <v>0</v>
      </c>
      <c r="EB70" s="128">
        <f t="shared" si="97"/>
        <v>108288.14194</v>
      </c>
    </row>
    <row r="71" spans="1:137">
      <c r="A71" s="212"/>
      <c r="B71" s="188">
        <f t="shared" si="98"/>
        <v>27</v>
      </c>
      <c r="C71" s="128">
        <f t="shared" si="99"/>
        <v>109126.9235778349</v>
      </c>
      <c r="D71" s="128">
        <f t="shared" si="100"/>
        <v>108711.33548279562</v>
      </c>
      <c r="E71" s="128">
        <f t="shared" si="101"/>
        <v>108414.35389225</v>
      </c>
      <c r="F71" s="128">
        <f t="shared" si="102"/>
        <v>107318.00465866455</v>
      </c>
      <c r="G71" s="128">
        <f t="shared" si="103"/>
        <v>107525.43778937502</v>
      </c>
      <c r="H71" s="128">
        <f t="shared" si="104"/>
        <v>108077.408178625</v>
      </c>
      <c r="I71" s="128">
        <f t="shared" si="105"/>
        <v>108288.14194</v>
      </c>
      <c r="J71" s="128">
        <f t="shared" si="106"/>
        <v>108533.44574105131</v>
      </c>
      <c r="K71" s="128">
        <f t="shared" si="107"/>
        <v>106651.75972499998</v>
      </c>
      <c r="M71" s="36"/>
      <c r="N71" s="32">
        <f t="shared" si="108"/>
        <v>27</v>
      </c>
      <c r="O71" s="25">
        <f t="shared" si="109"/>
        <v>9.1269235778348889E-2</v>
      </c>
      <c r="P71" s="25">
        <f t="shared" si="110"/>
        <v>8.7113354827956124E-2</v>
      </c>
      <c r="Q71" s="25">
        <f t="shared" si="111"/>
        <v>8.4143538922500039E-2</v>
      </c>
      <c r="R71" s="25">
        <f t="shared" si="30"/>
        <v>7.3180046586645453E-2</v>
      </c>
      <c r="S71" s="25">
        <f t="shared" si="31"/>
        <v>7.5254377893750224E-2</v>
      </c>
      <c r="T71" s="25">
        <f t="shared" si="32"/>
        <v>8.0774081786250118E-2</v>
      </c>
      <c r="U71" s="25">
        <f t="shared" si="33"/>
        <v>8.2881419400000045E-2</v>
      </c>
      <c r="V71" s="25">
        <f t="shared" si="34"/>
        <v>8.5334457410513043E-2</v>
      </c>
      <c r="W71" s="25">
        <f t="shared" si="112"/>
        <v>6.6517597249999838E-2</v>
      </c>
      <c r="X71" s="36"/>
      <c r="Y71" s="36"/>
      <c r="AA71" s="124">
        <f t="shared" si="113"/>
        <v>28</v>
      </c>
      <c r="AB71" s="128">
        <f t="shared" si="35"/>
        <v>106907.64629999999</v>
      </c>
      <c r="AC71" s="124">
        <f t="shared" si="114"/>
        <v>28</v>
      </c>
      <c r="AD71" s="130">
        <f t="shared" si="115"/>
        <v>4.4999999999999998E-2</v>
      </c>
      <c r="AE71" s="127">
        <f t="shared" si="116"/>
        <v>1085</v>
      </c>
      <c r="AF71" s="128">
        <f t="shared" si="117"/>
        <v>108395.40000000001</v>
      </c>
      <c r="AG71" s="128">
        <f t="shared" si="140"/>
        <v>108500</v>
      </c>
      <c r="AH71" s="128">
        <f t="shared" si="118"/>
        <v>108500</v>
      </c>
      <c r="AI71" s="130">
        <f t="shared" si="36"/>
        <v>4.4999999999999998E-2</v>
      </c>
      <c r="AJ71" s="128">
        <f t="shared" si="37"/>
        <v>108906.87499999999</v>
      </c>
      <c r="AK71" s="128" t="str">
        <f t="shared" si="38"/>
        <v>nie</v>
      </c>
      <c r="AL71" s="128">
        <f t="shared" si="39"/>
        <v>542.5</v>
      </c>
      <c r="AM71" s="128">
        <f t="shared" si="150"/>
        <v>108390.14374999999</v>
      </c>
      <c r="AN71" s="128">
        <f t="shared" si="41"/>
        <v>329.56874999998826</v>
      </c>
      <c r="AO71" s="130">
        <f t="shared" si="42"/>
        <v>4.4999999999999998E-2</v>
      </c>
      <c r="AP71" s="128">
        <f t="shared" si="43"/>
        <v>1399.1563616400624</v>
      </c>
      <c r="AQ71" s="128">
        <f t="shared" si="156"/>
        <v>109459.73136164006</v>
      </c>
      <c r="AS71" s="124">
        <f t="shared" si="119"/>
        <v>28</v>
      </c>
      <c r="AT71" s="130">
        <f t="shared" si="120"/>
        <v>4.4999999999999998E-2</v>
      </c>
      <c r="AU71" s="127">
        <f t="shared" si="121"/>
        <v>1083</v>
      </c>
      <c r="AV71" s="128">
        <f t="shared" si="122"/>
        <v>108199.6</v>
      </c>
      <c r="AW71" s="128">
        <f t="shared" si="151"/>
        <v>108300</v>
      </c>
      <c r="AX71" s="128">
        <f t="shared" si="123"/>
        <v>108300</v>
      </c>
      <c r="AY71" s="130">
        <f t="shared" si="45"/>
        <v>4.65E-2</v>
      </c>
      <c r="AZ71" s="128">
        <f t="shared" si="46"/>
        <v>108719.66250000001</v>
      </c>
      <c r="BA71" s="128" t="str">
        <f t="shared" si="47"/>
        <v>nie</v>
      </c>
      <c r="BB71" s="128">
        <f t="shared" si="48"/>
        <v>758.09999999999991</v>
      </c>
      <c r="BC71" s="128">
        <f t="shared" si="158"/>
        <v>108025.86562500001</v>
      </c>
      <c r="BD71" s="128">
        <f t="shared" si="50"/>
        <v>339.92662500000472</v>
      </c>
      <c r="BE71" s="130">
        <f t="shared" si="51"/>
        <v>4.4999999999999998E-2</v>
      </c>
      <c r="BF71" s="128">
        <f t="shared" si="52"/>
        <v>1368.4377496121092</v>
      </c>
      <c r="BG71" s="128">
        <f t="shared" si="159"/>
        <v>109054.37674961211</v>
      </c>
      <c r="BI71" s="124">
        <f t="shared" si="124"/>
        <v>28</v>
      </c>
      <c r="BJ71" s="130">
        <f t="shared" si="148"/>
        <v>4.3200000000000002E-2</v>
      </c>
      <c r="BK71" s="127">
        <f t="shared" si="125"/>
        <v>1000</v>
      </c>
      <c r="BL71" s="128">
        <f t="shared" si="126"/>
        <v>100000</v>
      </c>
      <c r="BM71" s="128">
        <f t="shared" si="142"/>
        <v>100000</v>
      </c>
      <c r="BN71" s="128">
        <f t="shared" si="127"/>
        <v>110040.09999999999</v>
      </c>
      <c r="BO71" s="130">
        <f t="shared" si="54"/>
        <v>4.9000000000000002E-2</v>
      </c>
      <c r="BP71" s="128">
        <f t="shared" si="55"/>
        <v>111837.42163333332</v>
      </c>
      <c r="BQ71" s="128" t="str">
        <f t="shared" si="56"/>
        <v>nie</v>
      </c>
      <c r="BR71" s="128">
        <f t="shared" si="57"/>
        <v>1000</v>
      </c>
      <c r="BS71" s="128">
        <f t="shared" si="153"/>
        <v>108778.31152299998</v>
      </c>
      <c r="BT71" s="128">
        <f t="shared" si="128"/>
        <v>0</v>
      </c>
      <c r="BU71" s="130">
        <f t="shared" si="59"/>
        <v>4.4999999999999998E-2</v>
      </c>
      <c r="BV71" s="128">
        <f t="shared" si="60"/>
        <v>0</v>
      </c>
      <c r="BW71" s="128">
        <f t="shared" si="61"/>
        <v>108778.31152299998</v>
      </c>
      <c r="BY71" s="130">
        <f t="shared" si="149"/>
        <v>2.9000000000000001E-2</v>
      </c>
      <c r="BZ71" s="127">
        <f t="shared" si="129"/>
        <v>1000</v>
      </c>
      <c r="CA71" s="128">
        <f t="shared" si="130"/>
        <v>100000</v>
      </c>
      <c r="CB71" s="128">
        <f t="shared" si="154"/>
        <v>100000</v>
      </c>
      <c r="CC71" s="128">
        <f t="shared" si="131"/>
        <v>100000</v>
      </c>
      <c r="CD71" s="130">
        <f t="shared" si="62"/>
        <v>4.3999999999999997E-2</v>
      </c>
      <c r="CE71" s="128">
        <f t="shared" si="63"/>
        <v>101466.66666666666</v>
      </c>
      <c r="CF71" s="128" t="str">
        <f t="shared" si="64"/>
        <v>nie</v>
      </c>
      <c r="CG71" s="128">
        <f t="shared" si="65"/>
        <v>2000</v>
      </c>
      <c r="CH71" s="128">
        <f t="shared" si="160"/>
        <v>99567.999999999985</v>
      </c>
      <c r="CI71" s="128">
        <f t="shared" si="67"/>
        <v>0</v>
      </c>
      <c r="CJ71" s="130">
        <f t="shared" si="68"/>
        <v>4.4999999999999998E-2</v>
      </c>
      <c r="CK71" s="128">
        <f t="shared" si="69"/>
        <v>8071.4474353152518</v>
      </c>
      <c r="CL71" s="128">
        <f t="shared" si="70"/>
        <v>107639.44743531523</v>
      </c>
      <c r="CN71" s="127">
        <f t="shared" si="132"/>
        <v>1000</v>
      </c>
      <c r="CO71" s="128">
        <f t="shared" si="133"/>
        <v>100000</v>
      </c>
      <c r="CP71" s="128">
        <f t="shared" si="134"/>
        <v>100000</v>
      </c>
      <c r="CQ71" s="128">
        <f t="shared" si="135"/>
        <v>110931.75000000001</v>
      </c>
      <c r="CR71" s="130">
        <f t="shared" si="71"/>
        <v>4.9000000000000002E-2</v>
      </c>
      <c r="CS71" s="128">
        <f t="shared" si="72"/>
        <v>112743.63525000001</v>
      </c>
      <c r="CT71" s="128" t="str">
        <f t="shared" si="73"/>
        <v>nie</v>
      </c>
      <c r="CU71" s="128">
        <f t="shared" si="74"/>
        <v>3000</v>
      </c>
      <c r="CV71" s="128">
        <f t="shared" si="75"/>
        <v>107892.3445525</v>
      </c>
      <c r="CW71" s="128">
        <f t="shared" si="76"/>
        <v>0</v>
      </c>
      <c r="CX71" s="130">
        <f t="shared" si="77"/>
        <v>4.4999999999999998E-2</v>
      </c>
      <c r="CY71" s="128">
        <f t="shared" si="78"/>
        <v>0</v>
      </c>
      <c r="CZ71" s="128">
        <f t="shared" si="79"/>
        <v>107892.3445525</v>
      </c>
      <c r="DA71" s="20"/>
      <c r="DB71" s="127">
        <f t="shared" si="144"/>
        <v>1000</v>
      </c>
      <c r="DC71" s="128">
        <f t="shared" si="145"/>
        <v>100000</v>
      </c>
      <c r="DD71" s="128">
        <f t="shared" si="136"/>
        <v>100000</v>
      </c>
      <c r="DE71" s="128">
        <f t="shared" si="137"/>
        <v>110617.04999999999</v>
      </c>
      <c r="DF71" s="130">
        <f t="shared" si="80"/>
        <v>4.9000000000000002E-2</v>
      </c>
      <c r="DG71" s="128">
        <f t="shared" si="81"/>
        <v>112423.79514999999</v>
      </c>
      <c r="DH71" s="128" t="str">
        <f t="shared" si="82"/>
        <v>nie</v>
      </c>
      <c r="DI71" s="128">
        <f t="shared" si="83"/>
        <v>2000</v>
      </c>
      <c r="DJ71" s="128">
        <f t="shared" si="84"/>
        <v>108443.2740715</v>
      </c>
      <c r="DK71" s="128">
        <f t="shared" si="85"/>
        <v>0</v>
      </c>
      <c r="DL71" s="130">
        <f t="shared" si="86"/>
        <v>4.4999999999999998E-2</v>
      </c>
      <c r="DM71" s="128">
        <f t="shared" si="87"/>
        <v>0</v>
      </c>
      <c r="DN71" s="128">
        <f t="shared" si="88"/>
        <v>108443.2740715</v>
      </c>
      <c r="DP71" s="127">
        <f t="shared" si="146"/>
        <v>1000</v>
      </c>
      <c r="DQ71" s="128">
        <f t="shared" si="147"/>
        <v>100000</v>
      </c>
      <c r="DR71" s="128">
        <f t="shared" si="138"/>
        <v>100000</v>
      </c>
      <c r="DS71" s="128">
        <f t="shared" si="139"/>
        <v>111724</v>
      </c>
      <c r="DT71" s="130">
        <f t="shared" si="89"/>
        <v>5.4000000000000006E-2</v>
      </c>
      <c r="DU71" s="128">
        <f t="shared" si="90"/>
        <v>113735.03200000001</v>
      </c>
      <c r="DV71" s="128" t="str">
        <f t="shared" si="91"/>
        <v>nie</v>
      </c>
      <c r="DW71" s="128">
        <f t="shared" si="92"/>
        <v>3000</v>
      </c>
      <c r="DX71" s="128">
        <f t="shared" si="93"/>
        <v>108695.37592000001</v>
      </c>
      <c r="DY71" s="128">
        <f t="shared" si="94"/>
        <v>0</v>
      </c>
      <c r="DZ71" s="130">
        <f t="shared" si="95"/>
        <v>4.4999999999999998E-2</v>
      </c>
      <c r="EA71" s="128">
        <f t="shared" si="96"/>
        <v>0</v>
      </c>
      <c r="EB71" s="128">
        <f t="shared" si="97"/>
        <v>108695.37592000001</v>
      </c>
    </row>
    <row r="72" spans="1:137">
      <c r="A72" s="212"/>
      <c r="B72" s="188">
        <f t="shared" si="98"/>
        <v>28</v>
      </c>
      <c r="C72" s="128">
        <f t="shared" si="99"/>
        <v>109459.73136164006</v>
      </c>
      <c r="D72" s="128">
        <f t="shared" si="100"/>
        <v>109054.37674961211</v>
      </c>
      <c r="E72" s="128">
        <f t="shared" si="101"/>
        <v>108778.31152299998</v>
      </c>
      <c r="F72" s="128">
        <f t="shared" si="102"/>
        <v>107639.44743531523</v>
      </c>
      <c r="G72" s="128">
        <f t="shared" si="103"/>
        <v>107892.3445525</v>
      </c>
      <c r="H72" s="128">
        <f t="shared" si="104"/>
        <v>108443.2740715</v>
      </c>
      <c r="I72" s="128">
        <f t="shared" si="105"/>
        <v>108695.37592000001</v>
      </c>
      <c r="J72" s="128">
        <f t="shared" si="106"/>
        <v>108863.11608248975</v>
      </c>
      <c r="K72" s="128">
        <f t="shared" si="107"/>
        <v>106907.64629999999</v>
      </c>
      <c r="M72" s="36"/>
      <c r="N72" s="32">
        <f t="shared" si="108"/>
        <v>28</v>
      </c>
      <c r="O72" s="25">
        <f t="shared" si="109"/>
        <v>9.4597313616400669E-2</v>
      </c>
      <c r="P72" s="25">
        <f t="shared" si="110"/>
        <v>9.0543767496121141E-2</v>
      </c>
      <c r="Q72" s="25">
        <f t="shared" si="111"/>
        <v>8.7783115229999931E-2</v>
      </c>
      <c r="R72" s="25">
        <f t="shared" si="30"/>
        <v>7.6394474353152386E-2</v>
      </c>
      <c r="S72" s="25">
        <f t="shared" si="31"/>
        <v>7.892344552500008E-2</v>
      </c>
      <c r="T72" s="25">
        <f t="shared" si="32"/>
        <v>8.4432740715000065E-2</v>
      </c>
      <c r="U72" s="25">
        <f t="shared" si="33"/>
        <v>8.6953759200000036E-2</v>
      </c>
      <c r="V72" s="25">
        <f t="shared" si="34"/>
        <v>8.8631160824897526E-2</v>
      </c>
      <c r="W72" s="25">
        <f t="shared" si="112"/>
        <v>6.9076463000000032E-2</v>
      </c>
      <c r="X72" s="36"/>
      <c r="Y72" s="36"/>
      <c r="AA72" s="124">
        <f t="shared" si="113"/>
        <v>29</v>
      </c>
      <c r="AB72" s="128">
        <f t="shared" si="35"/>
        <v>107163.532875</v>
      </c>
      <c r="AC72" s="124">
        <f t="shared" si="114"/>
        <v>29</v>
      </c>
      <c r="AD72" s="130">
        <f t="shared" si="115"/>
        <v>4.4999999999999998E-2</v>
      </c>
      <c r="AE72" s="127">
        <f t="shared" si="116"/>
        <v>1085</v>
      </c>
      <c r="AF72" s="128">
        <f t="shared" si="117"/>
        <v>108395.40000000001</v>
      </c>
      <c r="AG72" s="128">
        <f t="shared" si="140"/>
        <v>108500</v>
      </c>
      <c r="AH72" s="128">
        <f t="shared" si="118"/>
        <v>108500</v>
      </c>
      <c r="AI72" s="130">
        <f t="shared" si="36"/>
        <v>4.4999999999999998E-2</v>
      </c>
      <c r="AJ72" s="128">
        <f t="shared" si="37"/>
        <v>108906.87499999999</v>
      </c>
      <c r="AK72" s="128" t="str">
        <f t="shared" si="38"/>
        <v>nie</v>
      </c>
      <c r="AL72" s="128">
        <f t="shared" si="39"/>
        <v>542.5</v>
      </c>
      <c r="AM72" s="128">
        <f t="shared" si="150"/>
        <v>108390.14374999999</v>
      </c>
      <c r="AN72" s="128">
        <f t="shared" si="41"/>
        <v>329.56874999998826</v>
      </c>
      <c r="AO72" s="130">
        <f t="shared" si="42"/>
        <v>4.4999999999999998E-2</v>
      </c>
      <c r="AP72" s="128">
        <f t="shared" si="43"/>
        <v>1732.9750490885324</v>
      </c>
      <c r="AQ72" s="128">
        <f t="shared" si="156"/>
        <v>109793.55004908853</v>
      </c>
      <c r="AS72" s="124">
        <f t="shared" si="119"/>
        <v>29</v>
      </c>
      <c r="AT72" s="130">
        <f t="shared" si="120"/>
        <v>4.4999999999999998E-2</v>
      </c>
      <c r="AU72" s="127">
        <f t="shared" si="121"/>
        <v>1083</v>
      </c>
      <c r="AV72" s="128">
        <f t="shared" si="122"/>
        <v>108199.6</v>
      </c>
      <c r="AW72" s="128">
        <f t="shared" si="151"/>
        <v>108300</v>
      </c>
      <c r="AX72" s="128">
        <f t="shared" si="123"/>
        <v>108300</v>
      </c>
      <c r="AY72" s="130">
        <f t="shared" si="45"/>
        <v>4.65E-2</v>
      </c>
      <c r="AZ72" s="128">
        <f t="shared" si="46"/>
        <v>108719.66250000001</v>
      </c>
      <c r="BA72" s="128" t="str">
        <f t="shared" si="47"/>
        <v>nie</v>
      </c>
      <c r="BB72" s="128">
        <f t="shared" si="48"/>
        <v>758.09999999999991</v>
      </c>
      <c r="BC72" s="128">
        <f t="shared" si="158"/>
        <v>108025.86562500001</v>
      </c>
      <c r="BD72" s="128">
        <f t="shared" si="50"/>
        <v>339.92662500000472</v>
      </c>
      <c r="BE72" s="130">
        <f t="shared" si="51"/>
        <v>4.4999999999999998E-2</v>
      </c>
      <c r="BF72" s="128">
        <f t="shared" si="52"/>
        <v>1712.5210042765607</v>
      </c>
      <c r="BG72" s="128">
        <f t="shared" si="159"/>
        <v>109398.46000427657</v>
      </c>
      <c r="BI72" s="124">
        <f t="shared" si="124"/>
        <v>29</v>
      </c>
      <c r="BJ72" s="130">
        <f t="shared" si="148"/>
        <v>4.3200000000000002E-2</v>
      </c>
      <c r="BK72" s="127">
        <f t="shared" si="125"/>
        <v>1000</v>
      </c>
      <c r="BL72" s="128">
        <f t="shared" si="126"/>
        <v>100000</v>
      </c>
      <c r="BM72" s="128">
        <f t="shared" si="142"/>
        <v>100000</v>
      </c>
      <c r="BN72" s="128">
        <f t="shared" si="127"/>
        <v>110040.09999999999</v>
      </c>
      <c r="BO72" s="130">
        <f t="shared" si="54"/>
        <v>4.9000000000000002E-2</v>
      </c>
      <c r="BP72" s="128">
        <f t="shared" si="55"/>
        <v>112286.75204166667</v>
      </c>
      <c r="BQ72" s="128" t="str">
        <f t="shared" si="56"/>
        <v>nie</v>
      </c>
      <c r="BR72" s="128">
        <f t="shared" si="57"/>
        <v>1000</v>
      </c>
      <c r="BS72" s="128">
        <f t="shared" si="153"/>
        <v>109142.26915375001</v>
      </c>
      <c r="BT72" s="128">
        <f t="shared" si="128"/>
        <v>0</v>
      </c>
      <c r="BU72" s="130">
        <f t="shared" si="59"/>
        <v>4.4999999999999998E-2</v>
      </c>
      <c r="BV72" s="128">
        <f t="shared" si="60"/>
        <v>0</v>
      </c>
      <c r="BW72" s="128">
        <f t="shared" si="61"/>
        <v>109142.26915375001</v>
      </c>
      <c r="BY72" s="130">
        <f t="shared" si="149"/>
        <v>2.9000000000000001E-2</v>
      </c>
      <c r="BZ72" s="127">
        <f t="shared" si="129"/>
        <v>1000</v>
      </c>
      <c r="CA72" s="128">
        <f t="shared" si="130"/>
        <v>100000</v>
      </c>
      <c r="CB72" s="128">
        <f t="shared" si="154"/>
        <v>100000</v>
      </c>
      <c r="CC72" s="128">
        <f t="shared" si="131"/>
        <v>100000</v>
      </c>
      <c r="CD72" s="130">
        <f t="shared" si="62"/>
        <v>4.3999999999999997E-2</v>
      </c>
      <c r="CE72" s="128">
        <f t="shared" si="63"/>
        <v>101833.33333333333</v>
      </c>
      <c r="CF72" s="128" t="str">
        <f t="shared" si="64"/>
        <v>nie</v>
      </c>
      <c r="CG72" s="128">
        <f t="shared" si="65"/>
        <v>2000</v>
      </c>
      <c r="CH72" s="128">
        <f t="shared" si="160"/>
        <v>99865</v>
      </c>
      <c r="CI72" s="128">
        <f t="shared" si="67"/>
        <v>0</v>
      </c>
      <c r="CJ72" s="130">
        <f t="shared" si="68"/>
        <v>4.4999999999999998E-2</v>
      </c>
      <c r="CK72" s="128">
        <f t="shared" si="69"/>
        <v>8095.964456900022</v>
      </c>
      <c r="CL72" s="128">
        <f t="shared" si="70"/>
        <v>107960.96445690002</v>
      </c>
      <c r="CN72" s="127">
        <f t="shared" si="132"/>
        <v>1000</v>
      </c>
      <c r="CO72" s="128">
        <f t="shared" si="133"/>
        <v>100000</v>
      </c>
      <c r="CP72" s="128">
        <f t="shared" si="134"/>
        <v>100000</v>
      </c>
      <c r="CQ72" s="128">
        <f t="shared" si="135"/>
        <v>110931.75000000001</v>
      </c>
      <c r="CR72" s="130">
        <f t="shared" si="71"/>
        <v>4.9000000000000002E-2</v>
      </c>
      <c r="CS72" s="128">
        <f t="shared" si="72"/>
        <v>113196.60656250002</v>
      </c>
      <c r="CT72" s="128" t="str">
        <f t="shared" si="73"/>
        <v>nie</v>
      </c>
      <c r="CU72" s="128">
        <f t="shared" si="74"/>
        <v>3000</v>
      </c>
      <c r="CV72" s="128">
        <f t="shared" si="75"/>
        <v>108259.25131562502</v>
      </c>
      <c r="CW72" s="128">
        <f t="shared" si="76"/>
        <v>0</v>
      </c>
      <c r="CX72" s="130">
        <f t="shared" si="77"/>
        <v>4.4999999999999998E-2</v>
      </c>
      <c r="CY72" s="128">
        <f t="shared" si="78"/>
        <v>0</v>
      </c>
      <c r="CZ72" s="128">
        <f t="shared" si="79"/>
        <v>108259.25131562502</v>
      </c>
      <c r="DA72" s="20"/>
      <c r="DB72" s="127">
        <f t="shared" si="144"/>
        <v>1000</v>
      </c>
      <c r="DC72" s="128">
        <f t="shared" si="145"/>
        <v>100000</v>
      </c>
      <c r="DD72" s="128">
        <f t="shared" si="136"/>
        <v>100000</v>
      </c>
      <c r="DE72" s="128">
        <f t="shared" si="137"/>
        <v>110617.04999999999</v>
      </c>
      <c r="DF72" s="130">
        <f t="shared" si="80"/>
        <v>4.9000000000000002E-2</v>
      </c>
      <c r="DG72" s="128">
        <f t="shared" si="81"/>
        <v>112875.4814375</v>
      </c>
      <c r="DH72" s="128" t="str">
        <f t="shared" si="82"/>
        <v>nie</v>
      </c>
      <c r="DI72" s="128">
        <f t="shared" si="83"/>
        <v>2000</v>
      </c>
      <c r="DJ72" s="128">
        <f t="shared" si="84"/>
        <v>108809.139964375</v>
      </c>
      <c r="DK72" s="128">
        <f t="shared" si="85"/>
        <v>0</v>
      </c>
      <c r="DL72" s="130">
        <f t="shared" si="86"/>
        <v>4.4999999999999998E-2</v>
      </c>
      <c r="DM72" s="128">
        <f t="shared" si="87"/>
        <v>0</v>
      </c>
      <c r="DN72" s="128">
        <f t="shared" si="88"/>
        <v>108809.139964375</v>
      </c>
      <c r="DP72" s="127">
        <f t="shared" si="146"/>
        <v>1000</v>
      </c>
      <c r="DQ72" s="128">
        <f t="shared" si="147"/>
        <v>100000</v>
      </c>
      <c r="DR72" s="128">
        <f t="shared" si="138"/>
        <v>100000</v>
      </c>
      <c r="DS72" s="128">
        <f t="shared" si="139"/>
        <v>111724</v>
      </c>
      <c r="DT72" s="130">
        <f t="shared" si="89"/>
        <v>5.4000000000000006E-2</v>
      </c>
      <c r="DU72" s="128">
        <f t="shared" si="90"/>
        <v>114237.79</v>
      </c>
      <c r="DV72" s="128" t="str">
        <f t="shared" si="91"/>
        <v>nie</v>
      </c>
      <c r="DW72" s="128">
        <f t="shared" si="92"/>
        <v>3000</v>
      </c>
      <c r="DX72" s="128">
        <f t="shared" si="93"/>
        <v>109102.6099</v>
      </c>
      <c r="DY72" s="128">
        <f t="shared" si="94"/>
        <v>0</v>
      </c>
      <c r="DZ72" s="130">
        <f t="shared" si="95"/>
        <v>4.4999999999999998E-2</v>
      </c>
      <c r="EA72" s="128">
        <f t="shared" si="96"/>
        <v>0</v>
      </c>
      <c r="EB72" s="128">
        <f t="shared" si="97"/>
        <v>109102.6099</v>
      </c>
    </row>
    <row r="73" spans="1:137">
      <c r="A73" s="212"/>
      <c r="B73" s="188">
        <f t="shared" si="98"/>
        <v>29</v>
      </c>
      <c r="C73" s="128">
        <f t="shared" si="99"/>
        <v>109793.55004908853</v>
      </c>
      <c r="D73" s="128">
        <f t="shared" si="100"/>
        <v>109398.46000427657</v>
      </c>
      <c r="E73" s="128">
        <f t="shared" si="101"/>
        <v>109142.26915375001</v>
      </c>
      <c r="F73" s="128">
        <f t="shared" si="102"/>
        <v>107960.96445690002</v>
      </c>
      <c r="G73" s="128">
        <f t="shared" si="103"/>
        <v>108259.25131562502</v>
      </c>
      <c r="H73" s="128">
        <f t="shared" si="104"/>
        <v>108809.139964375</v>
      </c>
      <c r="I73" s="128">
        <f t="shared" si="105"/>
        <v>109102.6099</v>
      </c>
      <c r="J73" s="128">
        <f t="shared" si="106"/>
        <v>109193.78779759032</v>
      </c>
      <c r="K73" s="128">
        <f t="shared" si="107"/>
        <v>107163.532875</v>
      </c>
      <c r="M73" s="36"/>
      <c r="N73" s="32">
        <f t="shared" si="108"/>
        <v>29</v>
      </c>
      <c r="O73" s="25">
        <f t="shared" si="109"/>
        <v>9.7935500490885286E-2</v>
      </c>
      <c r="P73" s="25">
        <f t="shared" si="110"/>
        <v>9.3984600042765765E-2</v>
      </c>
      <c r="Q73" s="25">
        <f t="shared" si="111"/>
        <v>9.1422691537500045E-2</v>
      </c>
      <c r="R73" s="25">
        <f t="shared" si="30"/>
        <v>7.9609644569000215E-2</v>
      </c>
      <c r="S73" s="25">
        <f t="shared" si="31"/>
        <v>8.2592513156250158E-2</v>
      </c>
      <c r="T73" s="25">
        <f t="shared" si="32"/>
        <v>8.8091399643750012E-2</v>
      </c>
      <c r="U73" s="25">
        <f t="shared" si="33"/>
        <v>9.1026099000000027E-2</v>
      </c>
      <c r="V73" s="25">
        <f t="shared" si="34"/>
        <v>9.1937877975903248E-2</v>
      </c>
      <c r="W73" s="25">
        <f t="shared" si="112"/>
        <v>7.1635328750000005E-2</v>
      </c>
      <c r="X73" s="36"/>
      <c r="Y73" s="36"/>
      <c r="AA73" s="124">
        <f t="shared" si="113"/>
        <v>30</v>
      </c>
      <c r="AB73" s="128">
        <f t="shared" si="35"/>
        <v>107419.41944999999</v>
      </c>
      <c r="AC73" s="124">
        <f t="shared" si="114"/>
        <v>30</v>
      </c>
      <c r="AD73" s="130">
        <f t="shared" si="115"/>
        <v>4.4999999999999998E-2</v>
      </c>
      <c r="AE73" s="127">
        <f t="shared" si="116"/>
        <v>1085</v>
      </c>
      <c r="AF73" s="128">
        <f t="shared" si="117"/>
        <v>108395.40000000001</v>
      </c>
      <c r="AG73" s="128">
        <f t="shared" si="140"/>
        <v>108500</v>
      </c>
      <c r="AH73" s="128">
        <f t="shared" si="118"/>
        <v>108500</v>
      </c>
      <c r="AI73" s="130">
        <f t="shared" si="36"/>
        <v>4.4999999999999998E-2</v>
      </c>
      <c r="AJ73" s="128">
        <f t="shared" si="37"/>
        <v>108906.87499999999</v>
      </c>
      <c r="AK73" s="128" t="str">
        <f t="shared" si="38"/>
        <v>nie</v>
      </c>
      <c r="AL73" s="128">
        <f t="shared" si="39"/>
        <v>542.5</v>
      </c>
      <c r="AM73" s="128">
        <f t="shared" si="150"/>
        <v>108390.14374999999</v>
      </c>
      <c r="AN73" s="128">
        <f t="shared" si="41"/>
        <v>329.56874999998826</v>
      </c>
      <c r="AO73" s="130">
        <f t="shared" si="42"/>
        <v>4.4999999999999998E-2</v>
      </c>
      <c r="AP73" s="128">
        <f t="shared" si="43"/>
        <v>2067.8077108001271</v>
      </c>
      <c r="AQ73" s="128">
        <f t="shared" si="156"/>
        <v>110128.38271080013</v>
      </c>
      <c r="AS73" s="124">
        <f t="shared" si="119"/>
        <v>30</v>
      </c>
      <c r="AT73" s="130">
        <f t="shared" si="120"/>
        <v>4.4999999999999998E-2</v>
      </c>
      <c r="AU73" s="127">
        <f t="shared" si="121"/>
        <v>1083</v>
      </c>
      <c r="AV73" s="128">
        <f t="shared" si="122"/>
        <v>108199.6</v>
      </c>
      <c r="AW73" s="128">
        <f t="shared" si="151"/>
        <v>108300</v>
      </c>
      <c r="AX73" s="128">
        <f t="shared" si="123"/>
        <v>108300</v>
      </c>
      <c r="AY73" s="130">
        <f t="shared" si="45"/>
        <v>4.65E-2</v>
      </c>
      <c r="AZ73" s="128">
        <f t="shared" si="46"/>
        <v>108719.66250000001</v>
      </c>
      <c r="BA73" s="128" t="str">
        <f t="shared" si="47"/>
        <v>nie</v>
      </c>
      <c r="BB73" s="128">
        <f t="shared" si="48"/>
        <v>758.09999999999991</v>
      </c>
      <c r="BC73" s="128">
        <f t="shared" si="158"/>
        <v>108025.86562500001</v>
      </c>
      <c r="BD73" s="128">
        <f t="shared" si="50"/>
        <v>339.92662500000472</v>
      </c>
      <c r="BE73" s="130">
        <f t="shared" si="51"/>
        <v>4.4999999999999998E-2</v>
      </c>
      <c r="BF73" s="128">
        <f t="shared" si="52"/>
        <v>2057.6494118270557</v>
      </c>
      <c r="BG73" s="128">
        <f t="shared" si="159"/>
        <v>109743.58841182706</v>
      </c>
      <c r="BI73" s="124">
        <f t="shared" si="124"/>
        <v>30</v>
      </c>
      <c r="BJ73" s="130">
        <f t="shared" si="148"/>
        <v>4.3200000000000002E-2</v>
      </c>
      <c r="BK73" s="127">
        <f t="shared" si="125"/>
        <v>1000</v>
      </c>
      <c r="BL73" s="128">
        <f t="shared" si="126"/>
        <v>100000</v>
      </c>
      <c r="BM73" s="128">
        <f t="shared" si="142"/>
        <v>100000</v>
      </c>
      <c r="BN73" s="128">
        <f t="shared" si="127"/>
        <v>110040.09999999999</v>
      </c>
      <c r="BO73" s="130">
        <f t="shared" si="54"/>
        <v>4.9000000000000002E-2</v>
      </c>
      <c r="BP73" s="128">
        <f t="shared" si="55"/>
        <v>112736.08244999999</v>
      </c>
      <c r="BQ73" s="128" t="str">
        <f t="shared" si="56"/>
        <v>nie</v>
      </c>
      <c r="BR73" s="128">
        <f t="shared" si="57"/>
        <v>1000</v>
      </c>
      <c r="BS73" s="128">
        <f t="shared" si="153"/>
        <v>109506.22678449999</v>
      </c>
      <c r="BT73" s="128">
        <f t="shared" si="128"/>
        <v>0</v>
      </c>
      <c r="BU73" s="130">
        <f t="shared" si="59"/>
        <v>4.4999999999999998E-2</v>
      </c>
      <c r="BV73" s="128">
        <f t="shared" si="60"/>
        <v>0</v>
      </c>
      <c r="BW73" s="128">
        <f t="shared" si="61"/>
        <v>109506.22678449999</v>
      </c>
      <c r="BY73" s="130">
        <f t="shared" si="149"/>
        <v>2.9000000000000001E-2</v>
      </c>
      <c r="BZ73" s="127">
        <f t="shared" si="129"/>
        <v>1000</v>
      </c>
      <c r="CA73" s="128">
        <f t="shared" si="130"/>
        <v>100000</v>
      </c>
      <c r="CB73" s="128">
        <f t="shared" si="154"/>
        <v>100000</v>
      </c>
      <c r="CC73" s="128">
        <f t="shared" si="131"/>
        <v>100000</v>
      </c>
      <c r="CD73" s="130">
        <f t="shared" si="62"/>
        <v>4.3999999999999997E-2</v>
      </c>
      <c r="CE73" s="128">
        <f t="shared" si="63"/>
        <v>102200</v>
      </c>
      <c r="CF73" s="128" t="str">
        <f t="shared" si="64"/>
        <v>nie</v>
      </c>
      <c r="CG73" s="128">
        <f t="shared" si="65"/>
        <v>2000</v>
      </c>
      <c r="CH73" s="128">
        <f t="shared" si="160"/>
        <v>100162</v>
      </c>
      <c r="CI73" s="128">
        <f t="shared" si="67"/>
        <v>0</v>
      </c>
      <c r="CJ73" s="130">
        <f t="shared" si="68"/>
        <v>4.4999999999999998E-2</v>
      </c>
      <c r="CK73" s="128">
        <f t="shared" si="69"/>
        <v>8120.5559489378556</v>
      </c>
      <c r="CL73" s="128">
        <f t="shared" si="70"/>
        <v>108282.55594893785</v>
      </c>
      <c r="CN73" s="127">
        <f t="shared" si="132"/>
        <v>1000</v>
      </c>
      <c r="CO73" s="128">
        <f t="shared" si="133"/>
        <v>100000</v>
      </c>
      <c r="CP73" s="128">
        <f t="shared" si="134"/>
        <v>100000</v>
      </c>
      <c r="CQ73" s="128">
        <f t="shared" si="135"/>
        <v>110931.75000000001</v>
      </c>
      <c r="CR73" s="130">
        <f t="shared" si="71"/>
        <v>4.9000000000000002E-2</v>
      </c>
      <c r="CS73" s="128">
        <f t="shared" si="72"/>
        <v>113649.57787500002</v>
      </c>
      <c r="CT73" s="128" t="str">
        <f t="shared" si="73"/>
        <v>nie</v>
      </c>
      <c r="CU73" s="128">
        <f t="shared" si="74"/>
        <v>3000</v>
      </c>
      <c r="CV73" s="128">
        <f t="shared" si="75"/>
        <v>108626.15807875001</v>
      </c>
      <c r="CW73" s="128">
        <f t="shared" si="76"/>
        <v>0</v>
      </c>
      <c r="CX73" s="130">
        <f t="shared" si="77"/>
        <v>4.4999999999999998E-2</v>
      </c>
      <c r="CY73" s="128">
        <f t="shared" si="78"/>
        <v>0</v>
      </c>
      <c r="CZ73" s="128">
        <f t="shared" si="79"/>
        <v>108626.15807875001</v>
      </c>
      <c r="DA73" s="20"/>
      <c r="DB73" s="127">
        <f t="shared" si="144"/>
        <v>1000</v>
      </c>
      <c r="DC73" s="128">
        <f t="shared" si="145"/>
        <v>100000</v>
      </c>
      <c r="DD73" s="128">
        <f t="shared" si="136"/>
        <v>100000</v>
      </c>
      <c r="DE73" s="128">
        <f t="shared" si="137"/>
        <v>110617.04999999999</v>
      </c>
      <c r="DF73" s="130">
        <f t="shared" si="80"/>
        <v>4.9000000000000002E-2</v>
      </c>
      <c r="DG73" s="128">
        <f t="shared" si="81"/>
        <v>113327.16772499998</v>
      </c>
      <c r="DH73" s="128" t="str">
        <f t="shared" si="82"/>
        <v>nie</v>
      </c>
      <c r="DI73" s="128">
        <f t="shared" si="83"/>
        <v>2000</v>
      </c>
      <c r="DJ73" s="128">
        <f t="shared" si="84"/>
        <v>109175.00585724998</v>
      </c>
      <c r="DK73" s="128">
        <f t="shared" si="85"/>
        <v>0</v>
      </c>
      <c r="DL73" s="130">
        <f t="shared" si="86"/>
        <v>4.4999999999999998E-2</v>
      </c>
      <c r="DM73" s="128">
        <f t="shared" si="87"/>
        <v>0</v>
      </c>
      <c r="DN73" s="128">
        <f t="shared" si="88"/>
        <v>109175.00585724998</v>
      </c>
      <c r="DP73" s="127">
        <f t="shared" si="146"/>
        <v>1000</v>
      </c>
      <c r="DQ73" s="128">
        <f t="shared" si="147"/>
        <v>100000</v>
      </c>
      <c r="DR73" s="128">
        <f t="shared" si="138"/>
        <v>100000</v>
      </c>
      <c r="DS73" s="128">
        <f t="shared" si="139"/>
        <v>111724</v>
      </c>
      <c r="DT73" s="130">
        <f t="shared" si="89"/>
        <v>5.4000000000000006E-2</v>
      </c>
      <c r="DU73" s="128">
        <f t="shared" si="90"/>
        <v>114740.548</v>
      </c>
      <c r="DV73" s="128" t="str">
        <f t="shared" si="91"/>
        <v>nie</v>
      </c>
      <c r="DW73" s="128">
        <f t="shared" si="92"/>
        <v>3000</v>
      </c>
      <c r="DX73" s="128">
        <f t="shared" si="93"/>
        <v>109509.84388</v>
      </c>
      <c r="DY73" s="128">
        <f t="shared" si="94"/>
        <v>0</v>
      </c>
      <c r="DZ73" s="130">
        <f t="shared" si="95"/>
        <v>4.4999999999999998E-2</v>
      </c>
      <c r="EA73" s="128">
        <f t="shared" si="96"/>
        <v>0</v>
      </c>
      <c r="EB73" s="128">
        <f t="shared" si="97"/>
        <v>109509.84388</v>
      </c>
      <c r="EE73" s="68"/>
      <c r="EF73" s="68"/>
      <c r="EG73" s="68"/>
    </row>
    <row r="74" spans="1:137">
      <c r="A74" s="212"/>
      <c r="B74" s="188">
        <f t="shared" si="98"/>
        <v>30</v>
      </c>
      <c r="C74" s="128">
        <f t="shared" si="99"/>
        <v>110128.38271080013</v>
      </c>
      <c r="D74" s="128">
        <f t="shared" si="100"/>
        <v>109743.58841182706</v>
      </c>
      <c r="E74" s="128">
        <f t="shared" si="101"/>
        <v>109506.22678449999</v>
      </c>
      <c r="F74" s="128">
        <f t="shared" si="102"/>
        <v>108282.55594893785</v>
      </c>
      <c r="G74" s="128">
        <f t="shared" si="103"/>
        <v>108626.15807875001</v>
      </c>
      <c r="H74" s="128">
        <f t="shared" si="104"/>
        <v>109175.00585724998</v>
      </c>
      <c r="I74" s="128">
        <f t="shared" si="105"/>
        <v>109509.84388</v>
      </c>
      <c r="J74" s="128">
        <f t="shared" si="106"/>
        <v>109525.46392802551</v>
      </c>
      <c r="K74" s="128">
        <f t="shared" si="107"/>
        <v>107419.41944999999</v>
      </c>
      <c r="M74" s="36"/>
      <c r="N74" s="32">
        <f t="shared" si="108"/>
        <v>30</v>
      </c>
      <c r="O74" s="25">
        <f t="shared" si="109"/>
        <v>0.10128382710800121</v>
      </c>
      <c r="P74" s="25">
        <f t="shared" si="110"/>
        <v>9.7435884118270533E-2</v>
      </c>
      <c r="Q74" s="25">
        <f t="shared" si="111"/>
        <v>9.5062267844999937E-2</v>
      </c>
      <c r="R74" s="25">
        <f t="shared" si="30"/>
        <v>8.2825559489378531E-2</v>
      </c>
      <c r="S74" s="25">
        <f t="shared" si="31"/>
        <v>8.6261580787500236E-2</v>
      </c>
      <c r="T74" s="25">
        <f t="shared" si="32"/>
        <v>9.1750058572499738E-2</v>
      </c>
      <c r="U74" s="25">
        <f t="shared" si="33"/>
        <v>9.5098438800000018E-2</v>
      </c>
      <c r="V74" s="25">
        <f t="shared" si="34"/>
        <v>9.5254639280255127E-2</v>
      </c>
      <c r="W74" s="25">
        <f t="shared" si="112"/>
        <v>7.4194194499999977E-2</v>
      </c>
      <c r="X74" s="36"/>
      <c r="Y74" s="36"/>
      <c r="AA74" s="124">
        <f t="shared" si="113"/>
        <v>31</v>
      </c>
      <c r="AB74" s="128">
        <f t="shared" si="35"/>
        <v>107675.306025</v>
      </c>
      <c r="AC74" s="124">
        <f t="shared" si="114"/>
        <v>31</v>
      </c>
      <c r="AD74" s="130">
        <f t="shared" si="115"/>
        <v>4.4999999999999998E-2</v>
      </c>
      <c r="AE74" s="127">
        <f t="shared" si="116"/>
        <v>1085</v>
      </c>
      <c r="AF74" s="128">
        <f t="shared" si="117"/>
        <v>108395.40000000001</v>
      </c>
      <c r="AG74" s="128">
        <f t="shared" si="140"/>
        <v>108500</v>
      </c>
      <c r="AH74" s="128">
        <f t="shared" si="118"/>
        <v>108500</v>
      </c>
      <c r="AI74" s="130">
        <f t="shared" si="36"/>
        <v>4.4999999999999998E-2</v>
      </c>
      <c r="AJ74" s="128">
        <f t="shared" si="37"/>
        <v>108906.87499999999</v>
      </c>
      <c r="AK74" s="128" t="str">
        <f t="shared" si="38"/>
        <v>nie</v>
      </c>
      <c r="AL74" s="128">
        <f t="shared" si="39"/>
        <v>542.5</v>
      </c>
      <c r="AM74" s="128">
        <f t="shared" si="150"/>
        <v>108390.14374999999</v>
      </c>
      <c r="AN74" s="128">
        <f t="shared" si="41"/>
        <v>329.56874999998826</v>
      </c>
      <c r="AO74" s="130">
        <f t="shared" si="42"/>
        <v>4.4999999999999998E-2</v>
      </c>
      <c r="AP74" s="128">
        <f t="shared" si="43"/>
        <v>2403.6574267216706</v>
      </c>
      <c r="AQ74" s="128">
        <f t="shared" si="156"/>
        <v>110464.23242672168</v>
      </c>
      <c r="AS74" s="124">
        <f t="shared" si="119"/>
        <v>31</v>
      </c>
      <c r="AT74" s="130">
        <f t="shared" si="120"/>
        <v>4.4999999999999998E-2</v>
      </c>
      <c r="AU74" s="127">
        <f t="shared" si="121"/>
        <v>1083</v>
      </c>
      <c r="AV74" s="128">
        <f t="shared" si="122"/>
        <v>108199.6</v>
      </c>
      <c r="AW74" s="128">
        <f t="shared" si="151"/>
        <v>108300</v>
      </c>
      <c r="AX74" s="128">
        <f t="shared" si="123"/>
        <v>108300</v>
      </c>
      <c r="AY74" s="130">
        <f t="shared" si="45"/>
        <v>4.65E-2</v>
      </c>
      <c r="AZ74" s="128">
        <f t="shared" si="46"/>
        <v>108719.66250000001</v>
      </c>
      <c r="BA74" s="128" t="str">
        <f t="shared" si="47"/>
        <v>nie</v>
      </c>
      <c r="BB74" s="128">
        <f t="shared" si="48"/>
        <v>758.09999999999991</v>
      </c>
      <c r="BC74" s="128">
        <f t="shared" si="158"/>
        <v>108025.86562500001</v>
      </c>
      <c r="BD74" s="128">
        <f t="shared" si="50"/>
        <v>339.92662500000472</v>
      </c>
      <c r="BE74" s="130">
        <f t="shared" si="51"/>
        <v>4.4999999999999998E-2</v>
      </c>
      <c r="BF74" s="128">
        <f t="shared" si="52"/>
        <v>2403.826146915485</v>
      </c>
      <c r="BG74" s="128">
        <f t="shared" si="159"/>
        <v>110089.76514691548</v>
      </c>
      <c r="BI74" s="124">
        <f t="shared" si="124"/>
        <v>31</v>
      </c>
      <c r="BJ74" s="130">
        <f t="shared" si="148"/>
        <v>4.3200000000000002E-2</v>
      </c>
      <c r="BK74" s="127">
        <f t="shared" si="125"/>
        <v>1000</v>
      </c>
      <c r="BL74" s="128">
        <f t="shared" si="126"/>
        <v>100000</v>
      </c>
      <c r="BM74" s="128">
        <f t="shared" si="142"/>
        <v>100000</v>
      </c>
      <c r="BN74" s="128">
        <f t="shared" si="127"/>
        <v>110040.09999999999</v>
      </c>
      <c r="BO74" s="130">
        <f t="shared" si="54"/>
        <v>4.9000000000000002E-2</v>
      </c>
      <c r="BP74" s="128">
        <f t="shared" si="55"/>
        <v>113185.41285833334</v>
      </c>
      <c r="BQ74" s="128" t="str">
        <f t="shared" si="56"/>
        <v>nie</v>
      </c>
      <c r="BR74" s="128">
        <f t="shared" si="57"/>
        <v>1000</v>
      </c>
      <c r="BS74" s="128">
        <f t="shared" si="153"/>
        <v>109870.18441525</v>
      </c>
      <c r="BT74" s="128">
        <f t="shared" si="128"/>
        <v>0</v>
      </c>
      <c r="BU74" s="130">
        <f t="shared" si="59"/>
        <v>4.4999999999999998E-2</v>
      </c>
      <c r="BV74" s="128">
        <f t="shared" si="60"/>
        <v>0</v>
      </c>
      <c r="BW74" s="128">
        <f t="shared" si="61"/>
        <v>109870.18441525</v>
      </c>
      <c r="BY74" s="130">
        <f t="shared" si="149"/>
        <v>2.9000000000000001E-2</v>
      </c>
      <c r="BZ74" s="127">
        <f t="shared" si="129"/>
        <v>1000</v>
      </c>
      <c r="CA74" s="128">
        <f t="shared" si="130"/>
        <v>100000</v>
      </c>
      <c r="CB74" s="128">
        <f t="shared" si="154"/>
        <v>100000</v>
      </c>
      <c r="CC74" s="128">
        <f t="shared" si="131"/>
        <v>100000</v>
      </c>
      <c r="CD74" s="130">
        <f t="shared" si="62"/>
        <v>4.3999999999999997E-2</v>
      </c>
      <c r="CE74" s="128">
        <f t="shared" si="63"/>
        <v>102566.66666666667</v>
      </c>
      <c r="CF74" s="128" t="str">
        <f t="shared" si="64"/>
        <v>nie</v>
      </c>
      <c r="CG74" s="128">
        <f t="shared" si="65"/>
        <v>2000</v>
      </c>
      <c r="CH74" s="128">
        <f t="shared" si="160"/>
        <v>100459</v>
      </c>
      <c r="CI74" s="128">
        <f t="shared" si="67"/>
        <v>0</v>
      </c>
      <c r="CJ74" s="130">
        <f t="shared" si="68"/>
        <v>4.4999999999999998E-2</v>
      </c>
      <c r="CK74" s="128">
        <f t="shared" si="69"/>
        <v>8145.2221376327543</v>
      </c>
      <c r="CL74" s="128">
        <f t="shared" si="70"/>
        <v>108604.22213763275</v>
      </c>
      <c r="CN74" s="127">
        <f t="shared" si="132"/>
        <v>1000</v>
      </c>
      <c r="CO74" s="128">
        <f t="shared" si="133"/>
        <v>100000</v>
      </c>
      <c r="CP74" s="128">
        <f t="shared" si="134"/>
        <v>100000</v>
      </c>
      <c r="CQ74" s="128">
        <f t="shared" si="135"/>
        <v>110931.75000000001</v>
      </c>
      <c r="CR74" s="130">
        <f t="shared" si="71"/>
        <v>4.9000000000000002E-2</v>
      </c>
      <c r="CS74" s="128">
        <f t="shared" si="72"/>
        <v>114102.54918750003</v>
      </c>
      <c r="CT74" s="128" t="str">
        <f t="shared" si="73"/>
        <v>nie</v>
      </c>
      <c r="CU74" s="128">
        <f t="shared" si="74"/>
        <v>3000</v>
      </c>
      <c r="CV74" s="128">
        <f t="shared" si="75"/>
        <v>108993.06484187502</v>
      </c>
      <c r="CW74" s="128">
        <f t="shared" si="76"/>
        <v>0</v>
      </c>
      <c r="CX74" s="130">
        <f t="shared" si="77"/>
        <v>4.4999999999999998E-2</v>
      </c>
      <c r="CY74" s="128">
        <f t="shared" si="78"/>
        <v>0</v>
      </c>
      <c r="CZ74" s="128">
        <f t="shared" si="79"/>
        <v>108993.06484187502</v>
      </c>
      <c r="DA74" s="20"/>
      <c r="DB74" s="127">
        <f t="shared" si="144"/>
        <v>1000</v>
      </c>
      <c r="DC74" s="128">
        <f t="shared" si="145"/>
        <v>100000</v>
      </c>
      <c r="DD74" s="128">
        <f t="shared" si="136"/>
        <v>100000</v>
      </c>
      <c r="DE74" s="128">
        <f t="shared" si="137"/>
        <v>110617.04999999999</v>
      </c>
      <c r="DF74" s="130">
        <f t="shared" si="80"/>
        <v>4.9000000000000002E-2</v>
      </c>
      <c r="DG74" s="128">
        <f t="shared" si="81"/>
        <v>113778.8540125</v>
      </c>
      <c r="DH74" s="128" t="str">
        <f t="shared" si="82"/>
        <v>nie</v>
      </c>
      <c r="DI74" s="128">
        <f t="shared" si="83"/>
        <v>2000</v>
      </c>
      <c r="DJ74" s="128">
        <f t="shared" si="84"/>
        <v>109540.87175012501</v>
      </c>
      <c r="DK74" s="128">
        <f t="shared" si="85"/>
        <v>0</v>
      </c>
      <c r="DL74" s="130">
        <f t="shared" si="86"/>
        <v>4.4999999999999998E-2</v>
      </c>
      <c r="DM74" s="128">
        <f t="shared" si="87"/>
        <v>0</v>
      </c>
      <c r="DN74" s="128">
        <f t="shared" si="88"/>
        <v>109540.87175012501</v>
      </c>
      <c r="DP74" s="127">
        <f t="shared" si="146"/>
        <v>1000</v>
      </c>
      <c r="DQ74" s="128">
        <f t="shared" si="147"/>
        <v>100000</v>
      </c>
      <c r="DR74" s="128">
        <f t="shared" si="138"/>
        <v>100000</v>
      </c>
      <c r="DS74" s="128">
        <f t="shared" si="139"/>
        <v>111724</v>
      </c>
      <c r="DT74" s="130">
        <f t="shared" si="89"/>
        <v>5.4000000000000006E-2</v>
      </c>
      <c r="DU74" s="128">
        <f t="shared" si="90"/>
        <v>115243.30600000001</v>
      </c>
      <c r="DV74" s="128" t="str">
        <f t="shared" si="91"/>
        <v>nie</v>
      </c>
      <c r="DW74" s="128">
        <f t="shared" si="92"/>
        <v>3000</v>
      </c>
      <c r="DX74" s="128">
        <f t="shared" si="93"/>
        <v>109917.07786</v>
      </c>
      <c r="DY74" s="128">
        <f t="shared" si="94"/>
        <v>0</v>
      </c>
      <c r="DZ74" s="130">
        <f t="shared" si="95"/>
        <v>4.4999999999999998E-2</v>
      </c>
      <c r="EA74" s="128">
        <f t="shared" si="96"/>
        <v>0</v>
      </c>
      <c r="EB74" s="128">
        <f t="shared" si="97"/>
        <v>109917.07786</v>
      </c>
    </row>
    <row r="75" spans="1:137">
      <c r="A75" s="212"/>
      <c r="B75" s="188">
        <f t="shared" si="98"/>
        <v>31</v>
      </c>
      <c r="C75" s="128">
        <f t="shared" si="99"/>
        <v>110464.23242672168</v>
      </c>
      <c r="D75" s="128">
        <f t="shared" si="100"/>
        <v>110089.76514691548</v>
      </c>
      <c r="E75" s="128">
        <f t="shared" si="101"/>
        <v>109870.18441525</v>
      </c>
      <c r="F75" s="128">
        <f t="shared" si="102"/>
        <v>108604.22213763275</v>
      </c>
      <c r="G75" s="128">
        <f t="shared" si="103"/>
        <v>108993.06484187502</v>
      </c>
      <c r="H75" s="128">
        <f t="shared" si="104"/>
        <v>109540.87175012501</v>
      </c>
      <c r="I75" s="128">
        <f t="shared" si="105"/>
        <v>109917.07786</v>
      </c>
      <c r="J75" s="128">
        <f t="shared" si="106"/>
        <v>109858.14752470689</v>
      </c>
      <c r="K75" s="128">
        <f t="shared" si="107"/>
        <v>107675.306025</v>
      </c>
      <c r="M75" s="36"/>
      <c r="N75" s="32">
        <f t="shared" si="108"/>
        <v>31</v>
      </c>
      <c r="O75" s="25">
        <f t="shared" si="109"/>
        <v>0.10464232426721676</v>
      </c>
      <c r="P75" s="25">
        <f t="shared" si="110"/>
        <v>0.10089765146915486</v>
      </c>
      <c r="Q75" s="25">
        <f t="shared" si="111"/>
        <v>9.8701844152500051E-2</v>
      </c>
      <c r="R75" s="25">
        <f t="shared" si="30"/>
        <v>8.6042221376327443E-2</v>
      </c>
      <c r="S75" s="25">
        <f t="shared" si="31"/>
        <v>8.9930648418750314E-2</v>
      </c>
      <c r="T75" s="25">
        <f t="shared" si="32"/>
        <v>9.5408717501250129E-2</v>
      </c>
      <c r="U75" s="25">
        <f t="shared" si="33"/>
        <v>9.9170778600000009E-2</v>
      </c>
      <c r="V75" s="25">
        <f t="shared" si="34"/>
        <v>9.8581475247068839E-2</v>
      </c>
      <c r="W75" s="25">
        <f t="shared" si="112"/>
        <v>7.6753060249999949E-2</v>
      </c>
      <c r="X75" s="36"/>
      <c r="Y75" s="36"/>
      <c r="AA75" s="124">
        <f t="shared" si="113"/>
        <v>32</v>
      </c>
      <c r="AB75" s="128">
        <f t="shared" si="35"/>
        <v>107931.19259999999</v>
      </c>
      <c r="AC75" s="124">
        <f t="shared" si="114"/>
        <v>32</v>
      </c>
      <c r="AD75" s="130">
        <f t="shared" si="115"/>
        <v>4.4999999999999998E-2</v>
      </c>
      <c r="AE75" s="127">
        <f t="shared" si="116"/>
        <v>1085</v>
      </c>
      <c r="AF75" s="128">
        <f t="shared" si="117"/>
        <v>108395.40000000001</v>
      </c>
      <c r="AG75" s="128">
        <f t="shared" si="140"/>
        <v>108500</v>
      </c>
      <c r="AH75" s="128">
        <f t="shared" si="118"/>
        <v>108500</v>
      </c>
      <c r="AI75" s="130">
        <f t="shared" si="36"/>
        <v>4.4999999999999998E-2</v>
      </c>
      <c r="AJ75" s="128">
        <f t="shared" si="37"/>
        <v>108906.87499999999</v>
      </c>
      <c r="AK75" s="128" t="str">
        <f t="shared" si="38"/>
        <v>nie</v>
      </c>
      <c r="AL75" s="128">
        <f t="shared" si="39"/>
        <v>542.5</v>
      </c>
      <c r="AM75" s="128">
        <f t="shared" si="150"/>
        <v>108390.14374999999</v>
      </c>
      <c r="AN75" s="128">
        <f t="shared" si="41"/>
        <v>329.56874999998826</v>
      </c>
      <c r="AO75" s="130">
        <f t="shared" si="42"/>
        <v>4.4999999999999998E-2</v>
      </c>
      <c r="AP75" s="128">
        <f t="shared" si="43"/>
        <v>2740.5272861553258</v>
      </c>
      <c r="AQ75" s="128">
        <f t="shared" si="156"/>
        <v>110801.10228615532</v>
      </c>
      <c r="AS75" s="124">
        <f t="shared" si="119"/>
        <v>32</v>
      </c>
      <c r="AT75" s="130">
        <f t="shared" si="120"/>
        <v>4.4999999999999998E-2</v>
      </c>
      <c r="AU75" s="127">
        <f t="shared" si="121"/>
        <v>1083</v>
      </c>
      <c r="AV75" s="128">
        <f t="shared" si="122"/>
        <v>108199.6</v>
      </c>
      <c r="AW75" s="128">
        <f t="shared" si="151"/>
        <v>108300</v>
      </c>
      <c r="AX75" s="128">
        <f t="shared" si="123"/>
        <v>108300</v>
      </c>
      <c r="AY75" s="130">
        <f t="shared" si="45"/>
        <v>4.65E-2</v>
      </c>
      <c r="AZ75" s="128">
        <f t="shared" si="46"/>
        <v>108719.66250000001</v>
      </c>
      <c r="BA75" s="128" t="str">
        <f t="shared" si="47"/>
        <v>nie</v>
      </c>
      <c r="BB75" s="128">
        <f t="shared" si="48"/>
        <v>758.09999999999991</v>
      </c>
      <c r="BC75" s="128">
        <f t="shared" si="158"/>
        <v>108025.86562500001</v>
      </c>
      <c r="BD75" s="128">
        <f t="shared" si="50"/>
        <v>339.92662500000472</v>
      </c>
      <c r="BE75" s="130">
        <f t="shared" si="51"/>
        <v>4.4999999999999998E-2</v>
      </c>
      <c r="BF75" s="128">
        <f t="shared" si="52"/>
        <v>2751.0543938367455</v>
      </c>
      <c r="BG75" s="128">
        <f t="shared" si="159"/>
        <v>110436.99339383675</v>
      </c>
      <c r="BI75" s="124">
        <f t="shared" si="124"/>
        <v>32</v>
      </c>
      <c r="BJ75" s="130">
        <f t="shared" si="148"/>
        <v>4.3200000000000002E-2</v>
      </c>
      <c r="BK75" s="127">
        <f t="shared" si="125"/>
        <v>1000</v>
      </c>
      <c r="BL75" s="128">
        <f t="shared" si="126"/>
        <v>100000</v>
      </c>
      <c r="BM75" s="128">
        <f t="shared" si="142"/>
        <v>100000</v>
      </c>
      <c r="BN75" s="128">
        <f t="shared" si="127"/>
        <v>110040.09999999999</v>
      </c>
      <c r="BO75" s="130">
        <f t="shared" si="54"/>
        <v>4.9000000000000002E-2</v>
      </c>
      <c r="BP75" s="128">
        <f t="shared" si="55"/>
        <v>113634.74326666666</v>
      </c>
      <c r="BQ75" s="128" t="str">
        <f t="shared" si="56"/>
        <v>nie</v>
      </c>
      <c r="BR75" s="128">
        <f t="shared" si="57"/>
        <v>1000</v>
      </c>
      <c r="BS75" s="128">
        <f t="shared" si="153"/>
        <v>110234.14204599999</v>
      </c>
      <c r="BT75" s="128">
        <f t="shared" si="128"/>
        <v>0</v>
      </c>
      <c r="BU75" s="130">
        <f t="shared" si="59"/>
        <v>4.4999999999999998E-2</v>
      </c>
      <c r="BV75" s="128">
        <f t="shared" si="60"/>
        <v>0</v>
      </c>
      <c r="BW75" s="128">
        <f t="shared" si="61"/>
        <v>110234.14204599999</v>
      </c>
      <c r="BY75" s="130">
        <f t="shared" si="149"/>
        <v>2.9000000000000001E-2</v>
      </c>
      <c r="BZ75" s="127">
        <f t="shared" si="129"/>
        <v>1000</v>
      </c>
      <c r="CA75" s="128">
        <f t="shared" si="130"/>
        <v>100000</v>
      </c>
      <c r="CB75" s="128">
        <f t="shared" si="154"/>
        <v>100000</v>
      </c>
      <c r="CC75" s="128">
        <f t="shared" si="131"/>
        <v>100000</v>
      </c>
      <c r="CD75" s="130">
        <f t="shared" si="62"/>
        <v>4.3999999999999997E-2</v>
      </c>
      <c r="CE75" s="128">
        <f t="shared" si="63"/>
        <v>102933.33333333334</v>
      </c>
      <c r="CF75" s="128" t="str">
        <f t="shared" si="64"/>
        <v>nie</v>
      </c>
      <c r="CG75" s="128">
        <f t="shared" si="65"/>
        <v>2000</v>
      </c>
      <c r="CH75" s="128">
        <f t="shared" si="160"/>
        <v>100756.00000000001</v>
      </c>
      <c r="CI75" s="128">
        <f t="shared" si="67"/>
        <v>0</v>
      </c>
      <c r="CJ75" s="130">
        <f t="shared" si="68"/>
        <v>4.4999999999999998E-2</v>
      </c>
      <c r="CK75" s="128">
        <f t="shared" si="69"/>
        <v>8169.9632498758137</v>
      </c>
      <c r="CL75" s="128">
        <f t="shared" si="70"/>
        <v>108925.96324987583</v>
      </c>
      <c r="CN75" s="127">
        <f t="shared" si="132"/>
        <v>1000</v>
      </c>
      <c r="CO75" s="128">
        <f t="shared" si="133"/>
        <v>100000</v>
      </c>
      <c r="CP75" s="128">
        <f t="shared" si="134"/>
        <v>100000</v>
      </c>
      <c r="CQ75" s="128">
        <f t="shared" si="135"/>
        <v>110931.75000000001</v>
      </c>
      <c r="CR75" s="130">
        <f t="shared" si="71"/>
        <v>4.9000000000000002E-2</v>
      </c>
      <c r="CS75" s="128">
        <f t="shared" si="72"/>
        <v>114555.52050000001</v>
      </c>
      <c r="CT75" s="128" t="str">
        <f t="shared" si="73"/>
        <v>nie</v>
      </c>
      <c r="CU75" s="128">
        <f t="shared" si="74"/>
        <v>3000</v>
      </c>
      <c r="CV75" s="128">
        <f t="shared" si="75"/>
        <v>109359.97160500001</v>
      </c>
      <c r="CW75" s="128">
        <f t="shared" si="76"/>
        <v>0</v>
      </c>
      <c r="CX75" s="130">
        <f t="shared" si="77"/>
        <v>4.4999999999999998E-2</v>
      </c>
      <c r="CY75" s="128">
        <f t="shared" si="78"/>
        <v>0</v>
      </c>
      <c r="CZ75" s="128">
        <f t="shared" si="79"/>
        <v>109359.97160500001</v>
      </c>
      <c r="DA75" s="20"/>
      <c r="DB75" s="127">
        <f t="shared" si="144"/>
        <v>1000</v>
      </c>
      <c r="DC75" s="128">
        <f t="shared" si="145"/>
        <v>100000</v>
      </c>
      <c r="DD75" s="128">
        <f t="shared" si="136"/>
        <v>100000</v>
      </c>
      <c r="DE75" s="128">
        <f t="shared" si="137"/>
        <v>110617.04999999999</v>
      </c>
      <c r="DF75" s="130">
        <f t="shared" si="80"/>
        <v>4.9000000000000002E-2</v>
      </c>
      <c r="DG75" s="128">
        <f t="shared" si="81"/>
        <v>114230.54029999998</v>
      </c>
      <c r="DH75" s="128" t="str">
        <f t="shared" si="82"/>
        <v>nie</v>
      </c>
      <c r="DI75" s="128">
        <f t="shared" si="83"/>
        <v>2000</v>
      </c>
      <c r="DJ75" s="128">
        <f t="shared" si="84"/>
        <v>109906.73764299999</v>
      </c>
      <c r="DK75" s="128">
        <f t="shared" si="85"/>
        <v>0</v>
      </c>
      <c r="DL75" s="130">
        <f t="shared" si="86"/>
        <v>4.4999999999999998E-2</v>
      </c>
      <c r="DM75" s="128">
        <f t="shared" si="87"/>
        <v>0</v>
      </c>
      <c r="DN75" s="128">
        <f t="shared" si="88"/>
        <v>109906.73764299999</v>
      </c>
      <c r="DP75" s="127">
        <f t="shared" si="146"/>
        <v>1000</v>
      </c>
      <c r="DQ75" s="128">
        <f t="shared" si="147"/>
        <v>100000</v>
      </c>
      <c r="DR75" s="128">
        <f t="shared" si="138"/>
        <v>100000</v>
      </c>
      <c r="DS75" s="128">
        <f t="shared" si="139"/>
        <v>111724</v>
      </c>
      <c r="DT75" s="130">
        <f t="shared" si="89"/>
        <v>5.4000000000000006E-2</v>
      </c>
      <c r="DU75" s="128">
        <f t="shared" si="90"/>
        <v>115746.064</v>
      </c>
      <c r="DV75" s="128" t="str">
        <f t="shared" si="91"/>
        <v>nie</v>
      </c>
      <c r="DW75" s="128">
        <f t="shared" si="92"/>
        <v>3000</v>
      </c>
      <c r="DX75" s="128">
        <f t="shared" si="93"/>
        <v>110324.31183999999</v>
      </c>
      <c r="DY75" s="128">
        <f t="shared" si="94"/>
        <v>0</v>
      </c>
      <c r="DZ75" s="130">
        <f t="shared" si="95"/>
        <v>4.4999999999999998E-2</v>
      </c>
      <c r="EA75" s="128">
        <f t="shared" si="96"/>
        <v>0</v>
      </c>
      <c r="EB75" s="128">
        <f t="shared" si="97"/>
        <v>110324.31183999999</v>
      </c>
    </row>
    <row r="76" spans="1:137">
      <c r="A76" s="212"/>
      <c r="B76" s="188">
        <f t="shared" si="98"/>
        <v>32</v>
      </c>
      <c r="C76" s="128">
        <f t="shared" si="99"/>
        <v>110801.10228615532</v>
      </c>
      <c r="D76" s="128">
        <f t="shared" si="100"/>
        <v>110436.99339383675</v>
      </c>
      <c r="E76" s="128">
        <f t="shared" si="101"/>
        <v>110234.14204599999</v>
      </c>
      <c r="F76" s="128">
        <f t="shared" si="102"/>
        <v>108925.96324987583</v>
      </c>
      <c r="G76" s="128">
        <f t="shared" si="103"/>
        <v>109359.97160500001</v>
      </c>
      <c r="H76" s="128">
        <f t="shared" si="104"/>
        <v>109906.73764299999</v>
      </c>
      <c r="I76" s="128">
        <f t="shared" si="105"/>
        <v>110324.31183999999</v>
      </c>
      <c r="J76" s="128">
        <f t="shared" si="106"/>
        <v>110191.84164781318</v>
      </c>
      <c r="K76" s="128">
        <f t="shared" si="107"/>
        <v>107931.19259999999</v>
      </c>
      <c r="M76" s="36"/>
      <c r="N76" s="32">
        <f t="shared" si="108"/>
        <v>32</v>
      </c>
      <c r="O76" s="25">
        <f t="shared" si="109"/>
        <v>0.10801102286155317</v>
      </c>
      <c r="P76" s="25">
        <f t="shared" si="110"/>
        <v>0.10436993393836747</v>
      </c>
      <c r="Q76" s="25">
        <f t="shared" si="111"/>
        <v>0.10234142045999994</v>
      </c>
      <c r="R76" s="25">
        <f t="shared" ref="R76:R107" si="161">F76/zakup_domyslny_wartosc-1</f>
        <v>8.9259632498758235E-2</v>
      </c>
      <c r="S76" s="25">
        <f t="shared" ref="S76:S107" si="162">G76/zakup_domyslny_wartosc-1</f>
        <v>9.359971605000017E-2</v>
      </c>
      <c r="T76" s="25">
        <f t="shared" ref="T76:T107" si="163">H76/zakup_domyslny_wartosc-1</f>
        <v>9.9067376429999854E-2</v>
      </c>
      <c r="U76" s="25">
        <f t="shared" ref="U76:U107" si="164">I76/zakup_domyslny_wartosc-1</f>
        <v>0.1032431184</v>
      </c>
      <c r="V76" s="25">
        <f t="shared" ref="V76:V107" si="165">J76/zakup_domyslny_wartosc-1</f>
        <v>0.10191841647813193</v>
      </c>
      <c r="W76" s="25">
        <f t="shared" ref="W76:W107" si="166">K76/zakup_domyslny_wartosc-1</f>
        <v>7.9311925999999922E-2</v>
      </c>
      <c r="X76" s="36"/>
      <c r="Y76" s="36"/>
      <c r="AA76" s="124">
        <f t="shared" si="113"/>
        <v>33</v>
      </c>
      <c r="AB76" s="128">
        <f t="shared" ref="AB76:AB107" si="167">zakup_domyslny_wartosc*IFERROR((INDEX(scenariusz_I_inflacja_skumulowana,MATCH(ROUNDDOWN(AA76/12,0),scenariusz_I_rok,0))+1),1)
*(1+MOD(AA76,12)*INDEX(scenariusz_I_inflacja,MATCH(ROUNDUP(AA76/12,0),scenariusz_I_rok,0))/12)</f>
        <v>108187.07917499998</v>
      </c>
      <c r="AC76" s="124">
        <f t="shared" si="114"/>
        <v>33</v>
      </c>
      <c r="AD76" s="130">
        <f t="shared" si="115"/>
        <v>4.4999999999999998E-2</v>
      </c>
      <c r="AE76" s="127">
        <f t="shared" si="116"/>
        <v>1085</v>
      </c>
      <c r="AF76" s="128">
        <f t="shared" si="117"/>
        <v>108395.40000000001</v>
      </c>
      <c r="AG76" s="128">
        <f t="shared" si="140"/>
        <v>108500</v>
      </c>
      <c r="AH76" s="128">
        <f t="shared" si="118"/>
        <v>108500</v>
      </c>
      <c r="AI76" s="130">
        <f t="shared" ref="AI76:AI107" si="168">IF(AND(MOD($AA76,zapadalnosc_ROR)&lt;=zmiana_oprocentowania_co_ile_mc_ROR,MOD($AA76,zapadalnosc_ROR)&lt;&gt;0),proc_I_okres_ROR,(marza_ROR+AD76))</f>
        <v>4.4999999999999998E-2</v>
      </c>
      <c r="AJ76" s="128">
        <f t="shared" ref="AJ76:AJ107" si="169">AH76*(1+AI76*IF(MOD($AA76,wyplata_odsetek_ROR)&lt;&gt;0,MOD($AA76,wyplata_odsetek_ROR),wyplata_odsetek_ROR)/12)</f>
        <v>108906.87499999999</v>
      </c>
      <c r="AK76" s="128" t="str">
        <f t="shared" ref="AK76:AK107" si="170">IF(MOD($AA76,zapadalnosc_ROR)=0,"tak","nie")</f>
        <v>nie</v>
      </c>
      <c r="AL76" s="128">
        <f t="shared" ref="AL76:AL107" si="171">IF(MOD($AA76,zapadalnosc_ROR)=0,0,
IF(AND(MOD($AA76,zapadalnosc_ROR)&lt;zapadalnosc_ROR,MOD($AA76,zapadalnosc_ROR)&lt;=koszt_wczesniejszy_wykup_ochrona_ROR),
MIN(AJ76-AG76,AE76*koszt_wczesniejszy_wykup_ROR),AE76*koszt_wczesniejszy_wykup_ROR))</f>
        <v>542.5</v>
      </c>
      <c r="AM76" s="128">
        <f t="shared" si="150"/>
        <v>108390.14374999999</v>
      </c>
      <c r="AN76" s="128">
        <f t="shared" ref="AN76:AN107" si="172">IF(MOD($AA76,wyplata_odsetek_ROR)=0, (AJ76-AG76)*(1-podatek_Belki),0)
+IF(AK76="tak",ROUNDDOWN(AJ76/zamiana_ROR,0)*(100-zamiana_ROR),0)</f>
        <v>329.56874999998826</v>
      </c>
      <c r="AO76" s="130">
        <f t="shared" ref="AO76:AO107" si="173">INDEX(scenariusz_I_konto,MATCH(ROUNDUP($AA76/12,0),scenariusz_I_rok,0))</f>
        <v>4.4999999999999998E-2</v>
      </c>
      <c r="AP76" s="128">
        <f t="shared" ref="AP76:AP107" si="174">(AP75-IF(AK75="tak",ROUNDDOWN(AP75/100,0)*100,0))*
(1+AO76/12*(1-podatek_Belki))+AN76</f>
        <v>3078.4203877870109</v>
      </c>
      <c r="AQ76" s="128">
        <f t="shared" si="156"/>
        <v>111138.99538778701</v>
      </c>
      <c r="AS76" s="124">
        <f t="shared" si="119"/>
        <v>33</v>
      </c>
      <c r="AT76" s="130">
        <f t="shared" si="120"/>
        <v>4.4999999999999998E-2</v>
      </c>
      <c r="AU76" s="127">
        <f t="shared" si="121"/>
        <v>1083</v>
      </c>
      <c r="AV76" s="128">
        <f t="shared" si="122"/>
        <v>108199.6</v>
      </c>
      <c r="AW76" s="128">
        <f t="shared" si="151"/>
        <v>108300</v>
      </c>
      <c r="AX76" s="128">
        <f t="shared" si="123"/>
        <v>108300</v>
      </c>
      <c r="AY76" s="130">
        <f t="shared" ref="AY76:AY107" si="175">IF(AND(MOD($AA76,zapadalnosc_DOR)&lt;=zmiana_oprocentowania_co_ile_mc_DOR,MOD($AA76,zapadalnosc_DOR)&lt;&gt;0),proc_I_okres_DOR,(marza_DOR+AT76))</f>
        <v>4.65E-2</v>
      </c>
      <c r="AZ76" s="128">
        <f t="shared" ref="AZ76:AZ107" si="176">AX76*(1+AY76*IF(MOD($AA76,wyplata_odsetek_DOR)&lt;&gt;0,MOD($AA76,wyplata_odsetek_DOR),wyplata_odsetek_DOR)/12)</f>
        <v>108719.66250000001</v>
      </c>
      <c r="BA76" s="128" t="str">
        <f t="shared" ref="BA76:BA107" si="177">IF(MOD($AA76,zapadalnosc_DOR)=0,"tak","nie")</f>
        <v>nie</v>
      </c>
      <c r="BB76" s="128">
        <f t="shared" ref="BB76:BB107" si="178">IF(MOD($AA76,zapadalnosc_DOR)=0,0,
IF(AND(MOD($AA76,zapadalnosc_DOR)&lt;zapadalnosc_DOR,MOD($AA76,zapadalnosc_DOR)&lt;=koszt_wczesniejszy_wykup_ochrona_DOR),
MIN(AZ76-AW76,AU76*koszt_wczesniejszy_wykup_DOR),AU76*koszt_wczesniejszy_wykup_DOR))</f>
        <v>758.09999999999991</v>
      </c>
      <c r="BC76" s="128">
        <f t="shared" si="158"/>
        <v>108025.86562500001</v>
      </c>
      <c r="BD76" s="128">
        <f t="shared" ref="BD76:BD107" si="179">IF(MOD($AA76,wyplata_odsetek_DOR)=0, (AZ76-AW76)*(1-podatek_Belki),0)
+IF(BA76="tak",ROUNDDOWN(AZ76/zamiana_DOR,0)*(100-zamiana_DOR),0)</f>
        <v>339.92662500000472</v>
      </c>
      <c r="BE76" s="130">
        <f t="shared" si="51"/>
        <v>4.4999999999999998E-2</v>
      </c>
      <c r="BF76" s="128">
        <f t="shared" ref="BF76:BF107" si="180">(BF75-IF(BA75="tak",ROUNDDOWN(BF75/100,0)*100,0))*
(1+BE76/12*(1-podatek_Belki))+BD76</f>
        <v>3099.3373465580294</v>
      </c>
      <c r="BG76" s="128">
        <f t="shared" si="159"/>
        <v>110785.27634655804</v>
      </c>
      <c r="BI76" s="124">
        <f t="shared" si="124"/>
        <v>33</v>
      </c>
      <c r="BJ76" s="130">
        <f t="shared" si="148"/>
        <v>4.3200000000000002E-2</v>
      </c>
      <c r="BK76" s="127">
        <f t="shared" si="125"/>
        <v>1000</v>
      </c>
      <c r="BL76" s="128">
        <f t="shared" si="126"/>
        <v>100000</v>
      </c>
      <c r="BM76" s="128">
        <f t="shared" si="142"/>
        <v>100000</v>
      </c>
      <c r="BN76" s="128">
        <f t="shared" si="127"/>
        <v>110040.09999999999</v>
      </c>
      <c r="BO76" s="130">
        <f t="shared" ref="BO76:BO107" si="181">IF(AND(MOD($AA76,zapadalnosc_TOS)&lt;=12,MOD($AA76,zapadalnosc_TOS)&lt;&gt;0),proc_I_okres_TOS,(marza_TOS+proc_I_okres_TOS))</f>
        <v>4.9000000000000002E-2</v>
      </c>
      <c r="BP76" s="128">
        <f t="shared" ref="BP76:BP107" si="182">BN76*(1+BO76*IF(MOD($AA76,12)&lt;&gt;0,MOD($AA76,12),12)/12)</f>
        <v>114084.07367499999</v>
      </c>
      <c r="BQ76" s="128" t="str">
        <f t="shared" ref="BQ76:BQ107" si="183">IF(MOD($AA76,zapadalnosc_TOS)=0,"tak","nie")</f>
        <v>nie</v>
      </c>
      <c r="BR76" s="128">
        <f t="shared" ref="BR76:BR107" si="184">IF(MOD($AA76,zapadalnosc_TOS)=0,0,
IF(AND(MOD($AA76,zapadalnosc_TOS)&lt;zapadalnosc_TOS,MOD($AA76,zapadalnosc_TOS)&lt;=koszt_wczesniejszy_wykup_ochrona_TOS),
MIN(BP76-BM76,BK76*koszt_wczesniejszy_wykup_TOS),BK76*koszt_wczesniejszy_wykup_TOS))</f>
        <v>1000</v>
      </c>
      <c r="BS76" s="128">
        <f t="shared" si="153"/>
        <v>110598.09967674999</v>
      </c>
      <c r="BT76" s="128">
        <f t="shared" si="128"/>
        <v>0</v>
      </c>
      <c r="BU76" s="130">
        <f t="shared" ref="BU76:BU107" si="185">INDEX(scenariusz_I_konto,MATCH(ROUNDUP($AA76/12,0),scenariusz_I_rok,0))</f>
        <v>4.4999999999999998E-2</v>
      </c>
      <c r="BV76" s="128">
        <f t="shared" si="60"/>
        <v>0</v>
      </c>
      <c r="BW76" s="128">
        <f t="shared" si="61"/>
        <v>110598.09967674999</v>
      </c>
      <c r="BY76" s="130">
        <f t="shared" si="149"/>
        <v>2.9000000000000001E-2</v>
      </c>
      <c r="BZ76" s="127">
        <f t="shared" si="129"/>
        <v>1000</v>
      </c>
      <c r="CA76" s="128">
        <f t="shared" si="130"/>
        <v>100000</v>
      </c>
      <c r="CB76" s="128">
        <f t="shared" si="154"/>
        <v>100000</v>
      </c>
      <c r="CC76" s="128">
        <f t="shared" si="131"/>
        <v>100000</v>
      </c>
      <c r="CD76" s="130">
        <f t="shared" ref="CD76:CD107" si="186">IF(AND(MOD($AA76,zapadalnosc_COI)&lt;=zmiana_oprocentowania_co_ile_mc_COI,MOD($AA76,zapadalnosc_COI)&lt;&gt;0),proc_I_okres_COI,(marza_COI+BY76))</f>
        <v>4.3999999999999997E-2</v>
      </c>
      <c r="CE76" s="128">
        <f t="shared" ref="CE76:CE107" si="187">CC76*(1+CD76*IF(MOD($AA76,wyplata_odsetek_COI)&lt;&gt;0,MOD($AA76,wyplata_odsetek_COI),wyplata_odsetek_COI)/12)</f>
        <v>103299.99999999999</v>
      </c>
      <c r="CF76" s="128" t="str">
        <f t="shared" ref="CF76:CF107" si="188">IF(MOD($AA76,zapadalnosc_COI)=0,"tak","nie")</f>
        <v>nie</v>
      </c>
      <c r="CG76" s="128">
        <f t="shared" ref="CG76:CG107" si="189">IF(MOD($AA76,zapadalnosc_COI)=0,0,
IF(AND(MOD($AA76,zapadalnosc_COI)&lt;zapadalnosc_COI,MOD($AA76,zapadalnosc_COI)&lt;=koszt_wczesniejszy_wykup_ochrona_COI),
MIN(CE76-CB76,BZ76*koszt_wczesniejszy_wykup_COI),BZ76*koszt_wczesniejszy_wykup_COI))</f>
        <v>2000</v>
      </c>
      <c r="CH76" s="128">
        <f t="shared" si="160"/>
        <v>101052.99999999999</v>
      </c>
      <c r="CI76" s="128">
        <f t="shared" ref="CI76:CI107" si="190" xml:space="preserve"> IF(CF76="tak",
CH76-ROUNDDOWN(CH76/zamiana_COI,0)*zamiana_COI,
IF(MOD($AA76,wyplata_odsetek_COI)=0, (CE76-CB76)*(1-podatek_Belki),0))</f>
        <v>0</v>
      </c>
      <c r="CJ76" s="130">
        <f t="shared" si="68"/>
        <v>4.4999999999999998E-2</v>
      </c>
      <c r="CK76" s="128">
        <f t="shared" ref="CK76:CK107" si="191">(CK75-IF(CF75="tak",ROUNDDOWN(CK75/100,0)*100,0))*
(1+CJ76/12*(1-podatek_Belki))+CI76</f>
        <v>8194.7795132473111</v>
      </c>
      <c r="CL76" s="128">
        <f t="shared" ref="CL76:CL107" si="192">(CK75-IF(MOD($AA75,zapadalnosc_COI)=0,ROUNDDOWN(CK75/100,0)*100,0))*(1+CJ76/12*(1-podatek_Belki))+CH76</f>
        <v>109247.7795132473</v>
      </c>
      <c r="CN76" s="127">
        <f t="shared" si="132"/>
        <v>1000</v>
      </c>
      <c r="CO76" s="128">
        <f t="shared" si="133"/>
        <v>100000</v>
      </c>
      <c r="CP76" s="128">
        <f t="shared" si="134"/>
        <v>100000</v>
      </c>
      <c r="CQ76" s="128">
        <f t="shared" si="135"/>
        <v>110931.75000000001</v>
      </c>
      <c r="CR76" s="130">
        <f t="shared" ref="CR76:CR107" si="193">IF(AND(MOD($AA76,zapadalnosc_EDO)&lt;=12,MOD($AA76,zapadalnosc_EDO)&lt;&gt;0),proc_I_okres_EDO,(marza_EDO+$BY76))</f>
        <v>4.9000000000000002E-2</v>
      </c>
      <c r="CS76" s="128">
        <f t="shared" ref="CS76:CS107" si="194">CQ76*(1+CR76*IF(MOD($AA76,12)&lt;&gt;0,MOD($AA76,12),12)/12)</f>
        <v>115008.49181250003</v>
      </c>
      <c r="CT76" s="128" t="str">
        <f t="shared" ref="CT76:CT107" si="195">IF(MOD($AA76,zapadalnosc_EDO)=0,"tak","nie")</f>
        <v>nie</v>
      </c>
      <c r="CU76" s="128">
        <f t="shared" ref="CU76:CU107" si="196">IF(AND(MOD($AA76,zapadalnosc_EDO)&lt;zapadalnosc_EDO,MOD($AA76,zapadalnosc_EDO)&lt;&gt;0),MIN(CS76-CP76,CN76*koszt_wczesniejszy_wykup_EDO),0)</f>
        <v>3000</v>
      </c>
      <c r="CV76" s="128">
        <f t="shared" ref="CV76:CV107" si="197">CS76-CU76
-(CS76-CP76-CU76)*podatek_Belki</f>
        <v>109726.87836812502</v>
      </c>
      <c r="CW76" s="128">
        <f t="shared" si="76"/>
        <v>0</v>
      </c>
      <c r="CX76" s="130">
        <f t="shared" ref="CX76:CX107" si="198">INDEX(scenariusz_I_konto,MATCH(ROUNDUP($AA76/12,0),scenariusz_I_rok,0))</f>
        <v>4.4999999999999998E-2</v>
      </c>
      <c r="CY76" s="128">
        <f t="shared" ref="CY76:CY107" si="199">CY75*(1+CX76/12*(1-podatek_Belki))+CW76</f>
        <v>0</v>
      </c>
      <c r="CZ76" s="128">
        <f t="shared" ref="CZ76:CZ107" si="200">CY75*(1+CX76/12*(1-podatek_Belki))+CV76</f>
        <v>109726.87836812502</v>
      </c>
      <c r="DA76" s="20"/>
      <c r="DB76" s="127">
        <f t="shared" si="144"/>
        <v>1000</v>
      </c>
      <c r="DC76" s="128">
        <f t="shared" si="145"/>
        <v>100000</v>
      </c>
      <c r="DD76" s="128">
        <f t="shared" si="136"/>
        <v>100000</v>
      </c>
      <c r="DE76" s="128">
        <f t="shared" si="137"/>
        <v>110617.04999999999</v>
      </c>
      <c r="DF76" s="130">
        <f t="shared" ref="DF76:DF107" si="201">IF(AND(MOD($AA76,zapadalnosc_ROS)&lt;=12,MOD($AA76,zapadalnosc_ROS)&lt;&gt;0),proc_I_okres_ROS,(marza_ROS+$BY76))</f>
        <v>4.9000000000000002E-2</v>
      </c>
      <c r="DG76" s="128">
        <f t="shared" ref="DG76:DG107" si="202">DE76*(1+DF76*IF(MOD($AA76,12)&lt;&gt;0,MOD($AA76,12),12)/12)</f>
        <v>114682.2265875</v>
      </c>
      <c r="DH76" s="128" t="str">
        <f t="shared" ref="DH76:DH107" si="203">IF(MOD($AA76,zapadalnosc_ROS)=0,"tak","nie")</f>
        <v>nie</v>
      </c>
      <c r="DI76" s="128">
        <f t="shared" ref="DI76:DI107" si="204">IF(AND(MOD($AA76,zapadalnosc_ROS)&lt;zapadalnosc_ROS,MOD($AA76,zapadalnosc_ROS)&lt;&gt;0),MIN(DG76-DD76,DB76*koszt_wczesniejszy_wykup_ROS),0)</f>
        <v>2000</v>
      </c>
      <c r="DJ76" s="128">
        <f t="shared" ref="DJ76:DJ107" si="205">DG76-DI76
-(DG76-DD76-DI76)*podatek_Belki</f>
        <v>110272.60353587499</v>
      </c>
      <c r="DK76" s="128">
        <f t="shared" si="85"/>
        <v>0</v>
      </c>
      <c r="DL76" s="130">
        <f t="shared" ref="DL76:DL107" si="206">INDEX(scenariusz_I_konto,MATCH(ROUNDUP($AA76/12,0),scenariusz_I_rok,0))</f>
        <v>4.4999999999999998E-2</v>
      </c>
      <c r="DM76" s="128">
        <f t="shared" ref="DM76:DM107" si="207">DM75*(1+DL76/12*(1-podatek_Belki))+DK76</f>
        <v>0</v>
      </c>
      <c r="DN76" s="128">
        <f t="shared" ref="DN76:DN107" si="208">DM75*(1+DL76/12*(1-podatek_Belki))+DJ76</f>
        <v>110272.60353587499</v>
      </c>
      <c r="DP76" s="127">
        <f t="shared" si="146"/>
        <v>1000</v>
      </c>
      <c r="DQ76" s="128">
        <f t="shared" si="147"/>
        <v>100000</v>
      </c>
      <c r="DR76" s="128">
        <f t="shared" si="138"/>
        <v>100000</v>
      </c>
      <c r="DS76" s="128">
        <f t="shared" si="139"/>
        <v>111724</v>
      </c>
      <c r="DT76" s="130">
        <f t="shared" ref="DT76:DT107" si="209">IF(AND(MOD($AA76,zapadalnosc_ROD)&lt;=12,MOD($AA76,zapadalnosc_ROD)&lt;&gt;0),proc_I_okres_ROD,(marza_ROD+$BY76))</f>
        <v>5.4000000000000006E-2</v>
      </c>
      <c r="DU76" s="128">
        <f t="shared" ref="DU76:DU107" si="210">DS76*(1+DT76*IF(MOD($AA76,12)&lt;&gt;0,MOD($AA76,12),12)/12)</f>
        <v>116248.822</v>
      </c>
      <c r="DV76" s="128" t="str">
        <f t="shared" ref="DV76:DV107" si="211">IF(MOD($AA76,zapadalnosc_ROD)=0,"tak","nie")</f>
        <v>nie</v>
      </c>
      <c r="DW76" s="128">
        <f t="shared" ref="DW76:DW107" si="212">IF(AND(MOD($AA76,zapadalnosc_ROD)&lt;zapadalnosc_ROD,MOD($AA76,zapadalnosc_ROD)&lt;&gt;0),MIN(DU76-DR76,DP76*koszt_wczesniejszy_wykup_ROD),0)</f>
        <v>3000</v>
      </c>
      <c r="DX76" s="128">
        <f t="shared" si="93"/>
        <v>110731.54582</v>
      </c>
      <c r="DY76" s="128">
        <f t="shared" si="94"/>
        <v>0</v>
      </c>
      <c r="DZ76" s="130">
        <f t="shared" ref="DZ76:DZ107" si="213">INDEX(scenariusz_I_konto,MATCH(ROUNDUP($AA76/12,0),scenariusz_I_rok,0))</f>
        <v>4.4999999999999998E-2</v>
      </c>
      <c r="EA76" s="128">
        <f t="shared" ref="EA76:EA107" si="214">EA75*(1+DZ76/12*(1-podatek_Belki))+DY76</f>
        <v>0</v>
      </c>
      <c r="EB76" s="128">
        <f t="shared" ref="EB76:EB107" si="215">EA75*(1+DZ76/12*(1-podatek_Belki))+DX76</f>
        <v>110731.54582</v>
      </c>
    </row>
    <row r="77" spans="1:137">
      <c r="A77" s="212"/>
      <c r="B77" s="188">
        <f t="shared" ref="B77:B108" si="216">AA76</f>
        <v>33</v>
      </c>
      <c r="C77" s="128">
        <f t="shared" ref="C77:C108" si="217">AQ76</f>
        <v>111138.99538778701</v>
      </c>
      <c r="D77" s="128">
        <f t="shared" ref="D77:D108" si="218">BG76</f>
        <v>110785.27634655804</v>
      </c>
      <c r="E77" s="128">
        <f t="shared" ref="E77:E108" si="219">BW76</f>
        <v>110598.09967674999</v>
      </c>
      <c r="F77" s="128">
        <f t="shared" ref="F77:F108" si="220">CL76</f>
        <v>109247.7795132473</v>
      </c>
      <c r="G77" s="128">
        <f t="shared" ref="G77:G108" si="221">CZ76</f>
        <v>109726.87836812502</v>
      </c>
      <c r="H77" s="128">
        <f t="shared" ref="H77:H108" si="222">DN76</f>
        <v>110272.60353587499</v>
      </c>
      <c r="I77" s="128">
        <f t="shared" ref="I77:I108" si="223">EB76</f>
        <v>110731.54582</v>
      </c>
      <c r="J77" s="128">
        <f t="shared" ref="J77:J108" si="224">FV(INDEX(scenariusz_I_konto,MATCH(ROUNDUP(B77/12,0),scenariusz_I_rok,0))/12*(1-podatek_Belki),1,0,-J76,1)</f>
        <v>110526.54936681842</v>
      </c>
      <c r="K77" s="128">
        <f t="shared" ref="K77:K108" si="225">AB76</f>
        <v>108187.07917499998</v>
      </c>
      <c r="M77" s="36"/>
      <c r="N77" s="32">
        <f t="shared" ref="N77:N108" si="226">B77</f>
        <v>33</v>
      </c>
      <c r="O77" s="25">
        <f t="shared" si="109"/>
        <v>0.11138995387787021</v>
      </c>
      <c r="P77" s="25">
        <f t="shared" si="110"/>
        <v>0.10785276346558037</v>
      </c>
      <c r="Q77" s="25">
        <f t="shared" si="111"/>
        <v>0.10598099676749984</v>
      </c>
      <c r="R77" s="25">
        <f t="shared" si="161"/>
        <v>9.2477795132472895E-2</v>
      </c>
      <c r="S77" s="25">
        <f t="shared" si="162"/>
        <v>9.7268783681250248E-2</v>
      </c>
      <c r="T77" s="25">
        <f t="shared" si="163"/>
        <v>0.10272603535875002</v>
      </c>
      <c r="U77" s="25">
        <f t="shared" si="164"/>
        <v>0.10731545819999999</v>
      </c>
      <c r="V77" s="25">
        <f t="shared" si="165"/>
        <v>0.10526549366818427</v>
      </c>
      <c r="W77" s="25">
        <f t="shared" si="166"/>
        <v>8.1870791749999672E-2</v>
      </c>
      <c r="X77" s="36"/>
      <c r="Y77" s="36"/>
      <c r="AA77" s="124">
        <f t="shared" si="113"/>
        <v>34</v>
      </c>
      <c r="AB77" s="128">
        <f t="shared" si="167"/>
        <v>108442.96574999999</v>
      </c>
      <c r="AC77" s="124">
        <f t="shared" si="114"/>
        <v>34</v>
      </c>
      <c r="AD77" s="130">
        <f t="shared" ref="AD77:AD108" si="227">MAX(INDEX(scenariusz_I_stopa_NBP,MATCH(ROUNDUP(AC77/12,0),scenariusz_I_rok,0)),0)</f>
        <v>4.4999999999999998E-2</v>
      </c>
      <c r="AE77" s="127">
        <f t="shared" ref="AE77:AE108" si="228">IF(AK76="tak",
ROUNDDOWN(AM76/zamiana_ROR,0)+ROUNDDOWN(AP76/100,0),
AE76)</f>
        <v>1085</v>
      </c>
      <c r="AF77" s="128">
        <f t="shared" ref="AF77:AF108" si="229">IF(AK76="tak",
ROUNDDOWN(AM76/zamiana_ROR,0)*zamiana_ROR+ROUNDDOWN(AP76/100,0)*100,
AF76)</f>
        <v>108395.40000000001</v>
      </c>
      <c r="AG77" s="128">
        <f t="shared" si="140"/>
        <v>108500</v>
      </c>
      <c r="AH77" s="128">
        <f t="shared" si="118"/>
        <v>108500</v>
      </c>
      <c r="AI77" s="130">
        <f t="shared" si="168"/>
        <v>4.4999999999999998E-2</v>
      </c>
      <c r="AJ77" s="128">
        <f t="shared" si="169"/>
        <v>108906.87499999999</v>
      </c>
      <c r="AK77" s="128" t="str">
        <f t="shared" si="170"/>
        <v>nie</v>
      </c>
      <c r="AL77" s="128">
        <f t="shared" si="171"/>
        <v>542.5</v>
      </c>
      <c r="AM77" s="128">
        <f t="shared" si="150"/>
        <v>108390.14374999999</v>
      </c>
      <c r="AN77" s="128">
        <f t="shared" si="172"/>
        <v>329.56874999998826</v>
      </c>
      <c r="AO77" s="130">
        <f t="shared" si="173"/>
        <v>4.4999999999999998E-2</v>
      </c>
      <c r="AP77" s="128">
        <f t="shared" si="174"/>
        <v>3417.3398397149022</v>
      </c>
      <c r="AQ77" s="128">
        <f t="shared" si="156"/>
        <v>111477.9148397149</v>
      </c>
      <c r="AS77" s="124">
        <f t="shared" si="119"/>
        <v>34</v>
      </c>
      <c r="AT77" s="130">
        <f t="shared" si="120"/>
        <v>4.4999999999999998E-2</v>
      </c>
      <c r="AU77" s="127">
        <f t="shared" ref="AU77:AU108" si="230">IF(BA76="tak",
ROUNDDOWN(BC76/zamiana_DOR,0)+ROUNDDOWN(BF76/100,0),
AU76)</f>
        <v>1083</v>
      </c>
      <c r="AV77" s="128">
        <f t="shared" ref="AV77:AV108" si="231">IF(BA76="tak",
ROUNDDOWN(BC76/zamiana_DOR,0)*zamiana_DOR+ROUNDDOWN(BF76/100,0)*100,
AV76)</f>
        <v>108199.6</v>
      </c>
      <c r="AW77" s="128">
        <f t="shared" si="151"/>
        <v>108300</v>
      </c>
      <c r="AX77" s="128">
        <f t="shared" si="123"/>
        <v>108300</v>
      </c>
      <c r="AY77" s="130">
        <f t="shared" si="175"/>
        <v>4.65E-2</v>
      </c>
      <c r="AZ77" s="128">
        <f t="shared" si="176"/>
        <v>108719.66250000001</v>
      </c>
      <c r="BA77" s="128" t="str">
        <f t="shared" si="177"/>
        <v>nie</v>
      </c>
      <c r="BB77" s="128">
        <f t="shared" si="178"/>
        <v>758.09999999999991</v>
      </c>
      <c r="BC77" s="128">
        <f t="shared" si="158"/>
        <v>108025.86562500001</v>
      </c>
      <c r="BD77" s="128">
        <f t="shared" si="179"/>
        <v>339.92662500000472</v>
      </c>
      <c r="BE77" s="130">
        <f t="shared" si="51"/>
        <v>4.4999999999999998E-2</v>
      </c>
      <c r="BF77" s="128">
        <f t="shared" si="180"/>
        <v>3448.6782087482043</v>
      </c>
      <c r="BG77" s="128">
        <f t="shared" si="159"/>
        <v>111134.61720874821</v>
      </c>
      <c r="BI77" s="124">
        <f t="shared" si="124"/>
        <v>34</v>
      </c>
      <c r="BJ77" s="130">
        <f t="shared" si="148"/>
        <v>4.3200000000000002E-2</v>
      </c>
      <c r="BK77" s="127">
        <f t="shared" ref="BK77:BK108" si="232">IF(BQ76="tak",
ROUNDDOWN(BS76/zamiana_TOS,0),
BK76)</f>
        <v>1000</v>
      </c>
      <c r="BL77" s="128">
        <f t="shared" ref="BL77:BL108" si="233">IF(BQ76="tak",
BK77*zamiana_TOS,
BL76)</f>
        <v>100000</v>
      </c>
      <c r="BM77" s="128">
        <f t="shared" si="142"/>
        <v>100000</v>
      </c>
      <c r="BN77" s="128">
        <f t="shared" ref="BN77:BN108" si="234">IF(BQ76="tak",
 BM77,
IF(MOD($AA77,kapitalizacja_odsetek_mc_ROS)&lt;&gt;1,BN76,BP76))</f>
        <v>110040.09999999999</v>
      </c>
      <c r="BO77" s="130">
        <f t="shared" si="181"/>
        <v>4.9000000000000002E-2</v>
      </c>
      <c r="BP77" s="128">
        <f t="shared" si="182"/>
        <v>114533.40408333331</v>
      </c>
      <c r="BQ77" s="128" t="str">
        <f t="shared" si="183"/>
        <v>nie</v>
      </c>
      <c r="BR77" s="128">
        <f t="shared" si="184"/>
        <v>1000</v>
      </c>
      <c r="BS77" s="128">
        <f t="shared" si="153"/>
        <v>110962.05730749998</v>
      </c>
      <c r="BT77" s="128">
        <f t="shared" si="128"/>
        <v>0</v>
      </c>
      <c r="BU77" s="130">
        <f t="shared" si="185"/>
        <v>4.4999999999999998E-2</v>
      </c>
      <c r="BV77" s="128">
        <f t="shared" si="60"/>
        <v>0</v>
      </c>
      <c r="BW77" s="128">
        <f t="shared" si="61"/>
        <v>110962.05730749998</v>
      </c>
      <c r="BY77" s="130">
        <f t="shared" si="149"/>
        <v>2.9000000000000001E-2</v>
      </c>
      <c r="BZ77" s="127">
        <f t="shared" ref="BZ77:BZ108" si="235">IF(CF76="tak",
ROUNDDOWN(CH76/zamiana_COI,0)+ROUNDDOWN(CK76/100,0),
BZ76)</f>
        <v>1000</v>
      </c>
      <c r="CA77" s="128">
        <f t="shared" ref="CA77:CA108" si="236">IF(CF76="tak",
ROUNDDOWN(CH76/zamiana_COI,0)*zamiana_COI+ROUNDDOWN(CK76/100,0)*100,
CA76)</f>
        <v>100000</v>
      </c>
      <c r="CB77" s="128">
        <f t="shared" si="154"/>
        <v>100000</v>
      </c>
      <c r="CC77" s="128">
        <f t="shared" si="131"/>
        <v>100000</v>
      </c>
      <c r="CD77" s="130">
        <f t="shared" si="186"/>
        <v>4.3999999999999997E-2</v>
      </c>
      <c r="CE77" s="128">
        <f t="shared" si="187"/>
        <v>103666.66666666666</v>
      </c>
      <c r="CF77" s="128" t="str">
        <f t="shared" si="188"/>
        <v>nie</v>
      </c>
      <c r="CG77" s="128">
        <f t="shared" si="189"/>
        <v>2000</v>
      </c>
      <c r="CH77" s="128">
        <f t="shared" si="160"/>
        <v>101349.99999999999</v>
      </c>
      <c r="CI77" s="128">
        <f t="shared" si="190"/>
        <v>0</v>
      </c>
      <c r="CJ77" s="130">
        <f t="shared" si="68"/>
        <v>4.4999999999999998E-2</v>
      </c>
      <c r="CK77" s="128">
        <f t="shared" si="191"/>
        <v>8219.6711560187996</v>
      </c>
      <c r="CL77" s="128">
        <f t="shared" si="192"/>
        <v>109569.67115601878</v>
      </c>
      <c r="CN77" s="127">
        <f t="shared" ref="CN77:CN108" si="237">IF(CT76="tak",
ROUNDDOWN(CV76/zamiana_EDO,0),
CN76)</f>
        <v>1000</v>
      </c>
      <c r="CO77" s="128">
        <f t="shared" ref="CO77:CO108" si="238">IF(CT76="tak",
CN77*zamiana_EDO,
CO76)</f>
        <v>100000</v>
      </c>
      <c r="CP77" s="128">
        <f t="shared" si="134"/>
        <v>100000</v>
      </c>
      <c r="CQ77" s="128">
        <f t="shared" ref="CQ77:CQ108" si="239">IF(CT76="tak",
 CP77,
IF(MOD($AA77,kapitalizacja_odsetek_mc_EDO)&lt;&gt;1,CQ76,CS76))</f>
        <v>110931.75000000001</v>
      </c>
      <c r="CR77" s="130">
        <f t="shared" si="193"/>
        <v>4.9000000000000002E-2</v>
      </c>
      <c r="CS77" s="128">
        <f t="shared" si="194"/>
        <v>115461.46312500001</v>
      </c>
      <c r="CT77" s="128" t="str">
        <f t="shared" si="195"/>
        <v>nie</v>
      </c>
      <c r="CU77" s="128">
        <f t="shared" si="196"/>
        <v>3000</v>
      </c>
      <c r="CV77" s="128">
        <f t="shared" si="197"/>
        <v>110093.78513125001</v>
      </c>
      <c r="CW77" s="128">
        <f t="shared" si="76"/>
        <v>0</v>
      </c>
      <c r="CX77" s="130">
        <f t="shared" si="198"/>
        <v>4.4999999999999998E-2</v>
      </c>
      <c r="CY77" s="128">
        <f t="shared" si="199"/>
        <v>0</v>
      </c>
      <c r="CZ77" s="128">
        <f t="shared" si="200"/>
        <v>110093.78513125001</v>
      </c>
      <c r="DA77" s="20"/>
      <c r="DB77" s="127">
        <f t="shared" si="144"/>
        <v>1000</v>
      </c>
      <c r="DC77" s="128">
        <f t="shared" si="145"/>
        <v>100000</v>
      </c>
      <c r="DD77" s="128">
        <f t="shared" si="136"/>
        <v>100000</v>
      </c>
      <c r="DE77" s="128">
        <f t="shared" ref="DE77:DE108" si="240">IF(DH76="tak",
 DD77,
IF(MOD($AA77,kapitalizacja_odsetek_mc_ROS)&lt;&gt;1,DE76,DG76))</f>
        <v>110617.04999999999</v>
      </c>
      <c r="DF77" s="130">
        <f t="shared" si="201"/>
        <v>4.9000000000000002E-2</v>
      </c>
      <c r="DG77" s="128">
        <f t="shared" si="202"/>
        <v>115133.91287499998</v>
      </c>
      <c r="DH77" s="128" t="str">
        <f t="shared" si="203"/>
        <v>nie</v>
      </c>
      <c r="DI77" s="128">
        <f t="shared" si="204"/>
        <v>2000</v>
      </c>
      <c r="DJ77" s="128">
        <f t="shared" si="205"/>
        <v>110638.46942874999</v>
      </c>
      <c r="DK77" s="128">
        <f t="shared" si="85"/>
        <v>0</v>
      </c>
      <c r="DL77" s="130">
        <f t="shared" si="206"/>
        <v>4.4999999999999998E-2</v>
      </c>
      <c r="DM77" s="128">
        <f t="shared" si="207"/>
        <v>0</v>
      </c>
      <c r="DN77" s="128">
        <f t="shared" si="208"/>
        <v>110638.46942874999</v>
      </c>
      <c r="DP77" s="127">
        <f t="shared" si="146"/>
        <v>1000</v>
      </c>
      <c r="DQ77" s="128">
        <f t="shared" si="147"/>
        <v>100000</v>
      </c>
      <c r="DR77" s="128">
        <f t="shared" si="138"/>
        <v>100000</v>
      </c>
      <c r="DS77" s="128">
        <f t="shared" ref="DS77:DS108" si="241">IF(DV76="tak",
 DR77,
IF(MOD($AA77,kapitalizacja_odsetek_mc_ROD)&lt;&gt;1,DS76,DU76))</f>
        <v>111724</v>
      </c>
      <c r="DT77" s="130">
        <f t="shared" si="209"/>
        <v>5.4000000000000006E-2</v>
      </c>
      <c r="DU77" s="128">
        <f t="shared" si="210"/>
        <v>116751.57999999999</v>
      </c>
      <c r="DV77" s="128" t="str">
        <f t="shared" si="211"/>
        <v>nie</v>
      </c>
      <c r="DW77" s="128">
        <f t="shared" si="212"/>
        <v>3000</v>
      </c>
      <c r="DX77" s="128">
        <f t="shared" si="93"/>
        <v>111138.77979999999</v>
      </c>
      <c r="DY77" s="128">
        <f t="shared" si="94"/>
        <v>0</v>
      </c>
      <c r="DZ77" s="130">
        <f t="shared" si="213"/>
        <v>4.4999999999999998E-2</v>
      </c>
      <c r="EA77" s="128">
        <f t="shared" si="214"/>
        <v>0</v>
      </c>
      <c r="EB77" s="128">
        <f t="shared" si="215"/>
        <v>111138.77979999999</v>
      </c>
    </row>
    <row r="78" spans="1:137">
      <c r="A78" s="212"/>
      <c r="B78" s="188">
        <f t="shared" si="216"/>
        <v>34</v>
      </c>
      <c r="C78" s="128">
        <f t="shared" si="217"/>
        <v>111477.9148397149</v>
      </c>
      <c r="D78" s="128">
        <f t="shared" si="218"/>
        <v>111134.61720874821</v>
      </c>
      <c r="E78" s="128">
        <f t="shared" si="219"/>
        <v>110962.05730749998</v>
      </c>
      <c r="F78" s="128">
        <f t="shared" si="220"/>
        <v>109569.67115601878</v>
      </c>
      <c r="G78" s="128">
        <f t="shared" si="221"/>
        <v>110093.78513125001</v>
      </c>
      <c r="H78" s="128">
        <f t="shared" si="222"/>
        <v>110638.46942874999</v>
      </c>
      <c r="I78" s="128">
        <f t="shared" si="223"/>
        <v>111138.77979999999</v>
      </c>
      <c r="J78" s="128">
        <f t="shared" si="224"/>
        <v>110862.27376052014</v>
      </c>
      <c r="K78" s="128">
        <f t="shared" si="225"/>
        <v>108442.96574999999</v>
      </c>
      <c r="M78" s="36"/>
      <c r="N78" s="32">
        <f t="shared" si="226"/>
        <v>34</v>
      </c>
      <c r="O78" s="25">
        <f t="shared" si="109"/>
        <v>0.11477914839714898</v>
      </c>
      <c r="P78" s="25">
        <f t="shared" si="110"/>
        <v>0.11134617208748221</v>
      </c>
      <c r="Q78" s="25">
        <f t="shared" si="111"/>
        <v>0.10962057307499995</v>
      </c>
      <c r="R78" s="25">
        <f t="shared" si="161"/>
        <v>9.5696711560187886E-2</v>
      </c>
      <c r="S78" s="25">
        <f t="shared" si="162"/>
        <v>0.1009378513125001</v>
      </c>
      <c r="T78" s="25">
        <f t="shared" si="163"/>
        <v>0.10638469428749997</v>
      </c>
      <c r="U78" s="25">
        <f t="shared" si="164"/>
        <v>0.11138779799999998</v>
      </c>
      <c r="V78" s="25">
        <f t="shared" si="165"/>
        <v>0.10862273760520136</v>
      </c>
      <c r="W78" s="25">
        <f t="shared" si="166"/>
        <v>8.4429657499999866E-2</v>
      </c>
      <c r="X78" s="36"/>
      <c r="Y78" s="36"/>
      <c r="AA78" s="124">
        <f t="shared" si="113"/>
        <v>35</v>
      </c>
      <c r="AB78" s="128">
        <f t="shared" si="167"/>
        <v>108698.852325</v>
      </c>
      <c r="AC78" s="124">
        <f t="shared" si="114"/>
        <v>35</v>
      </c>
      <c r="AD78" s="130">
        <f t="shared" si="227"/>
        <v>4.4999999999999998E-2</v>
      </c>
      <c r="AE78" s="127">
        <f t="shared" si="228"/>
        <v>1085</v>
      </c>
      <c r="AF78" s="128">
        <f t="shared" si="229"/>
        <v>108395.40000000001</v>
      </c>
      <c r="AG78" s="128">
        <f t="shared" si="140"/>
        <v>108500</v>
      </c>
      <c r="AH78" s="128">
        <f t="shared" si="118"/>
        <v>108500</v>
      </c>
      <c r="AI78" s="130">
        <f t="shared" si="168"/>
        <v>4.4999999999999998E-2</v>
      </c>
      <c r="AJ78" s="128">
        <f t="shared" si="169"/>
        <v>108906.87499999999</v>
      </c>
      <c r="AK78" s="128" t="str">
        <f t="shared" si="170"/>
        <v>nie</v>
      </c>
      <c r="AL78" s="128">
        <f t="shared" si="171"/>
        <v>542.5</v>
      </c>
      <c r="AM78" s="128">
        <f t="shared" si="150"/>
        <v>108390.14374999999</v>
      </c>
      <c r="AN78" s="128">
        <f t="shared" si="172"/>
        <v>329.56874999998826</v>
      </c>
      <c r="AO78" s="130">
        <f t="shared" si="173"/>
        <v>4.4999999999999998E-2</v>
      </c>
      <c r="AP78" s="128">
        <f t="shared" si="174"/>
        <v>3757.2887594780245</v>
      </c>
      <c r="AQ78" s="128">
        <f t="shared" si="156"/>
        <v>111817.86375947803</v>
      </c>
      <c r="AS78" s="124">
        <f t="shared" si="119"/>
        <v>35</v>
      </c>
      <c r="AT78" s="130">
        <f t="shared" si="120"/>
        <v>4.4999999999999998E-2</v>
      </c>
      <c r="AU78" s="127">
        <f t="shared" si="230"/>
        <v>1083</v>
      </c>
      <c r="AV78" s="128">
        <f t="shared" si="231"/>
        <v>108199.6</v>
      </c>
      <c r="AW78" s="128">
        <f t="shared" si="151"/>
        <v>108300</v>
      </c>
      <c r="AX78" s="128">
        <f t="shared" si="123"/>
        <v>108300</v>
      </c>
      <c r="AY78" s="130">
        <f t="shared" si="175"/>
        <v>4.65E-2</v>
      </c>
      <c r="AZ78" s="128">
        <f t="shared" si="176"/>
        <v>108719.66250000001</v>
      </c>
      <c r="BA78" s="128" t="str">
        <f t="shared" si="177"/>
        <v>nie</v>
      </c>
      <c r="BB78" s="128">
        <f t="shared" si="178"/>
        <v>758.09999999999991</v>
      </c>
      <c r="BC78" s="128">
        <f t="shared" si="158"/>
        <v>108025.86562500001</v>
      </c>
      <c r="BD78" s="128">
        <f t="shared" si="179"/>
        <v>339.92662500000472</v>
      </c>
      <c r="BE78" s="130">
        <f t="shared" si="51"/>
        <v>4.4999999999999998E-2</v>
      </c>
      <c r="BF78" s="128">
        <f t="shared" si="180"/>
        <v>3799.0801938072818</v>
      </c>
      <c r="BG78" s="128">
        <f t="shared" si="159"/>
        <v>111485.01919380728</v>
      </c>
      <c r="BI78" s="124">
        <f t="shared" si="124"/>
        <v>35</v>
      </c>
      <c r="BJ78" s="130">
        <f t="shared" si="148"/>
        <v>4.3200000000000002E-2</v>
      </c>
      <c r="BK78" s="127">
        <f t="shared" si="232"/>
        <v>1000</v>
      </c>
      <c r="BL78" s="128">
        <f t="shared" si="233"/>
        <v>100000</v>
      </c>
      <c r="BM78" s="128">
        <f t="shared" si="142"/>
        <v>100000</v>
      </c>
      <c r="BN78" s="128">
        <f t="shared" si="234"/>
        <v>110040.09999999999</v>
      </c>
      <c r="BO78" s="130">
        <f t="shared" si="181"/>
        <v>4.9000000000000002E-2</v>
      </c>
      <c r="BP78" s="128">
        <f t="shared" si="182"/>
        <v>114982.73449166666</v>
      </c>
      <c r="BQ78" s="128" t="str">
        <f t="shared" si="183"/>
        <v>nie</v>
      </c>
      <c r="BR78" s="128">
        <f t="shared" si="184"/>
        <v>1000</v>
      </c>
      <c r="BS78" s="128">
        <f t="shared" si="153"/>
        <v>111326.01493824999</v>
      </c>
      <c r="BT78" s="128">
        <f t="shared" si="128"/>
        <v>0</v>
      </c>
      <c r="BU78" s="130">
        <f t="shared" si="185"/>
        <v>4.4999999999999998E-2</v>
      </c>
      <c r="BV78" s="128">
        <f t="shared" si="60"/>
        <v>0</v>
      </c>
      <c r="BW78" s="128">
        <f t="shared" si="61"/>
        <v>111326.01493824999</v>
      </c>
      <c r="BY78" s="130">
        <f t="shared" si="149"/>
        <v>2.9000000000000001E-2</v>
      </c>
      <c r="BZ78" s="127">
        <f t="shared" si="235"/>
        <v>1000</v>
      </c>
      <c r="CA78" s="128">
        <f t="shared" si="236"/>
        <v>100000</v>
      </c>
      <c r="CB78" s="128">
        <f t="shared" si="154"/>
        <v>100000</v>
      </c>
      <c r="CC78" s="128">
        <f t="shared" si="131"/>
        <v>100000</v>
      </c>
      <c r="CD78" s="130">
        <f t="shared" si="186"/>
        <v>4.3999999999999997E-2</v>
      </c>
      <c r="CE78" s="128">
        <f t="shared" si="187"/>
        <v>104033.33333333333</v>
      </c>
      <c r="CF78" s="128" t="str">
        <f t="shared" si="188"/>
        <v>nie</v>
      </c>
      <c r="CG78" s="128">
        <f t="shared" si="189"/>
        <v>2000</v>
      </c>
      <c r="CH78" s="128">
        <f t="shared" si="160"/>
        <v>101647</v>
      </c>
      <c r="CI78" s="128">
        <f t="shared" si="190"/>
        <v>0</v>
      </c>
      <c r="CJ78" s="130">
        <f t="shared" si="68"/>
        <v>4.4999999999999998E-2</v>
      </c>
      <c r="CK78" s="128">
        <f t="shared" si="191"/>
        <v>8244.6384071552075</v>
      </c>
      <c r="CL78" s="128">
        <f t="shared" si="192"/>
        <v>109891.6384071552</v>
      </c>
      <c r="CN78" s="127">
        <f t="shared" si="237"/>
        <v>1000</v>
      </c>
      <c r="CO78" s="128">
        <f t="shared" si="238"/>
        <v>100000</v>
      </c>
      <c r="CP78" s="128">
        <f t="shared" si="134"/>
        <v>100000</v>
      </c>
      <c r="CQ78" s="128">
        <f t="shared" si="239"/>
        <v>110931.75000000001</v>
      </c>
      <c r="CR78" s="130">
        <f t="shared" si="193"/>
        <v>4.9000000000000002E-2</v>
      </c>
      <c r="CS78" s="128">
        <f t="shared" si="194"/>
        <v>115914.43443750002</v>
      </c>
      <c r="CT78" s="128" t="str">
        <f t="shared" si="195"/>
        <v>nie</v>
      </c>
      <c r="CU78" s="128">
        <f t="shared" si="196"/>
        <v>3000</v>
      </c>
      <c r="CV78" s="128">
        <f t="shared" si="197"/>
        <v>110460.69189437502</v>
      </c>
      <c r="CW78" s="128">
        <f t="shared" si="76"/>
        <v>0</v>
      </c>
      <c r="CX78" s="130">
        <f t="shared" si="198"/>
        <v>4.4999999999999998E-2</v>
      </c>
      <c r="CY78" s="128">
        <f t="shared" si="199"/>
        <v>0</v>
      </c>
      <c r="CZ78" s="128">
        <f t="shared" si="200"/>
        <v>110460.69189437502</v>
      </c>
      <c r="DA78" s="20"/>
      <c r="DB78" s="127">
        <f t="shared" si="144"/>
        <v>1000</v>
      </c>
      <c r="DC78" s="128">
        <f t="shared" si="145"/>
        <v>100000</v>
      </c>
      <c r="DD78" s="128">
        <f t="shared" si="136"/>
        <v>100000</v>
      </c>
      <c r="DE78" s="128">
        <f t="shared" si="240"/>
        <v>110617.04999999999</v>
      </c>
      <c r="DF78" s="130">
        <f t="shared" si="201"/>
        <v>4.9000000000000002E-2</v>
      </c>
      <c r="DG78" s="128">
        <f t="shared" si="202"/>
        <v>115585.59916249999</v>
      </c>
      <c r="DH78" s="128" t="str">
        <f t="shared" si="203"/>
        <v>nie</v>
      </c>
      <c r="DI78" s="128">
        <f t="shared" si="204"/>
        <v>2000</v>
      </c>
      <c r="DJ78" s="128">
        <f t="shared" si="205"/>
        <v>111004.335321625</v>
      </c>
      <c r="DK78" s="128">
        <f t="shared" si="85"/>
        <v>0</v>
      </c>
      <c r="DL78" s="130">
        <f t="shared" si="206"/>
        <v>4.4999999999999998E-2</v>
      </c>
      <c r="DM78" s="128">
        <f t="shared" si="207"/>
        <v>0</v>
      </c>
      <c r="DN78" s="128">
        <f t="shared" si="208"/>
        <v>111004.335321625</v>
      </c>
      <c r="DP78" s="127">
        <f t="shared" si="146"/>
        <v>1000</v>
      </c>
      <c r="DQ78" s="128">
        <f t="shared" si="147"/>
        <v>100000</v>
      </c>
      <c r="DR78" s="128">
        <f t="shared" si="138"/>
        <v>100000</v>
      </c>
      <c r="DS78" s="128">
        <f t="shared" si="241"/>
        <v>111724</v>
      </c>
      <c r="DT78" s="130">
        <f t="shared" si="209"/>
        <v>5.4000000000000006E-2</v>
      </c>
      <c r="DU78" s="128">
        <f t="shared" si="210"/>
        <v>117254.33800000002</v>
      </c>
      <c r="DV78" s="128" t="str">
        <f t="shared" si="211"/>
        <v>nie</v>
      </c>
      <c r="DW78" s="128">
        <f t="shared" si="212"/>
        <v>3000</v>
      </c>
      <c r="DX78" s="128">
        <f t="shared" si="93"/>
        <v>111546.01378000001</v>
      </c>
      <c r="DY78" s="128">
        <f t="shared" si="94"/>
        <v>0</v>
      </c>
      <c r="DZ78" s="130">
        <f t="shared" si="213"/>
        <v>4.4999999999999998E-2</v>
      </c>
      <c r="EA78" s="128">
        <f t="shared" si="214"/>
        <v>0</v>
      </c>
      <c r="EB78" s="128">
        <f t="shared" si="215"/>
        <v>111546.01378000001</v>
      </c>
    </row>
    <row r="79" spans="1:137" ht="14.25" customHeight="1">
      <c r="A79" s="212"/>
      <c r="B79" s="188">
        <f t="shared" si="216"/>
        <v>35</v>
      </c>
      <c r="C79" s="128">
        <f t="shared" si="217"/>
        <v>111817.86375947803</v>
      </c>
      <c r="D79" s="128">
        <f t="shared" si="218"/>
        <v>111485.01919380728</v>
      </c>
      <c r="E79" s="128">
        <f t="shared" si="219"/>
        <v>111326.01493824999</v>
      </c>
      <c r="F79" s="128">
        <f t="shared" si="220"/>
        <v>109891.6384071552</v>
      </c>
      <c r="G79" s="128">
        <f t="shared" si="221"/>
        <v>110460.69189437502</v>
      </c>
      <c r="H79" s="128">
        <f t="shared" si="222"/>
        <v>111004.335321625</v>
      </c>
      <c r="I79" s="128">
        <f t="shared" si="223"/>
        <v>111546.01378000001</v>
      </c>
      <c r="J79" s="128">
        <f t="shared" si="224"/>
        <v>111199.01791706773</v>
      </c>
      <c r="K79" s="128">
        <f t="shared" si="225"/>
        <v>108698.852325</v>
      </c>
      <c r="M79" s="36"/>
      <c r="N79" s="32">
        <f t="shared" si="226"/>
        <v>35</v>
      </c>
      <c r="O79" s="25">
        <f t="shared" si="109"/>
        <v>0.1181786375947802</v>
      </c>
      <c r="P79" s="25">
        <f t="shared" si="110"/>
        <v>0.11485019193807289</v>
      </c>
      <c r="Q79" s="25">
        <f t="shared" si="111"/>
        <v>0.11326014938249984</v>
      </c>
      <c r="R79" s="25">
        <f t="shared" si="161"/>
        <v>9.8916384071552121E-2</v>
      </c>
      <c r="S79" s="25">
        <f t="shared" si="162"/>
        <v>0.10460691894375018</v>
      </c>
      <c r="T79" s="25">
        <f t="shared" si="163"/>
        <v>0.11004335321624992</v>
      </c>
      <c r="U79" s="25">
        <f t="shared" si="164"/>
        <v>0.11546013779999997</v>
      </c>
      <c r="V79" s="25">
        <f t="shared" si="165"/>
        <v>0.11199017917067722</v>
      </c>
      <c r="W79" s="25">
        <f t="shared" si="166"/>
        <v>8.698852325000006E-2</v>
      </c>
      <c r="X79" s="36"/>
      <c r="Y79" s="36"/>
      <c r="AA79" s="124">
        <f t="shared" si="113"/>
        <v>36</v>
      </c>
      <c r="AB79" s="128">
        <f t="shared" si="167"/>
        <v>108954.73889999998</v>
      </c>
      <c r="AC79" s="124">
        <f t="shared" si="114"/>
        <v>36</v>
      </c>
      <c r="AD79" s="130">
        <f t="shared" si="227"/>
        <v>4.4999999999999998E-2</v>
      </c>
      <c r="AE79" s="127">
        <f t="shared" si="228"/>
        <v>1085</v>
      </c>
      <c r="AF79" s="128">
        <f t="shared" si="229"/>
        <v>108395.40000000001</v>
      </c>
      <c r="AG79" s="128">
        <f t="shared" si="140"/>
        <v>108500</v>
      </c>
      <c r="AH79" s="128">
        <f t="shared" si="118"/>
        <v>108500</v>
      </c>
      <c r="AI79" s="130">
        <f t="shared" si="168"/>
        <v>4.4999999999999998E-2</v>
      </c>
      <c r="AJ79" s="128">
        <f t="shared" si="169"/>
        <v>108906.87499999999</v>
      </c>
      <c r="AK79" s="128" t="str">
        <f t="shared" si="170"/>
        <v>tak</v>
      </c>
      <c r="AL79" s="128">
        <f t="shared" si="171"/>
        <v>0</v>
      </c>
      <c r="AM79" s="128">
        <f t="shared" si="150"/>
        <v>108829.56874999999</v>
      </c>
      <c r="AN79" s="128">
        <f t="shared" si="172"/>
        <v>438.56874999998206</v>
      </c>
      <c r="AO79" s="130">
        <f t="shared" si="173"/>
        <v>4.4999999999999998E-2</v>
      </c>
      <c r="AP79" s="128">
        <f t="shared" si="174"/>
        <v>4207.2702740849209</v>
      </c>
      <c r="AQ79" s="128">
        <f t="shared" si="156"/>
        <v>112598.27027408493</v>
      </c>
      <c r="AS79" s="124">
        <f t="shared" si="119"/>
        <v>36</v>
      </c>
      <c r="AT79" s="130">
        <f t="shared" si="120"/>
        <v>4.4999999999999998E-2</v>
      </c>
      <c r="AU79" s="127">
        <f t="shared" si="230"/>
        <v>1083</v>
      </c>
      <c r="AV79" s="128">
        <f t="shared" si="231"/>
        <v>108199.6</v>
      </c>
      <c r="AW79" s="128">
        <f t="shared" si="151"/>
        <v>108300</v>
      </c>
      <c r="AX79" s="128">
        <f t="shared" si="123"/>
        <v>108300</v>
      </c>
      <c r="AY79" s="130">
        <f t="shared" si="175"/>
        <v>4.65E-2</v>
      </c>
      <c r="AZ79" s="128">
        <f t="shared" si="176"/>
        <v>108719.66250000001</v>
      </c>
      <c r="BA79" s="128" t="str">
        <f t="shared" si="177"/>
        <v>nie</v>
      </c>
      <c r="BB79" s="128">
        <f t="shared" si="178"/>
        <v>758.09999999999991</v>
      </c>
      <c r="BC79" s="128">
        <f t="shared" si="158"/>
        <v>108025.86562500001</v>
      </c>
      <c r="BD79" s="128">
        <f t="shared" si="179"/>
        <v>339.92662500000472</v>
      </c>
      <c r="BE79" s="130">
        <f t="shared" si="51"/>
        <v>4.4999999999999998E-2</v>
      </c>
      <c r="BF79" s="128">
        <f t="shared" si="180"/>
        <v>4150.5465248959763</v>
      </c>
      <c r="BG79" s="128">
        <f t="shared" si="159"/>
        <v>111836.48552489598</v>
      </c>
      <c r="BI79" s="124">
        <f t="shared" si="124"/>
        <v>36</v>
      </c>
      <c r="BJ79" s="130">
        <f t="shared" si="148"/>
        <v>4.3200000000000002E-2</v>
      </c>
      <c r="BK79" s="127">
        <f t="shared" si="232"/>
        <v>1000</v>
      </c>
      <c r="BL79" s="128">
        <f t="shared" si="233"/>
        <v>100000</v>
      </c>
      <c r="BM79" s="128">
        <f t="shared" si="142"/>
        <v>100000</v>
      </c>
      <c r="BN79" s="128">
        <f t="shared" si="234"/>
        <v>110040.09999999999</v>
      </c>
      <c r="BO79" s="130">
        <f t="shared" si="181"/>
        <v>4.9000000000000002E-2</v>
      </c>
      <c r="BP79" s="128">
        <f t="shared" si="182"/>
        <v>115432.06489999998</v>
      </c>
      <c r="BQ79" s="128" t="str">
        <f t="shared" si="183"/>
        <v>tak</v>
      </c>
      <c r="BR79" s="128">
        <f t="shared" si="184"/>
        <v>0</v>
      </c>
      <c r="BS79" s="128">
        <f t="shared" si="153"/>
        <v>112499.97256899999</v>
      </c>
      <c r="BT79" s="128">
        <f t="shared" si="128"/>
        <v>12.57256899998174</v>
      </c>
      <c r="BU79" s="130">
        <f t="shared" si="185"/>
        <v>4.4999999999999998E-2</v>
      </c>
      <c r="BV79" s="128">
        <f t="shared" si="60"/>
        <v>12.57256899998174</v>
      </c>
      <c r="BW79" s="128">
        <f t="shared" si="61"/>
        <v>112499.97256899999</v>
      </c>
      <c r="BY79" s="130">
        <f t="shared" si="149"/>
        <v>2.9000000000000001E-2</v>
      </c>
      <c r="BZ79" s="127">
        <f t="shared" si="235"/>
        <v>1000</v>
      </c>
      <c r="CA79" s="128">
        <f t="shared" si="236"/>
        <v>100000</v>
      </c>
      <c r="CB79" s="128">
        <f t="shared" si="154"/>
        <v>100000</v>
      </c>
      <c r="CC79" s="128">
        <f t="shared" si="131"/>
        <v>100000</v>
      </c>
      <c r="CD79" s="130">
        <f t="shared" si="186"/>
        <v>4.3999999999999997E-2</v>
      </c>
      <c r="CE79" s="128">
        <f t="shared" si="187"/>
        <v>104400</v>
      </c>
      <c r="CF79" s="128" t="str">
        <f t="shared" si="188"/>
        <v>nie</v>
      </c>
      <c r="CG79" s="128">
        <f t="shared" si="189"/>
        <v>2000</v>
      </c>
      <c r="CH79" s="128">
        <f t="shared" si="160"/>
        <v>101944</v>
      </c>
      <c r="CI79" s="128">
        <f t="shared" si="190"/>
        <v>3564.0000000000005</v>
      </c>
      <c r="CJ79" s="130">
        <f t="shared" si="68"/>
        <v>4.4999999999999998E-2</v>
      </c>
      <c r="CK79" s="128">
        <f t="shared" si="191"/>
        <v>11833.681496316942</v>
      </c>
      <c r="CL79" s="128">
        <f t="shared" si="192"/>
        <v>110213.68149631695</v>
      </c>
      <c r="CN79" s="127">
        <f t="shared" si="237"/>
        <v>1000</v>
      </c>
      <c r="CO79" s="128">
        <f t="shared" si="238"/>
        <v>100000</v>
      </c>
      <c r="CP79" s="128">
        <f t="shared" si="134"/>
        <v>100000</v>
      </c>
      <c r="CQ79" s="128">
        <f t="shared" si="239"/>
        <v>110931.75000000001</v>
      </c>
      <c r="CR79" s="130">
        <f t="shared" si="193"/>
        <v>4.9000000000000002E-2</v>
      </c>
      <c r="CS79" s="128">
        <f t="shared" si="194"/>
        <v>116367.40575000001</v>
      </c>
      <c r="CT79" s="128" t="str">
        <f t="shared" si="195"/>
        <v>nie</v>
      </c>
      <c r="CU79" s="128">
        <f t="shared" si="196"/>
        <v>3000</v>
      </c>
      <c r="CV79" s="128">
        <f t="shared" si="197"/>
        <v>110827.5986575</v>
      </c>
      <c r="CW79" s="128">
        <f t="shared" si="76"/>
        <v>0</v>
      </c>
      <c r="CX79" s="130">
        <f t="shared" si="198"/>
        <v>4.4999999999999998E-2</v>
      </c>
      <c r="CY79" s="128">
        <f t="shared" si="199"/>
        <v>0</v>
      </c>
      <c r="CZ79" s="128">
        <f t="shared" si="200"/>
        <v>110827.5986575</v>
      </c>
      <c r="DA79" s="20"/>
      <c r="DB79" s="127">
        <f t="shared" si="144"/>
        <v>1000</v>
      </c>
      <c r="DC79" s="128">
        <f t="shared" si="145"/>
        <v>100000</v>
      </c>
      <c r="DD79" s="128">
        <f t="shared" si="136"/>
        <v>100000</v>
      </c>
      <c r="DE79" s="128">
        <f t="shared" si="240"/>
        <v>110617.04999999999</v>
      </c>
      <c r="DF79" s="130">
        <f t="shared" si="201"/>
        <v>4.9000000000000002E-2</v>
      </c>
      <c r="DG79" s="128">
        <f t="shared" si="202"/>
        <v>116037.28544999998</v>
      </c>
      <c r="DH79" s="128" t="str">
        <f t="shared" si="203"/>
        <v>nie</v>
      </c>
      <c r="DI79" s="128">
        <f t="shared" si="204"/>
        <v>2000</v>
      </c>
      <c r="DJ79" s="128">
        <f t="shared" si="205"/>
        <v>111370.20121449999</v>
      </c>
      <c r="DK79" s="128">
        <f t="shared" si="85"/>
        <v>0</v>
      </c>
      <c r="DL79" s="130">
        <f t="shared" si="206"/>
        <v>4.4999999999999998E-2</v>
      </c>
      <c r="DM79" s="128">
        <f t="shared" si="207"/>
        <v>0</v>
      </c>
      <c r="DN79" s="128">
        <f t="shared" si="208"/>
        <v>111370.20121449999</v>
      </c>
      <c r="DP79" s="127">
        <f t="shared" si="146"/>
        <v>1000</v>
      </c>
      <c r="DQ79" s="128">
        <f t="shared" si="147"/>
        <v>100000</v>
      </c>
      <c r="DR79" s="128">
        <f t="shared" si="138"/>
        <v>100000</v>
      </c>
      <c r="DS79" s="128">
        <f t="shared" si="241"/>
        <v>111724</v>
      </c>
      <c r="DT79" s="130">
        <f t="shared" si="209"/>
        <v>5.4000000000000006E-2</v>
      </c>
      <c r="DU79" s="128">
        <f t="shared" si="210"/>
        <v>117757.09600000001</v>
      </c>
      <c r="DV79" s="128" t="str">
        <f t="shared" si="211"/>
        <v>nie</v>
      </c>
      <c r="DW79" s="128">
        <f t="shared" si="212"/>
        <v>3000</v>
      </c>
      <c r="DX79" s="128">
        <f t="shared" si="93"/>
        <v>111953.24776</v>
      </c>
      <c r="DY79" s="128">
        <f t="shared" si="94"/>
        <v>0</v>
      </c>
      <c r="DZ79" s="130">
        <f t="shared" si="213"/>
        <v>4.4999999999999998E-2</v>
      </c>
      <c r="EA79" s="128">
        <f t="shared" si="214"/>
        <v>0</v>
      </c>
      <c r="EB79" s="128">
        <f t="shared" si="215"/>
        <v>111953.24776</v>
      </c>
    </row>
    <row r="80" spans="1:137">
      <c r="A80" s="212"/>
      <c r="B80" s="188">
        <f t="shared" si="216"/>
        <v>36</v>
      </c>
      <c r="C80" s="128">
        <f t="shared" si="217"/>
        <v>112598.27027408493</v>
      </c>
      <c r="D80" s="128">
        <f t="shared" si="218"/>
        <v>111836.48552489598</v>
      </c>
      <c r="E80" s="128">
        <f t="shared" si="219"/>
        <v>112499.97256899999</v>
      </c>
      <c r="F80" s="128">
        <f t="shared" si="220"/>
        <v>110213.68149631695</v>
      </c>
      <c r="G80" s="128">
        <f t="shared" si="221"/>
        <v>110827.5986575</v>
      </c>
      <c r="H80" s="128">
        <f t="shared" si="222"/>
        <v>111370.20121449999</v>
      </c>
      <c r="I80" s="128">
        <f t="shared" si="223"/>
        <v>111953.24776</v>
      </c>
      <c r="J80" s="128">
        <f t="shared" si="224"/>
        <v>111536.78493399083</v>
      </c>
      <c r="K80" s="128">
        <f t="shared" si="225"/>
        <v>108954.73889999998</v>
      </c>
      <c r="M80" s="36"/>
      <c r="N80" s="32">
        <f t="shared" si="226"/>
        <v>36</v>
      </c>
      <c r="O80" s="25">
        <f t="shared" si="109"/>
        <v>0.12598270274084933</v>
      </c>
      <c r="P80" s="25">
        <f t="shared" si="110"/>
        <v>0.11836485524895979</v>
      </c>
      <c r="Q80" s="25">
        <f t="shared" si="111"/>
        <v>0.12499972568999995</v>
      </c>
      <c r="R80" s="25">
        <f t="shared" si="161"/>
        <v>0.1021368149631694</v>
      </c>
      <c r="S80" s="25">
        <f t="shared" si="162"/>
        <v>0.10827598657500004</v>
      </c>
      <c r="T80" s="25">
        <f t="shared" si="163"/>
        <v>0.11370201214499986</v>
      </c>
      <c r="U80" s="25">
        <f t="shared" si="164"/>
        <v>0.11953247759999996</v>
      </c>
      <c r="V80" s="25">
        <f t="shared" si="165"/>
        <v>0.11536784933990818</v>
      </c>
      <c r="W80" s="25">
        <f t="shared" si="166"/>
        <v>8.9547388999999811E-2</v>
      </c>
      <c r="X80" s="36"/>
      <c r="Y80" s="36"/>
      <c r="AA80" s="124">
        <f t="shared" si="113"/>
        <v>37</v>
      </c>
      <c r="AB80" s="128">
        <f t="shared" si="167"/>
        <v>109218.04618567499</v>
      </c>
      <c r="AC80" s="124">
        <f t="shared" si="114"/>
        <v>37</v>
      </c>
      <c r="AD80" s="130">
        <f t="shared" si="227"/>
        <v>4.4999999999999998E-2</v>
      </c>
      <c r="AE80" s="127">
        <f t="shared" si="228"/>
        <v>1131</v>
      </c>
      <c r="AF80" s="128">
        <f t="shared" si="229"/>
        <v>112991.1</v>
      </c>
      <c r="AG80" s="128">
        <f t="shared" si="140"/>
        <v>113100</v>
      </c>
      <c r="AH80" s="128">
        <f t="shared" si="118"/>
        <v>113100</v>
      </c>
      <c r="AI80" s="130">
        <f t="shared" si="168"/>
        <v>4.4999999999999998E-2</v>
      </c>
      <c r="AJ80" s="128">
        <f t="shared" si="169"/>
        <v>113524.12499999999</v>
      </c>
      <c r="AK80" s="128" t="str">
        <f t="shared" si="170"/>
        <v>nie</v>
      </c>
      <c r="AL80" s="128">
        <f t="shared" si="171"/>
        <v>424.12499999998545</v>
      </c>
      <c r="AM80" s="128">
        <f t="shared" si="150"/>
        <v>113100</v>
      </c>
      <c r="AN80" s="128">
        <f t="shared" si="172"/>
        <v>343.54124999998822</v>
      </c>
      <c r="AO80" s="130">
        <f t="shared" si="173"/>
        <v>4.4999999999999998E-2</v>
      </c>
      <c r="AP80" s="128">
        <f t="shared" si="174"/>
        <v>350.83360754244205</v>
      </c>
      <c r="AQ80" s="128">
        <f t="shared" si="156"/>
        <v>117320.04985754246</v>
      </c>
      <c r="AS80" s="124">
        <f t="shared" si="119"/>
        <v>37</v>
      </c>
      <c r="AT80" s="130">
        <f t="shared" si="120"/>
        <v>4.4999999999999998E-2</v>
      </c>
      <c r="AU80" s="127">
        <f t="shared" si="230"/>
        <v>1083</v>
      </c>
      <c r="AV80" s="128">
        <f t="shared" si="231"/>
        <v>108199.6</v>
      </c>
      <c r="AW80" s="128">
        <f t="shared" si="151"/>
        <v>108300</v>
      </c>
      <c r="AX80" s="128">
        <f t="shared" si="123"/>
        <v>108300</v>
      </c>
      <c r="AY80" s="130">
        <f t="shared" si="175"/>
        <v>4.65E-2</v>
      </c>
      <c r="AZ80" s="128">
        <f t="shared" si="176"/>
        <v>108719.66250000001</v>
      </c>
      <c r="BA80" s="128" t="str">
        <f t="shared" si="177"/>
        <v>nie</v>
      </c>
      <c r="BB80" s="128">
        <f t="shared" si="178"/>
        <v>758.09999999999991</v>
      </c>
      <c r="BC80" s="128">
        <f t="shared" si="158"/>
        <v>108025.86562500001</v>
      </c>
      <c r="BD80" s="128">
        <f t="shared" si="179"/>
        <v>339.92662500000472</v>
      </c>
      <c r="BE80" s="130">
        <f t="shared" si="51"/>
        <v>4.4999999999999998E-2</v>
      </c>
      <c r="BF80" s="128">
        <f t="shared" si="180"/>
        <v>4503.0804349653527</v>
      </c>
      <c r="BG80" s="128">
        <f t="shared" si="159"/>
        <v>112189.01943496536</v>
      </c>
      <c r="BI80" s="124">
        <f t="shared" si="124"/>
        <v>37</v>
      </c>
      <c r="BJ80" s="130">
        <f t="shared" si="148"/>
        <v>4.3200000000000002E-2</v>
      </c>
      <c r="BK80" s="127">
        <f t="shared" si="232"/>
        <v>1126</v>
      </c>
      <c r="BL80" s="128">
        <f t="shared" si="233"/>
        <v>112487.40000000001</v>
      </c>
      <c r="BM80" s="128">
        <f t="shared" si="142"/>
        <v>112600</v>
      </c>
      <c r="BN80" s="128">
        <f t="shared" si="234"/>
        <v>112600</v>
      </c>
      <c r="BO80" s="130">
        <f t="shared" si="181"/>
        <v>4.9000000000000002E-2</v>
      </c>
      <c r="BP80" s="128">
        <f t="shared" si="182"/>
        <v>113059.78333333334</v>
      </c>
      <c r="BQ80" s="128" t="str">
        <f t="shared" si="183"/>
        <v>nie</v>
      </c>
      <c r="BR80" s="128">
        <f t="shared" si="184"/>
        <v>459.78333333334012</v>
      </c>
      <c r="BS80" s="128">
        <f t="shared" si="153"/>
        <v>112600</v>
      </c>
      <c r="BT80" s="128">
        <f t="shared" si="128"/>
        <v>0</v>
      </c>
      <c r="BU80" s="130">
        <f t="shared" si="185"/>
        <v>4.4999999999999998E-2</v>
      </c>
      <c r="BV80" s="128">
        <f t="shared" si="60"/>
        <v>12.610758178319186</v>
      </c>
      <c r="BW80" s="128">
        <f t="shared" si="61"/>
        <v>112612.61075817831</v>
      </c>
      <c r="BY80" s="130">
        <f t="shared" si="149"/>
        <v>2.9000000000000001E-2</v>
      </c>
      <c r="BZ80" s="127">
        <f t="shared" si="235"/>
        <v>1000</v>
      </c>
      <c r="CA80" s="128">
        <f t="shared" si="236"/>
        <v>100000</v>
      </c>
      <c r="CB80" s="128">
        <f t="shared" si="154"/>
        <v>100000</v>
      </c>
      <c r="CC80" s="128">
        <f t="shared" si="131"/>
        <v>100000</v>
      </c>
      <c r="CD80" s="130">
        <f t="shared" si="186"/>
        <v>4.3999999999999997E-2</v>
      </c>
      <c r="CE80" s="128">
        <f t="shared" si="187"/>
        <v>100366.66666666667</v>
      </c>
      <c r="CF80" s="128" t="str">
        <f t="shared" si="188"/>
        <v>nie</v>
      </c>
      <c r="CG80" s="128">
        <f t="shared" si="189"/>
        <v>2000</v>
      </c>
      <c r="CH80" s="128">
        <f t="shared" si="160"/>
        <v>98677</v>
      </c>
      <c r="CI80" s="128">
        <f t="shared" si="190"/>
        <v>0</v>
      </c>
      <c r="CJ80" s="130">
        <f t="shared" si="68"/>
        <v>4.4999999999999998E-2</v>
      </c>
      <c r="CK80" s="128">
        <f t="shared" si="191"/>
        <v>11869.626303862005</v>
      </c>
      <c r="CL80" s="128">
        <f t="shared" si="192"/>
        <v>110546.62630386201</v>
      </c>
      <c r="CN80" s="127">
        <f t="shared" si="237"/>
        <v>1000</v>
      </c>
      <c r="CO80" s="128">
        <f t="shared" si="238"/>
        <v>100000</v>
      </c>
      <c r="CP80" s="128">
        <f t="shared" si="134"/>
        <v>100000</v>
      </c>
      <c r="CQ80" s="128">
        <f t="shared" si="239"/>
        <v>116367.40575000001</v>
      </c>
      <c r="CR80" s="130">
        <f t="shared" si="193"/>
        <v>4.9000000000000002E-2</v>
      </c>
      <c r="CS80" s="128">
        <f t="shared" si="194"/>
        <v>116842.57265681252</v>
      </c>
      <c r="CT80" s="128" t="str">
        <f t="shared" si="195"/>
        <v>nie</v>
      </c>
      <c r="CU80" s="128">
        <f t="shared" si="196"/>
        <v>3000</v>
      </c>
      <c r="CV80" s="128">
        <f t="shared" si="197"/>
        <v>111212.48385201815</v>
      </c>
      <c r="CW80" s="128">
        <f t="shared" si="76"/>
        <v>0</v>
      </c>
      <c r="CX80" s="130">
        <f t="shared" si="198"/>
        <v>4.4999999999999998E-2</v>
      </c>
      <c r="CY80" s="128">
        <f t="shared" si="199"/>
        <v>0</v>
      </c>
      <c r="CZ80" s="128">
        <f t="shared" si="200"/>
        <v>111212.48385201815</v>
      </c>
      <c r="DA80" s="20"/>
      <c r="DB80" s="127">
        <f t="shared" si="144"/>
        <v>1000</v>
      </c>
      <c r="DC80" s="128">
        <f t="shared" si="145"/>
        <v>100000</v>
      </c>
      <c r="DD80" s="128">
        <f t="shared" si="136"/>
        <v>100000</v>
      </c>
      <c r="DE80" s="128">
        <f t="shared" si="240"/>
        <v>116037.28544999998</v>
      </c>
      <c r="DF80" s="130">
        <f t="shared" si="201"/>
        <v>4.9000000000000002E-2</v>
      </c>
      <c r="DG80" s="128">
        <f t="shared" si="202"/>
        <v>116511.1043655875</v>
      </c>
      <c r="DH80" s="128" t="str">
        <f t="shared" si="203"/>
        <v>nie</v>
      </c>
      <c r="DI80" s="128">
        <f t="shared" si="204"/>
        <v>2000</v>
      </c>
      <c r="DJ80" s="128">
        <f t="shared" si="205"/>
        <v>111753.99453612587</v>
      </c>
      <c r="DK80" s="128">
        <f t="shared" si="85"/>
        <v>0</v>
      </c>
      <c r="DL80" s="130">
        <f t="shared" si="206"/>
        <v>4.4999999999999998E-2</v>
      </c>
      <c r="DM80" s="128">
        <f t="shared" si="207"/>
        <v>0</v>
      </c>
      <c r="DN80" s="128">
        <f t="shared" si="208"/>
        <v>111753.99453612587</v>
      </c>
      <c r="DP80" s="127">
        <f t="shared" si="146"/>
        <v>1000</v>
      </c>
      <c r="DQ80" s="128">
        <f t="shared" si="147"/>
        <v>100000</v>
      </c>
      <c r="DR80" s="128">
        <f t="shared" si="138"/>
        <v>100000</v>
      </c>
      <c r="DS80" s="128">
        <f t="shared" si="241"/>
        <v>117757.09600000001</v>
      </c>
      <c r="DT80" s="130">
        <f t="shared" si="209"/>
        <v>5.4000000000000006E-2</v>
      </c>
      <c r="DU80" s="128">
        <f t="shared" si="210"/>
        <v>118287.002932</v>
      </c>
      <c r="DV80" s="128" t="str">
        <f t="shared" si="211"/>
        <v>nie</v>
      </c>
      <c r="DW80" s="128">
        <f t="shared" si="212"/>
        <v>3000</v>
      </c>
      <c r="DX80" s="128">
        <f t="shared" si="93"/>
        <v>112382.47237492001</v>
      </c>
      <c r="DY80" s="128">
        <f t="shared" si="94"/>
        <v>0</v>
      </c>
      <c r="DZ80" s="130">
        <f t="shared" si="213"/>
        <v>4.4999999999999998E-2</v>
      </c>
      <c r="EA80" s="128">
        <f t="shared" si="214"/>
        <v>0</v>
      </c>
      <c r="EB80" s="128">
        <f t="shared" si="215"/>
        <v>112382.47237492001</v>
      </c>
    </row>
    <row r="81" spans="1:134">
      <c r="A81" s="212">
        <f>ROUNDUP(B92/12,0)</f>
        <v>4</v>
      </c>
      <c r="B81" s="188">
        <f t="shared" si="216"/>
        <v>37</v>
      </c>
      <c r="C81" s="128">
        <f t="shared" si="217"/>
        <v>117320.04985754246</v>
      </c>
      <c r="D81" s="128">
        <f t="shared" si="218"/>
        <v>112189.01943496536</v>
      </c>
      <c r="E81" s="128">
        <f t="shared" si="219"/>
        <v>112612.61075817831</v>
      </c>
      <c r="F81" s="128">
        <f t="shared" si="220"/>
        <v>110546.62630386201</v>
      </c>
      <c r="G81" s="128">
        <f t="shared" si="221"/>
        <v>111212.48385201815</v>
      </c>
      <c r="H81" s="128">
        <f t="shared" si="222"/>
        <v>111753.99453612587</v>
      </c>
      <c r="I81" s="128">
        <f t="shared" si="223"/>
        <v>112382.47237492001</v>
      </c>
      <c r="J81" s="128">
        <f t="shared" si="224"/>
        <v>111875.57791822783</v>
      </c>
      <c r="K81" s="128">
        <f t="shared" si="225"/>
        <v>109218.04618567499</v>
      </c>
      <c r="M81" s="36"/>
      <c r="N81" s="32">
        <f t="shared" si="226"/>
        <v>37</v>
      </c>
      <c r="O81" s="25">
        <f t="shared" si="109"/>
        <v>0.17320049857542452</v>
      </c>
      <c r="P81" s="25">
        <f t="shared" si="110"/>
        <v>0.12189019434965354</v>
      </c>
      <c r="Q81" s="25">
        <f t="shared" si="111"/>
        <v>0.12612610758178322</v>
      </c>
      <c r="R81" s="25">
        <f t="shared" si="161"/>
        <v>0.10546626303862006</v>
      </c>
      <c r="S81" s="25">
        <f t="shared" si="162"/>
        <v>0.1121248385201814</v>
      </c>
      <c r="T81" s="25">
        <f t="shared" si="163"/>
        <v>0.11753994536125867</v>
      </c>
      <c r="U81" s="25">
        <f t="shared" si="164"/>
        <v>0.12382472374920006</v>
      </c>
      <c r="V81" s="25">
        <f t="shared" si="165"/>
        <v>0.11875577918227842</v>
      </c>
      <c r="W81" s="25">
        <f t="shared" si="166"/>
        <v>9.2180461856749885E-2</v>
      </c>
      <c r="X81" s="36"/>
      <c r="Y81" s="36"/>
      <c r="AA81" s="124">
        <f t="shared" si="113"/>
        <v>38</v>
      </c>
      <c r="AB81" s="128">
        <f t="shared" si="167"/>
        <v>109481.35347134997</v>
      </c>
      <c r="AC81" s="124">
        <f t="shared" si="114"/>
        <v>38</v>
      </c>
      <c r="AD81" s="130">
        <f t="shared" si="227"/>
        <v>4.4999999999999998E-2</v>
      </c>
      <c r="AE81" s="127">
        <f t="shared" si="228"/>
        <v>1131</v>
      </c>
      <c r="AF81" s="128">
        <f t="shared" si="229"/>
        <v>112991.1</v>
      </c>
      <c r="AG81" s="128">
        <f t="shared" si="140"/>
        <v>113100</v>
      </c>
      <c r="AH81" s="128">
        <f t="shared" si="118"/>
        <v>113100</v>
      </c>
      <c r="AI81" s="130">
        <f t="shared" si="168"/>
        <v>4.4999999999999998E-2</v>
      </c>
      <c r="AJ81" s="128">
        <f t="shared" si="169"/>
        <v>113524.12499999999</v>
      </c>
      <c r="AK81" s="128" t="str">
        <f t="shared" si="170"/>
        <v>nie</v>
      </c>
      <c r="AL81" s="128">
        <f t="shared" si="171"/>
        <v>565.5</v>
      </c>
      <c r="AM81" s="128">
        <f t="shared" si="150"/>
        <v>112985.48624999999</v>
      </c>
      <c r="AN81" s="128">
        <f t="shared" si="172"/>
        <v>343.54124999998822</v>
      </c>
      <c r="AO81" s="130">
        <f t="shared" si="173"/>
        <v>4.4999999999999998E-2</v>
      </c>
      <c r="AP81" s="128">
        <f t="shared" si="174"/>
        <v>695.44051462534048</v>
      </c>
      <c r="AQ81" s="128">
        <f t="shared" si="156"/>
        <v>113337.38551462533</v>
      </c>
      <c r="AS81" s="124">
        <f t="shared" si="119"/>
        <v>38</v>
      </c>
      <c r="AT81" s="130">
        <f t="shared" si="120"/>
        <v>4.4999999999999998E-2</v>
      </c>
      <c r="AU81" s="127">
        <f t="shared" si="230"/>
        <v>1083</v>
      </c>
      <c r="AV81" s="128">
        <f t="shared" si="231"/>
        <v>108199.6</v>
      </c>
      <c r="AW81" s="128">
        <f t="shared" si="151"/>
        <v>108300</v>
      </c>
      <c r="AX81" s="128">
        <f t="shared" si="123"/>
        <v>108300</v>
      </c>
      <c r="AY81" s="130">
        <f t="shared" si="175"/>
        <v>4.65E-2</v>
      </c>
      <c r="AZ81" s="128">
        <f t="shared" si="176"/>
        <v>108719.66250000001</v>
      </c>
      <c r="BA81" s="128" t="str">
        <f t="shared" si="177"/>
        <v>nie</v>
      </c>
      <c r="BB81" s="128">
        <f t="shared" si="178"/>
        <v>758.09999999999991</v>
      </c>
      <c r="BC81" s="128">
        <f t="shared" si="158"/>
        <v>108025.86562500001</v>
      </c>
      <c r="BD81" s="128">
        <f t="shared" si="179"/>
        <v>339.92662500000472</v>
      </c>
      <c r="BE81" s="130">
        <f t="shared" si="51"/>
        <v>4.4999999999999998E-2</v>
      </c>
      <c r="BF81" s="128">
        <f t="shared" si="180"/>
        <v>4856.6851667865649</v>
      </c>
      <c r="BG81" s="128">
        <f t="shared" si="159"/>
        <v>112542.62416678657</v>
      </c>
      <c r="BI81" s="124">
        <f t="shared" si="124"/>
        <v>38</v>
      </c>
      <c r="BJ81" s="130">
        <f t="shared" si="148"/>
        <v>4.3200000000000002E-2</v>
      </c>
      <c r="BK81" s="127">
        <f t="shared" si="232"/>
        <v>1126</v>
      </c>
      <c r="BL81" s="128">
        <f t="shared" si="233"/>
        <v>112487.40000000001</v>
      </c>
      <c r="BM81" s="128">
        <f t="shared" si="142"/>
        <v>112600</v>
      </c>
      <c r="BN81" s="128">
        <f t="shared" si="234"/>
        <v>112600</v>
      </c>
      <c r="BO81" s="130">
        <f t="shared" si="181"/>
        <v>4.9000000000000002E-2</v>
      </c>
      <c r="BP81" s="128">
        <f t="shared" si="182"/>
        <v>113519.56666666667</v>
      </c>
      <c r="BQ81" s="128" t="str">
        <f t="shared" si="183"/>
        <v>nie</v>
      </c>
      <c r="BR81" s="128">
        <f t="shared" si="184"/>
        <v>919.5666666666657</v>
      </c>
      <c r="BS81" s="128">
        <f t="shared" si="153"/>
        <v>112600</v>
      </c>
      <c r="BT81" s="128">
        <f t="shared" si="128"/>
        <v>0</v>
      </c>
      <c r="BU81" s="130">
        <f t="shared" si="185"/>
        <v>4.4999999999999998E-2</v>
      </c>
      <c r="BV81" s="128">
        <f t="shared" si="60"/>
        <v>12.649063356285831</v>
      </c>
      <c r="BW81" s="128">
        <f t="shared" si="61"/>
        <v>112612.64906335628</v>
      </c>
      <c r="BY81" s="130">
        <f t="shared" si="149"/>
        <v>2.9000000000000001E-2</v>
      </c>
      <c r="BZ81" s="127">
        <f t="shared" si="235"/>
        <v>1000</v>
      </c>
      <c r="CA81" s="128">
        <f t="shared" si="236"/>
        <v>100000</v>
      </c>
      <c r="CB81" s="128">
        <f t="shared" si="154"/>
        <v>100000</v>
      </c>
      <c r="CC81" s="128">
        <f t="shared" si="131"/>
        <v>100000</v>
      </c>
      <c r="CD81" s="130">
        <f t="shared" si="186"/>
        <v>4.3999999999999997E-2</v>
      </c>
      <c r="CE81" s="128">
        <f t="shared" si="187"/>
        <v>100733.33333333334</v>
      </c>
      <c r="CF81" s="128" t="str">
        <f t="shared" si="188"/>
        <v>nie</v>
      </c>
      <c r="CG81" s="128">
        <f t="shared" si="189"/>
        <v>2000</v>
      </c>
      <c r="CH81" s="128">
        <f t="shared" si="160"/>
        <v>98974.000000000015</v>
      </c>
      <c r="CI81" s="128">
        <f t="shared" si="190"/>
        <v>0</v>
      </c>
      <c r="CJ81" s="130">
        <f t="shared" si="68"/>
        <v>4.4999999999999998E-2</v>
      </c>
      <c r="CK81" s="128">
        <f t="shared" si="191"/>
        <v>11905.680293759986</v>
      </c>
      <c r="CL81" s="128">
        <f t="shared" si="192"/>
        <v>110879.68029376</v>
      </c>
      <c r="CN81" s="127">
        <f t="shared" si="237"/>
        <v>1000</v>
      </c>
      <c r="CO81" s="128">
        <f t="shared" si="238"/>
        <v>100000</v>
      </c>
      <c r="CP81" s="128">
        <f t="shared" si="134"/>
        <v>100000</v>
      </c>
      <c r="CQ81" s="128">
        <f t="shared" si="239"/>
        <v>116367.40575000001</v>
      </c>
      <c r="CR81" s="130">
        <f t="shared" si="193"/>
        <v>4.9000000000000002E-2</v>
      </c>
      <c r="CS81" s="128">
        <f t="shared" si="194"/>
        <v>117317.739563625</v>
      </c>
      <c r="CT81" s="128" t="str">
        <f t="shared" si="195"/>
        <v>nie</v>
      </c>
      <c r="CU81" s="128">
        <f t="shared" si="196"/>
        <v>3000</v>
      </c>
      <c r="CV81" s="128">
        <f t="shared" si="197"/>
        <v>111597.36904653625</v>
      </c>
      <c r="CW81" s="128">
        <f t="shared" si="76"/>
        <v>0</v>
      </c>
      <c r="CX81" s="130">
        <f t="shared" si="198"/>
        <v>4.4999999999999998E-2</v>
      </c>
      <c r="CY81" s="128">
        <f t="shared" si="199"/>
        <v>0</v>
      </c>
      <c r="CZ81" s="128">
        <f t="shared" si="200"/>
        <v>111597.36904653625</v>
      </c>
      <c r="DA81" s="20"/>
      <c r="DB81" s="127">
        <f t="shared" si="144"/>
        <v>1000</v>
      </c>
      <c r="DC81" s="128">
        <f t="shared" si="145"/>
        <v>100000</v>
      </c>
      <c r="DD81" s="128">
        <f t="shared" si="136"/>
        <v>100000</v>
      </c>
      <c r="DE81" s="128">
        <f t="shared" si="240"/>
        <v>116037.28544999998</v>
      </c>
      <c r="DF81" s="130">
        <f t="shared" si="201"/>
        <v>4.9000000000000002E-2</v>
      </c>
      <c r="DG81" s="128">
        <f t="shared" si="202"/>
        <v>116984.92328117498</v>
      </c>
      <c r="DH81" s="128" t="str">
        <f t="shared" si="203"/>
        <v>nie</v>
      </c>
      <c r="DI81" s="128">
        <f t="shared" si="204"/>
        <v>2000</v>
      </c>
      <c r="DJ81" s="128">
        <f t="shared" si="205"/>
        <v>112137.78785775174</v>
      </c>
      <c r="DK81" s="128">
        <f t="shared" si="85"/>
        <v>0</v>
      </c>
      <c r="DL81" s="130">
        <f t="shared" si="206"/>
        <v>4.4999999999999998E-2</v>
      </c>
      <c r="DM81" s="128">
        <f t="shared" si="207"/>
        <v>0</v>
      </c>
      <c r="DN81" s="128">
        <f t="shared" si="208"/>
        <v>112137.78785775174</v>
      </c>
      <c r="DP81" s="127">
        <f t="shared" si="146"/>
        <v>1000</v>
      </c>
      <c r="DQ81" s="128">
        <f t="shared" si="147"/>
        <v>100000</v>
      </c>
      <c r="DR81" s="128">
        <f t="shared" si="138"/>
        <v>100000</v>
      </c>
      <c r="DS81" s="128">
        <f t="shared" si="241"/>
        <v>117757.09600000001</v>
      </c>
      <c r="DT81" s="130">
        <f t="shared" si="209"/>
        <v>5.4000000000000006E-2</v>
      </c>
      <c r="DU81" s="128">
        <f t="shared" si="210"/>
        <v>118816.90986399999</v>
      </c>
      <c r="DV81" s="128" t="str">
        <f t="shared" si="211"/>
        <v>nie</v>
      </c>
      <c r="DW81" s="128">
        <f t="shared" si="212"/>
        <v>3000</v>
      </c>
      <c r="DX81" s="128">
        <f t="shared" si="93"/>
        <v>112811.69698983998</v>
      </c>
      <c r="DY81" s="128">
        <f t="shared" si="94"/>
        <v>0</v>
      </c>
      <c r="DZ81" s="130">
        <f t="shared" si="213"/>
        <v>4.4999999999999998E-2</v>
      </c>
      <c r="EA81" s="128">
        <f t="shared" si="214"/>
        <v>0</v>
      </c>
      <c r="EB81" s="128">
        <f t="shared" si="215"/>
        <v>112811.69698983998</v>
      </c>
    </row>
    <row r="82" spans="1:134">
      <c r="A82" s="212"/>
      <c r="B82" s="188">
        <f t="shared" si="216"/>
        <v>38</v>
      </c>
      <c r="C82" s="128">
        <f t="shared" si="217"/>
        <v>113337.38551462533</v>
      </c>
      <c r="D82" s="128">
        <f t="shared" si="218"/>
        <v>112542.62416678657</v>
      </c>
      <c r="E82" s="128">
        <f t="shared" si="219"/>
        <v>112612.64906335628</v>
      </c>
      <c r="F82" s="128">
        <f t="shared" si="220"/>
        <v>110879.68029376</v>
      </c>
      <c r="G82" s="128">
        <f t="shared" si="221"/>
        <v>111597.36904653625</v>
      </c>
      <c r="H82" s="128">
        <f t="shared" si="222"/>
        <v>112137.78785775174</v>
      </c>
      <c r="I82" s="128">
        <f t="shared" si="223"/>
        <v>112811.69698983998</v>
      </c>
      <c r="J82" s="128">
        <f t="shared" si="224"/>
        <v>112215.39998615446</v>
      </c>
      <c r="K82" s="128">
        <f t="shared" si="225"/>
        <v>109481.35347134997</v>
      </c>
      <c r="M82" s="36"/>
      <c r="N82" s="32">
        <f t="shared" si="226"/>
        <v>38</v>
      </c>
      <c r="O82" s="25">
        <f t="shared" si="109"/>
        <v>0.13337385514625333</v>
      </c>
      <c r="P82" s="25">
        <f t="shared" si="110"/>
        <v>0.12542624166786576</v>
      </c>
      <c r="Q82" s="25">
        <f t="shared" si="111"/>
        <v>0.12612649063356285</v>
      </c>
      <c r="R82" s="25">
        <f t="shared" si="161"/>
        <v>0.10879680293760008</v>
      </c>
      <c r="S82" s="25">
        <f t="shared" si="162"/>
        <v>0.11597369046536254</v>
      </c>
      <c r="T82" s="25">
        <f t="shared" si="163"/>
        <v>0.12137787857751747</v>
      </c>
      <c r="U82" s="25">
        <f t="shared" si="164"/>
        <v>0.12811696989839993</v>
      </c>
      <c r="V82" s="25">
        <f t="shared" si="165"/>
        <v>0.12215399986154463</v>
      </c>
      <c r="W82" s="25">
        <f t="shared" si="166"/>
        <v>9.4813534713499736E-2</v>
      </c>
      <c r="X82" s="36"/>
      <c r="Y82" s="36"/>
      <c r="AA82" s="124">
        <f t="shared" si="113"/>
        <v>39</v>
      </c>
      <c r="AB82" s="128">
        <f t="shared" si="167"/>
        <v>109744.66075702498</v>
      </c>
      <c r="AC82" s="124">
        <f t="shared" si="114"/>
        <v>39</v>
      </c>
      <c r="AD82" s="130">
        <f t="shared" si="227"/>
        <v>4.4999999999999998E-2</v>
      </c>
      <c r="AE82" s="127">
        <f t="shared" si="228"/>
        <v>1131</v>
      </c>
      <c r="AF82" s="128">
        <f t="shared" si="229"/>
        <v>112991.1</v>
      </c>
      <c r="AG82" s="128">
        <f t="shared" si="140"/>
        <v>113100</v>
      </c>
      <c r="AH82" s="128">
        <f t="shared" si="118"/>
        <v>113100</v>
      </c>
      <c r="AI82" s="130">
        <f t="shared" si="168"/>
        <v>4.4999999999999998E-2</v>
      </c>
      <c r="AJ82" s="128">
        <f t="shared" si="169"/>
        <v>113524.12499999999</v>
      </c>
      <c r="AK82" s="128" t="str">
        <f t="shared" si="170"/>
        <v>nie</v>
      </c>
      <c r="AL82" s="128">
        <f t="shared" si="171"/>
        <v>565.5</v>
      </c>
      <c r="AM82" s="128">
        <f t="shared" si="150"/>
        <v>112985.48624999999</v>
      </c>
      <c r="AN82" s="128">
        <f t="shared" si="172"/>
        <v>343.54124999998822</v>
      </c>
      <c r="AO82" s="130">
        <f t="shared" si="173"/>
        <v>4.4999999999999998E-2</v>
      </c>
      <c r="AP82" s="128">
        <f t="shared" si="174"/>
        <v>1041.0941651885032</v>
      </c>
      <c r="AQ82" s="128">
        <f t="shared" si="156"/>
        <v>113683.0391651885</v>
      </c>
      <c r="AS82" s="124">
        <f t="shared" si="119"/>
        <v>39</v>
      </c>
      <c r="AT82" s="130">
        <f t="shared" si="120"/>
        <v>4.4999999999999998E-2</v>
      </c>
      <c r="AU82" s="127">
        <f t="shared" si="230"/>
        <v>1083</v>
      </c>
      <c r="AV82" s="128">
        <f t="shared" si="231"/>
        <v>108199.6</v>
      </c>
      <c r="AW82" s="128">
        <f t="shared" si="151"/>
        <v>108300</v>
      </c>
      <c r="AX82" s="128">
        <f t="shared" si="123"/>
        <v>108300</v>
      </c>
      <c r="AY82" s="130">
        <f t="shared" si="175"/>
        <v>4.65E-2</v>
      </c>
      <c r="AZ82" s="128">
        <f t="shared" si="176"/>
        <v>108719.66250000001</v>
      </c>
      <c r="BA82" s="128" t="str">
        <f t="shared" si="177"/>
        <v>nie</v>
      </c>
      <c r="BB82" s="128">
        <f t="shared" si="178"/>
        <v>758.09999999999991</v>
      </c>
      <c r="BC82" s="128">
        <f t="shared" si="158"/>
        <v>108025.86562500001</v>
      </c>
      <c r="BD82" s="128">
        <f t="shared" si="179"/>
        <v>339.92662500000472</v>
      </c>
      <c r="BE82" s="130">
        <f t="shared" si="51"/>
        <v>4.4999999999999998E-2</v>
      </c>
      <c r="BF82" s="128">
        <f t="shared" si="180"/>
        <v>5211.3639729806837</v>
      </c>
      <c r="BG82" s="128">
        <f t="shared" si="159"/>
        <v>112897.30297298069</v>
      </c>
      <c r="BI82" s="124">
        <f t="shared" si="124"/>
        <v>39</v>
      </c>
      <c r="BJ82" s="130">
        <f t="shared" ref="BJ82:BJ113" si="242">MAX(INDEX(scenariusz_I_WIBOR6M,MATCH(ROUNDUP(BI82/12,0),scenariusz_I_rok,0)),0)</f>
        <v>4.3200000000000002E-2</v>
      </c>
      <c r="BK82" s="127">
        <f t="shared" si="232"/>
        <v>1126</v>
      </c>
      <c r="BL82" s="128">
        <f t="shared" si="233"/>
        <v>112487.40000000001</v>
      </c>
      <c r="BM82" s="128">
        <f t="shared" si="142"/>
        <v>112600</v>
      </c>
      <c r="BN82" s="128">
        <f t="shared" si="234"/>
        <v>112600</v>
      </c>
      <c r="BO82" s="130">
        <f t="shared" si="181"/>
        <v>4.9000000000000002E-2</v>
      </c>
      <c r="BP82" s="128">
        <f t="shared" si="182"/>
        <v>113979.35</v>
      </c>
      <c r="BQ82" s="128" t="str">
        <f t="shared" si="183"/>
        <v>nie</v>
      </c>
      <c r="BR82" s="128">
        <f t="shared" si="184"/>
        <v>1126</v>
      </c>
      <c r="BS82" s="128">
        <f t="shared" si="153"/>
        <v>112805.2135</v>
      </c>
      <c r="BT82" s="128">
        <f t="shared" si="128"/>
        <v>0</v>
      </c>
      <c r="BU82" s="130">
        <f t="shared" si="185"/>
        <v>4.4999999999999998E-2</v>
      </c>
      <c r="BV82" s="128">
        <f t="shared" si="60"/>
        <v>12.68748488623055</v>
      </c>
      <c r="BW82" s="128">
        <f t="shared" si="61"/>
        <v>112817.90098488623</v>
      </c>
      <c r="BY82" s="130">
        <f t="shared" si="149"/>
        <v>2.9000000000000001E-2</v>
      </c>
      <c r="BZ82" s="127">
        <f t="shared" si="235"/>
        <v>1000</v>
      </c>
      <c r="CA82" s="128">
        <f t="shared" si="236"/>
        <v>100000</v>
      </c>
      <c r="CB82" s="128">
        <f t="shared" si="154"/>
        <v>100000</v>
      </c>
      <c r="CC82" s="128">
        <f t="shared" si="131"/>
        <v>100000</v>
      </c>
      <c r="CD82" s="130">
        <f t="shared" si="186"/>
        <v>4.3999999999999997E-2</v>
      </c>
      <c r="CE82" s="128">
        <f t="shared" si="187"/>
        <v>101099.99999999999</v>
      </c>
      <c r="CF82" s="128" t="str">
        <f t="shared" si="188"/>
        <v>nie</v>
      </c>
      <c r="CG82" s="128">
        <f t="shared" si="189"/>
        <v>2000</v>
      </c>
      <c r="CH82" s="128">
        <f t="shared" si="160"/>
        <v>99270.999999999985</v>
      </c>
      <c r="CI82" s="128">
        <f t="shared" si="190"/>
        <v>0</v>
      </c>
      <c r="CJ82" s="130">
        <f t="shared" si="68"/>
        <v>4.4999999999999998E-2</v>
      </c>
      <c r="CK82" s="128">
        <f t="shared" si="191"/>
        <v>11941.843797652282</v>
      </c>
      <c r="CL82" s="128">
        <f t="shared" si="192"/>
        <v>111212.84379765227</v>
      </c>
      <c r="CN82" s="127">
        <f t="shared" si="237"/>
        <v>1000</v>
      </c>
      <c r="CO82" s="128">
        <f t="shared" si="238"/>
        <v>100000</v>
      </c>
      <c r="CP82" s="128">
        <f t="shared" si="134"/>
        <v>100000</v>
      </c>
      <c r="CQ82" s="128">
        <f t="shared" si="239"/>
        <v>116367.40575000001</v>
      </c>
      <c r="CR82" s="130">
        <f t="shared" si="193"/>
        <v>4.9000000000000002E-2</v>
      </c>
      <c r="CS82" s="128">
        <f t="shared" si="194"/>
        <v>117792.90647043752</v>
      </c>
      <c r="CT82" s="128" t="str">
        <f t="shared" si="195"/>
        <v>nie</v>
      </c>
      <c r="CU82" s="128">
        <f t="shared" si="196"/>
        <v>3000</v>
      </c>
      <c r="CV82" s="128">
        <f t="shared" si="197"/>
        <v>111982.2542410544</v>
      </c>
      <c r="CW82" s="128">
        <f t="shared" si="76"/>
        <v>0</v>
      </c>
      <c r="CX82" s="130">
        <f t="shared" si="198"/>
        <v>4.4999999999999998E-2</v>
      </c>
      <c r="CY82" s="128">
        <f t="shared" si="199"/>
        <v>0</v>
      </c>
      <c r="CZ82" s="128">
        <f t="shared" si="200"/>
        <v>111982.2542410544</v>
      </c>
      <c r="DA82" s="20"/>
      <c r="DB82" s="127">
        <f t="shared" si="144"/>
        <v>1000</v>
      </c>
      <c r="DC82" s="128">
        <f t="shared" si="145"/>
        <v>100000</v>
      </c>
      <c r="DD82" s="128">
        <f t="shared" si="136"/>
        <v>100000</v>
      </c>
      <c r="DE82" s="128">
        <f t="shared" si="240"/>
        <v>116037.28544999998</v>
      </c>
      <c r="DF82" s="130">
        <f t="shared" si="201"/>
        <v>4.9000000000000002E-2</v>
      </c>
      <c r="DG82" s="128">
        <f t="shared" si="202"/>
        <v>117458.7421967625</v>
      </c>
      <c r="DH82" s="128" t="str">
        <f t="shared" si="203"/>
        <v>nie</v>
      </c>
      <c r="DI82" s="128">
        <f t="shared" si="204"/>
        <v>2000</v>
      </c>
      <c r="DJ82" s="128">
        <f t="shared" si="205"/>
        <v>112521.58117937762</v>
      </c>
      <c r="DK82" s="128">
        <f t="shared" si="85"/>
        <v>0</v>
      </c>
      <c r="DL82" s="130">
        <f t="shared" si="206"/>
        <v>4.4999999999999998E-2</v>
      </c>
      <c r="DM82" s="128">
        <f t="shared" si="207"/>
        <v>0</v>
      </c>
      <c r="DN82" s="128">
        <f t="shared" si="208"/>
        <v>112521.58117937762</v>
      </c>
      <c r="DP82" s="127">
        <f t="shared" si="146"/>
        <v>1000</v>
      </c>
      <c r="DQ82" s="128">
        <f t="shared" si="147"/>
        <v>100000</v>
      </c>
      <c r="DR82" s="128">
        <f t="shared" si="138"/>
        <v>100000</v>
      </c>
      <c r="DS82" s="128">
        <f t="shared" si="241"/>
        <v>117757.09600000001</v>
      </c>
      <c r="DT82" s="130">
        <f t="shared" si="209"/>
        <v>5.4000000000000006E-2</v>
      </c>
      <c r="DU82" s="128">
        <f t="shared" si="210"/>
        <v>119346.81679600001</v>
      </c>
      <c r="DV82" s="128" t="str">
        <f t="shared" si="211"/>
        <v>nie</v>
      </c>
      <c r="DW82" s="128">
        <f t="shared" si="212"/>
        <v>3000</v>
      </c>
      <c r="DX82" s="128">
        <f t="shared" si="93"/>
        <v>113240.92160476001</v>
      </c>
      <c r="DY82" s="128">
        <f t="shared" si="94"/>
        <v>0</v>
      </c>
      <c r="DZ82" s="130">
        <f t="shared" si="213"/>
        <v>4.4999999999999998E-2</v>
      </c>
      <c r="EA82" s="128">
        <f t="shared" si="214"/>
        <v>0</v>
      </c>
      <c r="EB82" s="128">
        <f t="shared" si="215"/>
        <v>113240.92160476001</v>
      </c>
    </row>
    <row r="83" spans="1:134">
      <c r="A83" s="212"/>
      <c r="B83" s="188">
        <f t="shared" si="216"/>
        <v>39</v>
      </c>
      <c r="C83" s="128">
        <f t="shared" si="217"/>
        <v>113683.0391651885</v>
      </c>
      <c r="D83" s="128">
        <f t="shared" si="218"/>
        <v>112897.30297298069</v>
      </c>
      <c r="E83" s="128">
        <f t="shared" si="219"/>
        <v>112817.90098488623</v>
      </c>
      <c r="F83" s="128">
        <f t="shared" si="220"/>
        <v>111212.84379765227</v>
      </c>
      <c r="G83" s="128">
        <f t="shared" si="221"/>
        <v>111982.2542410544</v>
      </c>
      <c r="H83" s="128">
        <f t="shared" si="222"/>
        <v>112521.58117937762</v>
      </c>
      <c r="I83" s="128">
        <f t="shared" si="223"/>
        <v>113240.92160476001</v>
      </c>
      <c r="J83" s="128">
        <f t="shared" si="224"/>
        <v>112556.2542636124</v>
      </c>
      <c r="K83" s="128">
        <f t="shared" si="225"/>
        <v>109744.66075702498</v>
      </c>
      <c r="M83" s="36"/>
      <c r="N83" s="32">
        <f t="shared" si="226"/>
        <v>39</v>
      </c>
      <c r="O83" s="25">
        <f t="shared" si="109"/>
        <v>0.13683039165188493</v>
      </c>
      <c r="P83" s="25">
        <f t="shared" si="110"/>
        <v>0.12897302972980684</v>
      </c>
      <c r="Q83" s="25">
        <f t="shared" si="111"/>
        <v>0.12817900984886244</v>
      </c>
      <c r="R83" s="25">
        <f t="shared" si="161"/>
        <v>0.11212843797652261</v>
      </c>
      <c r="S83" s="25">
        <f t="shared" si="162"/>
        <v>0.11982254241054391</v>
      </c>
      <c r="T83" s="25">
        <f t="shared" si="163"/>
        <v>0.12521581179377628</v>
      </c>
      <c r="U83" s="25">
        <f t="shared" si="164"/>
        <v>0.13240921604760003</v>
      </c>
      <c r="V83" s="25">
        <f t="shared" si="165"/>
        <v>0.12556254263612399</v>
      </c>
      <c r="W83" s="25">
        <f t="shared" si="166"/>
        <v>9.744660757024981E-2</v>
      </c>
      <c r="X83" s="36"/>
      <c r="Y83" s="36"/>
      <c r="AA83" s="124">
        <f t="shared" si="113"/>
        <v>40</v>
      </c>
      <c r="AB83" s="128">
        <f t="shared" si="167"/>
        <v>110007.96804269998</v>
      </c>
      <c r="AC83" s="124">
        <f t="shared" si="114"/>
        <v>40</v>
      </c>
      <c r="AD83" s="130">
        <f t="shared" si="227"/>
        <v>4.4999999999999998E-2</v>
      </c>
      <c r="AE83" s="127">
        <f t="shared" si="228"/>
        <v>1131</v>
      </c>
      <c r="AF83" s="128">
        <f t="shared" si="229"/>
        <v>112991.1</v>
      </c>
      <c r="AG83" s="128">
        <f t="shared" si="140"/>
        <v>113100</v>
      </c>
      <c r="AH83" s="128">
        <f t="shared" si="118"/>
        <v>113100</v>
      </c>
      <c r="AI83" s="130">
        <f t="shared" si="168"/>
        <v>4.4999999999999998E-2</v>
      </c>
      <c r="AJ83" s="128">
        <f t="shared" si="169"/>
        <v>113524.12499999999</v>
      </c>
      <c r="AK83" s="128" t="str">
        <f t="shared" si="170"/>
        <v>nie</v>
      </c>
      <c r="AL83" s="128">
        <f t="shared" si="171"/>
        <v>565.5</v>
      </c>
      <c r="AM83" s="128">
        <f t="shared" si="150"/>
        <v>112985.48624999999</v>
      </c>
      <c r="AN83" s="128">
        <f t="shared" si="172"/>
        <v>343.54124999998822</v>
      </c>
      <c r="AO83" s="130">
        <f t="shared" si="173"/>
        <v>4.4999999999999998E-2</v>
      </c>
      <c r="AP83" s="128">
        <f t="shared" si="174"/>
        <v>1387.7977387152514</v>
      </c>
      <c r="AQ83" s="128">
        <f t="shared" si="156"/>
        <v>114029.74273871526</v>
      </c>
      <c r="AS83" s="124">
        <f t="shared" si="119"/>
        <v>40</v>
      </c>
      <c r="AT83" s="130">
        <f t="shared" si="120"/>
        <v>4.4999999999999998E-2</v>
      </c>
      <c r="AU83" s="127">
        <f t="shared" si="230"/>
        <v>1083</v>
      </c>
      <c r="AV83" s="128">
        <f t="shared" si="231"/>
        <v>108199.6</v>
      </c>
      <c r="AW83" s="128">
        <f t="shared" si="151"/>
        <v>108300</v>
      </c>
      <c r="AX83" s="128">
        <f t="shared" si="123"/>
        <v>108300</v>
      </c>
      <c r="AY83" s="130">
        <f t="shared" si="175"/>
        <v>4.65E-2</v>
      </c>
      <c r="AZ83" s="128">
        <f t="shared" si="176"/>
        <v>108719.66250000001</v>
      </c>
      <c r="BA83" s="128" t="str">
        <f t="shared" si="177"/>
        <v>nie</v>
      </c>
      <c r="BB83" s="128">
        <f t="shared" si="178"/>
        <v>758.09999999999991</v>
      </c>
      <c r="BC83" s="128">
        <f t="shared" si="158"/>
        <v>108025.86562500001</v>
      </c>
      <c r="BD83" s="128">
        <f t="shared" si="179"/>
        <v>339.92662500000472</v>
      </c>
      <c r="BE83" s="130">
        <f t="shared" si="51"/>
        <v>4.4999999999999998E-2</v>
      </c>
      <c r="BF83" s="128">
        <f t="shared" si="180"/>
        <v>5567.1201160486171</v>
      </c>
      <c r="BG83" s="128">
        <f t="shared" si="159"/>
        <v>113253.05911604862</v>
      </c>
      <c r="BI83" s="124">
        <f t="shared" si="124"/>
        <v>40</v>
      </c>
      <c r="BJ83" s="130">
        <f t="shared" si="242"/>
        <v>4.3200000000000002E-2</v>
      </c>
      <c r="BK83" s="127">
        <f t="shared" si="232"/>
        <v>1126</v>
      </c>
      <c r="BL83" s="128">
        <f t="shared" si="233"/>
        <v>112487.40000000001</v>
      </c>
      <c r="BM83" s="128">
        <f t="shared" si="142"/>
        <v>112600</v>
      </c>
      <c r="BN83" s="128">
        <f t="shared" si="234"/>
        <v>112600</v>
      </c>
      <c r="BO83" s="130">
        <f t="shared" si="181"/>
        <v>4.9000000000000002E-2</v>
      </c>
      <c r="BP83" s="128">
        <f t="shared" si="182"/>
        <v>114439.13333333333</v>
      </c>
      <c r="BQ83" s="128" t="str">
        <f t="shared" si="183"/>
        <v>nie</v>
      </c>
      <c r="BR83" s="128">
        <f t="shared" si="184"/>
        <v>1126</v>
      </c>
      <c r="BS83" s="128">
        <f t="shared" si="153"/>
        <v>113177.63799999999</v>
      </c>
      <c r="BT83" s="128">
        <f t="shared" si="128"/>
        <v>0</v>
      </c>
      <c r="BU83" s="130">
        <f t="shared" si="185"/>
        <v>4.4999999999999998E-2</v>
      </c>
      <c r="BV83" s="128">
        <f t="shared" si="60"/>
        <v>12.726023121572476</v>
      </c>
      <c r="BW83" s="128">
        <f t="shared" si="61"/>
        <v>113190.36402312157</v>
      </c>
      <c r="BY83" s="130">
        <f t="shared" si="149"/>
        <v>2.9000000000000001E-2</v>
      </c>
      <c r="BZ83" s="127">
        <f t="shared" si="235"/>
        <v>1000</v>
      </c>
      <c r="CA83" s="128">
        <f t="shared" si="236"/>
        <v>100000</v>
      </c>
      <c r="CB83" s="128">
        <f t="shared" si="154"/>
        <v>100000</v>
      </c>
      <c r="CC83" s="128">
        <f t="shared" si="131"/>
        <v>100000</v>
      </c>
      <c r="CD83" s="130">
        <f t="shared" si="186"/>
        <v>4.3999999999999997E-2</v>
      </c>
      <c r="CE83" s="128">
        <f t="shared" si="187"/>
        <v>101466.66666666666</v>
      </c>
      <c r="CF83" s="128" t="str">
        <f t="shared" si="188"/>
        <v>nie</v>
      </c>
      <c r="CG83" s="128">
        <f t="shared" si="189"/>
        <v>2000</v>
      </c>
      <c r="CH83" s="128">
        <f t="shared" si="160"/>
        <v>99567.999999999985</v>
      </c>
      <c r="CI83" s="128">
        <f t="shared" si="190"/>
        <v>0</v>
      </c>
      <c r="CJ83" s="130">
        <f t="shared" si="68"/>
        <v>4.4999999999999998E-2</v>
      </c>
      <c r="CK83" s="128">
        <f t="shared" si="191"/>
        <v>11978.117148187652</v>
      </c>
      <c r="CL83" s="128">
        <f t="shared" si="192"/>
        <v>111546.11714818764</v>
      </c>
      <c r="CN83" s="127">
        <f t="shared" si="237"/>
        <v>1000</v>
      </c>
      <c r="CO83" s="128">
        <f t="shared" si="238"/>
        <v>100000</v>
      </c>
      <c r="CP83" s="128">
        <f t="shared" si="134"/>
        <v>100000</v>
      </c>
      <c r="CQ83" s="128">
        <f t="shared" si="239"/>
        <v>116367.40575000001</v>
      </c>
      <c r="CR83" s="130">
        <f t="shared" si="193"/>
        <v>4.9000000000000002E-2</v>
      </c>
      <c r="CS83" s="128">
        <f t="shared" si="194"/>
        <v>118268.07337725001</v>
      </c>
      <c r="CT83" s="128" t="str">
        <f t="shared" si="195"/>
        <v>nie</v>
      </c>
      <c r="CU83" s="128">
        <f t="shared" si="196"/>
        <v>3000</v>
      </c>
      <c r="CV83" s="128">
        <f t="shared" si="197"/>
        <v>112367.13943557251</v>
      </c>
      <c r="CW83" s="128">
        <f t="shared" si="76"/>
        <v>0</v>
      </c>
      <c r="CX83" s="130">
        <f t="shared" si="198"/>
        <v>4.4999999999999998E-2</v>
      </c>
      <c r="CY83" s="128">
        <f t="shared" si="199"/>
        <v>0</v>
      </c>
      <c r="CZ83" s="128">
        <f t="shared" si="200"/>
        <v>112367.13943557251</v>
      </c>
      <c r="DA83" s="20"/>
      <c r="DB83" s="127">
        <f t="shared" si="144"/>
        <v>1000</v>
      </c>
      <c r="DC83" s="128">
        <f t="shared" si="145"/>
        <v>100000</v>
      </c>
      <c r="DD83" s="128">
        <f t="shared" si="136"/>
        <v>100000</v>
      </c>
      <c r="DE83" s="128">
        <f t="shared" si="240"/>
        <v>116037.28544999998</v>
      </c>
      <c r="DF83" s="130">
        <f t="shared" si="201"/>
        <v>4.9000000000000002E-2</v>
      </c>
      <c r="DG83" s="128">
        <f t="shared" si="202"/>
        <v>117932.56111234998</v>
      </c>
      <c r="DH83" s="128" t="str">
        <f t="shared" si="203"/>
        <v>nie</v>
      </c>
      <c r="DI83" s="128">
        <f t="shared" si="204"/>
        <v>2000</v>
      </c>
      <c r="DJ83" s="128">
        <f t="shared" si="205"/>
        <v>112905.37450100349</v>
      </c>
      <c r="DK83" s="128">
        <f t="shared" si="85"/>
        <v>0</v>
      </c>
      <c r="DL83" s="130">
        <f t="shared" si="206"/>
        <v>4.4999999999999998E-2</v>
      </c>
      <c r="DM83" s="128">
        <f t="shared" si="207"/>
        <v>0</v>
      </c>
      <c r="DN83" s="128">
        <f t="shared" si="208"/>
        <v>112905.37450100349</v>
      </c>
      <c r="DP83" s="127">
        <f t="shared" si="146"/>
        <v>1000</v>
      </c>
      <c r="DQ83" s="128">
        <f t="shared" si="147"/>
        <v>100000</v>
      </c>
      <c r="DR83" s="128">
        <f t="shared" si="138"/>
        <v>100000</v>
      </c>
      <c r="DS83" s="128">
        <f t="shared" si="241"/>
        <v>117757.09600000001</v>
      </c>
      <c r="DT83" s="130">
        <f t="shared" si="209"/>
        <v>5.4000000000000006E-2</v>
      </c>
      <c r="DU83" s="128">
        <f t="shared" si="210"/>
        <v>119876.72372800001</v>
      </c>
      <c r="DV83" s="128" t="str">
        <f t="shared" si="211"/>
        <v>nie</v>
      </c>
      <c r="DW83" s="128">
        <f t="shared" si="212"/>
        <v>3000</v>
      </c>
      <c r="DX83" s="128">
        <f t="shared" si="93"/>
        <v>113670.14621968001</v>
      </c>
      <c r="DY83" s="128">
        <f t="shared" si="94"/>
        <v>0</v>
      </c>
      <c r="DZ83" s="130">
        <f t="shared" si="213"/>
        <v>4.4999999999999998E-2</v>
      </c>
      <c r="EA83" s="128">
        <f t="shared" si="214"/>
        <v>0</v>
      </c>
      <c r="EB83" s="128">
        <f t="shared" si="215"/>
        <v>113670.14621968001</v>
      </c>
    </row>
    <row r="84" spans="1:134">
      <c r="A84" s="212"/>
      <c r="B84" s="188">
        <f t="shared" si="216"/>
        <v>40</v>
      </c>
      <c r="C84" s="128">
        <f t="shared" si="217"/>
        <v>114029.74273871526</v>
      </c>
      <c r="D84" s="128">
        <f t="shared" si="218"/>
        <v>113253.05911604862</v>
      </c>
      <c r="E84" s="128">
        <f t="shared" si="219"/>
        <v>113190.36402312157</v>
      </c>
      <c r="F84" s="128">
        <f t="shared" si="220"/>
        <v>111546.11714818764</v>
      </c>
      <c r="G84" s="128">
        <f t="shared" si="221"/>
        <v>112367.13943557251</v>
      </c>
      <c r="H84" s="128">
        <f t="shared" si="222"/>
        <v>112905.37450100349</v>
      </c>
      <c r="I84" s="128">
        <f t="shared" si="223"/>
        <v>113670.14621968001</v>
      </c>
      <c r="J84" s="128">
        <f t="shared" si="224"/>
        <v>112898.14388593813</v>
      </c>
      <c r="K84" s="128">
        <f t="shared" si="225"/>
        <v>110007.96804269998</v>
      </c>
      <c r="M84" s="36"/>
      <c r="N84" s="32">
        <f t="shared" si="226"/>
        <v>40</v>
      </c>
      <c r="O84" s="25">
        <f t="shared" si="109"/>
        <v>0.14029742738715267</v>
      </c>
      <c r="P84" s="25">
        <f t="shared" si="110"/>
        <v>0.13253059116048616</v>
      </c>
      <c r="Q84" s="25">
        <f t="shared" si="111"/>
        <v>0.1319036402312157</v>
      </c>
      <c r="R84" s="25">
        <f t="shared" si="161"/>
        <v>0.11546117148187629</v>
      </c>
      <c r="S84" s="25">
        <f t="shared" si="162"/>
        <v>0.12367139435572505</v>
      </c>
      <c r="T84" s="25">
        <f t="shared" si="163"/>
        <v>0.12905374501003486</v>
      </c>
      <c r="U84" s="25">
        <f t="shared" si="164"/>
        <v>0.13670146219680013</v>
      </c>
      <c r="V84" s="25">
        <f t="shared" si="165"/>
        <v>0.12898143885938129</v>
      </c>
      <c r="W84" s="25">
        <f t="shared" si="166"/>
        <v>0.10007968042699988</v>
      </c>
      <c r="X84" s="36"/>
      <c r="Y84" s="36"/>
      <c r="AA84" s="124">
        <f t="shared" si="113"/>
        <v>41</v>
      </c>
      <c r="AB84" s="128">
        <f t="shared" si="167"/>
        <v>110271.27532837499</v>
      </c>
      <c r="AC84" s="124">
        <f t="shared" si="114"/>
        <v>41</v>
      </c>
      <c r="AD84" s="130">
        <f t="shared" si="227"/>
        <v>4.4999999999999998E-2</v>
      </c>
      <c r="AE84" s="127">
        <f t="shared" si="228"/>
        <v>1131</v>
      </c>
      <c r="AF84" s="128">
        <f t="shared" si="229"/>
        <v>112991.1</v>
      </c>
      <c r="AG84" s="128">
        <f t="shared" si="140"/>
        <v>113100</v>
      </c>
      <c r="AH84" s="128">
        <f t="shared" si="118"/>
        <v>113100</v>
      </c>
      <c r="AI84" s="130">
        <f t="shared" si="168"/>
        <v>4.4999999999999998E-2</v>
      </c>
      <c r="AJ84" s="128">
        <f t="shared" si="169"/>
        <v>113524.12499999999</v>
      </c>
      <c r="AK84" s="128" t="str">
        <f t="shared" si="170"/>
        <v>nie</v>
      </c>
      <c r="AL84" s="128">
        <f t="shared" si="171"/>
        <v>565.5</v>
      </c>
      <c r="AM84" s="128">
        <f t="shared" si="150"/>
        <v>112985.48624999999</v>
      </c>
      <c r="AN84" s="128">
        <f t="shared" si="172"/>
        <v>343.54124999998822</v>
      </c>
      <c r="AO84" s="130">
        <f t="shared" si="173"/>
        <v>4.4999999999999998E-2</v>
      </c>
      <c r="AP84" s="128">
        <f t="shared" si="174"/>
        <v>1735.5544243465872</v>
      </c>
      <c r="AQ84" s="128">
        <f t="shared" si="156"/>
        <v>114377.49942434659</v>
      </c>
      <c r="AS84" s="124">
        <f t="shared" si="119"/>
        <v>41</v>
      </c>
      <c r="AT84" s="130">
        <f t="shared" si="120"/>
        <v>4.4999999999999998E-2</v>
      </c>
      <c r="AU84" s="127">
        <f t="shared" si="230"/>
        <v>1083</v>
      </c>
      <c r="AV84" s="128">
        <f t="shared" si="231"/>
        <v>108199.6</v>
      </c>
      <c r="AW84" s="128">
        <f t="shared" si="151"/>
        <v>108300</v>
      </c>
      <c r="AX84" s="128">
        <f t="shared" si="123"/>
        <v>108300</v>
      </c>
      <c r="AY84" s="130">
        <f t="shared" si="175"/>
        <v>4.65E-2</v>
      </c>
      <c r="AZ84" s="128">
        <f t="shared" si="176"/>
        <v>108719.66250000001</v>
      </c>
      <c r="BA84" s="128" t="str">
        <f t="shared" si="177"/>
        <v>nie</v>
      </c>
      <c r="BB84" s="128">
        <f t="shared" si="178"/>
        <v>758.09999999999991</v>
      </c>
      <c r="BC84" s="128">
        <f t="shared" si="158"/>
        <v>108025.86562500001</v>
      </c>
      <c r="BD84" s="128">
        <f t="shared" si="179"/>
        <v>339.92662500000472</v>
      </c>
      <c r="BE84" s="130">
        <f t="shared" si="51"/>
        <v>4.4999999999999998E-2</v>
      </c>
      <c r="BF84" s="128">
        <f t="shared" si="180"/>
        <v>5923.9568684011192</v>
      </c>
      <c r="BG84" s="128">
        <f t="shared" si="159"/>
        <v>113609.89586840112</v>
      </c>
      <c r="BI84" s="124">
        <f t="shared" si="124"/>
        <v>41</v>
      </c>
      <c r="BJ84" s="130">
        <f t="shared" si="242"/>
        <v>4.3200000000000002E-2</v>
      </c>
      <c r="BK84" s="127">
        <f t="shared" si="232"/>
        <v>1126</v>
      </c>
      <c r="BL84" s="128">
        <f t="shared" si="233"/>
        <v>112487.40000000001</v>
      </c>
      <c r="BM84" s="128">
        <f t="shared" si="142"/>
        <v>112600</v>
      </c>
      <c r="BN84" s="128">
        <f t="shared" si="234"/>
        <v>112600</v>
      </c>
      <c r="BO84" s="130">
        <f t="shared" si="181"/>
        <v>4.9000000000000002E-2</v>
      </c>
      <c r="BP84" s="128">
        <f t="shared" si="182"/>
        <v>114898.91666666667</v>
      </c>
      <c r="BQ84" s="128" t="str">
        <f t="shared" si="183"/>
        <v>nie</v>
      </c>
      <c r="BR84" s="128">
        <f t="shared" si="184"/>
        <v>1126</v>
      </c>
      <c r="BS84" s="128">
        <f t="shared" si="153"/>
        <v>113550.0625</v>
      </c>
      <c r="BT84" s="128">
        <f t="shared" si="128"/>
        <v>0</v>
      </c>
      <c r="BU84" s="130">
        <f t="shared" si="185"/>
        <v>4.4999999999999998E-2</v>
      </c>
      <c r="BV84" s="128">
        <f t="shared" si="60"/>
        <v>12.764678416804253</v>
      </c>
      <c r="BW84" s="128">
        <f t="shared" si="61"/>
        <v>113562.8271784168</v>
      </c>
      <c r="BY84" s="130">
        <f t="shared" si="149"/>
        <v>2.9000000000000001E-2</v>
      </c>
      <c r="BZ84" s="127">
        <f t="shared" si="235"/>
        <v>1000</v>
      </c>
      <c r="CA84" s="128">
        <f t="shared" si="236"/>
        <v>100000</v>
      </c>
      <c r="CB84" s="128">
        <f t="shared" si="154"/>
        <v>100000</v>
      </c>
      <c r="CC84" s="128">
        <f t="shared" si="131"/>
        <v>100000</v>
      </c>
      <c r="CD84" s="130">
        <f t="shared" si="186"/>
        <v>4.3999999999999997E-2</v>
      </c>
      <c r="CE84" s="128">
        <f t="shared" si="187"/>
        <v>101833.33333333333</v>
      </c>
      <c r="CF84" s="128" t="str">
        <f t="shared" si="188"/>
        <v>nie</v>
      </c>
      <c r="CG84" s="128">
        <f t="shared" si="189"/>
        <v>2000</v>
      </c>
      <c r="CH84" s="128">
        <f t="shared" si="160"/>
        <v>99865</v>
      </c>
      <c r="CI84" s="128">
        <f t="shared" si="190"/>
        <v>0</v>
      </c>
      <c r="CJ84" s="130">
        <f t="shared" si="68"/>
        <v>4.4999999999999998E-2</v>
      </c>
      <c r="CK84" s="128">
        <f t="shared" si="191"/>
        <v>12014.500679025272</v>
      </c>
      <c r="CL84" s="128">
        <f t="shared" si="192"/>
        <v>111879.50067902527</v>
      </c>
      <c r="CN84" s="127">
        <f t="shared" si="237"/>
        <v>1000</v>
      </c>
      <c r="CO84" s="128">
        <f t="shared" si="238"/>
        <v>100000</v>
      </c>
      <c r="CP84" s="128">
        <f t="shared" si="134"/>
        <v>100000</v>
      </c>
      <c r="CQ84" s="128">
        <f t="shared" si="239"/>
        <v>116367.40575000001</v>
      </c>
      <c r="CR84" s="130">
        <f t="shared" si="193"/>
        <v>4.9000000000000002E-2</v>
      </c>
      <c r="CS84" s="128">
        <f t="shared" si="194"/>
        <v>118743.24028406251</v>
      </c>
      <c r="CT84" s="128" t="str">
        <f t="shared" si="195"/>
        <v>nie</v>
      </c>
      <c r="CU84" s="128">
        <f t="shared" si="196"/>
        <v>3000</v>
      </c>
      <c r="CV84" s="128">
        <f t="shared" si="197"/>
        <v>112752.02463009064</v>
      </c>
      <c r="CW84" s="128">
        <f t="shared" si="76"/>
        <v>0</v>
      </c>
      <c r="CX84" s="130">
        <f t="shared" si="198"/>
        <v>4.4999999999999998E-2</v>
      </c>
      <c r="CY84" s="128">
        <f t="shared" si="199"/>
        <v>0</v>
      </c>
      <c r="CZ84" s="128">
        <f t="shared" si="200"/>
        <v>112752.02463009064</v>
      </c>
      <c r="DA84" s="20"/>
      <c r="DB84" s="127">
        <f t="shared" si="144"/>
        <v>1000</v>
      </c>
      <c r="DC84" s="128">
        <f t="shared" si="145"/>
        <v>100000</v>
      </c>
      <c r="DD84" s="128">
        <f t="shared" si="136"/>
        <v>100000</v>
      </c>
      <c r="DE84" s="128">
        <f t="shared" si="240"/>
        <v>116037.28544999998</v>
      </c>
      <c r="DF84" s="130">
        <f t="shared" si="201"/>
        <v>4.9000000000000002E-2</v>
      </c>
      <c r="DG84" s="128">
        <f t="shared" si="202"/>
        <v>118406.38002793748</v>
      </c>
      <c r="DH84" s="128" t="str">
        <f t="shared" si="203"/>
        <v>nie</v>
      </c>
      <c r="DI84" s="128">
        <f t="shared" si="204"/>
        <v>2000</v>
      </c>
      <c r="DJ84" s="128">
        <f t="shared" si="205"/>
        <v>113289.16782262936</v>
      </c>
      <c r="DK84" s="128">
        <f t="shared" si="85"/>
        <v>0</v>
      </c>
      <c r="DL84" s="130">
        <f t="shared" si="206"/>
        <v>4.4999999999999998E-2</v>
      </c>
      <c r="DM84" s="128">
        <f t="shared" si="207"/>
        <v>0</v>
      </c>
      <c r="DN84" s="128">
        <f t="shared" si="208"/>
        <v>113289.16782262936</v>
      </c>
      <c r="DP84" s="127">
        <f t="shared" si="146"/>
        <v>1000</v>
      </c>
      <c r="DQ84" s="128">
        <f t="shared" si="147"/>
        <v>100000</v>
      </c>
      <c r="DR84" s="128">
        <f t="shared" si="138"/>
        <v>100000</v>
      </c>
      <c r="DS84" s="128">
        <f t="shared" si="241"/>
        <v>117757.09600000001</v>
      </c>
      <c r="DT84" s="130">
        <f t="shared" si="209"/>
        <v>5.4000000000000006E-2</v>
      </c>
      <c r="DU84" s="128">
        <f t="shared" si="210"/>
        <v>120406.63066</v>
      </c>
      <c r="DV84" s="128" t="str">
        <f t="shared" si="211"/>
        <v>nie</v>
      </c>
      <c r="DW84" s="128">
        <f t="shared" si="212"/>
        <v>3000</v>
      </c>
      <c r="DX84" s="128">
        <f t="shared" si="93"/>
        <v>114099.37083459999</v>
      </c>
      <c r="DY84" s="128">
        <f t="shared" si="94"/>
        <v>0</v>
      </c>
      <c r="DZ84" s="130">
        <f t="shared" si="213"/>
        <v>4.4999999999999998E-2</v>
      </c>
      <c r="EA84" s="128">
        <f t="shared" si="214"/>
        <v>0</v>
      </c>
      <c r="EB84" s="128">
        <f t="shared" si="215"/>
        <v>114099.37083459999</v>
      </c>
    </row>
    <row r="85" spans="1:134">
      <c r="A85" s="212"/>
      <c r="B85" s="188">
        <f t="shared" si="216"/>
        <v>41</v>
      </c>
      <c r="C85" s="128">
        <f t="shared" si="217"/>
        <v>114377.49942434659</v>
      </c>
      <c r="D85" s="128">
        <f t="shared" si="218"/>
        <v>113609.89586840112</v>
      </c>
      <c r="E85" s="128">
        <f t="shared" si="219"/>
        <v>113562.8271784168</v>
      </c>
      <c r="F85" s="128">
        <f t="shared" si="220"/>
        <v>111879.50067902527</v>
      </c>
      <c r="G85" s="128">
        <f t="shared" si="221"/>
        <v>112752.02463009064</v>
      </c>
      <c r="H85" s="128">
        <f t="shared" si="222"/>
        <v>113289.16782262936</v>
      </c>
      <c r="I85" s="128">
        <f t="shared" si="223"/>
        <v>114099.37083459999</v>
      </c>
      <c r="J85" s="128">
        <f t="shared" si="224"/>
        <v>113241.07199799168</v>
      </c>
      <c r="K85" s="128">
        <f t="shared" si="225"/>
        <v>110271.27532837499</v>
      </c>
      <c r="M85" s="36"/>
      <c r="N85" s="32">
        <f t="shared" si="226"/>
        <v>41</v>
      </c>
      <c r="O85" s="25">
        <f t="shared" si="109"/>
        <v>0.14377499424346585</v>
      </c>
      <c r="P85" s="25">
        <f t="shared" si="110"/>
        <v>0.13609895868401112</v>
      </c>
      <c r="Q85" s="25">
        <f t="shared" si="111"/>
        <v>0.13562827178416792</v>
      </c>
      <c r="R85" s="25">
        <f t="shared" si="161"/>
        <v>0.11879500679025257</v>
      </c>
      <c r="S85" s="25">
        <f t="shared" si="162"/>
        <v>0.12752024630090641</v>
      </c>
      <c r="T85" s="25">
        <f t="shared" si="163"/>
        <v>0.13289167822629366</v>
      </c>
      <c r="U85" s="25">
        <f t="shared" si="164"/>
        <v>0.140993708346</v>
      </c>
      <c r="V85" s="25">
        <f t="shared" si="165"/>
        <v>0.13241071997991671</v>
      </c>
      <c r="W85" s="25">
        <f t="shared" si="166"/>
        <v>0.10271275328374996</v>
      </c>
      <c r="X85" s="36"/>
      <c r="Y85" s="36"/>
      <c r="AA85" s="124">
        <f t="shared" si="113"/>
        <v>42</v>
      </c>
      <c r="AB85" s="128">
        <f t="shared" si="167"/>
        <v>110534.58261404997</v>
      </c>
      <c r="AC85" s="124">
        <f t="shared" si="114"/>
        <v>42</v>
      </c>
      <c r="AD85" s="130">
        <f t="shared" si="227"/>
        <v>4.4999999999999998E-2</v>
      </c>
      <c r="AE85" s="127">
        <f t="shared" si="228"/>
        <v>1131</v>
      </c>
      <c r="AF85" s="128">
        <f t="shared" si="229"/>
        <v>112991.1</v>
      </c>
      <c r="AG85" s="128">
        <f t="shared" si="140"/>
        <v>113100</v>
      </c>
      <c r="AH85" s="128">
        <f t="shared" si="118"/>
        <v>113100</v>
      </c>
      <c r="AI85" s="130">
        <f t="shared" si="168"/>
        <v>4.4999999999999998E-2</v>
      </c>
      <c r="AJ85" s="128">
        <f t="shared" si="169"/>
        <v>113524.12499999999</v>
      </c>
      <c r="AK85" s="128" t="str">
        <f t="shared" si="170"/>
        <v>nie</v>
      </c>
      <c r="AL85" s="128">
        <f t="shared" si="171"/>
        <v>565.5</v>
      </c>
      <c r="AM85" s="128">
        <f t="shared" si="150"/>
        <v>112985.48624999999</v>
      </c>
      <c r="AN85" s="128">
        <f t="shared" si="172"/>
        <v>343.54124999998822</v>
      </c>
      <c r="AO85" s="130">
        <f t="shared" si="173"/>
        <v>4.4999999999999998E-2</v>
      </c>
      <c r="AP85" s="128">
        <f t="shared" si="174"/>
        <v>2084.3674209105284</v>
      </c>
      <c r="AQ85" s="128">
        <f t="shared" si="156"/>
        <v>114726.31242091053</v>
      </c>
      <c r="AS85" s="124">
        <f t="shared" si="119"/>
        <v>42</v>
      </c>
      <c r="AT85" s="130">
        <f t="shared" si="120"/>
        <v>4.4999999999999998E-2</v>
      </c>
      <c r="AU85" s="127">
        <f t="shared" si="230"/>
        <v>1083</v>
      </c>
      <c r="AV85" s="128">
        <f t="shared" si="231"/>
        <v>108199.6</v>
      </c>
      <c r="AW85" s="128">
        <f t="shared" si="151"/>
        <v>108300</v>
      </c>
      <c r="AX85" s="128">
        <f t="shared" si="123"/>
        <v>108300</v>
      </c>
      <c r="AY85" s="130">
        <f t="shared" si="175"/>
        <v>4.65E-2</v>
      </c>
      <c r="AZ85" s="128">
        <f t="shared" si="176"/>
        <v>108719.66250000001</v>
      </c>
      <c r="BA85" s="128" t="str">
        <f t="shared" si="177"/>
        <v>nie</v>
      </c>
      <c r="BB85" s="128">
        <f t="shared" si="178"/>
        <v>758.09999999999991</v>
      </c>
      <c r="BC85" s="128">
        <f t="shared" si="158"/>
        <v>108025.86562500001</v>
      </c>
      <c r="BD85" s="128">
        <f t="shared" si="179"/>
        <v>339.92662500000472</v>
      </c>
      <c r="BE85" s="130">
        <f t="shared" si="51"/>
        <v>4.4999999999999998E-2</v>
      </c>
      <c r="BF85" s="128">
        <f t="shared" si="180"/>
        <v>6281.8775123888927</v>
      </c>
      <c r="BG85" s="128">
        <f t="shared" si="159"/>
        <v>113967.81651238889</v>
      </c>
      <c r="BI85" s="124">
        <f t="shared" si="124"/>
        <v>42</v>
      </c>
      <c r="BJ85" s="130">
        <f t="shared" si="242"/>
        <v>4.3200000000000002E-2</v>
      </c>
      <c r="BK85" s="127">
        <f t="shared" si="232"/>
        <v>1126</v>
      </c>
      <c r="BL85" s="128">
        <f t="shared" si="233"/>
        <v>112487.40000000001</v>
      </c>
      <c r="BM85" s="128">
        <f t="shared" si="142"/>
        <v>112600</v>
      </c>
      <c r="BN85" s="128">
        <f t="shared" si="234"/>
        <v>112600</v>
      </c>
      <c r="BO85" s="130">
        <f t="shared" si="181"/>
        <v>4.9000000000000002E-2</v>
      </c>
      <c r="BP85" s="128">
        <f t="shared" si="182"/>
        <v>115358.7</v>
      </c>
      <c r="BQ85" s="128" t="str">
        <f t="shared" si="183"/>
        <v>nie</v>
      </c>
      <c r="BR85" s="128">
        <f t="shared" si="184"/>
        <v>1126</v>
      </c>
      <c r="BS85" s="128">
        <f t="shared" si="153"/>
        <v>113922.48699999999</v>
      </c>
      <c r="BT85" s="128">
        <f t="shared" si="128"/>
        <v>0</v>
      </c>
      <c r="BU85" s="130">
        <f t="shared" si="185"/>
        <v>4.4999999999999998E-2</v>
      </c>
      <c r="BV85" s="128">
        <f t="shared" si="60"/>
        <v>12.803451127495297</v>
      </c>
      <c r="BW85" s="128">
        <f t="shared" si="61"/>
        <v>113935.29045112748</v>
      </c>
      <c r="BY85" s="130">
        <f t="shared" si="149"/>
        <v>2.9000000000000001E-2</v>
      </c>
      <c r="BZ85" s="127">
        <f t="shared" si="235"/>
        <v>1000</v>
      </c>
      <c r="CA85" s="128">
        <f t="shared" si="236"/>
        <v>100000</v>
      </c>
      <c r="CB85" s="128">
        <f t="shared" si="154"/>
        <v>100000</v>
      </c>
      <c r="CC85" s="128">
        <f t="shared" si="131"/>
        <v>100000</v>
      </c>
      <c r="CD85" s="130">
        <f t="shared" si="186"/>
        <v>4.3999999999999997E-2</v>
      </c>
      <c r="CE85" s="128">
        <f t="shared" si="187"/>
        <v>102200</v>
      </c>
      <c r="CF85" s="128" t="str">
        <f t="shared" si="188"/>
        <v>nie</v>
      </c>
      <c r="CG85" s="128">
        <f t="shared" si="189"/>
        <v>2000</v>
      </c>
      <c r="CH85" s="128">
        <f t="shared" si="160"/>
        <v>100162</v>
      </c>
      <c r="CI85" s="128">
        <f t="shared" si="190"/>
        <v>0</v>
      </c>
      <c r="CJ85" s="130">
        <f t="shared" si="68"/>
        <v>4.4999999999999998E-2</v>
      </c>
      <c r="CK85" s="128">
        <f t="shared" si="191"/>
        <v>12050.994724837812</v>
      </c>
      <c r="CL85" s="128">
        <f t="shared" si="192"/>
        <v>112212.99472483782</v>
      </c>
      <c r="CN85" s="127">
        <f t="shared" si="237"/>
        <v>1000</v>
      </c>
      <c r="CO85" s="128">
        <f t="shared" si="238"/>
        <v>100000</v>
      </c>
      <c r="CP85" s="128">
        <f t="shared" si="134"/>
        <v>100000</v>
      </c>
      <c r="CQ85" s="128">
        <f t="shared" si="239"/>
        <v>116367.40575000001</v>
      </c>
      <c r="CR85" s="130">
        <f t="shared" si="193"/>
        <v>4.9000000000000002E-2</v>
      </c>
      <c r="CS85" s="128">
        <f t="shared" si="194"/>
        <v>119218.407190875</v>
      </c>
      <c r="CT85" s="128" t="str">
        <f t="shared" si="195"/>
        <v>nie</v>
      </c>
      <c r="CU85" s="128">
        <f t="shared" si="196"/>
        <v>3000</v>
      </c>
      <c r="CV85" s="128">
        <f t="shared" si="197"/>
        <v>113136.90982460875</v>
      </c>
      <c r="CW85" s="128">
        <f t="shared" si="76"/>
        <v>0</v>
      </c>
      <c r="CX85" s="130">
        <f t="shared" si="198"/>
        <v>4.4999999999999998E-2</v>
      </c>
      <c r="CY85" s="128">
        <f t="shared" si="199"/>
        <v>0</v>
      </c>
      <c r="CZ85" s="128">
        <f t="shared" si="200"/>
        <v>113136.90982460875</v>
      </c>
      <c r="DA85" s="20"/>
      <c r="DB85" s="127">
        <f t="shared" si="144"/>
        <v>1000</v>
      </c>
      <c r="DC85" s="128">
        <f t="shared" si="145"/>
        <v>100000</v>
      </c>
      <c r="DD85" s="128">
        <f t="shared" si="136"/>
        <v>100000</v>
      </c>
      <c r="DE85" s="128">
        <f t="shared" si="240"/>
        <v>116037.28544999998</v>
      </c>
      <c r="DF85" s="130">
        <f t="shared" si="201"/>
        <v>4.9000000000000002E-2</v>
      </c>
      <c r="DG85" s="128">
        <f t="shared" si="202"/>
        <v>118880.19894352497</v>
      </c>
      <c r="DH85" s="128" t="str">
        <f t="shared" si="203"/>
        <v>nie</v>
      </c>
      <c r="DI85" s="128">
        <f t="shared" si="204"/>
        <v>2000</v>
      </c>
      <c r="DJ85" s="128">
        <f t="shared" si="205"/>
        <v>113672.96114425523</v>
      </c>
      <c r="DK85" s="128">
        <f t="shared" si="85"/>
        <v>0</v>
      </c>
      <c r="DL85" s="130">
        <f t="shared" si="206"/>
        <v>4.4999999999999998E-2</v>
      </c>
      <c r="DM85" s="128">
        <f t="shared" si="207"/>
        <v>0</v>
      </c>
      <c r="DN85" s="128">
        <f t="shared" si="208"/>
        <v>113672.96114425523</v>
      </c>
      <c r="DP85" s="127">
        <f t="shared" si="146"/>
        <v>1000</v>
      </c>
      <c r="DQ85" s="128">
        <f t="shared" si="147"/>
        <v>100000</v>
      </c>
      <c r="DR85" s="128">
        <f t="shared" si="138"/>
        <v>100000</v>
      </c>
      <c r="DS85" s="128">
        <f t="shared" si="241"/>
        <v>117757.09600000001</v>
      </c>
      <c r="DT85" s="130">
        <f t="shared" si="209"/>
        <v>5.4000000000000006E-2</v>
      </c>
      <c r="DU85" s="128">
        <f t="shared" si="210"/>
        <v>120936.53759199999</v>
      </c>
      <c r="DV85" s="128" t="str">
        <f t="shared" si="211"/>
        <v>nie</v>
      </c>
      <c r="DW85" s="128">
        <f t="shared" si="212"/>
        <v>3000</v>
      </c>
      <c r="DX85" s="128">
        <f t="shared" si="93"/>
        <v>114528.59544952</v>
      </c>
      <c r="DY85" s="128">
        <f t="shared" si="94"/>
        <v>0</v>
      </c>
      <c r="DZ85" s="130">
        <f t="shared" si="213"/>
        <v>4.4999999999999998E-2</v>
      </c>
      <c r="EA85" s="128">
        <f t="shared" si="214"/>
        <v>0</v>
      </c>
      <c r="EB85" s="128">
        <f t="shared" si="215"/>
        <v>114528.59544952</v>
      </c>
    </row>
    <row r="86" spans="1:134">
      <c r="A86" s="212"/>
      <c r="B86" s="188">
        <f t="shared" si="216"/>
        <v>42</v>
      </c>
      <c r="C86" s="128">
        <f t="shared" si="217"/>
        <v>114726.31242091053</v>
      </c>
      <c r="D86" s="128">
        <f t="shared" si="218"/>
        <v>113967.81651238889</v>
      </c>
      <c r="E86" s="128">
        <f t="shared" si="219"/>
        <v>113935.29045112748</v>
      </c>
      <c r="F86" s="128">
        <f t="shared" si="220"/>
        <v>112212.99472483782</v>
      </c>
      <c r="G86" s="128">
        <f t="shared" si="221"/>
        <v>113136.90982460875</v>
      </c>
      <c r="H86" s="128">
        <f t="shared" si="222"/>
        <v>113672.96114425523</v>
      </c>
      <c r="I86" s="128">
        <f t="shared" si="223"/>
        <v>114528.59544952</v>
      </c>
      <c r="J86" s="128">
        <f t="shared" si="224"/>
        <v>113585.04175418557</v>
      </c>
      <c r="K86" s="128">
        <f t="shared" si="225"/>
        <v>110534.58261404997</v>
      </c>
      <c r="M86" s="36"/>
      <c r="N86" s="32">
        <f t="shared" si="226"/>
        <v>42</v>
      </c>
      <c r="O86" s="25">
        <f t="shared" si="109"/>
        <v>0.14726312420910537</v>
      </c>
      <c r="P86" s="25">
        <f t="shared" si="110"/>
        <v>0.13967816512388898</v>
      </c>
      <c r="Q86" s="25">
        <f t="shared" si="111"/>
        <v>0.13935290451127491</v>
      </c>
      <c r="R86" s="25">
        <f t="shared" si="161"/>
        <v>0.12212994724837811</v>
      </c>
      <c r="S86" s="25">
        <f t="shared" si="162"/>
        <v>0.13136909824608756</v>
      </c>
      <c r="T86" s="25">
        <f t="shared" si="163"/>
        <v>0.13672961144255225</v>
      </c>
      <c r="U86" s="25">
        <f t="shared" si="164"/>
        <v>0.14528595449519988</v>
      </c>
      <c r="V86" s="25">
        <f t="shared" si="165"/>
        <v>0.13585041754185578</v>
      </c>
      <c r="W86" s="25">
        <f t="shared" si="166"/>
        <v>0.10534582614049981</v>
      </c>
      <c r="X86" s="36"/>
      <c r="Y86" s="36"/>
      <c r="AA86" s="124">
        <f t="shared" si="113"/>
        <v>43</v>
      </c>
      <c r="AB86" s="128">
        <f t="shared" si="167"/>
        <v>110797.88989972498</v>
      </c>
      <c r="AC86" s="124">
        <f t="shared" si="114"/>
        <v>43</v>
      </c>
      <c r="AD86" s="130">
        <f t="shared" si="227"/>
        <v>4.4999999999999998E-2</v>
      </c>
      <c r="AE86" s="127">
        <f t="shared" si="228"/>
        <v>1131</v>
      </c>
      <c r="AF86" s="128">
        <f t="shared" si="229"/>
        <v>112991.1</v>
      </c>
      <c r="AG86" s="128">
        <f t="shared" si="140"/>
        <v>113100</v>
      </c>
      <c r="AH86" s="128">
        <f t="shared" si="118"/>
        <v>113100</v>
      </c>
      <c r="AI86" s="130">
        <f t="shared" si="168"/>
        <v>4.4999999999999998E-2</v>
      </c>
      <c r="AJ86" s="128">
        <f t="shared" si="169"/>
        <v>113524.12499999999</v>
      </c>
      <c r="AK86" s="128" t="str">
        <f t="shared" si="170"/>
        <v>nie</v>
      </c>
      <c r="AL86" s="128">
        <f t="shared" si="171"/>
        <v>565.5</v>
      </c>
      <c r="AM86" s="128">
        <f t="shared" si="150"/>
        <v>112985.48624999999</v>
      </c>
      <c r="AN86" s="128">
        <f t="shared" si="172"/>
        <v>343.54124999998822</v>
      </c>
      <c r="AO86" s="130">
        <f t="shared" si="173"/>
        <v>4.4999999999999998E-2</v>
      </c>
      <c r="AP86" s="128">
        <f t="shared" si="174"/>
        <v>2434.2399369515324</v>
      </c>
      <c r="AQ86" s="128">
        <f t="shared" si="156"/>
        <v>115076.18493695153</v>
      </c>
      <c r="AS86" s="124">
        <f t="shared" si="119"/>
        <v>43</v>
      </c>
      <c r="AT86" s="130">
        <f t="shared" si="120"/>
        <v>4.4999999999999998E-2</v>
      </c>
      <c r="AU86" s="127">
        <f t="shared" si="230"/>
        <v>1083</v>
      </c>
      <c r="AV86" s="128">
        <f t="shared" si="231"/>
        <v>108199.6</v>
      </c>
      <c r="AW86" s="128">
        <f t="shared" si="151"/>
        <v>108300</v>
      </c>
      <c r="AX86" s="128">
        <f t="shared" si="123"/>
        <v>108300</v>
      </c>
      <c r="AY86" s="130">
        <f t="shared" si="175"/>
        <v>4.65E-2</v>
      </c>
      <c r="AZ86" s="128">
        <f t="shared" si="176"/>
        <v>108719.66250000001</v>
      </c>
      <c r="BA86" s="128" t="str">
        <f t="shared" si="177"/>
        <v>nie</v>
      </c>
      <c r="BB86" s="128">
        <f t="shared" si="178"/>
        <v>758.09999999999991</v>
      </c>
      <c r="BC86" s="128">
        <f t="shared" si="158"/>
        <v>108025.86562500001</v>
      </c>
      <c r="BD86" s="128">
        <f t="shared" si="179"/>
        <v>339.92662500000472</v>
      </c>
      <c r="BE86" s="130">
        <f t="shared" si="51"/>
        <v>4.4999999999999998E-2</v>
      </c>
      <c r="BF86" s="128">
        <f t="shared" si="180"/>
        <v>6640.8853403327785</v>
      </c>
      <c r="BG86" s="128">
        <f t="shared" si="159"/>
        <v>114326.82434033278</v>
      </c>
      <c r="BI86" s="124">
        <f t="shared" si="124"/>
        <v>43</v>
      </c>
      <c r="BJ86" s="130">
        <f t="shared" si="242"/>
        <v>4.3200000000000002E-2</v>
      </c>
      <c r="BK86" s="127">
        <f t="shared" si="232"/>
        <v>1126</v>
      </c>
      <c r="BL86" s="128">
        <f t="shared" si="233"/>
        <v>112487.40000000001</v>
      </c>
      <c r="BM86" s="128">
        <f t="shared" si="142"/>
        <v>112600</v>
      </c>
      <c r="BN86" s="128">
        <f t="shared" si="234"/>
        <v>112600</v>
      </c>
      <c r="BO86" s="130">
        <f t="shared" si="181"/>
        <v>4.9000000000000002E-2</v>
      </c>
      <c r="BP86" s="128">
        <f t="shared" si="182"/>
        <v>115818.48333333334</v>
      </c>
      <c r="BQ86" s="128" t="str">
        <f t="shared" si="183"/>
        <v>nie</v>
      </c>
      <c r="BR86" s="128">
        <f t="shared" si="184"/>
        <v>1126</v>
      </c>
      <c r="BS86" s="128">
        <f t="shared" si="153"/>
        <v>114294.9115</v>
      </c>
      <c r="BT86" s="128">
        <f t="shared" si="128"/>
        <v>0</v>
      </c>
      <c r="BU86" s="130">
        <f t="shared" si="185"/>
        <v>4.4999999999999998E-2</v>
      </c>
      <c r="BV86" s="128">
        <f t="shared" si="60"/>
        <v>12.842341610295064</v>
      </c>
      <c r="BW86" s="128">
        <f t="shared" si="61"/>
        <v>114307.75384161029</v>
      </c>
      <c r="BY86" s="130">
        <f t="shared" si="149"/>
        <v>2.9000000000000001E-2</v>
      </c>
      <c r="BZ86" s="127">
        <f t="shared" si="235"/>
        <v>1000</v>
      </c>
      <c r="CA86" s="128">
        <f t="shared" si="236"/>
        <v>100000</v>
      </c>
      <c r="CB86" s="128">
        <f t="shared" si="154"/>
        <v>100000</v>
      </c>
      <c r="CC86" s="128">
        <f t="shared" si="131"/>
        <v>100000</v>
      </c>
      <c r="CD86" s="130">
        <f t="shared" si="186"/>
        <v>4.3999999999999997E-2</v>
      </c>
      <c r="CE86" s="128">
        <f t="shared" si="187"/>
        <v>102566.66666666667</v>
      </c>
      <c r="CF86" s="128" t="str">
        <f t="shared" si="188"/>
        <v>nie</v>
      </c>
      <c r="CG86" s="128">
        <f t="shared" si="189"/>
        <v>2000</v>
      </c>
      <c r="CH86" s="128">
        <f t="shared" si="160"/>
        <v>100459</v>
      </c>
      <c r="CI86" s="128">
        <f t="shared" si="190"/>
        <v>0</v>
      </c>
      <c r="CJ86" s="130">
        <f t="shared" si="68"/>
        <v>4.4999999999999998E-2</v>
      </c>
      <c r="CK86" s="128">
        <f t="shared" si="191"/>
        <v>12087.599621314508</v>
      </c>
      <c r="CL86" s="128">
        <f t="shared" si="192"/>
        <v>112546.59962131451</v>
      </c>
      <c r="CN86" s="127">
        <f t="shared" si="237"/>
        <v>1000</v>
      </c>
      <c r="CO86" s="128">
        <f t="shared" si="238"/>
        <v>100000</v>
      </c>
      <c r="CP86" s="128">
        <f t="shared" si="134"/>
        <v>100000</v>
      </c>
      <c r="CQ86" s="128">
        <f t="shared" si="239"/>
        <v>116367.40575000001</v>
      </c>
      <c r="CR86" s="130">
        <f t="shared" si="193"/>
        <v>4.9000000000000002E-2</v>
      </c>
      <c r="CS86" s="128">
        <f t="shared" si="194"/>
        <v>119693.57409768751</v>
      </c>
      <c r="CT86" s="128" t="str">
        <f t="shared" si="195"/>
        <v>nie</v>
      </c>
      <c r="CU86" s="128">
        <f t="shared" si="196"/>
        <v>3000</v>
      </c>
      <c r="CV86" s="128">
        <f t="shared" si="197"/>
        <v>113521.79501912688</v>
      </c>
      <c r="CW86" s="128">
        <f t="shared" si="76"/>
        <v>0</v>
      </c>
      <c r="CX86" s="130">
        <f t="shared" si="198"/>
        <v>4.4999999999999998E-2</v>
      </c>
      <c r="CY86" s="128">
        <f t="shared" si="199"/>
        <v>0</v>
      </c>
      <c r="CZ86" s="128">
        <f t="shared" si="200"/>
        <v>113521.79501912688</v>
      </c>
      <c r="DA86" s="20"/>
      <c r="DB86" s="127">
        <f t="shared" si="144"/>
        <v>1000</v>
      </c>
      <c r="DC86" s="128">
        <f t="shared" si="145"/>
        <v>100000</v>
      </c>
      <c r="DD86" s="128">
        <f t="shared" si="136"/>
        <v>100000</v>
      </c>
      <c r="DE86" s="128">
        <f t="shared" si="240"/>
        <v>116037.28544999998</v>
      </c>
      <c r="DF86" s="130">
        <f t="shared" si="201"/>
        <v>4.9000000000000002E-2</v>
      </c>
      <c r="DG86" s="128">
        <f t="shared" si="202"/>
        <v>119354.01785911249</v>
      </c>
      <c r="DH86" s="128" t="str">
        <f t="shared" si="203"/>
        <v>nie</v>
      </c>
      <c r="DI86" s="128">
        <f t="shared" si="204"/>
        <v>2000</v>
      </c>
      <c r="DJ86" s="128">
        <f t="shared" si="205"/>
        <v>114056.75446588111</v>
      </c>
      <c r="DK86" s="128">
        <f t="shared" si="85"/>
        <v>0</v>
      </c>
      <c r="DL86" s="130">
        <f t="shared" si="206"/>
        <v>4.4999999999999998E-2</v>
      </c>
      <c r="DM86" s="128">
        <f t="shared" si="207"/>
        <v>0</v>
      </c>
      <c r="DN86" s="128">
        <f t="shared" si="208"/>
        <v>114056.75446588111</v>
      </c>
      <c r="DP86" s="127">
        <f t="shared" si="146"/>
        <v>1000</v>
      </c>
      <c r="DQ86" s="128">
        <f t="shared" si="147"/>
        <v>100000</v>
      </c>
      <c r="DR86" s="128">
        <f t="shared" si="138"/>
        <v>100000</v>
      </c>
      <c r="DS86" s="128">
        <f t="shared" si="241"/>
        <v>117757.09600000001</v>
      </c>
      <c r="DT86" s="130">
        <f t="shared" si="209"/>
        <v>5.4000000000000006E-2</v>
      </c>
      <c r="DU86" s="128">
        <f t="shared" si="210"/>
        <v>121466.44452400002</v>
      </c>
      <c r="DV86" s="128" t="str">
        <f t="shared" si="211"/>
        <v>nie</v>
      </c>
      <c r="DW86" s="128">
        <f t="shared" si="212"/>
        <v>3000</v>
      </c>
      <c r="DX86" s="128">
        <f t="shared" si="93"/>
        <v>114957.82006444002</v>
      </c>
      <c r="DY86" s="128">
        <f t="shared" si="94"/>
        <v>0</v>
      </c>
      <c r="DZ86" s="130">
        <f t="shared" si="213"/>
        <v>4.4999999999999998E-2</v>
      </c>
      <c r="EA86" s="128">
        <f t="shared" si="214"/>
        <v>0</v>
      </c>
      <c r="EB86" s="128">
        <f t="shared" si="215"/>
        <v>114957.82006444002</v>
      </c>
    </row>
    <row r="87" spans="1:134">
      <c r="A87" s="212"/>
      <c r="B87" s="188">
        <f t="shared" si="216"/>
        <v>43</v>
      </c>
      <c r="C87" s="128">
        <f t="shared" si="217"/>
        <v>115076.18493695153</v>
      </c>
      <c r="D87" s="128">
        <f t="shared" si="218"/>
        <v>114326.82434033278</v>
      </c>
      <c r="E87" s="128">
        <f t="shared" si="219"/>
        <v>114307.75384161029</v>
      </c>
      <c r="F87" s="128">
        <f t="shared" si="220"/>
        <v>112546.59962131451</v>
      </c>
      <c r="G87" s="128">
        <f t="shared" si="221"/>
        <v>113521.79501912688</v>
      </c>
      <c r="H87" s="128">
        <f t="shared" si="222"/>
        <v>114056.75446588111</v>
      </c>
      <c r="I87" s="128">
        <f t="shared" si="223"/>
        <v>114957.82006444002</v>
      </c>
      <c r="J87" s="128">
        <f t="shared" si="224"/>
        <v>113930.05631851392</v>
      </c>
      <c r="K87" s="128">
        <f t="shared" si="225"/>
        <v>110797.88989972498</v>
      </c>
      <c r="M87" s="36"/>
      <c r="N87" s="32">
        <f t="shared" si="226"/>
        <v>43</v>
      </c>
      <c r="O87" s="25">
        <f t="shared" si="109"/>
        <v>0.15076184936951531</v>
      </c>
      <c r="P87" s="25">
        <f t="shared" si="110"/>
        <v>0.14326824340332789</v>
      </c>
      <c r="Q87" s="25">
        <f t="shared" si="111"/>
        <v>0.14307753841610293</v>
      </c>
      <c r="R87" s="25">
        <f t="shared" si="161"/>
        <v>0.12546599621314503</v>
      </c>
      <c r="S87" s="25">
        <f t="shared" si="162"/>
        <v>0.1352179501912687</v>
      </c>
      <c r="T87" s="25">
        <f t="shared" si="163"/>
        <v>0.14056754465881105</v>
      </c>
      <c r="U87" s="25">
        <f t="shared" si="164"/>
        <v>0.14957820064440019</v>
      </c>
      <c r="V87" s="25">
        <f t="shared" si="165"/>
        <v>0.13930056318513917</v>
      </c>
      <c r="W87" s="25">
        <f t="shared" si="166"/>
        <v>0.10797889899724988</v>
      </c>
      <c r="X87" s="36"/>
      <c r="Y87" s="36"/>
      <c r="AA87" s="124">
        <f t="shared" si="113"/>
        <v>44</v>
      </c>
      <c r="AB87" s="128">
        <f t="shared" si="167"/>
        <v>111061.19718539999</v>
      </c>
      <c r="AC87" s="124">
        <f t="shared" si="114"/>
        <v>44</v>
      </c>
      <c r="AD87" s="130">
        <f t="shared" si="227"/>
        <v>4.4999999999999998E-2</v>
      </c>
      <c r="AE87" s="127">
        <f t="shared" si="228"/>
        <v>1131</v>
      </c>
      <c r="AF87" s="128">
        <f t="shared" si="229"/>
        <v>112991.1</v>
      </c>
      <c r="AG87" s="128">
        <f t="shared" si="140"/>
        <v>113100</v>
      </c>
      <c r="AH87" s="128">
        <f t="shared" si="118"/>
        <v>113100</v>
      </c>
      <c r="AI87" s="130">
        <f t="shared" si="168"/>
        <v>4.4999999999999998E-2</v>
      </c>
      <c r="AJ87" s="128">
        <f t="shared" si="169"/>
        <v>113524.12499999999</v>
      </c>
      <c r="AK87" s="128" t="str">
        <f t="shared" si="170"/>
        <v>nie</v>
      </c>
      <c r="AL87" s="128">
        <f t="shared" si="171"/>
        <v>565.5</v>
      </c>
      <c r="AM87" s="128">
        <f t="shared" si="150"/>
        <v>112985.48624999999</v>
      </c>
      <c r="AN87" s="128">
        <f t="shared" si="172"/>
        <v>343.54124999998822</v>
      </c>
      <c r="AO87" s="130">
        <f t="shared" si="173"/>
        <v>4.4999999999999998E-2</v>
      </c>
      <c r="AP87" s="128">
        <f t="shared" si="174"/>
        <v>2785.175190760011</v>
      </c>
      <c r="AQ87" s="128">
        <f t="shared" si="156"/>
        <v>115427.12019076</v>
      </c>
      <c r="AS87" s="124">
        <f t="shared" si="119"/>
        <v>44</v>
      </c>
      <c r="AT87" s="130">
        <f t="shared" si="120"/>
        <v>4.4999999999999998E-2</v>
      </c>
      <c r="AU87" s="127">
        <f t="shared" si="230"/>
        <v>1083</v>
      </c>
      <c r="AV87" s="128">
        <f t="shared" si="231"/>
        <v>108199.6</v>
      </c>
      <c r="AW87" s="128">
        <f t="shared" si="151"/>
        <v>108300</v>
      </c>
      <c r="AX87" s="128">
        <f t="shared" si="123"/>
        <v>108300</v>
      </c>
      <c r="AY87" s="130">
        <f t="shared" si="175"/>
        <v>4.65E-2</v>
      </c>
      <c r="AZ87" s="128">
        <f t="shared" si="176"/>
        <v>108719.66250000001</v>
      </c>
      <c r="BA87" s="128" t="str">
        <f t="shared" si="177"/>
        <v>nie</v>
      </c>
      <c r="BB87" s="128">
        <f t="shared" si="178"/>
        <v>758.09999999999991</v>
      </c>
      <c r="BC87" s="128">
        <f t="shared" si="158"/>
        <v>108025.86562500001</v>
      </c>
      <c r="BD87" s="128">
        <f t="shared" si="179"/>
        <v>339.92662500000472</v>
      </c>
      <c r="BE87" s="130">
        <f t="shared" si="51"/>
        <v>4.4999999999999998E-2</v>
      </c>
      <c r="BF87" s="128">
        <f t="shared" si="180"/>
        <v>7000.9836545540438</v>
      </c>
      <c r="BG87" s="128">
        <f t="shared" si="159"/>
        <v>114686.92265455404</v>
      </c>
      <c r="BI87" s="124">
        <f t="shared" si="124"/>
        <v>44</v>
      </c>
      <c r="BJ87" s="130">
        <f t="shared" si="242"/>
        <v>4.3200000000000002E-2</v>
      </c>
      <c r="BK87" s="127">
        <f t="shared" si="232"/>
        <v>1126</v>
      </c>
      <c r="BL87" s="128">
        <f t="shared" si="233"/>
        <v>112487.40000000001</v>
      </c>
      <c r="BM87" s="128">
        <f t="shared" si="142"/>
        <v>112600</v>
      </c>
      <c r="BN87" s="128">
        <f t="shared" si="234"/>
        <v>112600</v>
      </c>
      <c r="BO87" s="130">
        <f t="shared" si="181"/>
        <v>4.9000000000000002E-2</v>
      </c>
      <c r="BP87" s="128">
        <f t="shared" si="182"/>
        <v>116278.26666666666</v>
      </c>
      <c r="BQ87" s="128" t="str">
        <f t="shared" si="183"/>
        <v>nie</v>
      </c>
      <c r="BR87" s="128">
        <f t="shared" si="184"/>
        <v>1126</v>
      </c>
      <c r="BS87" s="128">
        <f t="shared" si="153"/>
        <v>114667.336</v>
      </c>
      <c r="BT87" s="128">
        <f t="shared" si="128"/>
        <v>0</v>
      </c>
      <c r="BU87" s="130">
        <f t="shared" si="185"/>
        <v>4.4999999999999998E-2</v>
      </c>
      <c r="BV87" s="128">
        <f t="shared" si="60"/>
        <v>12.881350222936335</v>
      </c>
      <c r="BW87" s="128">
        <f t="shared" si="61"/>
        <v>114680.21735022293</v>
      </c>
      <c r="BY87" s="130">
        <f t="shared" si="149"/>
        <v>2.9000000000000001E-2</v>
      </c>
      <c r="BZ87" s="127">
        <f t="shared" si="235"/>
        <v>1000</v>
      </c>
      <c r="CA87" s="128">
        <f t="shared" si="236"/>
        <v>100000</v>
      </c>
      <c r="CB87" s="128">
        <f t="shared" si="154"/>
        <v>100000</v>
      </c>
      <c r="CC87" s="128">
        <f t="shared" si="131"/>
        <v>100000</v>
      </c>
      <c r="CD87" s="130">
        <f t="shared" si="186"/>
        <v>4.3999999999999997E-2</v>
      </c>
      <c r="CE87" s="128">
        <f t="shared" si="187"/>
        <v>102933.33333333334</v>
      </c>
      <c r="CF87" s="128" t="str">
        <f t="shared" si="188"/>
        <v>nie</v>
      </c>
      <c r="CG87" s="128">
        <f t="shared" si="189"/>
        <v>2000</v>
      </c>
      <c r="CH87" s="128">
        <f t="shared" si="160"/>
        <v>100756.00000000001</v>
      </c>
      <c r="CI87" s="128">
        <f t="shared" si="190"/>
        <v>0</v>
      </c>
      <c r="CJ87" s="130">
        <f t="shared" si="68"/>
        <v>4.4999999999999998E-2</v>
      </c>
      <c r="CK87" s="128">
        <f t="shared" si="191"/>
        <v>12124.315705164252</v>
      </c>
      <c r="CL87" s="128">
        <f t="shared" si="192"/>
        <v>112880.31570516426</v>
      </c>
      <c r="CN87" s="127">
        <f t="shared" si="237"/>
        <v>1000</v>
      </c>
      <c r="CO87" s="128">
        <f t="shared" si="238"/>
        <v>100000</v>
      </c>
      <c r="CP87" s="128">
        <f t="shared" si="134"/>
        <v>100000</v>
      </c>
      <c r="CQ87" s="128">
        <f t="shared" si="239"/>
        <v>116367.40575000001</v>
      </c>
      <c r="CR87" s="130">
        <f t="shared" si="193"/>
        <v>4.9000000000000002E-2</v>
      </c>
      <c r="CS87" s="128">
        <f t="shared" si="194"/>
        <v>120168.7410045</v>
      </c>
      <c r="CT87" s="128" t="str">
        <f t="shared" si="195"/>
        <v>nie</v>
      </c>
      <c r="CU87" s="128">
        <f t="shared" si="196"/>
        <v>3000</v>
      </c>
      <c r="CV87" s="128">
        <f t="shared" si="197"/>
        <v>113906.680213645</v>
      </c>
      <c r="CW87" s="128">
        <f t="shared" si="76"/>
        <v>0</v>
      </c>
      <c r="CX87" s="130">
        <f t="shared" si="198"/>
        <v>4.4999999999999998E-2</v>
      </c>
      <c r="CY87" s="128">
        <f t="shared" si="199"/>
        <v>0</v>
      </c>
      <c r="CZ87" s="128">
        <f t="shared" si="200"/>
        <v>113906.680213645</v>
      </c>
      <c r="DA87" s="20"/>
      <c r="DB87" s="127">
        <f t="shared" si="144"/>
        <v>1000</v>
      </c>
      <c r="DC87" s="128">
        <f t="shared" si="145"/>
        <v>100000</v>
      </c>
      <c r="DD87" s="128">
        <f t="shared" si="136"/>
        <v>100000</v>
      </c>
      <c r="DE87" s="128">
        <f t="shared" si="240"/>
        <v>116037.28544999998</v>
      </c>
      <c r="DF87" s="130">
        <f t="shared" si="201"/>
        <v>4.9000000000000002E-2</v>
      </c>
      <c r="DG87" s="128">
        <f t="shared" si="202"/>
        <v>119827.83677469997</v>
      </c>
      <c r="DH87" s="128" t="str">
        <f t="shared" si="203"/>
        <v>nie</v>
      </c>
      <c r="DI87" s="128">
        <f t="shared" si="204"/>
        <v>2000</v>
      </c>
      <c r="DJ87" s="128">
        <f t="shared" si="205"/>
        <v>114440.54778750698</v>
      </c>
      <c r="DK87" s="128">
        <f t="shared" si="85"/>
        <v>0</v>
      </c>
      <c r="DL87" s="130">
        <f t="shared" si="206"/>
        <v>4.4999999999999998E-2</v>
      </c>
      <c r="DM87" s="128">
        <f t="shared" si="207"/>
        <v>0</v>
      </c>
      <c r="DN87" s="128">
        <f t="shared" si="208"/>
        <v>114440.54778750698</v>
      </c>
      <c r="DP87" s="127">
        <f t="shared" si="146"/>
        <v>1000</v>
      </c>
      <c r="DQ87" s="128">
        <f t="shared" si="147"/>
        <v>100000</v>
      </c>
      <c r="DR87" s="128">
        <f t="shared" si="138"/>
        <v>100000</v>
      </c>
      <c r="DS87" s="128">
        <f t="shared" si="241"/>
        <v>117757.09600000001</v>
      </c>
      <c r="DT87" s="130">
        <f t="shared" si="209"/>
        <v>5.4000000000000006E-2</v>
      </c>
      <c r="DU87" s="128">
        <f t="shared" si="210"/>
        <v>121996.351456</v>
      </c>
      <c r="DV87" s="128" t="str">
        <f t="shared" si="211"/>
        <v>nie</v>
      </c>
      <c r="DW87" s="128">
        <f t="shared" si="212"/>
        <v>3000</v>
      </c>
      <c r="DX87" s="128">
        <f t="shared" si="93"/>
        <v>115387.04467936</v>
      </c>
      <c r="DY87" s="128">
        <f t="shared" si="94"/>
        <v>0</v>
      </c>
      <c r="DZ87" s="130">
        <f t="shared" si="213"/>
        <v>4.4999999999999998E-2</v>
      </c>
      <c r="EA87" s="128">
        <f t="shared" si="214"/>
        <v>0</v>
      </c>
      <c r="EB87" s="128">
        <f t="shared" si="215"/>
        <v>115387.04467936</v>
      </c>
    </row>
    <row r="88" spans="1:134">
      <c r="A88" s="212"/>
      <c r="B88" s="188">
        <f t="shared" si="216"/>
        <v>44</v>
      </c>
      <c r="C88" s="128">
        <f t="shared" si="217"/>
        <v>115427.12019076</v>
      </c>
      <c r="D88" s="128">
        <f t="shared" si="218"/>
        <v>114686.92265455404</v>
      </c>
      <c r="E88" s="128">
        <f t="shared" si="219"/>
        <v>114680.21735022293</v>
      </c>
      <c r="F88" s="128">
        <f t="shared" si="220"/>
        <v>112880.31570516426</v>
      </c>
      <c r="G88" s="128">
        <f t="shared" si="221"/>
        <v>113906.680213645</v>
      </c>
      <c r="H88" s="128">
        <f t="shared" si="222"/>
        <v>114440.54778750698</v>
      </c>
      <c r="I88" s="128">
        <f t="shared" si="223"/>
        <v>115387.04467936</v>
      </c>
      <c r="J88" s="128">
        <f t="shared" si="224"/>
        <v>114276.11886458141</v>
      </c>
      <c r="K88" s="128">
        <f t="shared" si="225"/>
        <v>111061.19718539999</v>
      </c>
      <c r="M88" s="36"/>
      <c r="N88" s="32">
        <f t="shared" si="226"/>
        <v>44</v>
      </c>
      <c r="O88" s="25">
        <f t="shared" si="109"/>
        <v>0.15427120190760002</v>
      </c>
      <c r="P88" s="25">
        <f t="shared" si="110"/>
        <v>0.14686922654554047</v>
      </c>
      <c r="Q88" s="25">
        <f t="shared" si="111"/>
        <v>0.14680217350222935</v>
      </c>
      <c r="R88" s="25">
        <f t="shared" si="161"/>
        <v>0.12880315705164258</v>
      </c>
      <c r="S88" s="25">
        <f t="shared" si="162"/>
        <v>0.13906680213645006</v>
      </c>
      <c r="T88" s="25">
        <f t="shared" si="163"/>
        <v>0.14440547787506985</v>
      </c>
      <c r="U88" s="25">
        <f t="shared" si="164"/>
        <v>0.15387044679360007</v>
      </c>
      <c r="V88" s="25">
        <f t="shared" si="165"/>
        <v>0.14276118864581422</v>
      </c>
      <c r="W88" s="25">
        <f t="shared" si="166"/>
        <v>0.11061197185399996</v>
      </c>
      <c r="X88" s="36"/>
      <c r="Y88" s="36"/>
      <c r="AA88" s="124">
        <f t="shared" si="113"/>
        <v>45</v>
      </c>
      <c r="AB88" s="128">
        <f t="shared" si="167"/>
        <v>111324.50447107498</v>
      </c>
      <c r="AC88" s="124">
        <f t="shared" si="114"/>
        <v>45</v>
      </c>
      <c r="AD88" s="130">
        <f t="shared" si="227"/>
        <v>4.4999999999999998E-2</v>
      </c>
      <c r="AE88" s="127">
        <f t="shared" si="228"/>
        <v>1131</v>
      </c>
      <c r="AF88" s="128">
        <f t="shared" si="229"/>
        <v>112991.1</v>
      </c>
      <c r="AG88" s="128">
        <f t="shared" si="140"/>
        <v>113100</v>
      </c>
      <c r="AH88" s="128">
        <f t="shared" si="118"/>
        <v>113100</v>
      </c>
      <c r="AI88" s="130">
        <f t="shared" si="168"/>
        <v>4.4999999999999998E-2</v>
      </c>
      <c r="AJ88" s="128">
        <f t="shared" si="169"/>
        <v>113524.12499999999</v>
      </c>
      <c r="AK88" s="128" t="str">
        <f t="shared" si="170"/>
        <v>nie</v>
      </c>
      <c r="AL88" s="128">
        <f t="shared" si="171"/>
        <v>565.5</v>
      </c>
      <c r="AM88" s="128">
        <f t="shared" si="150"/>
        <v>112985.48624999999</v>
      </c>
      <c r="AN88" s="128">
        <f t="shared" si="172"/>
        <v>343.54124999998822</v>
      </c>
      <c r="AO88" s="130">
        <f t="shared" si="173"/>
        <v>4.4999999999999998E-2</v>
      </c>
      <c r="AP88" s="128">
        <f t="shared" si="174"/>
        <v>3137.176410401933</v>
      </c>
      <c r="AQ88" s="128">
        <f t="shared" si="156"/>
        <v>115779.12141040193</v>
      </c>
      <c r="AS88" s="124">
        <f t="shared" si="119"/>
        <v>45</v>
      </c>
      <c r="AT88" s="130">
        <f t="shared" si="120"/>
        <v>4.4999999999999998E-2</v>
      </c>
      <c r="AU88" s="127">
        <f t="shared" si="230"/>
        <v>1083</v>
      </c>
      <c r="AV88" s="128">
        <f t="shared" si="231"/>
        <v>108199.6</v>
      </c>
      <c r="AW88" s="128">
        <f t="shared" si="151"/>
        <v>108300</v>
      </c>
      <c r="AX88" s="128">
        <f t="shared" si="123"/>
        <v>108300</v>
      </c>
      <c r="AY88" s="130">
        <f t="shared" si="175"/>
        <v>4.65E-2</v>
      </c>
      <c r="AZ88" s="128">
        <f t="shared" si="176"/>
        <v>108719.66250000001</v>
      </c>
      <c r="BA88" s="128" t="str">
        <f t="shared" si="177"/>
        <v>nie</v>
      </c>
      <c r="BB88" s="128">
        <f t="shared" si="178"/>
        <v>758.09999999999991</v>
      </c>
      <c r="BC88" s="128">
        <f t="shared" si="158"/>
        <v>108025.86562500001</v>
      </c>
      <c r="BD88" s="128">
        <f t="shared" si="179"/>
        <v>339.92662500000472</v>
      </c>
      <c r="BE88" s="130">
        <f t="shared" si="51"/>
        <v>4.4999999999999998E-2</v>
      </c>
      <c r="BF88" s="128">
        <f t="shared" si="180"/>
        <v>7362.1757674047567</v>
      </c>
      <c r="BG88" s="128">
        <f t="shared" si="159"/>
        <v>115048.11476740475</v>
      </c>
      <c r="BI88" s="124">
        <f t="shared" si="124"/>
        <v>45</v>
      </c>
      <c r="BJ88" s="130">
        <f t="shared" si="242"/>
        <v>4.3200000000000002E-2</v>
      </c>
      <c r="BK88" s="127">
        <f t="shared" si="232"/>
        <v>1126</v>
      </c>
      <c r="BL88" s="128">
        <f t="shared" si="233"/>
        <v>112487.40000000001</v>
      </c>
      <c r="BM88" s="128">
        <f t="shared" si="142"/>
        <v>112600</v>
      </c>
      <c r="BN88" s="128">
        <f t="shared" si="234"/>
        <v>112600</v>
      </c>
      <c r="BO88" s="130">
        <f t="shared" si="181"/>
        <v>4.9000000000000002E-2</v>
      </c>
      <c r="BP88" s="128">
        <f t="shared" si="182"/>
        <v>116738.05</v>
      </c>
      <c r="BQ88" s="128" t="str">
        <f t="shared" si="183"/>
        <v>nie</v>
      </c>
      <c r="BR88" s="128">
        <f t="shared" si="184"/>
        <v>1126</v>
      </c>
      <c r="BS88" s="128">
        <f t="shared" si="153"/>
        <v>115039.7605</v>
      </c>
      <c r="BT88" s="128">
        <f t="shared" si="128"/>
        <v>0</v>
      </c>
      <c r="BU88" s="130">
        <f t="shared" si="185"/>
        <v>4.4999999999999998E-2</v>
      </c>
      <c r="BV88" s="128">
        <f t="shared" si="60"/>
        <v>12.920477324238504</v>
      </c>
      <c r="BW88" s="128">
        <f t="shared" ref="BW88:BW120" si="243">BV87*(1+BU88/12*(1-podatek_Belki))+BS88</f>
        <v>115052.68097732424</v>
      </c>
      <c r="BY88" s="130">
        <f t="shared" ref="BY88:BY119" si="244">MAX(INDEX(scenariusz_I_inflacja,MATCH(ROUNDUP(AA88/12,0)-1,scenariusz_I_rok,0)),0)</f>
        <v>2.9000000000000001E-2</v>
      </c>
      <c r="BZ88" s="127">
        <f t="shared" si="235"/>
        <v>1000</v>
      </c>
      <c r="CA88" s="128">
        <f t="shared" si="236"/>
        <v>100000</v>
      </c>
      <c r="CB88" s="128">
        <f t="shared" si="154"/>
        <v>100000</v>
      </c>
      <c r="CC88" s="128">
        <f t="shared" si="131"/>
        <v>100000</v>
      </c>
      <c r="CD88" s="130">
        <f t="shared" si="186"/>
        <v>4.3999999999999997E-2</v>
      </c>
      <c r="CE88" s="128">
        <f t="shared" si="187"/>
        <v>103299.99999999999</v>
      </c>
      <c r="CF88" s="128" t="str">
        <f t="shared" si="188"/>
        <v>nie</v>
      </c>
      <c r="CG88" s="128">
        <f t="shared" si="189"/>
        <v>2000</v>
      </c>
      <c r="CH88" s="128">
        <f t="shared" si="160"/>
        <v>101052.99999999999</v>
      </c>
      <c r="CI88" s="128">
        <f t="shared" si="190"/>
        <v>0</v>
      </c>
      <c r="CJ88" s="130">
        <f t="shared" si="68"/>
        <v>4.4999999999999998E-2</v>
      </c>
      <c r="CK88" s="128">
        <f t="shared" si="191"/>
        <v>12161.143314118688</v>
      </c>
      <c r="CL88" s="128">
        <f t="shared" si="192"/>
        <v>113214.14331411867</v>
      </c>
      <c r="CN88" s="127">
        <f t="shared" si="237"/>
        <v>1000</v>
      </c>
      <c r="CO88" s="128">
        <f t="shared" si="238"/>
        <v>100000</v>
      </c>
      <c r="CP88" s="128">
        <f t="shared" si="134"/>
        <v>100000</v>
      </c>
      <c r="CQ88" s="128">
        <f t="shared" si="239"/>
        <v>116367.40575000001</v>
      </c>
      <c r="CR88" s="130">
        <f t="shared" si="193"/>
        <v>4.9000000000000002E-2</v>
      </c>
      <c r="CS88" s="128">
        <f t="shared" si="194"/>
        <v>120643.90791131252</v>
      </c>
      <c r="CT88" s="128" t="str">
        <f t="shared" si="195"/>
        <v>nie</v>
      </c>
      <c r="CU88" s="128">
        <f t="shared" si="196"/>
        <v>3000</v>
      </c>
      <c r="CV88" s="128">
        <f t="shared" si="197"/>
        <v>114291.56540816314</v>
      </c>
      <c r="CW88" s="128">
        <f t="shared" si="76"/>
        <v>0</v>
      </c>
      <c r="CX88" s="130">
        <f t="shared" si="198"/>
        <v>4.4999999999999998E-2</v>
      </c>
      <c r="CY88" s="128">
        <f t="shared" si="199"/>
        <v>0</v>
      </c>
      <c r="CZ88" s="128">
        <f t="shared" si="200"/>
        <v>114291.56540816314</v>
      </c>
      <c r="DA88" s="20"/>
      <c r="DB88" s="127">
        <f t="shared" si="144"/>
        <v>1000</v>
      </c>
      <c r="DC88" s="128">
        <f t="shared" si="145"/>
        <v>100000</v>
      </c>
      <c r="DD88" s="128">
        <f t="shared" si="136"/>
        <v>100000</v>
      </c>
      <c r="DE88" s="128">
        <f t="shared" si="240"/>
        <v>116037.28544999998</v>
      </c>
      <c r="DF88" s="130">
        <f t="shared" si="201"/>
        <v>4.9000000000000002E-2</v>
      </c>
      <c r="DG88" s="128">
        <f t="shared" si="202"/>
        <v>120301.65569028749</v>
      </c>
      <c r="DH88" s="128" t="str">
        <f t="shared" si="203"/>
        <v>nie</v>
      </c>
      <c r="DI88" s="128">
        <f t="shared" si="204"/>
        <v>2000</v>
      </c>
      <c r="DJ88" s="128">
        <f t="shared" si="205"/>
        <v>114824.34110913286</v>
      </c>
      <c r="DK88" s="128">
        <f t="shared" si="85"/>
        <v>0</v>
      </c>
      <c r="DL88" s="130">
        <f t="shared" si="206"/>
        <v>4.4999999999999998E-2</v>
      </c>
      <c r="DM88" s="128">
        <f t="shared" si="207"/>
        <v>0</v>
      </c>
      <c r="DN88" s="128">
        <f t="shared" si="208"/>
        <v>114824.34110913286</v>
      </c>
      <c r="DP88" s="127">
        <f t="shared" si="146"/>
        <v>1000</v>
      </c>
      <c r="DQ88" s="128">
        <f t="shared" si="147"/>
        <v>100000</v>
      </c>
      <c r="DR88" s="128">
        <f t="shared" si="138"/>
        <v>100000</v>
      </c>
      <c r="DS88" s="128">
        <f t="shared" si="241"/>
        <v>117757.09600000001</v>
      </c>
      <c r="DT88" s="130">
        <f t="shared" si="209"/>
        <v>5.4000000000000006E-2</v>
      </c>
      <c r="DU88" s="128">
        <f t="shared" si="210"/>
        <v>122526.258388</v>
      </c>
      <c r="DV88" s="128" t="str">
        <f t="shared" si="211"/>
        <v>nie</v>
      </c>
      <c r="DW88" s="128">
        <f t="shared" si="212"/>
        <v>3000</v>
      </c>
      <c r="DX88" s="128">
        <f t="shared" si="93"/>
        <v>115816.26929428001</v>
      </c>
      <c r="DY88" s="128">
        <f t="shared" si="94"/>
        <v>0</v>
      </c>
      <c r="DZ88" s="130">
        <f t="shared" si="213"/>
        <v>4.4999999999999998E-2</v>
      </c>
      <c r="EA88" s="128">
        <f t="shared" si="214"/>
        <v>0</v>
      </c>
      <c r="EB88" s="128">
        <f t="shared" si="215"/>
        <v>115816.26929428001</v>
      </c>
      <c r="EC88" s="19" t="s">
        <v>24</v>
      </c>
      <c r="ED88" s="68"/>
    </row>
    <row r="89" spans="1:134">
      <c r="A89" s="212"/>
      <c r="B89" s="188">
        <f t="shared" si="216"/>
        <v>45</v>
      </c>
      <c r="C89" s="128">
        <f t="shared" si="217"/>
        <v>115779.12141040193</v>
      </c>
      <c r="D89" s="128">
        <f t="shared" si="218"/>
        <v>115048.11476740475</v>
      </c>
      <c r="E89" s="128">
        <f t="shared" si="219"/>
        <v>115052.68097732424</v>
      </c>
      <c r="F89" s="128">
        <f t="shared" si="220"/>
        <v>113214.14331411867</v>
      </c>
      <c r="G89" s="128">
        <f t="shared" si="221"/>
        <v>114291.56540816314</v>
      </c>
      <c r="H89" s="128">
        <f t="shared" si="222"/>
        <v>114824.34110913286</v>
      </c>
      <c r="I89" s="128">
        <f t="shared" si="223"/>
        <v>115816.26929428001</v>
      </c>
      <c r="J89" s="128">
        <f t="shared" si="224"/>
        <v>114623.23257563257</v>
      </c>
      <c r="K89" s="128">
        <f t="shared" si="225"/>
        <v>111324.50447107498</v>
      </c>
      <c r="M89" s="36"/>
      <c r="N89" s="32">
        <f t="shared" si="226"/>
        <v>45</v>
      </c>
      <c r="O89" s="25">
        <f t="shared" si="109"/>
        <v>0.15779121410401942</v>
      </c>
      <c r="P89" s="25">
        <f t="shared" si="110"/>
        <v>0.15048114767404752</v>
      </c>
      <c r="Q89" s="25">
        <f t="shared" si="111"/>
        <v>0.1505268097732424</v>
      </c>
      <c r="R89" s="25">
        <f t="shared" si="161"/>
        <v>0.13214143314118676</v>
      </c>
      <c r="S89" s="25">
        <f t="shared" si="162"/>
        <v>0.14291565408163143</v>
      </c>
      <c r="T89" s="25">
        <f t="shared" si="163"/>
        <v>0.14824341109132866</v>
      </c>
      <c r="U89" s="25">
        <f t="shared" si="164"/>
        <v>0.15816269294280016</v>
      </c>
      <c r="V89" s="25">
        <f t="shared" si="165"/>
        <v>0.14623232575632583</v>
      </c>
      <c r="W89" s="25">
        <f t="shared" si="166"/>
        <v>0.11324504471074981</v>
      </c>
      <c r="X89" s="36"/>
      <c r="Y89" s="36"/>
      <c r="AA89" s="124">
        <f t="shared" si="113"/>
        <v>46</v>
      </c>
      <c r="AB89" s="128">
        <f t="shared" si="167"/>
        <v>111587.81175674999</v>
      </c>
      <c r="AC89" s="124">
        <f t="shared" si="114"/>
        <v>46</v>
      </c>
      <c r="AD89" s="130">
        <f t="shared" si="227"/>
        <v>4.4999999999999998E-2</v>
      </c>
      <c r="AE89" s="127">
        <f t="shared" si="228"/>
        <v>1131</v>
      </c>
      <c r="AF89" s="128">
        <f t="shared" si="229"/>
        <v>112991.1</v>
      </c>
      <c r="AG89" s="128">
        <f t="shared" si="140"/>
        <v>113100</v>
      </c>
      <c r="AH89" s="128">
        <f t="shared" si="118"/>
        <v>113100</v>
      </c>
      <c r="AI89" s="130">
        <f t="shared" si="168"/>
        <v>4.4999999999999998E-2</v>
      </c>
      <c r="AJ89" s="128">
        <f t="shared" si="169"/>
        <v>113524.12499999999</v>
      </c>
      <c r="AK89" s="128" t="str">
        <f t="shared" si="170"/>
        <v>nie</v>
      </c>
      <c r="AL89" s="128">
        <f t="shared" si="171"/>
        <v>565.5</v>
      </c>
      <c r="AM89" s="128">
        <f t="shared" si="150"/>
        <v>112985.48624999999</v>
      </c>
      <c r="AN89" s="128">
        <f t="shared" si="172"/>
        <v>343.54124999998822</v>
      </c>
      <c r="AO89" s="130">
        <f t="shared" si="173"/>
        <v>4.4999999999999998E-2</v>
      </c>
      <c r="AP89" s="128">
        <f t="shared" si="174"/>
        <v>3490.2468337485175</v>
      </c>
      <c r="AQ89" s="128">
        <f t="shared" si="156"/>
        <v>116132.19183374851</v>
      </c>
      <c r="AS89" s="124">
        <f t="shared" si="119"/>
        <v>46</v>
      </c>
      <c r="AT89" s="130">
        <f t="shared" si="120"/>
        <v>4.4999999999999998E-2</v>
      </c>
      <c r="AU89" s="127">
        <f t="shared" si="230"/>
        <v>1083</v>
      </c>
      <c r="AV89" s="128">
        <f t="shared" si="231"/>
        <v>108199.6</v>
      </c>
      <c r="AW89" s="128">
        <f t="shared" si="151"/>
        <v>108300</v>
      </c>
      <c r="AX89" s="128">
        <f t="shared" si="123"/>
        <v>108300</v>
      </c>
      <c r="AY89" s="130">
        <f t="shared" si="175"/>
        <v>4.65E-2</v>
      </c>
      <c r="AZ89" s="128">
        <f t="shared" si="176"/>
        <v>108719.66250000001</v>
      </c>
      <c r="BA89" s="128" t="str">
        <f t="shared" si="177"/>
        <v>nie</v>
      </c>
      <c r="BB89" s="128">
        <f t="shared" si="178"/>
        <v>758.09999999999991</v>
      </c>
      <c r="BC89" s="128">
        <f t="shared" si="158"/>
        <v>108025.86562500001</v>
      </c>
      <c r="BD89" s="128">
        <f t="shared" si="179"/>
        <v>339.92662500000472</v>
      </c>
      <c r="BE89" s="130">
        <f t="shared" si="51"/>
        <v>4.4999999999999998E-2</v>
      </c>
      <c r="BF89" s="128">
        <f t="shared" si="180"/>
        <v>7724.4650012982538</v>
      </c>
      <c r="BG89" s="128">
        <f t="shared" si="159"/>
        <v>115410.40400129826</v>
      </c>
      <c r="BI89" s="124">
        <f t="shared" si="124"/>
        <v>46</v>
      </c>
      <c r="BJ89" s="130">
        <f t="shared" si="242"/>
        <v>4.3200000000000002E-2</v>
      </c>
      <c r="BK89" s="127">
        <f t="shared" si="232"/>
        <v>1126</v>
      </c>
      <c r="BL89" s="128">
        <f t="shared" si="233"/>
        <v>112487.40000000001</v>
      </c>
      <c r="BM89" s="128">
        <f t="shared" si="142"/>
        <v>112600</v>
      </c>
      <c r="BN89" s="128">
        <f t="shared" si="234"/>
        <v>112600</v>
      </c>
      <c r="BO89" s="130">
        <f t="shared" si="181"/>
        <v>4.9000000000000002E-2</v>
      </c>
      <c r="BP89" s="128">
        <f t="shared" si="182"/>
        <v>117197.83333333333</v>
      </c>
      <c r="BQ89" s="128" t="str">
        <f t="shared" si="183"/>
        <v>nie</v>
      </c>
      <c r="BR89" s="128">
        <f t="shared" si="184"/>
        <v>1126</v>
      </c>
      <c r="BS89" s="128">
        <f t="shared" si="153"/>
        <v>115412.185</v>
      </c>
      <c r="BT89" s="128">
        <f t="shared" si="128"/>
        <v>0</v>
      </c>
      <c r="BU89" s="130">
        <f t="shared" si="185"/>
        <v>4.4999999999999998E-2</v>
      </c>
      <c r="BV89" s="128">
        <f t="shared" si="60"/>
        <v>12.95972327411088</v>
      </c>
      <c r="BW89" s="128">
        <f t="shared" si="243"/>
        <v>115425.1447232741</v>
      </c>
      <c r="BY89" s="130">
        <f t="shared" si="244"/>
        <v>2.9000000000000001E-2</v>
      </c>
      <c r="BZ89" s="127">
        <f t="shared" si="235"/>
        <v>1000</v>
      </c>
      <c r="CA89" s="128">
        <f t="shared" si="236"/>
        <v>100000</v>
      </c>
      <c r="CB89" s="128">
        <f t="shared" si="154"/>
        <v>100000</v>
      </c>
      <c r="CC89" s="128">
        <f t="shared" si="131"/>
        <v>100000</v>
      </c>
      <c r="CD89" s="130">
        <f t="shared" si="186"/>
        <v>4.3999999999999997E-2</v>
      </c>
      <c r="CE89" s="128">
        <f t="shared" si="187"/>
        <v>103666.66666666666</v>
      </c>
      <c r="CF89" s="128" t="str">
        <f t="shared" si="188"/>
        <v>nie</v>
      </c>
      <c r="CG89" s="128">
        <f t="shared" si="189"/>
        <v>2000</v>
      </c>
      <c r="CH89" s="128">
        <f t="shared" si="160"/>
        <v>101349.99999999999</v>
      </c>
      <c r="CI89" s="128">
        <f t="shared" si="190"/>
        <v>0</v>
      </c>
      <c r="CJ89" s="130">
        <f t="shared" si="68"/>
        <v>4.4999999999999998E-2</v>
      </c>
      <c r="CK89" s="128">
        <f t="shared" si="191"/>
        <v>12198.082786935323</v>
      </c>
      <c r="CL89" s="128">
        <f t="shared" si="192"/>
        <v>113548.08278693531</v>
      </c>
      <c r="CN89" s="127">
        <f t="shared" si="237"/>
        <v>1000</v>
      </c>
      <c r="CO89" s="128">
        <f t="shared" si="238"/>
        <v>100000</v>
      </c>
      <c r="CP89" s="128">
        <f t="shared" si="134"/>
        <v>100000</v>
      </c>
      <c r="CQ89" s="128">
        <f t="shared" si="239"/>
        <v>116367.40575000001</v>
      </c>
      <c r="CR89" s="130">
        <f t="shared" si="193"/>
        <v>4.9000000000000002E-2</v>
      </c>
      <c r="CS89" s="128">
        <f t="shared" si="194"/>
        <v>121119.07481812499</v>
      </c>
      <c r="CT89" s="128" t="str">
        <f t="shared" si="195"/>
        <v>nie</v>
      </c>
      <c r="CU89" s="128">
        <f t="shared" si="196"/>
        <v>3000</v>
      </c>
      <c r="CV89" s="128">
        <f t="shared" si="197"/>
        <v>114676.45060268125</v>
      </c>
      <c r="CW89" s="128">
        <f t="shared" si="76"/>
        <v>0</v>
      </c>
      <c r="CX89" s="130">
        <f t="shared" si="198"/>
        <v>4.4999999999999998E-2</v>
      </c>
      <c r="CY89" s="128">
        <f t="shared" si="199"/>
        <v>0</v>
      </c>
      <c r="CZ89" s="128">
        <f t="shared" si="200"/>
        <v>114676.45060268125</v>
      </c>
      <c r="DA89" s="20"/>
      <c r="DB89" s="127">
        <f t="shared" si="144"/>
        <v>1000</v>
      </c>
      <c r="DC89" s="128">
        <f t="shared" si="145"/>
        <v>100000</v>
      </c>
      <c r="DD89" s="128">
        <f t="shared" si="136"/>
        <v>100000</v>
      </c>
      <c r="DE89" s="128">
        <f t="shared" si="240"/>
        <v>116037.28544999998</v>
      </c>
      <c r="DF89" s="130">
        <f t="shared" si="201"/>
        <v>4.9000000000000002E-2</v>
      </c>
      <c r="DG89" s="128">
        <f t="shared" si="202"/>
        <v>120775.47460587497</v>
      </c>
      <c r="DH89" s="128" t="str">
        <f t="shared" si="203"/>
        <v>nie</v>
      </c>
      <c r="DI89" s="128">
        <f t="shared" si="204"/>
        <v>2000</v>
      </c>
      <c r="DJ89" s="128">
        <f t="shared" si="205"/>
        <v>115208.13443075873</v>
      </c>
      <c r="DK89" s="128">
        <f t="shared" si="85"/>
        <v>0</v>
      </c>
      <c r="DL89" s="130">
        <f t="shared" si="206"/>
        <v>4.4999999999999998E-2</v>
      </c>
      <c r="DM89" s="128">
        <f t="shared" si="207"/>
        <v>0</v>
      </c>
      <c r="DN89" s="128">
        <f t="shared" si="208"/>
        <v>115208.13443075873</v>
      </c>
      <c r="DP89" s="127">
        <f t="shared" si="146"/>
        <v>1000</v>
      </c>
      <c r="DQ89" s="128">
        <f t="shared" si="147"/>
        <v>100000</v>
      </c>
      <c r="DR89" s="128">
        <f t="shared" si="138"/>
        <v>100000</v>
      </c>
      <c r="DS89" s="128">
        <f t="shared" si="241"/>
        <v>117757.09600000001</v>
      </c>
      <c r="DT89" s="130">
        <f t="shared" si="209"/>
        <v>5.4000000000000006E-2</v>
      </c>
      <c r="DU89" s="128">
        <f t="shared" si="210"/>
        <v>123056.16532</v>
      </c>
      <c r="DV89" s="128" t="str">
        <f t="shared" si="211"/>
        <v>nie</v>
      </c>
      <c r="DW89" s="128">
        <f t="shared" si="212"/>
        <v>3000</v>
      </c>
      <c r="DX89" s="128">
        <f t="shared" si="93"/>
        <v>116245.4939092</v>
      </c>
      <c r="DY89" s="128">
        <f t="shared" si="94"/>
        <v>0</v>
      </c>
      <c r="DZ89" s="130">
        <f t="shared" si="213"/>
        <v>4.4999999999999998E-2</v>
      </c>
      <c r="EA89" s="128">
        <f t="shared" si="214"/>
        <v>0</v>
      </c>
      <c r="EB89" s="128">
        <f t="shared" si="215"/>
        <v>116245.4939092</v>
      </c>
    </row>
    <row r="90" spans="1:134">
      <c r="A90" s="212"/>
      <c r="B90" s="188">
        <f t="shared" si="216"/>
        <v>46</v>
      </c>
      <c r="C90" s="128">
        <f t="shared" si="217"/>
        <v>116132.19183374851</v>
      </c>
      <c r="D90" s="128">
        <f t="shared" si="218"/>
        <v>115410.40400129826</v>
      </c>
      <c r="E90" s="128">
        <f t="shared" si="219"/>
        <v>115425.1447232741</v>
      </c>
      <c r="F90" s="128">
        <f t="shared" si="220"/>
        <v>113548.08278693531</v>
      </c>
      <c r="G90" s="128">
        <f t="shared" si="221"/>
        <v>114676.45060268125</v>
      </c>
      <c r="H90" s="128">
        <f t="shared" si="222"/>
        <v>115208.13443075873</v>
      </c>
      <c r="I90" s="128">
        <f t="shared" si="223"/>
        <v>116245.4939092</v>
      </c>
      <c r="J90" s="128">
        <f t="shared" si="224"/>
        <v>114971.40064458107</v>
      </c>
      <c r="K90" s="128">
        <f t="shared" si="225"/>
        <v>111587.81175674999</v>
      </c>
      <c r="M90" s="36"/>
      <c r="N90" s="32">
        <f t="shared" si="226"/>
        <v>46</v>
      </c>
      <c r="O90" s="25">
        <f t="shared" si="109"/>
        <v>0.16132191833748522</v>
      </c>
      <c r="P90" s="25">
        <f t="shared" si="110"/>
        <v>0.1541040400129825</v>
      </c>
      <c r="Q90" s="25">
        <f t="shared" si="111"/>
        <v>0.15425144723274098</v>
      </c>
      <c r="R90" s="25">
        <f t="shared" si="161"/>
        <v>0.13548082786935312</v>
      </c>
      <c r="S90" s="25">
        <f t="shared" si="162"/>
        <v>0.14676450602681235</v>
      </c>
      <c r="T90" s="25">
        <f t="shared" si="163"/>
        <v>0.15208134430758724</v>
      </c>
      <c r="U90" s="25">
        <f t="shared" si="164"/>
        <v>0.16245493909200004</v>
      </c>
      <c r="V90" s="25">
        <f t="shared" si="165"/>
        <v>0.14971400644581068</v>
      </c>
      <c r="W90" s="25">
        <f t="shared" si="166"/>
        <v>0.11587811756749988</v>
      </c>
      <c r="X90" s="36"/>
      <c r="Y90" s="36"/>
      <c r="AA90" s="124">
        <f t="shared" si="113"/>
        <v>47</v>
      </c>
      <c r="AB90" s="128">
        <f t="shared" si="167"/>
        <v>111851.11904242499</v>
      </c>
      <c r="AC90" s="124">
        <f t="shared" si="114"/>
        <v>47</v>
      </c>
      <c r="AD90" s="130">
        <f t="shared" si="227"/>
        <v>4.4999999999999998E-2</v>
      </c>
      <c r="AE90" s="127">
        <f t="shared" si="228"/>
        <v>1131</v>
      </c>
      <c r="AF90" s="128">
        <f t="shared" si="229"/>
        <v>112991.1</v>
      </c>
      <c r="AG90" s="128">
        <f t="shared" si="140"/>
        <v>113100</v>
      </c>
      <c r="AH90" s="128">
        <f t="shared" si="118"/>
        <v>113100</v>
      </c>
      <c r="AI90" s="130">
        <f t="shared" si="168"/>
        <v>4.4999999999999998E-2</v>
      </c>
      <c r="AJ90" s="128">
        <f t="shared" si="169"/>
        <v>113524.12499999999</v>
      </c>
      <c r="AK90" s="128" t="str">
        <f t="shared" si="170"/>
        <v>nie</v>
      </c>
      <c r="AL90" s="128">
        <f t="shared" si="171"/>
        <v>565.5</v>
      </c>
      <c r="AM90" s="128">
        <f t="shared" si="150"/>
        <v>112985.48624999999</v>
      </c>
      <c r="AN90" s="128">
        <f t="shared" si="172"/>
        <v>343.54124999998822</v>
      </c>
      <c r="AO90" s="130">
        <f t="shared" si="173"/>
        <v>4.4999999999999998E-2</v>
      </c>
      <c r="AP90" s="128">
        <f t="shared" si="174"/>
        <v>3844.3897085060171</v>
      </c>
      <c r="AQ90" s="128">
        <f t="shared" si="156"/>
        <v>116486.33470850601</v>
      </c>
      <c r="AS90" s="124">
        <f t="shared" si="119"/>
        <v>47</v>
      </c>
      <c r="AT90" s="130">
        <f t="shared" si="120"/>
        <v>4.4999999999999998E-2</v>
      </c>
      <c r="AU90" s="127">
        <f t="shared" si="230"/>
        <v>1083</v>
      </c>
      <c r="AV90" s="128">
        <f t="shared" si="231"/>
        <v>108199.6</v>
      </c>
      <c r="AW90" s="128">
        <f t="shared" si="151"/>
        <v>108300</v>
      </c>
      <c r="AX90" s="128">
        <f t="shared" si="123"/>
        <v>108300</v>
      </c>
      <c r="AY90" s="130">
        <f t="shared" si="175"/>
        <v>4.65E-2</v>
      </c>
      <c r="AZ90" s="128">
        <f t="shared" si="176"/>
        <v>108719.66250000001</v>
      </c>
      <c r="BA90" s="128" t="str">
        <f t="shared" si="177"/>
        <v>nie</v>
      </c>
      <c r="BB90" s="128">
        <f t="shared" si="178"/>
        <v>758.09999999999991</v>
      </c>
      <c r="BC90" s="128">
        <f t="shared" si="158"/>
        <v>108025.86562500001</v>
      </c>
      <c r="BD90" s="128">
        <f t="shared" si="179"/>
        <v>339.92662500000472</v>
      </c>
      <c r="BE90" s="130">
        <f t="shared" si="51"/>
        <v>4.4999999999999998E-2</v>
      </c>
      <c r="BF90" s="128">
        <f t="shared" si="180"/>
        <v>8087.8546887397024</v>
      </c>
      <c r="BG90" s="128">
        <f t="shared" si="159"/>
        <v>115773.79368873971</v>
      </c>
      <c r="BI90" s="124">
        <f t="shared" si="124"/>
        <v>47</v>
      </c>
      <c r="BJ90" s="130">
        <f t="shared" si="242"/>
        <v>4.3200000000000002E-2</v>
      </c>
      <c r="BK90" s="127">
        <f t="shared" si="232"/>
        <v>1126</v>
      </c>
      <c r="BL90" s="128">
        <f t="shared" si="233"/>
        <v>112487.40000000001</v>
      </c>
      <c r="BM90" s="128">
        <f t="shared" si="142"/>
        <v>112600</v>
      </c>
      <c r="BN90" s="128">
        <f t="shared" si="234"/>
        <v>112600</v>
      </c>
      <c r="BO90" s="130">
        <f t="shared" si="181"/>
        <v>4.9000000000000002E-2</v>
      </c>
      <c r="BP90" s="128">
        <f t="shared" si="182"/>
        <v>117657.61666666667</v>
      </c>
      <c r="BQ90" s="128" t="str">
        <f t="shared" si="183"/>
        <v>nie</v>
      </c>
      <c r="BR90" s="128">
        <f t="shared" si="184"/>
        <v>1126</v>
      </c>
      <c r="BS90" s="128">
        <f t="shared" si="153"/>
        <v>115784.60950000001</v>
      </c>
      <c r="BT90" s="128">
        <f t="shared" si="128"/>
        <v>0</v>
      </c>
      <c r="BU90" s="130">
        <f t="shared" si="185"/>
        <v>4.4999999999999998E-2</v>
      </c>
      <c r="BV90" s="128">
        <f t="shared" si="60"/>
        <v>12.999088433555992</v>
      </c>
      <c r="BW90" s="128">
        <f t="shared" si="243"/>
        <v>115797.60858843356</v>
      </c>
      <c r="BY90" s="130">
        <f t="shared" si="244"/>
        <v>2.9000000000000001E-2</v>
      </c>
      <c r="BZ90" s="127">
        <f t="shared" si="235"/>
        <v>1000</v>
      </c>
      <c r="CA90" s="128">
        <f t="shared" si="236"/>
        <v>100000</v>
      </c>
      <c r="CB90" s="128">
        <f t="shared" si="154"/>
        <v>100000</v>
      </c>
      <c r="CC90" s="128">
        <f t="shared" si="131"/>
        <v>100000</v>
      </c>
      <c r="CD90" s="130">
        <f t="shared" si="186"/>
        <v>4.3999999999999997E-2</v>
      </c>
      <c r="CE90" s="128">
        <f t="shared" si="187"/>
        <v>104033.33333333333</v>
      </c>
      <c r="CF90" s="128" t="str">
        <f t="shared" si="188"/>
        <v>nie</v>
      </c>
      <c r="CG90" s="128">
        <f t="shared" si="189"/>
        <v>2000</v>
      </c>
      <c r="CH90" s="128">
        <f t="shared" si="160"/>
        <v>101647</v>
      </c>
      <c r="CI90" s="128">
        <f t="shared" si="190"/>
        <v>0</v>
      </c>
      <c r="CJ90" s="130">
        <f t="shared" si="68"/>
        <v>4.4999999999999998E-2</v>
      </c>
      <c r="CK90" s="128">
        <f t="shared" si="191"/>
        <v>12235.13446340064</v>
      </c>
      <c r="CL90" s="128">
        <f t="shared" si="192"/>
        <v>113882.13446340064</v>
      </c>
      <c r="CN90" s="127">
        <f t="shared" si="237"/>
        <v>1000</v>
      </c>
      <c r="CO90" s="128">
        <f t="shared" si="238"/>
        <v>100000</v>
      </c>
      <c r="CP90" s="128">
        <f t="shared" si="134"/>
        <v>100000</v>
      </c>
      <c r="CQ90" s="128">
        <f t="shared" si="239"/>
        <v>116367.40575000001</v>
      </c>
      <c r="CR90" s="130">
        <f t="shared" si="193"/>
        <v>4.9000000000000002E-2</v>
      </c>
      <c r="CS90" s="128">
        <f t="shared" si="194"/>
        <v>121594.24172493751</v>
      </c>
      <c r="CT90" s="128" t="str">
        <f t="shared" si="195"/>
        <v>nie</v>
      </c>
      <c r="CU90" s="128">
        <f t="shared" si="196"/>
        <v>3000</v>
      </c>
      <c r="CV90" s="128">
        <f t="shared" si="197"/>
        <v>115061.33579719938</v>
      </c>
      <c r="CW90" s="128">
        <f t="shared" si="76"/>
        <v>0</v>
      </c>
      <c r="CX90" s="130">
        <f t="shared" si="198"/>
        <v>4.4999999999999998E-2</v>
      </c>
      <c r="CY90" s="128">
        <f t="shared" si="199"/>
        <v>0</v>
      </c>
      <c r="CZ90" s="128">
        <f t="shared" si="200"/>
        <v>115061.33579719938</v>
      </c>
      <c r="DA90" s="20"/>
      <c r="DB90" s="127">
        <f t="shared" si="144"/>
        <v>1000</v>
      </c>
      <c r="DC90" s="128">
        <f t="shared" si="145"/>
        <v>100000</v>
      </c>
      <c r="DD90" s="128">
        <f t="shared" si="136"/>
        <v>100000</v>
      </c>
      <c r="DE90" s="128">
        <f t="shared" si="240"/>
        <v>116037.28544999998</v>
      </c>
      <c r="DF90" s="130">
        <f t="shared" si="201"/>
        <v>4.9000000000000002E-2</v>
      </c>
      <c r="DG90" s="128">
        <f t="shared" si="202"/>
        <v>121249.29352146249</v>
      </c>
      <c r="DH90" s="128" t="str">
        <f t="shared" si="203"/>
        <v>nie</v>
      </c>
      <c r="DI90" s="128">
        <f t="shared" si="204"/>
        <v>2000</v>
      </c>
      <c r="DJ90" s="128">
        <f t="shared" si="205"/>
        <v>115591.92775238461</v>
      </c>
      <c r="DK90" s="128">
        <f t="shared" si="85"/>
        <v>0</v>
      </c>
      <c r="DL90" s="130">
        <f t="shared" si="206"/>
        <v>4.4999999999999998E-2</v>
      </c>
      <c r="DM90" s="128">
        <f t="shared" si="207"/>
        <v>0</v>
      </c>
      <c r="DN90" s="128">
        <f t="shared" si="208"/>
        <v>115591.92775238461</v>
      </c>
      <c r="DP90" s="127">
        <f t="shared" si="146"/>
        <v>1000</v>
      </c>
      <c r="DQ90" s="128">
        <f t="shared" si="147"/>
        <v>100000</v>
      </c>
      <c r="DR90" s="128">
        <f t="shared" si="138"/>
        <v>100000</v>
      </c>
      <c r="DS90" s="128">
        <f t="shared" si="241"/>
        <v>117757.09600000001</v>
      </c>
      <c r="DT90" s="130">
        <f t="shared" si="209"/>
        <v>5.4000000000000006E-2</v>
      </c>
      <c r="DU90" s="128">
        <f t="shared" si="210"/>
        <v>123586.07225200001</v>
      </c>
      <c r="DV90" s="128" t="str">
        <f t="shared" si="211"/>
        <v>nie</v>
      </c>
      <c r="DW90" s="128">
        <f t="shared" si="212"/>
        <v>3000</v>
      </c>
      <c r="DX90" s="128">
        <f t="shared" si="93"/>
        <v>116674.71852412001</v>
      </c>
      <c r="DY90" s="128">
        <f t="shared" si="94"/>
        <v>0</v>
      </c>
      <c r="DZ90" s="130">
        <f t="shared" si="213"/>
        <v>4.4999999999999998E-2</v>
      </c>
      <c r="EA90" s="128">
        <f t="shared" si="214"/>
        <v>0</v>
      </c>
      <c r="EB90" s="128">
        <f t="shared" si="215"/>
        <v>116674.71852412001</v>
      </c>
    </row>
    <row r="91" spans="1:134" ht="14.25" customHeight="1">
      <c r="A91" s="212"/>
      <c r="B91" s="188">
        <f t="shared" si="216"/>
        <v>47</v>
      </c>
      <c r="C91" s="128">
        <f t="shared" si="217"/>
        <v>116486.33470850601</v>
      </c>
      <c r="D91" s="128">
        <f t="shared" si="218"/>
        <v>115773.79368873971</v>
      </c>
      <c r="E91" s="128">
        <f t="shared" si="219"/>
        <v>115797.60858843356</v>
      </c>
      <c r="F91" s="128">
        <f t="shared" si="220"/>
        <v>113882.13446340064</v>
      </c>
      <c r="G91" s="128">
        <f t="shared" si="221"/>
        <v>115061.33579719938</v>
      </c>
      <c r="H91" s="128">
        <f t="shared" si="222"/>
        <v>115591.92775238461</v>
      </c>
      <c r="I91" s="128">
        <f t="shared" si="223"/>
        <v>116674.71852412001</v>
      </c>
      <c r="J91" s="128">
        <f t="shared" si="224"/>
        <v>115320.62627403898</v>
      </c>
      <c r="K91" s="128">
        <f t="shared" si="225"/>
        <v>111851.11904242499</v>
      </c>
      <c r="M91" s="36"/>
      <c r="N91" s="32">
        <f t="shared" si="226"/>
        <v>47</v>
      </c>
      <c r="O91" s="25">
        <f t="shared" si="109"/>
        <v>0.16486334708506001</v>
      </c>
      <c r="P91" s="25">
        <f t="shared" si="110"/>
        <v>0.15773793688739701</v>
      </c>
      <c r="Q91" s="25">
        <f t="shared" si="111"/>
        <v>0.15797608588433554</v>
      </c>
      <c r="R91" s="25">
        <f t="shared" si="161"/>
        <v>0.13882134463400631</v>
      </c>
      <c r="S91" s="25">
        <f t="shared" si="162"/>
        <v>0.15061335797199393</v>
      </c>
      <c r="T91" s="25">
        <f t="shared" si="163"/>
        <v>0.15591927752384604</v>
      </c>
      <c r="U91" s="25">
        <f t="shared" si="164"/>
        <v>0.16674718524120014</v>
      </c>
      <c r="V91" s="25">
        <f t="shared" si="165"/>
        <v>0.15320626274038984</v>
      </c>
      <c r="W91" s="25">
        <f t="shared" si="166"/>
        <v>0.11851119042424996</v>
      </c>
      <c r="X91" s="36"/>
      <c r="Y91" s="36"/>
      <c r="AA91" s="124">
        <f t="shared" si="113"/>
        <v>48</v>
      </c>
      <c r="AB91" s="128">
        <f t="shared" si="167"/>
        <v>112114.42632809999</v>
      </c>
      <c r="AC91" s="124">
        <f t="shared" si="114"/>
        <v>48</v>
      </c>
      <c r="AD91" s="130">
        <f t="shared" si="227"/>
        <v>4.4999999999999998E-2</v>
      </c>
      <c r="AE91" s="127">
        <f t="shared" si="228"/>
        <v>1131</v>
      </c>
      <c r="AF91" s="128">
        <f t="shared" si="229"/>
        <v>112991.1</v>
      </c>
      <c r="AG91" s="128">
        <f t="shared" si="140"/>
        <v>113100</v>
      </c>
      <c r="AH91" s="128">
        <f t="shared" si="118"/>
        <v>113100</v>
      </c>
      <c r="AI91" s="130">
        <f t="shared" si="168"/>
        <v>4.4999999999999998E-2</v>
      </c>
      <c r="AJ91" s="128">
        <f t="shared" si="169"/>
        <v>113524.12499999999</v>
      </c>
      <c r="AK91" s="128" t="str">
        <f t="shared" si="170"/>
        <v>tak</v>
      </c>
      <c r="AL91" s="128">
        <f t="shared" si="171"/>
        <v>0</v>
      </c>
      <c r="AM91" s="128">
        <f t="shared" si="150"/>
        <v>113443.54124999999</v>
      </c>
      <c r="AN91" s="128">
        <f t="shared" si="172"/>
        <v>457.14124999998177</v>
      </c>
      <c r="AO91" s="130">
        <f t="shared" si="173"/>
        <v>4.4999999999999998E-2</v>
      </c>
      <c r="AP91" s="128">
        <f t="shared" si="174"/>
        <v>4313.2082922455857</v>
      </c>
      <c r="AQ91" s="128">
        <f t="shared" si="156"/>
        <v>117299.6082922456</v>
      </c>
      <c r="AS91" s="124">
        <f t="shared" si="119"/>
        <v>48</v>
      </c>
      <c r="AT91" s="130">
        <f t="shared" si="120"/>
        <v>4.4999999999999998E-2</v>
      </c>
      <c r="AU91" s="127">
        <f t="shared" si="230"/>
        <v>1083</v>
      </c>
      <c r="AV91" s="128">
        <f t="shared" si="231"/>
        <v>108199.6</v>
      </c>
      <c r="AW91" s="128">
        <f t="shared" si="151"/>
        <v>108300</v>
      </c>
      <c r="AX91" s="128">
        <f t="shared" si="123"/>
        <v>108300</v>
      </c>
      <c r="AY91" s="130">
        <f t="shared" si="175"/>
        <v>4.65E-2</v>
      </c>
      <c r="AZ91" s="128">
        <f t="shared" si="176"/>
        <v>108719.66250000001</v>
      </c>
      <c r="BA91" s="128" t="str">
        <f t="shared" si="177"/>
        <v>tak</v>
      </c>
      <c r="BB91" s="128">
        <f t="shared" si="178"/>
        <v>0</v>
      </c>
      <c r="BC91" s="128">
        <f t="shared" si="158"/>
        <v>108639.92662500001</v>
      </c>
      <c r="BD91" s="128">
        <f t="shared" si="179"/>
        <v>448.72662499999853</v>
      </c>
      <c r="BE91" s="130">
        <f t="shared" si="51"/>
        <v>4.4999999999999998E-2</v>
      </c>
      <c r="BF91" s="128">
        <f t="shared" si="180"/>
        <v>8561.1481723567485</v>
      </c>
      <c r="BG91" s="128">
        <f t="shared" si="159"/>
        <v>116752.34817235675</v>
      </c>
      <c r="BI91" s="124">
        <f t="shared" si="124"/>
        <v>48</v>
      </c>
      <c r="BJ91" s="130">
        <f t="shared" si="242"/>
        <v>4.3200000000000002E-2</v>
      </c>
      <c r="BK91" s="127">
        <f t="shared" si="232"/>
        <v>1126</v>
      </c>
      <c r="BL91" s="128">
        <f t="shared" si="233"/>
        <v>112487.40000000001</v>
      </c>
      <c r="BM91" s="128">
        <f t="shared" si="142"/>
        <v>112600</v>
      </c>
      <c r="BN91" s="128">
        <f t="shared" si="234"/>
        <v>112600</v>
      </c>
      <c r="BO91" s="130">
        <f t="shared" si="181"/>
        <v>4.9000000000000002E-2</v>
      </c>
      <c r="BP91" s="128">
        <f t="shared" si="182"/>
        <v>118117.4</v>
      </c>
      <c r="BQ91" s="128" t="str">
        <f t="shared" si="183"/>
        <v>nie</v>
      </c>
      <c r="BR91" s="128">
        <f t="shared" si="184"/>
        <v>1126</v>
      </c>
      <c r="BS91" s="128">
        <f t="shared" si="153"/>
        <v>116157.034</v>
      </c>
      <c r="BT91" s="128">
        <f t="shared" si="128"/>
        <v>0</v>
      </c>
      <c r="BU91" s="130">
        <f t="shared" si="185"/>
        <v>4.4999999999999998E-2</v>
      </c>
      <c r="BV91" s="128">
        <f t="shared" si="60"/>
        <v>13.038573164672918</v>
      </c>
      <c r="BW91" s="128">
        <f t="shared" si="243"/>
        <v>116170.07257316467</v>
      </c>
      <c r="BY91" s="130">
        <f t="shared" si="244"/>
        <v>2.9000000000000001E-2</v>
      </c>
      <c r="BZ91" s="127">
        <f t="shared" si="235"/>
        <v>1000</v>
      </c>
      <c r="CA91" s="128">
        <f t="shared" si="236"/>
        <v>100000</v>
      </c>
      <c r="CB91" s="128">
        <f t="shared" si="154"/>
        <v>100000</v>
      </c>
      <c r="CC91" s="128">
        <f t="shared" si="131"/>
        <v>100000</v>
      </c>
      <c r="CD91" s="130">
        <f t="shared" si="186"/>
        <v>4.3999999999999997E-2</v>
      </c>
      <c r="CE91" s="128">
        <f t="shared" si="187"/>
        <v>104400</v>
      </c>
      <c r="CF91" s="128" t="str">
        <f t="shared" si="188"/>
        <v>tak</v>
      </c>
      <c r="CG91" s="128">
        <f t="shared" si="189"/>
        <v>0</v>
      </c>
      <c r="CH91" s="128">
        <f t="shared" si="160"/>
        <v>103564</v>
      </c>
      <c r="CI91" s="128">
        <f t="shared" si="190"/>
        <v>67.599999999991269</v>
      </c>
      <c r="CJ91" s="130">
        <f t="shared" si="68"/>
        <v>4.4999999999999998E-2</v>
      </c>
      <c r="CK91" s="128">
        <f t="shared" si="191"/>
        <v>12339.898684333211</v>
      </c>
      <c r="CL91" s="128">
        <f t="shared" si="192"/>
        <v>115836.29868433322</v>
      </c>
      <c r="CN91" s="127">
        <f t="shared" si="237"/>
        <v>1000</v>
      </c>
      <c r="CO91" s="128">
        <f t="shared" si="238"/>
        <v>100000</v>
      </c>
      <c r="CP91" s="128">
        <f t="shared" si="134"/>
        <v>100000</v>
      </c>
      <c r="CQ91" s="128">
        <f t="shared" si="239"/>
        <v>116367.40575000001</v>
      </c>
      <c r="CR91" s="130">
        <f t="shared" si="193"/>
        <v>4.9000000000000002E-2</v>
      </c>
      <c r="CS91" s="128">
        <f t="shared" si="194"/>
        <v>122069.40863175</v>
      </c>
      <c r="CT91" s="128" t="str">
        <f t="shared" si="195"/>
        <v>nie</v>
      </c>
      <c r="CU91" s="128">
        <f t="shared" si="196"/>
        <v>3000</v>
      </c>
      <c r="CV91" s="128">
        <f t="shared" si="197"/>
        <v>115446.22099171751</v>
      </c>
      <c r="CW91" s="128">
        <f t="shared" si="76"/>
        <v>0</v>
      </c>
      <c r="CX91" s="130">
        <f t="shared" si="198"/>
        <v>4.4999999999999998E-2</v>
      </c>
      <c r="CY91" s="128">
        <f t="shared" si="199"/>
        <v>0</v>
      </c>
      <c r="CZ91" s="128">
        <f t="shared" si="200"/>
        <v>115446.22099171751</v>
      </c>
      <c r="DA91" s="20"/>
      <c r="DB91" s="127">
        <f t="shared" si="144"/>
        <v>1000</v>
      </c>
      <c r="DC91" s="128">
        <f t="shared" si="145"/>
        <v>100000</v>
      </c>
      <c r="DD91" s="128">
        <f t="shared" si="136"/>
        <v>100000</v>
      </c>
      <c r="DE91" s="128">
        <f t="shared" si="240"/>
        <v>116037.28544999998</v>
      </c>
      <c r="DF91" s="130">
        <f t="shared" si="201"/>
        <v>4.9000000000000002E-2</v>
      </c>
      <c r="DG91" s="128">
        <f t="shared" si="202"/>
        <v>121723.11243704997</v>
      </c>
      <c r="DH91" s="128" t="str">
        <f t="shared" si="203"/>
        <v>nie</v>
      </c>
      <c r="DI91" s="128">
        <f t="shared" si="204"/>
        <v>2000</v>
      </c>
      <c r="DJ91" s="128">
        <f t="shared" si="205"/>
        <v>115975.72107401048</v>
      </c>
      <c r="DK91" s="128">
        <f t="shared" si="85"/>
        <v>0</v>
      </c>
      <c r="DL91" s="130">
        <f t="shared" si="206"/>
        <v>4.4999999999999998E-2</v>
      </c>
      <c r="DM91" s="128">
        <f t="shared" si="207"/>
        <v>0</v>
      </c>
      <c r="DN91" s="128">
        <f t="shared" si="208"/>
        <v>115975.72107401048</v>
      </c>
      <c r="DP91" s="127">
        <f t="shared" si="146"/>
        <v>1000</v>
      </c>
      <c r="DQ91" s="128">
        <f t="shared" si="147"/>
        <v>100000</v>
      </c>
      <c r="DR91" s="128">
        <f t="shared" si="138"/>
        <v>100000</v>
      </c>
      <c r="DS91" s="128">
        <f t="shared" si="241"/>
        <v>117757.09600000001</v>
      </c>
      <c r="DT91" s="130">
        <f t="shared" si="209"/>
        <v>5.4000000000000006E-2</v>
      </c>
      <c r="DU91" s="128">
        <f t="shared" si="210"/>
        <v>124115.97918400001</v>
      </c>
      <c r="DV91" s="128" t="str">
        <f t="shared" si="211"/>
        <v>nie</v>
      </c>
      <c r="DW91" s="128">
        <f t="shared" si="212"/>
        <v>3000</v>
      </c>
      <c r="DX91" s="128">
        <f t="shared" si="93"/>
        <v>117103.94313904001</v>
      </c>
      <c r="DY91" s="128">
        <f t="shared" si="94"/>
        <v>0</v>
      </c>
      <c r="DZ91" s="130">
        <f t="shared" si="213"/>
        <v>4.4999999999999998E-2</v>
      </c>
      <c r="EA91" s="128">
        <f t="shared" si="214"/>
        <v>0</v>
      </c>
      <c r="EB91" s="128">
        <f t="shared" si="215"/>
        <v>117103.94313904001</v>
      </c>
    </row>
    <row r="92" spans="1:134">
      <c r="A92" s="212"/>
      <c r="B92" s="188">
        <f t="shared" si="216"/>
        <v>48</v>
      </c>
      <c r="C92" s="128">
        <f t="shared" si="217"/>
        <v>117299.6082922456</v>
      </c>
      <c r="D92" s="128">
        <f t="shared" si="218"/>
        <v>116752.34817235675</v>
      </c>
      <c r="E92" s="128">
        <f t="shared" si="219"/>
        <v>116170.07257316467</v>
      </c>
      <c r="F92" s="128">
        <f t="shared" si="220"/>
        <v>115836.29868433322</v>
      </c>
      <c r="G92" s="128">
        <f t="shared" si="221"/>
        <v>115446.22099171751</v>
      </c>
      <c r="H92" s="128">
        <f t="shared" si="222"/>
        <v>115975.72107401048</v>
      </c>
      <c r="I92" s="128">
        <f t="shared" si="223"/>
        <v>117103.94313904001</v>
      </c>
      <c r="J92" s="128">
        <f t="shared" si="224"/>
        <v>115670.91267634637</v>
      </c>
      <c r="K92" s="128">
        <f t="shared" si="225"/>
        <v>112114.42632809999</v>
      </c>
      <c r="M92" s="36"/>
      <c r="N92" s="32">
        <f t="shared" si="226"/>
        <v>48</v>
      </c>
      <c r="O92" s="25">
        <f t="shared" si="109"/>
        <v>0.17299608292245594</v>
      </c>
      <c r="P92" s="25">
        <f t="shared" si="110"/>
        <v>0.16752348172356757</v>
      </c>
      <c r="Q92" s="25">
        <f t="shared" si="111"/>
        <v>0.16170072573164673</v>
      </c>
      <c r="R92" s="25">
        <f t="shared" si="161"/>
        <v>0.15836298684333228</v>
      </c>
      <c r="S92" s="25">
        <f t="shared" si="162"/>
        <v>0.15446220991717508</v>
      </c>
      <c r="T92" s="25">
        <f t="shared" si="163"/>
        <v>0.15975721074010485</v>
      </c>
      <c r="U92" s="25">
        <f t="shared" si="164"/>
        <v>0.17103943139040023</v>
      </c>
      <c r="V92" s="25">
        <f t="shared" si="165"/>
        <v>0.15670912676346371</v>
      </c>
      <c r="W92" s="25">
        <f t="shared" si="166"/>
        <v>0.12114426328099981</v>
      </c>
      <c r="X92" s="36"/>
      <c r="Y92" s="36"/>
      <c r="AA92" s="124">
        <f t="shared" si="113"/>
        <v>49</v>
      </c>
      <c r="AB92" s="128">
        <f t="shared" si="167"/>
        <v>112385.36952505956</v>
      </c>
      <c r="AC92" s="124">
        <f t="shared" si="114"/>
        <v>49</v>
      </c>
      <c r="AD92" s="130">
        <f t="shared" si="227"/>
        <v>4.4999999999999998E-2</v>
      </c>
      <c r="AE92" s="127">
        <f t="shared" si="228"/>
        <v>1178</v>
      </c>
      <c r="AF92" s="128">
        <f t="shared" si="229"/>
        <v>117686.5</v>
      </c>
      <c r="AG92" s="128">
        <f t="shared" si="140"/>
        <v>117800</v>
      </c>
      <c r="AH92" s="128">
        <f t="shared" si="118"/>
        <v>117800</v>
      </c>
      <c r="AI92" s="130">
        <f t="shared" si="168"/>
        <v>4.4999999999999998E-2</v>
      </c>
      <c r="AJ92" s="128">
        <f t="shared" si="169"/>
        <v>118241.74999999999</v>
      </c>
      <c r="AK92" s="128" t="str">
        <f t="shared" si="170"/>
        <v>nie</v>
      </c>
      <c r="AL92" s="128">
        <f t="shared" si="171"/>
        <v>441.74999999998545</v>
      </c>
      <c r="AM92" s="128">
        <f t="shared" si="150"/>
        <v>117800</v>
      </c>
      <c r="AN92" s="128">
        <f t="shared" si="172"/>
        <v>357.81749999998823</v>
      </c>
      <c r="AO92" s="130">
        <f t="shared" si="173"/>
        <v>4.4999999999999998E-2</v>
      </c>
      <c r="AP92" s="128">
        <f t="shared" si="174"/>
        <v>371.06591243326983</v>
      </c>
      <c r="AQ92" s="128">
        <f t="shared" si="156"/>
        <v>122126.30966243328</v>
      </c>
      <c r="AS92" s="124">
        <f t="shared" si="119"/>
        <v>49</v>
      </c>
      <c r="AT92" s="130">
        <f t="shared" si="120"/>
        <v>4.4999999999999998E-2</v>
      </c>
      <c r="AU92" s="127">
        <f t="shared" si="230"/>
        <v>1172</v>
      </c>
      <c r="AV92" s="128">
        <f t="shared" si="231"/>
        <v>117091.3</v>
      </c>
      <c r="AW92" s="128">
        <f t="shared" si="151"/>
        <v>117200</v>
      </c>
      <c r="AX92" s="128">
        <f t="shared" si="123"/>
        <v>117200</v>
      </c>
      <c r="AY92" s="130">
        <f t="shared" si="175"/>
        <v>4.65E-2</v>
      </c>
      <c r="AZ92" s="128">
        <f t="shared" si="176"/>
        <v>117654.15000000001</v>
      </c>
      <c r="BA92" s="128" t="str">
        <f t="shared" si="177"/>
        <v>nie</v>
      </c>
      <c r="BB92" s="128">
        <f t="shared" si="178"/>
        <v>454.15000000000873</v>
      </c>
      <c r="BC92" s="128">
        <f t="shared" si="158"/>
        <v>117200</v>
      </c>
      <c r="BD92" s="128">
        <f t="shared" si="179"/>
        <v>367.86150000000708</v>
      </c>
      <c r="BE92" s="130">
        <f t="shared" si="51"/>
        <v>4.4999999999999998E-2</v>
      </c>
      <c r="BF92" s="128">
        <f t="shared" si="180"/>
        <v>429.19540993028926</v>
      </c>
      <c r="BG92" s="128">
        <f t="shared" si="159"/>
        <v>125787.15265993029</v>
      </c>
      <c r="BI92" s="124">
        <f t="shared" si="124"/>
        <v>49</v>
      </c>
      <c r="BJ92" s="130">
        <f t="shared" si="242"/>
        <v>4.3200000000000002E-2</v>
      </c>
      <c r="BK92" s="127">
        <f t="shared" si="232"/>
        <v>1126</v>
      </c>
      <c r="BL92" s="128">
        <f t="shared" si="233"/>
        <v>112487.40000000001</v>
      </c>
      <c r="BM92" s="128">
        <f t="shared" si="142"/>
        <v>112600</v>
      </c>
      <c r="BN92" s="128">
        <f t="shared" si="234"/>
        <v>118117.4</v>
      </c>
      <c r="BO92" s="130">
        <f t="shared" si="181"/>
        <v>4.9000000000000002E-2</v>
      </c>
      <c r="BP92" s="128">
        <f t="shared" si="182"/>
        <v>118599.71271666668</v>
      </c>
      <c r="BQ92" s="128" t="str">
        <f t="shared" si="183"/>
        <v>nie</v>
      </c>
      <c r="BR92" s="128">
        <f t="shared" si="184"/>
        <v>1126</v>
      </c>
      <c r="BS92" s="128">
        <f t="shared" si="153"/>
        <v>116547.70730050001</v>
      </c>
      <c r="BT92" s="128">
        <f>IF(AND(BQ92="tak",BL93&lt;&gt;""),
 BS92-BL93,
0)</f>
        <v>0</v>
      </c>
      <c r="BU92" s="130">
        <f t="shared" si="185"/>
        <v>4.4999999999999998E-2</v>
      </c>
      <c r="BV92" s="128">
        <f t="shared" si="60"/>
        <v>13.078177830660612</v>
      </c>
      <c r="BW92" s="128">
        <f t="shared" si="243"/>
        <v>116560.78547833067</v>
      </c>
      <c r="BY92" s="130">
        <f t="shared" si="244"/>
        <v>2.9000000000000001E-2</v>
      </c>
      <c r="BZ92" s="127">
        <f t="shared" si="235"/>
        <v>1159</v>
      </c>
      <c r="CA92" s="128">
        <f t="shared" si="236"/>
        <v>115796.40000000001</v>
      </c>
      <c r="CB92" s="128">
        <f t="shared" si="154"/>
        <v>115900</v>
      </c>
      <c r="CC92" s="128">
        <f t="shared" si="131"/>
        <v>115900</v>
      </c>
      <c r="CD92" s="130">
        <f t="shared" si="186"/>
        <v>5.2499999999999998E-2</v>
      </c>
      <c r="CE92" s="128">
        <f t="shared" si="187"/>
        <v>116407.0625</v>
      </c>
      <c r="CF92" s="128" t="str">
        <f t="shared" si="188"/>
        <v>nie</v>
      </c>
      <c r="CG92" s="128">
        <f t="shared" si="189"/>
        <v>507.0625</v>
      </c>
      <c r="CH92" s="128">
        <f t="shared" si="160"/>
        <v>115900</v>
      </c>
      <c r="CI92" s="128">
        <f t="shared" si="190"/>
        <v>0</v>
      </c>
      <c r="CJ92" s="130">
        <f t="shared" si="68"/>
        <v>4.4999999999999998E-2</v>
      </c>
      <c r="CK92" s="128">
        <f t="shared" si="191"/>
        <v>40.01987658687348</v>
      </c>
      <c r="CL92" s="128">
        <f t="shared" si="192"/>
        <v>115940.01987658687</v>
      </c>
      <c r="CN92" s="127">
        <f t="shared" si="237"/>
        <v>1000</v>
      </c>
      <c r="CO92" s="128">
        <f t="shared" si="238"/>
        <v>100000</v>
      </c>
      <c r="CP92" s="128">
        <f t="shared" si="134"/>
        <v>100000</v>
      </c>
      <c r="CQ92" s="128">
        <f t="shared" si="239"/>
        <v>122069.40863175</v>
      </c>
      <c r="CR92" s="130">
        <f t="shared" si="193"/>
        <v>4.9000000000000002E-2</v>
      </c>
      <c r="CS92" s="128">
        <f t="shared" si="194"/>
        <v>122567.85871699633</v>
      </c>
      <c r="CT92" s="128" t="str">
        <f t="shared" si="195"/>
        <v>nie</v>
      </c>
      <c r="CU92" s="128">
        <f t="shared" si="196"/>
        <v>3000</v>
      </c>
      <c r="CV92" s="128">
        <f t="shared" si="197"/>
        <v>115849.96556076703</v>
      </c>
      <c r="CW92" s="128">
        <f t="shared" si="76"/>
        <v>0</v>
      </c>
      <c r="CX92" s="130">
        <f t="shared" si="198"/>
        <v>4.4999999999999998E-2</v>
      </c>
      <c r="CY92" s="128">
        <f t="shared" si="199"/>
        <v>0</v>
      </c>
      <c r="CZ92" s="128">
        <f t="shared" si="200"/>
        <v>115849.96556076703</v>
      </c>
      <c r="DA92" s="20"/>
      <c r="DB92" s="127">
        <f t="shared" si="144"/>
        <v>1000</v>
      </c>
      <c r="DC92" s="128">
        <f t="shared" si="145"/>
        <v>100000</v>
      </c>
      <c r="DD92" s="128">
        <f t="shared" si="136"/>
        <v>100000</v>
      </c>
      <c r="DE92" s="128">
        <f t="shared" si="240"/>
        <v>121723.11243704997</v>
      </c>
      <c r="DF92" s="130">
        <f t="shared" si="201"/>
        <v>4.9000000000000002E-2</v>
      </c>
      <c r="DG92" s="128">
        <f t="shared" si="202"/>
        <v>122220.14847950128</v>
      </c>
      <c r="DH92" s="128" t="str">
        <f t="shared" si="203"/>
        <v>nie</v>
      </c>
      <c r="DI92" s="128">
        <f t="shared" si="204"/>
        <v>2000</v>
      </c>
      <c r="DJ92" s="128">
        <f t="shared" si="205"/>
        <v>116378.32026839604</v>
      </c>
      <c r="DK92" s="128">
        <f t="shared" si="85"/>
        <v>0</v>
      </c>
      <c r="DL92" s="130">
        <f t="shared" si="206"/>
        <v>4.4999999999999998E-2</v>
      </c>
      <c r="DM92" s="128">
        <f t="shared" si="207"/>
        <v>0</v>
      </c>
      <c r="DN92" s="128">
        <f t="shared" si="208"/>
        <v>116378.32026839604</v>
      </c>
      <c r="DP92" s="127">
        <f t="shared" si="146"/>
        <v>1000</v>
      </c>
      <c r="DQ92" s="128">
        <f t="shared" si="147"/>
        <v>100000</v>
      </c>
      <c r="DR92" s="128">
        <f t="shared" si="138"/>
        <v>100000</v>
      </c>
      <c r="DS92" s="128">
        <f t="shared" si="241"/>
        <v>124115.97918400001</v>
      </c>
      <c r="DT92" s="130">
        <f t="shared" si="209"/>
        <v>5.4000000000000006E-2</v>
      </c>
      <c r="DU92" s="128">
        <f t="shared" si="210"/>
        <v>124674.50109032801</v>
      </c>
      <c r="DV92" s="128" t="str">
        <f t="shared" si="211"/>
        <v>nie</v>
      </c>
      <c r="DW92" s="128">
        <f t="shared" si="212"/>
        <v>3000</v>
      </c>
      <c r="DX92" s="128">
        <f t="shared" si="93"/>
        <v>117556.34588316569</v>
      </c>
      <c r="DY92" s="128">
        <f t="shared" si="94"/>
        <v>0</v>
      </c>
      <c r="DZ92" s="130">
        <f t="shared" si="213"/>
        <v>4.4999999999999998E-2</v>
      </c>
      <c r="EA92" s="128">
        <f t="shared" si="214"/>
        <v>0</v>
      </c>
      <c r="EB92" s="128">
        <f t="shared" si="215"/>
        <v>117556.34588316569</v>
      </c>
    </row>
    <row r="93" spans="1:134">
      <c r="A93" s="212">
        <f>ROUNDUP(B104/12,0)</f>
        <v>5</v>
      </c>
      <c r="B93" s="188">
        <f t="shared" si="216"/>
        <v>49</v>
      </c>
      <c r="C93" s="128">
        <f t="shared" si="217"/>
        <v>122126.30966243328</v>
      </c>
      <c r="D93" s="128">
        <f t="shared" si="218"/>
        <v>125787.15265993029</v>
      </c>
      <c r="E93" s="128">
        <f t="shared" si="219"/>
        <v>116560.78547833067</v>
      </c>
      <c r="F93" s="128">
        <f t="shared" si="220"/>
        <v>115940.01987658687</v>
      </c>
      <c r="G93" s="128">
        <f t="shared" si="221"/>
        <v>115849.96556076703</v>
      </c>
      <c r="H93" s="128">
        <f t="shared" si="222"/>
        <v>116378.32026839604</v>
      </c>
      <c r="I93" s="128">
        <f t="shared" si="223"/>
        <v>117556.34588316569</v>
      </c>
      <c r="J93" s="128">
        <f t="shared" si="224"/>
        <v>116022.26307360077</v>
      </c>
      <c r="K93" s="128">
        <f t="shared" si="225"/>
        <v>112385.36952505956</v>
      </c>
      <c r="M93" s="36"/>
      <c r="N93" s="32">
        <f t="shared" si="226"/>
        <v>49</v>
      </c>
      <c r="O93" s="25">
        <f t="shared" si="109"/>
        <v>0.22126309662433274</v>
      </c>
      <c r="P93" s="25">
        <f t="shared" si="110"/>
        <v>0.25787152659930279</v>
      </c>
      <c r="Q93" s="25">
        <f t="shared" si="111"/>
        <v>0.16560785478330664</v>
      </c>
      <c r="R93" s="25">
        <f t="shared" si="161"/>
        <v>0.15940019876586864</v>
      </c>
      <c r="S93" s="25">
        <f t="shared" si="162"/>
        <v>0.15849965560767032</v>
      </c>
      <c r="T93" s="25">
        <f t="shared" si="163"/>
        <v>0.16378320268396052</v>
      </c>
      <c r="U93" s="25">
        <f t="shared" si="164"/>
        <v>0.1755634588316568</v>
      </c>
      <c r="V93" s="25">
        <f t="shared" si="165"/>
        <v>0.16022263073600773</v>
      </c>
      <c r="W93" s="25">
        <f t="shared" si="166"/>
        <v>0.12385369525059553</v>
      </c>
      <c r="X93" s="36"/>
      <c r="Y93" s="36"/>
      <c r="AA93" s="124">
        <f t="shared" si="113"/>
        <v>50</v>
      </c>
      <c r="AB93" s="128">
        <f t="shared" si="167"/>
        <v>112656.31272201912</v>
      </c>
      <c r="AC93" s="124">
        <f t="shared" si="114"/>
        <v>50</v>
      </c>
      <c r="AD93" s="130">
        <f t="shared" si="227"/>
        <v>4.4999999999999998E-2</v>
      </c>
      <c r="AE93" s="127">
        <f t="shared" si="228"/>
        <v>1178</v>
      </c>
      <c r="AF93" s="128">
        <f t="shared" si="229"/>
        <v>117686.5</v>
      </c>
      <c r="AG93" s="128">
        <f t="shared" si="140"/>
        <v>117800</v>
      </c>
      <c r="AH93" s="128">
        <f t="shared" si="118"/>
        <v>117800</v>
      </c>
      <c r="AI93" s="130">
        <f t="shared" si="168"/>
        <v>4.4999999999999998E-2</v>
      </c>
      <c r="AJ93" s="128">
        <f t="shared" si="169"/>
        <v>118241.74999999999</v>
      </c>
      <c r="AK93" s="128" t="str">
        <f t="shared" si="170"/>
        <v>nie</v>
      </c>
      <c r="AL93" s="128">
        <f t="shared" si="171"/>
        <v>589</v>
      </c>
      <c r="AM93" s="128">
        <f t="shared" si="150"/>
        <v>117680.72749999999</v>
      </c>
      <c r="AN93" s="128">
        <f t="shared" si="172"/>
        <v>357.81749999998823</v>
      </c>
      <c r="AO93" s="130">
        <f t="shared" si="173"/>
        <v>4.4999999999999998E-2</v>
      </c>
      <c r="AP93" s="128">
        <f t="shared" si="174"/>
        <v>730.0105251422741</v>
      </c>
      <c r="AQ93" s="128">
        <f t="shared" si="156"/>
        <v>118052.92052514228</v>
      </c>
      <c r="AS93" s="124">
        <f t="shared" si="119"/>
        <v>50</v>
      </c>
      <c r="AT93" s="130">
        <f t="shared" si="120"/>
        <v>4.4999999999999998E-2</v>
      </c>
      <c r="AU93" s="127">
        <f t="shared" si="230"/>
        <v>1172</v>
      </c>
      <c r="AV93" s="128">
        <f t="shared" si="231"/>
        <v>117091.3</v>
      </c>
      <c r="AW93" s="128">
        <f t="shared" si="151"/>
        <v>117200</v>
      </c>
      <c r="AX93" s="128">
        <f t="shared" si="123"/>
        <v>117200</v>
      </c>
      <c r="AY93" s="130">
        <f t="shared" si="175"/>
        <v>4.65E-2</v>
      </c>
      <c r="AZ93" s="128">
        <f t="shared" si="176"/>
        <v>117654.15000000001</v>
      </c>
      <c r="BA93" s="128" t="str">
        <f t="shared" si="177"/>
        <v>nie</v>
      </c>
      <c r="BB93" s="128">
        <f t="shared" si="178"/>
        <v>820.4</v>
      </c>
      <c r="BC93" s="128">
        <f t="shared" si="158"/>
        <v>116903.33750000001</v>
      </c>
      <c r="BD93" s="128">
        <f t="shared" si="179"/>
        <v>367.86150000000708</v>
      </c>
      <c r="BE93" s="130">
        <f t="shared" si="51"/>
        <v>4.4999999999999998E-2</v>
      </c>
      <c r="BF93" s="128">
        <f t="shared" si="180"/>
        <v>798.36059098795954</v>
      </c>
      <c r="BG93" s="128">
        <f t="shared" si="159"/>
        <v>117333.83659098796</v>
      </c>
      <c r="BI93" s="124">
        <f t="shared" si="124"/>
        <v>50</v>
      </c>
      <c r="BJ93" s="130">
        <f t="shared" si="242"/>
        <v>4.3200000000000002E-2</v>
      </c>
      <c r="BK93" s="127">
        <f t="shared" si="232"/>
        <v>1126</v>
      </c>
      <c r="BL93" s="128">
        <f t="shared" si="233"/>
        <v>112487.40000000001</v>
      </c>
      <c r="BM93" s="128">
        <f t="shared" si="142"/>
        <v>112600</v>
      </c>
      <c r="BN93" s="128">
        <f t="shared" si="234"/>
        <v>118117.4</v>
      </c>
      <c r="BO93" s="130">
        <f t="shared" si="181"/>
        <v>4.9000000000000002E-2</v>
      </c>
      <c r="BP93" s="128">
        <f t="shared" si="182"/>
        <v>119082.02543333333</v>
      </c>
      <c r="BQ93" s="128" t="str">
        <f t="shared" si="183"/>
        <v>nie</v>
      </c>
      <c r="BR93" s="128">
        <f t="shared" si="184"/>
        <v>1126</v>
      </c>
      <c r="BS93" s="128">
        <f t="shared" si="153"/>
        <v>116938.380601</v>
      </c>
      <c r="BT93" s="128">
        <f t="shared" si="128"/>
        <v>0</v>
      </c>
      <c r="BU93" s="130">
        <f t="shared" si="185"/>
        <v>4.4999999999999998E-2</v>
      </c>
      <c r="BV93" s="128">
        <f t="shared" si="60"/>
        <v>13.117902795821244</v>
      </c>
      <c r="BW93" s="128">
        <f t="shared" si="243"/>
        <v>116951.49850379582</v>
      </c>
      <c r="BY93" s="130">
        <f t="shared" si="244"/>
        <v>2.9000000000000001E-2</v>
      </c>
      <c r="BZ93" s="127">
        <f t="shared" si="235"/>
        <v>1159</v>
      </c>
      <c r="CA93" s="128">
        <f t="shared" si="236"/>
        <v>115796.40000000001</v>
      </c>
      <c r="CB93" s="128">
        <f t="shared" si="154"/>
        <v>115900</v>
      </c>
      <c r="CC93" s="128">
        <f t="shared" si="131"/>
        <v>115900</v>
      </c>
      <c r="CD93" s="130">
        <f t="shared" si="186"/>
        <v>5.2499999999999998E-2</v>
      </c>
      <c r="CE93" s="128">
        <f t="shared" si="187"/>
        <v>116914.125</v>
      </c>
      <c r="CF93" s="128" t="str">
        <f t="shared" si="188"/>
        <v>nie</v>
      </c>
      <c r="CG93" s="128">
        <f t="shared" si="189"/>
        <v>1014.125</v>
      </c>
      <c r="CH93" s="128">
        <f t="shared" si="160"/>
        <v>115900</v>
      </c>
      <c r="CI93" s="128">
        <f t="shared" si="190"/>
        <v>0</v>
      </c>
      <c r="CJ93" s="130">
        <f t="shared" si="68"/>
        <v>4.4999999999999998E-2</v>
      </c>
      <c r="CK93" s="128">
        <f t="shared" si="191"/>
        <v>40.141436962006111</v>
      </c>
      <c r="CL93" s="128">
        <f t="shared" si="192"/>
        <v>115940.141436962</v>
      </c>
      <c r="CN93" s="127">
        <f t="shared" si="237"/>
        <v>1000</v>
      </c>
      <c r="CO93" s="128">
        <f t="shared" si="238"/>
        <v>100000</v>
      </c>
      <c r="CP93" s="128">
        <f t="shared" si="134"/>
        <v>100000</v>
      </c>
      <c r="CQ93" s="128">
        <f t="shared" si="239"/>
        <v>122069.40863175</v>
      </c>
      <c r="CR93" s="130">
        <f t="shared" si="193"/>
        <v>4.9000000000000002E-2</v>
      </c>
      <c r="CS93" s="128">
        <f t="shared" si="194"/>
        <v>123066.30880224262</v>
      </c>
      <c r="CT93" s="128" t="str">
        <f t="shared" si="195"/>
        <v>nie</v>
      </c>
      <c r="CU93" s="128">
        <f t="shared" si="196"/>
        <v>3000</v>
      </c>
      <c r="CV93" s="128">
        <f t="shared" si="197"/>
        <v>116253.71012981652</v>
      </c>
      <c r="CW93" s="128">
        <f t="shared" si="76"/>
        <v>0</v>
      </c>
      <c r="CX93" s="130">
        <f t="shared" si="198"/>
        <v>4.4999999999999998E-2</v>
      </c>
      <c r="CY93" s="128">
        <f t="shared" si="199"/>
        <v>0</v>
      </c>
      <c r="CZ93" s="128">
        <f t="shared" si="200"/>
        <v>116253.71012981652</v>
      </c>
      <c r="DA93" s="20"/>
      <c r="DB93" s="127">
        <f t="shared" si="144"/>
        <v>1000</v>
      </c>
      <c r="DC93" s="128">
        <f t="shared" si="145"/>
        <v>100000</v>
      </c>
      <c r="DD93" s="128">
        <f t="shared" si="136"/>
        <v>100000</v>
      </c>
      <c r="DE93" s="128">
        <f t="shared" si="240"/>
        <v>121723.11243704997</v>
      </c>
      <c r="DF93" s="130">
        <f t="shared" si="201"/>
        <v>4.9000000000000002E-2</v>
      </c>
      <c r="DG93" s="128">
        <f t="shared" si="202"/>
        <v>122717.18452195254</v>
      </c>
      <c r="DH93" s="128" t="str">
        <f t="shared" si="203"/>
        <v>nie</v>
      </c>
      <c r="DI93" s="128">
        <f t="shared" si="204"/>
        <v>2000</v>
      </c>
      <c r="DJ93" s="128">
        <f t="shared" si="205"/>
        <v>116780.91946278156</v>
      </c>
      <c r="DK93" s="128">
        <f t="shared" si="85"/>
        <v>0</v>
      </c>
      <c r="DL93" s="130">
        <f t="shared" si="206"/>
        <v>4.4999999999999998E-2</v>
      </c>
      <c r="DM93" s="128">
        <f t="shared" si="207"/>
        <v>0</v>
      </c>
      <c r="DN93" s="128">
        <f t="shared" si="208"/>
        <v>116780.91946278156</v>
      </c>
      <c r="DP93" s="127">
        <f t="shared" si="146"/>
        <v>1000</v>
      </c>
      <c r="DQ93" s="128">
        <f t="shared" si="147"/>
        <v>100000</v>
      </c>
      <c r="DR93" s="128">
        <f t="shared" si="138"/>
        <v>100000</v>
      </c>
      <c r="DS93" s="128">
        <f t="shared" si="241"/>
        <v>124115.97918400001</v>
      </c>
      <c r="DT93" s="130">
        <f t="shared" si="209"/>
        <v>5.4000000000000006E-2</v>
      </c>
      <c r="DU93" s="128">
        <f t="shared" si="210"/>
        <v>125233.022996656</v>
      </c>
      <c r="DV93" s="128" t="str">
        <f t="shared" si="211"/>
        <v>nie</v>
      </c>
      <c r="DW93" s="128">
        <f t="shared" si="212"/>
        <v>3000</v>
      </c>
      <c r="DX93" s="128">
        <f t="shared" si="93"/>
        <v>118008.74862729137</v>
      </c>
      <c r="DY93" s="128">
        <f t="shared" si="94"/>
        <v>0</v>
      </c>
      <c r="DZ93" s="130">
        <f t="shared" si="213"/>
        <v>4.4999999999999998E-2</v>
      </c>
      <c r="EA93" s="128">
        <f t="shared" si="214"/>
        <v>0</v>
      </c>
      <c r="EB93" s="128">
        <f t="shared" si="215"/>
        <v>118008.74862729137</v>
      </c>
    </row>
    <row r="94" spans="1:134">
      <c r="A94" s="212"/>
      <c r="B94" s="188">
        <f t="shared" si="216"/>
        <v>50</v>
      </c>
      <c r="C94" s="128">
        <f t="shared" si="217"/>
        <v>118052.92052514228</v>
      </c>
      <c r="D94" s="128">
        <f t="shared" si="218"/>
        <v>117333.83659098796</v>
      </c>
      <c r="E94" s="128">
        <f t="shared" si="219"/>
        <v>116951.49850379582</v>
      </c>
      <c r="F94" s="128">
        <f t="shared" si="220"/>
        <v>115940.141436962</v>
      </c>
      <c r="G94" s="128">
        <f t="shared" si="221"/>
        <v>116253.71012981652</v>
      </c>
      <c r="H94" s="128">
        <f t="shared" si="222"/>
        <v>116780.91946278156</v>
      </c>
      <c r="I94" s="128">
        <f t="shared" si="223"/>
        <v>118008.74862729137</v>
      </c>
      <c r="J94" s="128">
        <f t="shared" si="224"/>
        <v>116374.68069768684</v>
      </c>
      <c r="K94" s="128">
        <f t="shared" si="225"/>
        <v>112656.31272201912</v>
      </c>
      <c r="M94" s="36"/>
      <c r="N94" s="32">
        <f t="shared" si="226"/>
        <v>50</v>
      </c>
      <c r="O94" s="25">
        <f t="shared" si="109"/>
        <v>0.18052920525142291</v>
      </c>
      <c r="P94" s="25">
        <f t="shared" si="110"/>
        <v>0.17333836590987972</v>
      </c>
      <c r="Q94" s="25">
        <f t="shared" si="111"/>
        <v>0.16951498503795825</v>
      </c>
      <c r="R94" s="25">
        <f t="shared" si="161"/>
        <v>0.15940141436962008</v>
      </c>
      <c r="S94" s="25">
        <f t="shared" si="162"/>
        <v>0.16253710129816512</v>
      </c>
      <c r="T94" s="25">
        <f t="shared" si="163"/>
        <v>0.16780919462781552</v>
      </c>
      <c r="U94" s="25">
        <f t="shared" si="164"/>
        <v>0.1800874862729136</v>
      </c>
      <c r="V94" s="25">
        <f t="shared" si="165"/>
        <v>0.16374680697686839</v>
      </c>
      <c r="W94" s="25">
        <f t="shared" si="166"/>
        <v>0.12656312722019125</v>
      </c>
      <c r="X94" s="36"/>
      <c r="Y94" s="36"/>
      <c r="AA94" s="124">
        <f t="shared" si="113"/>
        <v>51</v>
      </c>
      <c r="AB94" s="128">
        <f t="shared" si="167"/>
        <v>112927.25591897871</v>
      </c>
      <c r="AC94" s="124">
        <f t="shared" si="114"/>
        <v>51</v>
      </c>
      <c r="AD94" s="130">
        <f t="shared" si="227"/>
        <v>4.4999999999999998E-2</v>
      </c>
      <c r="AE94" s="127">
        <f t="shared" si="228"/>
        <v>1178</v>
      </c>
      <c r="AF94" s="128">
        <f t="shared" si="229"/>
        <v>117686.5</v>
      </c>
      <c r="AG94" s="128">
        <f t="shared" si="140"/>
        <v>117800</v>
      </c>
      <c r="AH94" s="128">
        <f t="shared" si="118"/>
        <v>117800</v>
      </c>
      <c r="AI94" s="130">
        <f t="shared" si="168"/>
        <v>4.4999999999999998E-2</v>
      </c>
      <c r="AJ94" s="128">
        <f t="shared" si="169"/>
        <v>118241.74999999999</v>
      </c>
      <c r="AK94" s="128" t="str">
        <f t="shared" si="170"/>
        <v>nie</v>
      </c>
      <c r="AL94" s="128">
        <f t="shared" si="171"/>
        <v>589</v>
      </c>
      <c r="AM94" s="128">
        <f t="shared" si="150"/>
        <v>117680.72749999999</v>
      </c>
      <c r="AN94" s="128">
        <f t="shared" si="172"/>
        <v>357.81749999998823</v>
      </c>
      <c r="AO94" s="130">
        <f t="shared" si="173"/>
        <v>4.4999999999999998E-2</v>
      </c>
      <c r="AP94" s="128">
        <f t="shared" si="174"/>
        <v>1090.0454321123821</v>
      </c>
      <c r="AQ94" s="128">
        <f t="shared" si="156"/>
        <v>118412.95543211239</v>
      </c>
      <c r="AS94" s="124">
        <f t="shared" si="119"/>
        <v>51</v>
      </c>
      <c r="AT94" s="130">
        <f t="shared" si="120"/>
        <v>4.4999999999999998E-2</v>
      </c>
      <c r="AU94" s="127">
        <f t="shared" si="230"/>
        <v>1172</v>
      </c>
      <c r="AV94" s="128">
        <f t="shared" si="231"/>
        <v>117091.3</v>
      </c>
      <c r="AW94" s="128">
        <f t="shared" si="151"/>
        <v>117200</v>
      </c>
      <c r="AX94" s="128">
        <f t="shared" si="123"/>
        <v>117200</v>
      </c>
      <c r="AY94" s="130">
        <f t="shared" si="175"/>
        <v>4.65E-2</v>
      </c>
      <c r="AZ94" s="128">
        <f t="shared" si="176"/>
        <v>117654.15000000001</v>
      </c>
      <c r="BA94" s="128" t="str">
        <f t="shared" si="177"/>
        <v>nie</v>
      </c>
      <c r="BB94" s="128">
        <f t="shared" si="178"/>
        <v>820.4</v>
      </c>
      <c r="BC94" s="128">
        <f t="shared" si="158"/>
        <v>116903.33750000001</v>
      </c>
      <c r="BD94" s="128">
        <f t="shared" si="179"/>
        <v>367.86150000000708</v>
      </c>
      <c r="BE94" s="130">
        <f t="shared" si="51"/>
        <v>4.4999999999999998E-2</v>
      </c>
      <c r="BF94" s="128">
        <f t="shared" si="180"/>
        <v>1168.6471112830925</v>
      </c>
      <c r="BG94" s="128">
        <f t="shared" si="159"/>
        <v>117704.1231112831</v>
      </c>
      <c r="BI94" s="124">
        <f t="shared" si="124"/>
        <v>51</v>
      </c>
      <c r="BJ94" s="130">
        <f t="shared" si="242"/>
        <v>4.3200000000000002E-2</v>
      </c>
      <c r="BK94" s="127">
        <f t="shared" si="232"/>
        <v>1126</v>
      </c>
      <c r="BL94" s="128">
        <f t="shared" si="233"/>
        <v>112487.40000000001</v>
      </c>
      <c r="BM94" s="128">
        <f t="shared" si="142"/>
        <v>112600</v>
      </c>
      <c r="BN94" s="128">
        <f t="shared" si="234"/>
        <v>118117.4</v>
      </c>
      <c r="BO94" s="130">
        <f t="shared" si="181"/>
        <v>4.9000000000000002E-2</v>
      </c>
      <c r="BP94" s="128">
        <f t="shared" si="182"/>
        <v>119564.33815000001</v>
      </c>
      <c r="BQ94" s="128" t="str">
        <f t="shared" si="183"/>
        <v>nie</v>
      </c>
      <c r="BR94" s="128">
        <f t="shared" si="184"/>
        <v>1126</v>
      </c>
      <c r="BS94" s="128">
        <f t="shared" si="153"/>
        <v>117329.05390150001</v>
      </c>
      <c r="BT94" s="128">
        <f t="shared" si="128"/>
        <v>0</v>
      </c>
      <c r="BU94" s="130">
        <f t="shared" si="185"/>
        <v>4.4999999999999998E-2</v>
      </c>
      <c r="BV94" s="128">
        <f t="shared" si="60"/>
        <v>13.157748425563552</v>
      </c>
      <c r="BW94" s="128">
        <f t="shared" si="243"/>
        <v>117342.21164992558</v>
      </c>
      <c r="BY94" s="130">
        <f t="shared" si="244"/>
        <v>2.9000000000000001E-2</v>
      </c>
      <c r="BZ94" s="127">
        <f t="shared" si="235"/>
        <v>1159</v>
      </c>
      <c r="CA94" s="128">
        <f t="shared" si="236"/>
        <v>115796.40000000001</v>
      </c>
      <c r="CB94" s="128">
        <f t="shared" si="154"/>
        <v>115900</v>
      </c>
      <c r="CC94" s="128">
        <f t="shared" si="131"/>
        <v>115900</v>
      </c>
      <c r="CD94" s="130">
        <f t="shared" si="186"/>
        <v>5.2499999999999998E-2</v>
      </c>
      <c r="CE94" s="128">
        <f t="shared" si="187"/>
        <v>117421.1875</v>
      </c>
      <c r="CF94" s="128" t="str">
        <f t="shared" si="188"/>
        <v>nie</v>
      </c>
      <c r="CG94" s="128">
        <f t="shared" si="189"/>
        <v>1521.1875</v>
      </c>
      <c r="CH94" s="128">
        <f t="shared" si="160"/>
        <v>115900</v>
      </c>
      <c r="CI94" s="128">
        <f t="shared" si="190"/>
        <v>0</v>
      </c>
      <c r="CJ94" s="130">
        <f t="shared" si="68"/>
        <v>4.4999999999999998E-2</v>
      </c>
      <c r="CK94" s="128">
        <f t="shared" si="191"/>
        <v>40.263366576778203</v>
      </c>
      <c r="CL94" s="128">
        <f t="shared" si="192"/>
        <v>115940.26336657678</v>
      </c>
      <c r="CN94" s="127">
        <f t="shared" si="237"/>
        <v>1000</v>
      </c>
      <c r="CO94" s="128">
        <f t="shared" si="238"/>
        <v>100000</v>
      </c>
      <c r="CP94" s="128">
        <f t="shared" si="134"/>
        <v>100000</v>
      </c>
      <c r="CQ94" s="128">
        <f t="shared" si="239"/>
        <v>122069.40863175</v>
      </c>
      <c r="CR94" s="130">
        <f t="shared" si="193"/>
        <v>4.9000000000000002E-2</v>
      </c>
      <c r="CS94" s="128">
        <f t="shared" si="194"/>
        <v>123564.75888748895</v>
      </c>
      <c r="CT94" s="128" t="str">
        <f t="shared" si="195"/>
        <v>nie</v>
      </c>
      <c r="CU94" s="128">
        <f t="shared" si="196"/>
        <v>3000</v>
      </c>
      <c r="CV94" s="128">
        <f t="shared" si="197"/>
        <v>116657.45469886604</v>
      </c>
      <c r="CW94" s="128">
        <f t="shared" si="76"/>
        <v>0</v>
      </c>
      <c r="CX94" s="130">
        <f t="shared" si="198"/>
        <v>4.4999999999999998E-2</v>
      </c>
      <c r="CY94" s="128">
        <f t="shared" si="199"/>
        <v>0</v>
      </c>
      <c r="CZ94" s="128">
        <f t="shared" si="200"/>
        <v>116657.45469886604</v>
      </c>
      <c r="DA94" s="20"/>
      <c r="DB94" s="127">
        <f t="shared" si="144"/>
        <v>1000</v>
      </c>
      <c r="DC94" s="128">
        <f t="shared" si="145"/>
        <v>100000</v>
      </c>
      <c r="DD94" s="128">
        <f t="shared" si="136"/>
        <v>100000</v>
      </c>
      <c r="DE94" s="128">
        <f t="shared" si="240"/>
        <v>121723.11243704997</v>
      </c>
      <c r="DF94" s="130">
        <f t="shared" si="201"/>
        <v>4.9000000000000002E-2</v>
      </c>
      <c r="DG94" s="128">
        <f t="shared" si="202"/>
        <v>123214.22056440385</v>
      </c>
      <c r="DH94" s="128" t="str">
        <f t="shared" si="203"/>
        <v>nie</v>
      </c>
      <c r="DI94" s="128">
        <f t="shared" si="204"/>
        <v>2000</v>
      </c>
      <c r="DJ94" s="128">
        <f t="shared" si="205"/>
        <v>117183.51865716712</v>
      </c>
      <c r="DK94" s="128">
        <f t="shared" si="85"/>
        <v>0</v>
      </c>
      <c r="DL94" s="130">
        <f t="shared" si="206"/>
        <v>4.4999999999999998E-2</v>
      </c>
      <c r="DM94" s="128">
        <f t="shared" si="207"/>
        <v>0</v>
      </c>
      <c r="DN94" s="128">
        <f t="shared" si="208"/>
        <v>117183.51865716712</v>
      </c>
      <c r="DP94" s="127">
        <f t="shared" si="146"/>
        <v>1000</v>
      </c>
      <c r="DQ94" s="128">
        <f t="shared" si="147"/>
        <v>100000</v>
      </c>
      <c r="DR94" s="128">
        <f t="shared" si="138"/>
        <v>100000</v>
      </c>
      <c r="DS94" s="128">
        <f t="shared" si="241"/>
        <v>124115.97918400001</v>
      </c>
      <c r="DT94" s="130">
        <f t="shared" si="209"/>
        <v>5.4000000000000006E-2</v>
      </c>
      <c r="DU94" s="128">
        <f t="shared" si="210"/>
        <v>125791.54490298402</v>
      </c>
      <c r="DV94" s="128" t="str">
        <f t="shared" si="211"/>
        <v>nie</v>
      </c>
      <c r="DW94" s="128">
        <f t="shared" si="212"/>
        <v>3000</v>
      </c>
      <c r="DX94" s="128">
        <f t="shared" si="93"/>
        <v>118461.15137141706</v>
      </c>
      <c r="DY94" s="128">
        <f t="shared" si="94"/>
        <v>0</v>
      </c>
      <c r="DZ94" s="130">
        <f t="shared" si="213"/>
        <v>4.4999999999999998E-2</v>
      </c>
      <c r="EA94" s="128">
        <f t="shared" si="214"/>
        <v>0</v>
      </c>
      <c r="EB94" s="128">
        <f t="shared" si="215"/>
        <v>118461.15137141706</v>
      </c>
    </row>
    <row r="95" spans="1:134">
      <c r="A95" s="212"/>
      <c r="B95" s="188">
        <f t="shared" si="216"/>
        <v>51</v>
      </c>
      <c r="C95" s="128">
        <f t="shared" si="217"/>
        <v>118412.95543211239</v>
      </c>
      <c r="D95" s="128">
        <f t="shared" si="218"/>
        <v>117704.1231112831</v>
      </c>
      <c r="E95" s="128">
        <f t="shared" si="219"/>
        <v>117342.21164992558</v>
      </c>
      <c r="F95" s="128">
        <f t="shared" si="220"/>
        <v>115940.26336657678</v>
      </c>
      <c r="G95" s="128">
        <f t="shared" si="221"/>
        <v>116657.45469886604</v>
      </c>
      <c r="H95" s="128">
        <f t="shared" si="222"/>
        <v>117183.51865716712</v>
      </c>
      <c r="I95" s="128">
        <f t="shared" si="223"/>
        <v>118461.15137141706</v>
      </c>
      <c r="J95" s="128">
        <f t="shared" si="224"/>
        <v>116728.16879030607</v>
      </c>
      <c r="K95" s="128">
        <f t="shared" si="225"/>
        <v>112927.25591897871</v>
      </c>
      <c r="M95" s="36"/>
      <c r="N95" s="32">
        <f t="shared" si="226"/>
        <v>51</v>
      </c>
      <c r="O95" s="25">
        <f t="shared" si="109"/>
        <v>0.18412955432112388</v>
      </c>
      <c r="P95" s="25">
        <f t="shared" si="110"/>
        <v>0.1770412311128311</v>
      </c>
      <c r="Q95" s="25">
        <f t="shared" si="111"/>
        <v>0.17342211649925576</v>
      </c>
      <c r="R95" s="25">
        <f t="shared" si="161"/>
        <v>0.15940263366576768</v>
      </c>
      <c r="S95" s="25">
        <f t="shared" si="162"/>
        <v>0.16657454698866037</v>
      </c>
      <c r="T95" s="25">
        <f t="shared" si="163"/>
        <v>0.17183518657167118</v>
      </c>
      <c r="U95" s="25">
        <f t="shared" si="164"/>
        <v>0.18461151371417062</v>
      </c>
      <c r="V95" s="25">
        <f t="shared" si="165"/>
        <v>0.16728168790306075</v>
      </c>
      <c r="W95" s="25">
        <f t="shared" si="166"/>
        <v>0.1292725591897872</v>
      </c>
      <c r="X95" s="36"/>
      <c r="Y95" s="36"/>
      <c r="AA95" s="124">
        <f t="shared" si="113"/>
        <v>52</v>
      </c>
      <c r="AB95" s="128">
        <f t="shared" si="167"/>
        <v>113198.19911593829</v>
      </c>
      <c r="AC95" s="124">
        <f t="shared" si="114"/>
        <v>52</v>
      </c>
      <c r="AD95" s="130">
        <f t="shared" si="227"/>
        <v>4.4999999999999998E-2</v>
      </c>
      <c r="AE95" s="127">
        <f t="shared" si="228"/>
        <v>1178</v>
      </c>
      <c r="AF95" s="128">
        <f t="shared" si="229"/>
        <v>117686.5</v>
      </c>
      <c r="AG95" s="128">
        <f t="shared" si="140"/>
        <v>117800</v>
      </c>
      <c r="AH95" s="128">
        <f t="shared" si="118"/>
        <v>117800</v>
      </c>
      <c r="AI95" s="130">
        <f t="shared" si="168"/>
        <v>4.4999999999999998E-2</v>
      </c>
      <c r="AJ95" s="128">
        <f t="shared" si="169"/>
        <v>118241.74999999999</v>
      </c>
      <c r="AK95" s="128" t="str">
        <f t="shared" si="170"/>
        <v>nie</v>
      </c>
      <c r="AL95" s="128">
        <f t="shared" si="171"/>
        <v>589</v>
      </c>
      <c r="AM95" s="128">
        <f t="shared" si="150"/>
        <v>117680.72749999999</v>
      </c>
      <c r="AN95" s="128">
        <f t="shared" si="172"/>
        <v>357.81749999998823</v>
      </c>
      <c r="AO95" s="130">
        <f t="shared" si="173"/>
        <v>4.4999999999999998E-2</v>
      </c>
      <c r="AP95" s="128">
        <f t="shared" si="174"/>
        <v>1451.1739451124117</v>
      </c>
      <c r="AQ95" s="128">
        <f t="shared" si="156"/>
        <v>118774.08394511242</v>
      </c>
      <c r="AS95" s="124">
        <f t="shared" si="119"/>
        <v>52</v>
      </c>
      <c r="AT95" s="130">
        <f t="shared" si="120"/>
        <v>4.4999999999999998E-2</v>
      </c>
      <c r="AU95" s="127">
        <f t="shared" si="230"/>
        <v>1172</v>
      </c>
      <c r="AV95" s="128">
        <f t="shared" si="231"/>
        <v>117091.3</v>
      </c>
      <c r="AW95" s="128">
        <f t="shared" si="151"/>
        <v>117200</v>
      </c>
      <c r="AX95" s="128">
        <f t="shared" si="123"/>
        <v>117200</v>
      </c>
      <c r="AY95" s="130">
        <f t="shared" si="175"/>
        <v>4.65E-2</v>
      </c>
      <c r="AZ95" s="128">
        <f t="shared" si="176"/>
        <v>117654.15000000001</v>
      </c>
      <c r="BA95" s="128" t="str">
        <f t="shared" si="177"/>
        <v>nie</v>
      </c>
      <c r="BB95" s="128">
        <f t="shared" si="178"/>
        <v>820.4</v>
      </c>
      <c r="BC95" s="128">
        <f t="shared" si="158"/>
        <v>116903.33750000001</v>
      </c>
      <c r="BD95" s="128">
        <f t="shared" si="179"/>
        <v>367.86150000000708</v>
      </c>
      <c r="BE95" s="130">
        <f t="shared" si="51"/>
        <v>4.4999999999999998E-2</v>
      </c>
      <c r="BF95" s="128">
        <f t="shared" si="180"/>
        <v>1540.058376883622</v>
      </c>
      <c r="BG95" s="128">
        <f t="shared" si="159"/>
        <v>118075.53437688362</v>
      </c>
      <c r="BI95" s="124">
        <f t="shared" si="124"/>
        <v>52</v>
      </c>
      <c r="BJ95" s="130">
        <f t="shared" si="242"/>
        <v>4.3200000000000002E-2</v>
      </c>
      <c r="BK95" s="127">
        <f t="shared" si="232"/>
        <v>1126</v>
      </c>
      <c r="BL95" s="128">
        <f t="shared" si="233"/>
        <v>112487.40000000001</v>
      </c>
      <c r="BM95" s="128">
        <f t="shared" si="142"/>
        <v>112600</v>
      </c>
      <c r="BN95" s="128">
        <f t="shared" si="234"/>
        <v>118117.4</v>
      </c>
      <c r="BO95" s="130">
        <f t="shared" si="181"/>
        <v>4.9000000000000002E-2</v>
      </c>
      <c r="BP95" s="128">
        <f t="shared" si="182"/>
        <v>120046.65086666666</v>
      </c>
      <c r="BQ95" s="128" t="str">
        <f t="shared" si="183"/>
        <v>nie</v>
      </c>
      <c r="BR95" s="128">
        <f t="shared" si="184"/>
        <v>1126</v>
      </c>
      <c r="BS95" s="128">
        <f t="shared" si="153"/>
        <v>117719.72720199999</v>
      </c>
      <c r="BT95" s="128">
        <f t="shared" si="128"/>
        <v>0</v>
      </c>
      <c r="BU95" s="130">
        <f t="shared" si="185"/>
        <v>4.4999999999999998E-2</v>
      </c>
      <c r="BV95" s="128">
        <f t="shared" si="60"/>
        <v>13.197715086406202</v>
      </c>
      <c r="BW95" s="128">
        <f t="shared" si="243"/>
        <v>117732.92491708641</v>
      </c>
      <c r="BY95" s="130">
        <f t="shared" si="244"/>
        <v>2.9000000000000001E-2</v>
      </c>
      <c r="BZ95" s="127">
        <f t="shared" si="235"/>
        <v>1159</v>
      </c>
      <c r="CA95" s="128">
        <f t="shared" si="236"/>
        <v>115796.40000000001</v>
      </c>
      <c r="CB95" s="128">
        <f t="shared" si="154"/>
        <v>115900</v>
      </c>
      <c r="CC95" s="128">
        <f t="shared" si="131"/>
        <v>115900</v>
      </c>
      <c r="CD95" s="130">
        <f t="shared" si="186"/>
        <v>5.2499999999999998E-2</v>
      </c>
      <c r="CE95" s="128">
        <f t="shared" si="187"/>
        <v>117928.25000000001</v>
      </c>
      <c r="CF95" s="128" t="str">
        <f t="shared" si="188"/>
        <v>nie</v>
      </c>
      <c r="CG95" s="128">
        <f t="shared" si="189"/>
        <v>2028.2500000000146</v>
      </c>
      <c r="CH95" s="128">
        <f t="shared" si="160"/>
        <v>115900</v>
      </c>
      <c r="CI95" s="128">
        <f t="shared" si="190"/>
        <v>0</v>
      </c>
      <c r="CJ95" s="130">
        <f t="shared" si="68"/>
        <v>4.4999999999999998E-2</v>
      </c>
      <c r="CK95" s="128">
        <f t="shared" si="191"/>
        <v>40.385666552755168</v>
      </c>
      <c r="CL95" s="128">
        <f t="shared" si="192"/>
        <v>115940.38566655276</v>
      </c>
      <c r="CN95" s="127">
        <f t="shared" si="237"/>
        <v>1000</v>
      </c>
      <c r="CO95" s="128">
        <f t="shared" si="238"/>
        <v>100000</v>
      </c>
      <c r="CP95" s="128">
        <f t="shared" si="134"/>
        <v>100000</v>
      </c>
      <c r="CQ95" s="128">
        <f t="shared" si="239"/>
        <v>122069.40863175</v>
      </c>
      <c r="CR95" s="130">
        <f t="shared" si="193"/>
        <v>4.9000000000000002E-2</v>
      </c>
      <c r="CS95" s="128">
        <f t="shared" si="194"/>
        <v>124063.20897273526</v>
      </c>
      <c r="CT95" s="128" t="str">
        <f t="shared" si="195"/>
        <v>nie</v>
      </c>
      <c r="CU95" s="128">
        <f t="shared" si="196"/>
        <v>3000</v>
      </c>
      <c r="CV95" s="128">
        <f t="shared" si="197"/>
        <v>117061.19926791555</v>
      </c>
      <c r="CW95" s="128">
        <f t="shared" si="76"/>
        <v>0</v>
      </c>
      <c r="CX95" s="130">
        <f t="shared" si="198"/>
        <v>4.4999999999999998E-2</v>
      </c>
      <c r="CY95" s="128">
        <f t="shared" si="199"/>
        <v>0</v>
      </c>
      <c r="CZ95" s="128">
        <f t="shared" si="200"/>
        <v>117061.19926791555</v>
      </c>
      <c r="DA95" s="20"/>
      <c r="DB95" s="127">
        <f t="shared" si="144"/>
        <v>1000</v>
      </c>
      <c r="DC95" s="128">
        <f t="shared" si="145"/>
        <v>100000</v>
      </c>
      <c r="DD95" s="128">
        <f t="shared" si="136"/>
        <v>100000</v>
      </c>
      <c r="DE95" s="128">
        <f t="shared" si="240"/>
        <v>121723.11243704997</v>
      </c>
      <c r="DF95" s="130">
        <f t="shared" si="201"/>
        <v>4.9000000000000002E-2</v>
      </c>
      <c r="DG95" s="128">
        <f t="shared" si="202"/>
        <v>123711.25660685512</v>
      </c>
      <c r="DH95" s="128" t="str">
        <f t="shared" si="203"/>
        <v>nie</v>
      </c>
      <c r="DI95" s="128">
        <f t="shared" si="204"/>
        <v>2000</v>
      </c>
      <c r="DJ95" s="128">
        <f t="shared" si="205"/>
        <v>117586.11785155266</v>
      </c>
      <c r="DK95" s="128">
        <f t="shared" si="85"/>
        <v>0</v>
      </c>
      <c r="DL95" s="130">
        <f t="shared" si="206"/>
        <v>4.4999999999999998E-2</v>
      </c>
      <c r="DM95" s="128">
        <f t="shared" si="207"/>
        <v>0</v>
      </c>
      <c r="DN95" s="128">
        <f t="shared" si="208"/>
        <v>117586.11785155266</v>
      </c>
      <c r="DP95" s="127">
        <f t="shared" si="146"/>
        <v>1000</v>
      </c>
      <c r="DQ95" s="128">
        <f t="shared" si="147"/>
        <v>100000</v>
      </c>
      <c r="DR95" s="128">
        <f t="shared" si="138"/>
        <v>100000</v>
      </c>
      <c r="DS95" s="128">
        <f t="shared" si="241"/>
        <v>124115.97918400001</v>
      </c>
      <c r="DT95" s="130">
        <f t="shared" si="209"/>
        <v>5.4000000000000006E-2</v>
      </c>
      <c r="DU95" s="128">
        <f t="shared" si="210"/>
        <v>126350.06680931202</v>
      </c>
      <c r="DV95" s="128" t="str">
        <f t="shared" si="211"/>
        <v>nie</v>
      </c>
      <c r="DW95" s="128">
        <f t="shared" si="212"/>
        <v>3000</v>
      </c>
      <c r="DX95" s="128">
        <f t="shared" si="93"/>
        <v>118913.55411554273</v>
      </c>
      <c r="DY95" s="128">
        <f t="shared" si="94"/>
        <v>0</v>
      </c>
      <c r="DZ95" s="130">
        <f t="shared" si="213"/>
        <v>4.4999999999999998E-2</v>
      </c>
      <c r="EA95" s="128">
        <f t="shared" si="214"/>
        <v>0</v>
      </c>
      <c r="EB95" s="128">
        <f t="shared" si="215"/>
        <v>118913.55411554273</v>
      </c>
    </row>
    <row r="96" spans="1:134">
      <c r="A96" s="212"/>
      <c r="B96" s="188">
        <f t="shared" si="216"/>
        <v>52</v>
      </c>
      <c r="C96" s="128">
        <f t="shared" si="217"/>
        <v>118774.08394511242</v>
      </c>
      <c r="D96" s="128">
        <f t="shared" si="218"/>
        <v>118075.53437688362</v>
      </c>
      <c r="E96" s="128">
        <f t="shared" si="219"/>
        <v>117732.92491708641</v>
      </c>
      <c r="F96" s="128">
        <f t="shared" si="220"/>
        <v>115940.38566655276</v>
      </c>
      <c r="G96" s="128">
        <f t="shared" si="221"/>
        <v>117061.19926791555</v>
      </c>
      <c r="H96" s="128">
        <f t="shared" si="222"/>
        <v>117586.11785155266</v>
      </c>
      <c r="I96" s="128">
        <f t="shared" si="223"/>
        <v>118913.55411554273</v>
      </c>
      <c r="J96" s="128">
        <f t="shared" si="224"/>
        <v>117082.73060300662</v>
      </c>
      <c r="K96" s="128">
        <f t="shared" si="225"/>
        <v>113198.19911593829</v>
      </c>
      <c r="M96" s="36"/>
      <c r="N96" s="32">
        <f t="shared" si="226"/>
        <v>52</v>
      </c>
      <c r="O96" s="25">
        <f t="shared" si="109"/>
        <v>0.18774083945112419</v>
      </c>
      <c r="P96" s="25">
        <f t="shared" si="110"/>
        <v>0.18075534376883606</v>
      </c>
      <c r="Q96" s="25">
        <f t="shared" si="111"/>
        <v>0.17732924917086401</v>
      </c>
      <c r="R96" s="25">
        <f t="shared" si="161"/>
        <v>0.15940385666552759</v>
      </c>
      <c r="S96" s="25">
        <f t="shared" si="162"/>
        <v>0.17061199267915561</v>
      </c>
      <c r="T96" s="25">
        <f t="shared" si="163"/>
        <v>0.17586117851552663</v>
      </c>
      <c r="U96" s="25">
        <f t="shared" si="164"/>
        <v>0.18913554115542741</v>
      </c>
      <c r="V96" s="25">
        <f t="shared" si="165"/>
        <v>0.17082730603006624</v>
      </c>
      <c r="W96" s="25">
        <f t="shared" si="166"/>
        <v>0.13198199115938292</v>
      </c>
      <c r="X96" s="36"/>
      <c r="Y96" s="36"/>
      <c r="AA96" s="124">
        <f t="shared" si="113"/>
        <v>53</v>
      </c>
      <c r="AB96" s="128">
        <f t="shared" si="167"/>
        <v>113469.14231289788</v>
      </c>
      <c r="AC96" s="124">
        <f t="shared" si="114"/>
        <v>53</v>
      </c>
      <c r="AD96" s="130">
        <f t="shared" si="227"/>
        <v>4.4999999999999998E-2</v>
      </c>
      <c r="AE96" s="127">
        <f t="shared" si="228"/>
        <v>1178</v>
      </c>
      <c r="AF96" s="128">
        <f t="shared" si="229"/>
        <v>117686.5</v>
      </c>
      <c r="AG96" s="128">
        <f t="shared" si="140"/>
        <v>117800</v>
      </c>
      <c r="AH96" s="128">
        <f t="shared" si="118"/>
        <v>117800</v>
      </c>
      <c r="AI96" s="130">
        <f t="shared" si="168"/>
        <v>4.4999999999999998E-2</v>
      </c>
      <c r="AJ96" s="128">
        <f t="shared" si="169"/>
        <v>118241.74999999999</v>
      </c>
      <c r="AK96" s="128" t="str">
        <f t="shared" si="170"/>
        <v>nie</v>
      </c>
      <c r="AL96" s="128">
        <f t="shared" si="171"/>
        <v>589</v>
      </c>
      <c r="AM96" s="128">
        <f t="shared" si="150"/>
        <v>117680.72749999999</v>
      </c>
      <c r="AN96" s="128">
        <f t="shared" si="172"/>
        <v>357.81749999998823</v>
      </c>
      <c r="AO96" s="130">
        <f t="shared" si="173"/>
        <v>4.4999999999999998E-2</v>
      </c>
      <c r="AP96" s="128">
        <f t="shared" si="174"/>
        <v>1813.3993859706791</v>
      </c>
      <c r="AQ96" s="128">
        <f t="shared" si="156"/>
        <v>119136.30938597069</v>
      </c>
      <c r="AS96" s="124">
        <f t="shared" si="119"/>
        <v>53</v>
      </c>
      <c r="AT96" s="130">
        <f t="shared" si="120"/>
        <v>4.4999999999999998E-2</v>
      </c>
      <c r="AU96" s="127">
        <f t="shared" si="230"/>
        <v>1172</v>
      </c>
      <c r="AV96" s="128">
        <f t="shared" si="231"/>
        <v>117091.3</v>
      </c>
      <c r="AW96" s="128">
        <f t="shared" si="151"/>
        <v>117200</v>
      </c>
      <c r="AX96" s="128">
        <f t="shared" si="123"/>
        <v>117200</v>
      </c>
      <c r="AY96" s="130">
        <f t="shared" si="175"/>
        <v>4.65E-2</v>
      </c>
      <c r="AZ96" s="128">
        <f t="shared" si="176"/>
        <v>117654.15000000001</v>
      </c>
      <c r="BA96" s="128" t="str">
        <f t="shared" si="177"/>
        <v>nie</v>
      </c>
      <c r="BB96" s="128">
        <f t="shared" si="178"/>
        <v>820.4</v>
      </c>
      <c r="BC96" s="128">
        <f t="shared" si="158"/>
        <v>116903.33750000001</v>
      </c>
      <c r="BD96" s="128">
        <f t="shared" si="179"/>
        <v>367.86150000000708</v>
      </c>
      <c r="BE96" s="130">
        <f t="shared" si="51"/>
        <v>4.4999999999999998E-2</v>
      </c>
      <c r="BF96" s="128">
        <f t="shared" si="180"/>
        <v>1912.597804203413</v>
      </c>
      <c r="BG96" s="128">
        <f t="shared" si="159"/>
        <v>118448.07380420342</v>
      </c>
      <c r="BI96" s="124">
        <f t="shared" si="124"/>
        <v>53</v>
      </c>
      <c r="BJ96" s="130">
        <f t="shared" si="242"/>
        <v>4.3200000000000002E-2</v>
      </c>
      <c r="BK96" s="127">
        <f t="shared" si="232"/>
        <v>1126</v>
      </c>
      <c r="BL96" s="128">
        <f t="shared" si="233"/>
        <v>112487.40000000001</v>
      </c>
      <c r="BM96" s="128">
        <f t="shared" si="142"/>
        <v>112600</v>
      </c>
      <c r="BN96" s="128">
        <f t="shared" si="234"/>
        <v>118117.4</v>
      </c>
      <c r="BO96" s="130">
        <f t="shared" si="181"/>
        <v>4.9000000000000002E-2</v>
      </c>
      <c r="BP96" s="128">
        <f t="shared" si="182"/>
        <v>120528.96358333333</v>
      </c>
      <c r="BQ96" s="128" t="str">
        <f t="shared" si="183"/>
        <v>nie</v>
      </c>
      <c r="BR96" s="128">
        <f t="shared" si="184"/>
        <v>1126</v>
      </c>
      <c r="BS96" s="128">
        <f t="shared" si="153"/>
        <v>118110.40050249999</v>
      </c>
      <c r="BT96" s="128">
        <f t="shared" si="128"/>
        <v>0</v>
      </c>
      <c r="BU96" s="130">
        <f t="shared" si="185"/>
        <v>4.4999999999999998E-2</v>
      </c>
      <c r="BV96" s="128">
        <f t="shared" si="60"/>
        <v>13.237803145981161</v>
      </c>
      <c r="BW96" s="128">
        <f t="shared" si="243"/>
        <v>118123.63830564597</v>
      </c>
      <c r="BY96" s="130">
        <f t="shared" si="244"/>
        <v>2.9000000000000001E-2</v>
      </c>
      <c r="BZ96" s="127">
        <f t="shared" si="235"/>
        <v>1159</v>
      </c>
      <c r="CA96" s="128">
        <f t="shared" si="236"/>
        <v>115796.40000000001</v>
      </c>
      <c r="CB96" s="128">
        <f t="shared" si="154"/>
        <v>115900</v>
      </c>
      <c r="CC96" s="128">
        <f t="shared" si="131"/>
        <v>115900</v>
      </c>
      <c r="CD96" s="130">
        <f t="shared" si="186"/>
        <v>5.2499999999999998E-2</v>
      </c>
      <c r="CE96" s="128">
        <f t="shared" si="187"/>
        <v>118435.31250000001</v>
      </c>
      <c r="CF96" s="128" t="str">
        <f t="shared" si="188"/>
        <v>nie</v>
      </c>
      <c r="CG96" s="128">
        <f t="shared" si="189"/>
        <v>2318</v>
      </c>
      <c r="CH96" s="128">
        <f t="shared" si="160"/>
        <v>116076.02312500001</v>
      </c>
      <c r="CI96" s="128">
        <f t="shared" si="190"/>
        <v>0</v>
      </c>
      <c r="CJ96" s="130">
        <f t="shared" si="68"/>
        <v>4.4999999999999998E-2</v>
      </c>
      <c r="CK96" s="128">
        <f t="shared" si="191"/>
        <v>40.508338014909164</v>
      </c>
      <c r="CL96" s="128">
        <f t="shared" si="192"/>
        <v>116116.53146301492</v>
      </c>
      <c r="CN96" s="127">
        <f t="shared" si="237"/>
        <v>1000</v>
      </c>
      <c r="CO96" s="128">
        <f t="shared" si="238"/>
        <v>100000</v>
      </c>
      <c r="CP96" s="128">
        <f t="shared" si="134"/>
        <v>100000</v>
      </c>
      <c r="CQ96" s="128">
        <f t="shared" si="239"/>
        <v>122069.40863175</v>
      </c>
      <c r="CR96" s="130">
        <f t="shared" si="193"/>
        <v>4.9000000000000002E-2</v>
      </c>
      <c r="CS96" s="128">
        <f t="shared" si="194"/>
        <v>124561.65905798158</v>
      </c>
      <c r="CT96" s="128" t="str">
        <f t="shared" si="195"/>
        <v>nie</v>
      </c>
      <c r="CU96" s="128">
        <f t="shared" si="196"/>
        <v>3000</v>
      </c>
      <c r="CV96" s="128">
        <f t="shared" si="197"/>
        <v>117464.94383696507</v>
      </c>
      <c r="CW96" s="128">
        <f t="shared" si="76"/>
        <v>0</v>
      </c>
      <c r="CX96" s="130">
        <f t="shared" si="198"/>
        <v>4.4999999999999998E-2</v>
      </c>
      <c r="CY96" s="128">
        <f t="shared" si="199"/>
        <v>0</v>
      </c>
      <c r="CZ96" s="128">
        <f t="shared" si="200"/>
        <v>117464.94383696507</v>
      </c>
      <c r="DA96" s="20"/>
      <c r="DB96" s="127">
        <f t="shared" si="144"/>
        <v>1000</v>
      </c>
      <c r="DC96" s="128">
        <f t="shared" si="145"/>
        <v>100000</v>
      </c>
      <c r="DD96" s="128">
        <f t="shared" si="136"/>
        <v>100000</v>
      </c>
      <c r="DE96" s="128">
        <f t="shared" si="240"/>
        <v>121723.11243704997</v>
      </c>
      <c r="DF96" s="130">
        <f t="shared" si="201"/>
        <v>4.9000000000000002E-2</v>
      </c>
      <c r="DG96" s="128">
        <f t="shared" si="202"/>
        <v>124208.29264930642</v>
      </c>
      <c r="DH96" s="128" t="str">
        <f t="shared" si="203"/>
        <v>nie</v>
      </c>
      <c r="DI96" s="128">
        <f t="shared" si="204"/>
        <v>2000</v>
      </c>
      <c r="DJ96" s="128">
        <f t="shared" si="205"/>
        <v>117988.71704593819</v>
      </c>
      <c r="DK96" s="128">
        <f t="shared" si="85"/>
        <v>0</v>
      </c>
      <c r="DL96" s="130">
        <f t="shared" si="206"/>
        <v>4.4999999999999998E-2</v>
      </c>
      <c r="DM96" s="128">
        <f t="shared" si="207"/>
        <v>0</v>
      </c>
      <c r="DN96" s="128">
        <f t="shared" si="208"/>
        <v>117988.71704593819</v>
      </c>
      <c r="DP96" s="127">
        <f t="shared" si="146"/>
        <v>1000</v>
      </c>
      <c r="DQ96" s="128">
        <f t="shared" si="147"/>
        <v>100000</v>
      </c>
      <c r="DR96" s="128">
        <f t="shared" si="138"/>
        <v>100000</v>
      </c>
      <c r="DS96" s="128">
        <f t="shared" si="241"/>
        <v>124115.97918400001</v>
      </c>
      <c r="DT96" s="130">
        <f t="shared" si="209"/>
        <v>5.4000000000000006E-2</v>
      </c>
      <c r="DU96" s="128">
        <f t="shared" si="210"/>
        <v>126908.58871564001</v>
      </c>
      <c r="DV96" s="128" t="str">
        <f t="shared" si="211"/>
        <v>nie</v>
      </c>
      <c r="DW96" s="128">
        <f t="shared" si="212"/>
        <v>3000</v>
      </c>
      <c r="DX96" s="128">
        <f t="shared" si="93"/>
        <v>119365.95685966841</v>
      </c>
      <c r="DY96" s="128">
        <f t="shared" si="94"/>
        <v>0</v>
      </c>
      <c r="DZ96" s="130">
        <f t="shared" si="213"/>
        <v>4.4999999999999998E-2</v>
      </c>
      <c r="EA96" s="128">
        <f t="shared" si="214"/>
        <v>0</v>
      </c>
      <c r="EB96" s="128">
        <f t="shared" si="215"/>
        <v>119365.95685966841</v>
      </c>
    </row>
    <row r="97" spans="1:132">
      <c r="A97" s="212"/>
      <c r="B97" s="188">
        <f t="shared" si="216"/>
        <v>53</v>
      </c>
      <c r="C97" s="128">
        <f t="shared" si="217"/>
        <v>119136.30938597069</v>
      </c>
      <c r="D97" s="128">
        <f t="shared" si="218"/>
        <v>118448.07380420342</v>
      </c>
      <c r="E97" s="128">
        <f t="shared" si="219"/>
        <v>118123.63830564597</v>
      </c>
      <c r="F97" s="128">
        <f t="shared" si="220"/>
        <v>116116.53146301492</v>
      </c>
      <c r="G97" s="128">
        <f t="shared" si="221"/>
        <v>117464.94383696507</v>
      </c>
      <c r="H97" s="128">
        <f t="shared" si="222"/>
        <v>117988.71704593819</v>
      </c>
      <c r="I97" s="128">
        <f t="shared" si="223"/>
        <v>119365.95685966841</v>
      </c>
      <c r="J97" s="128">
        <f t="shared" si="224"/>
        <v>117438.36939721326</v>
      </c>
      <c r="K97" s="128">
        <f t="shared" si="225"/>
        <v>113469.14231289788</v>
      </c>
      <c r="M97" s="36"/>
      <c r="N97" s="32">
        <f t="shared" si="226"/>
        <v>53</v>
      </c>
      <c r="O97" s="25">
        <f t="shared" si="109"/>
        <v>0.19136309385970685</v>
      </c>
      <c r="P97" s="25">
        <f t="shared" si="110"/>
        <v>0.18448073804203413</v>
      </c>
      <c r="Q97" s="25">
        <f t="shared" si="111"/>
        <v>0.18123638305645984</v>
      </c>
      <c r="R97" s="25">
        <f t="shared" si="161"/>
        <v>0.16116531463014927</v>
      </c>
      <c r="S97" s="25">
        <f t="shared" si="162"/>
        <v>0.17464943836965063</v>
      </c>
      <c r="T97" s="25">
        <f t="shared" si="163"/>
        <v>0.17988717045938185</v>
      </c>
      <c r="U97" s="25">
        <f t="shared" si="164"/>
        <v>0.19365956859668421</v>
      </c>
      <c r="V97" s="25">
        <f t="shared" si="165"/>
        <v>0.1743836939721326</v>
      </c>
      <c r="W97" s="25">
        <f t="shared" si="166"/>
        <v>0.13469142312897886</v>
      </c>
      <c r="X97" s="36"/>
      <c r="Y97" s="36"/>
      <c r="AA97" s="124">
        <f t="shared" si="113"/>
        <v>54</v>
      </c>
      <c r="AB97" s="128">
        <f t="shared" si="167"/>
        <v>113740.08550985744</v>
      </c>
      <c r="AC97" s="124">
        <f t="shared" si="114"/>
        <v>54</v>
      </c>
      <c r="AD97" s="130">
        <f t="shared" si="227"/>
        <v>4.4999999999999998E-2</v>
      </c>
      <c r="AE97" s="127">
        <f t="shared" si="228"/>
        <v>1178</v>
      </c>
      <c r="AF97" s="128">
        <f t="shared" si="229"/>
        <v>117686.5</v>
      </c>
      <c r="AG97" s="128">
        <f t="shared" si="140"/>
        <v>117800</v>
      </c>
      <c r="AH97" s="128">
        <f t="shared" si="118"/>
        <v>117800</v>
      </c>
      <c r="AI97" s="130">
        <f t="shared" si="168"/>
        <v>4.4999999999999998E-2</v>
      </c>
      <c r="AJ97" s="128">
        <f t="shared" si="169"/>
        <v>118241.74999999999</v>
      </c>
      <c r="AK97" s="128" t="str">
        <f t="shared" si="170"/>
        <v>nie</v>
      </c>
      <c r="AL97" s="128">
        <f t="shared" si="171"/>
        <v>589</v>
      </c>
      <c r="AM97" s="128">
        <f t="shared" si="150"/>
        <v>117680.72749999999</v>
      </c>
      <c r="AN97" s="128">
        <f t="shared" si="172"/>
        <v>357.81749999998823</v>
      </c>
      <c r="AO97" s="130">
        <f t="shared" si="173"/>
        <v>4.4999999999999998E-2</v>
      </c>
      <c r="AP97" s="128">
        <f t="shared" si="174"/>
        <v>2176.7250866055533</v>
      </c>
      <c r="AQ97" s="128">
        <f t="shared" si="156"/>
        <v>119499.63508660556</v>
      </c>
      <c r="AS97" s="124">
        <f t="shared" si="119"/>
        <v>54</v>
      </c>
      <c r="AT97" s="130">
        <f t="shared" si="120"/>
        <v>4.4999999999999998E-2</v>
      </c>
      <c r="AU97" s="127">
        <f t="shared" si="230"/>
        <v>1172</v>
      </c>
      <c r="AV97" s="128">
        <f t="shared" si="231"/>
        <v>117091.3</v>
      </c>
      <c r="AW97" s="128">
        <f t="shared" si="151"/>
        <v>117200</v>
      </c>
      <c r="AX97" s="128">
        <f t="shared" si="123"/>
        <v>117200</v>
      </c>
      <c r="AY97" s="130">
        <f t="shared" si="175"/>
        <v>4.65E-2</v>
      </c>
      <c r="AZ97" s="128">
        <f t="shared" si="176"/>
        <v>117654.15000000001</v>
      </c>
      <c r="BA97" s="128" t="str">
        <f t="shared" si="177"/>
        <v>nie</v>
      </c>
      <c r="BB97" s="128">
        <f t="shared" si="178"/>
        <v>820.4</v>
      </c>
      <c r="BC97" s="128">
        <f t="shared" si="158"/>
        <v>116903.33750000001</v>
      </c>
      <c r="BD97" s="128">
        <f t="shared" si="179"/>
        <v>367.86150000000708</v>
      </c>
      <c r="BE97" s="130">
        <f t="shared" si="51"/>
        <v>4.4999999999999998E-2</v>
      </c>
      <c r="BF97" s="128">
        <f t="shared" si="180"/>
        <v>2286.2688200336879</v>
      </c>
      <c r="BG97" s="128">
        <f t="shared" si="159"/>
        <v>118821.74482003369</v>
      </c>
      <c r="BI97" s="124">
        <f t="shared" si="124"/>
        <v>54</v>
      </c>
      <c r="BJ97" s="130">
        <f t="shared" si="242"/>
        <v>4.3200000000000002E-2</v>
      </c>
      <c r="BK97" s="127">
        <f t="shared" si="232"/>
        <v>1126</v>
      </c>
      <c r="BL97" s="128">
        <f t="shared" si="233"/>
        <v>112487.40000000001</v>
      </c>
      <c r="BM97" s="128">
        <f t="shared" si="142"/>
        <v>112600</v>
      </c>
      <c r="BN97" s="128">
        <f t="shared" si="234"/>
        <v>118117.4</v>
      </c>
      <c r="BO97" s="130">
        <f t="shared" si="181"/>
        <v>4.9000000000000002E-2</v>
      </c>
      <c r="BP97" s="128">
        <f t="shared" si="182"/>
        <v>121011.27629999998</v>
      </c>
      <c r="BQ97" s="128" t="str">
        <f t="shared" si="183"/>
        <v>nie</v>
      </c>
      <c r="BR97" s="128">
        <f t="shared" si="184"/>
        <v>1126</v>
      </c>
      <c r="BS97" s="128">
        <f t="shared" si="153"/>
        <v>118501.07380299999</v>
      </c>
      <c r="BT97" s="128">
        <f t="shared" si="128"/>
        <v>0</v>
      </c>
      <c r="BU97" s="130">
        <f t="shared" si="185"/>
        <v>4.4999999999999998E-2</v>
      </c>
      <c r="BV97" s="128">
        <f t="shared" si="60"/>
        <v>13.278012973037079</v>
      </c>
      <c r="BW97" s="128">
        <f t="shared" si="243"/>
        <v>118514.35181597303</v>
      </c>
      <c r="BY97" s="130">
        <f t="shared" si="244"/>
        <v>2.9000000000000001E-2</v>
      </c>
      <c r="BZ97" s="127">
        <f t="shared" si="235"/>
        <v>1159</v>
      </c>
      <c r="CA97" s="128">
        <f t="shared" si="236"/>
        <v>115796.40000000001</v>
      </c>
      <c r="CB97" s="128">
        <f t="shared" si="154"/>
        <v>115900</v>
      </c>
      <c r="CC97" s="128">
        <f t="shared" si="131"/>
        <v>115900</v>
      </c>
      <c r="CD97" s="130">
        <f t="shared" si="186"/>
        <v>5.2499999999999998E-2</v>
      </c>
      <c r="CE97" s="128">
        <f t="shared" si="187"/>
        <v>118942.37500000001</v>
      </c>
      <c r="CF97" s="128" t="str">
        <f t="shared" si="188"/>
        <v>nie</v>
      </c>
      <c r="CG97" s="128">
        <f t="shared" si="189"/>
        <v>2318</v>
      </c>
      <c r="CH97" s="128">
        <f t="shared" si="160"/>
        <v>116486.74375000001</v>
      </c>
      <c r="CI97" s="128">
        <f t="shared" si="190"/>
        <v>0</v>
      </c>
      <c r="CJ97" s="130">
        <f t="shared" si="68"/>
        <v>4.4999999999999998E-2</v>
      </c>
      <c r="CK97" s="128">
        <f t="shared" si="191"/>
        <v>40.631382091629455</v>
      </c>
      <c r="CL97" s="128">
        <f t="shared" si="192"/>
        <v>116527.37513209163</v>
      </c>
      <c r="CN97" s="127">
        <f t="shared" si="237"/>
        <v>1000</v>
      </c>
      <c r="CO97" s="128">
        <f t="shared" si="238"/>
        <v>100000</v>
      </c>
      <c r="CP97" s="128">
        <f t="shared" si="134"/>
        <v>100000</v>
      </c>
      <c r="CQ97" s="128">
        <f t="shared" si="239"/>
        <v>122069.40863175</v>
      </c>
      <c r="CR97" s="130">
        <f t="shared" si="193"/>
        <v>4.9000000000000002E-2</v>
      </c>
      <c r="CS97" s="128">
        <f t="shared" si="194"/>
        <v>125060.10914322788</v>
      </c>
      <c r="CT97" s="128" t="str">
        <f t="shared" si="195"/>
        <v>nie</v>
      </c>
      <c r="CU97" s="128">
        <f t="shared" si="196"/>
        <v>3000</v>
      </c>
      <c r="CV97" s="128">
        <f t="shared" si="197"/>
        <v>117868.68840601458</v>
      </c>
      <c r="CW97" s="128">
        <f t="shared" si="76"/>
        <v>0</v>
      </c>
      <c r="CX97" s="130">
        <f t="shared" si="198"/>
        <v>4.4999999999999998E-2</v>
      </c>
      <c r="CY97" s="128">
        <f t="shared" si="199"/>
        <v>0</v>
      </c>
      <c r="CZ97" s="128">
        <f t="shared" si="200"/>
        <v>117868.68840601458</v>
      </c>
      <c r="DA97" s="20"/>
      <c r="DB97" s="127">
        <f t="shared" si="144"/>
        <v>1000</v>
      </c>
      <c r="DC97" s="128">
        <f t="shared" si="145"/>
        <v>100000</v>
      </c>
      <c r="DD97" s="128">
        <f t="shared" si="136"/>
        <v>100000</v>
      </c>
      <c r="DE97" s="128">
        <f t="shared" si="240"/>
        <v>121723.11243704997</v>
      </c>
      <c r="DF97" s="130">
        <f t="shared" si="201"/>
        <v>4.9000000000000002E-2</v>
      </c>
      <c r="DG97" s="128">
        <f t="shared" si="202"/>
        <v>124705.32869175769</v>
      </c>
      <c r="DH97" s="128" t="str">
        <f t="shared" si="203"/>
        <v>nie</v>
      </c>
      <c r="DI97" s="128">
        <f t="shared" si="204"/>
        <v>2000</v>
      </c>
      <c r="DJ97" s="128">
        <f t="shared" si="205"/>
        <v>118391.31624032374</v>
      </c>
      <c r="DK97" s="128">
        <f t="shared" si="85"/>
        <v>0</v>
      </c>
      <c r="DL97" s="130">
        <f t="shared" si="206"/>
        <v>4.4999999999999998E-2</v>
      </c>
      <c r="DM97" s="128">
        <f t="shared" si="207"/>
        <v>0</v>
      </c>
      <c r="DN97" s="128">
        <f t="shared" si="208"/>
        <v>118391.31624032374</v>
      </c>
      <c r="DP97" s="127">
        <f t="shared" si="146"/>
        <v>1000</v>
      </c>
      <c r="DQ97" s="128">
        <f t="shared" si="147"/>
        <v>100000</v>
      </c>
      <c r="DR97" s="128">
        <f t="shared" si="138"/>
        <v>100000</v>
      </c>
      <c r="DS97" s="128">
        <f t="shared" si="241"/>
        <v>124115.97918400001</v>
      </c>
      <c r="DT97" s="130">
        <f t="shared" si="209"/>
        <v>5.4000000000000006E-2</v>
      </c>
      <c r="DU97" s="128">
        <f t="shared" si="210"/>
        <v>127467.11062196799</v>
      </c>
      <c r="DV97" s="128" t="str">
        <f t="shared" si="211"/>
        <v>nie</v>
      </c>
      <c r="DW97" s="128">
        <f t="shared" si="212"/>
        <v>3000</v>
      </c>
      <c r="DX97" s="128">
        <f t="shared" si="93"/>
        <v>119818.35960379407</v>
      </c>
      <c r="DY97" s="128">
        <f t="shared" si="94"/>
        <v>0</v>
      </c>
      <c r="DZ97" s="130">
        <f t="shared" si="213"/>
        <v>4.4999999999999998E-2</v>
      </c>
      <c r="EA97" s="128">
        <f t="shared" si="214"/>
        <v>0</v>
      </c>
      <c r="EB97" s="128">
        <f t="shared" si="215"/>
        <v>119818.35960379407</v>
      </c>
    </row>
    <row r="98" spans="1:132">
      <c r="A98" s="212"/>
      <c r="B98" s="188">
        <f t="shared" si="216"/>
        <v>54</v>
      </c>
      <c r="C98" s="128">
        <f t="shared" si="217"/>
        <v>119499.63508660556</v>
      </c>
      <c r="D98" s="128">
        <f t="shared" si="218"/>
        <v>118821.74482003369</v>
      </c>
      <c r="E98" s="128">
        <f t="shared" si="219"/>
        <v>118514.35181597303</v>
      </c>
      <c r="F98" s="128">
        <f t="shared" si="220"/>
        <v>116527.37513209163</v>
      </c>
      <c r="G98" s="128">
        <f t="shared" si="221"/>
        <v>117868.68840601458</v>
      </c>
      <c r="H98" s="128">
        <f t="shared" si="222"/>
        <v>118391.31624032374</v>
      </c>
      <c r="I98" s="128">
        <f t="shared" si="223"/>
        <v>119818.35960379407</v>
      </c>
      <c r="J98" s="128">
        <f t="shared" si="224"/>
        <v>117795.0884442573</v>
      </c>
      <c r="K98" s="128">
        <f t="shared" si="225"/>
        <v>113740.08550985744</v>
      </c>
      <c r="M98" s="36"/>
      <c r="N98" s="32">
        <f t="shared" si="226"/>
        <v>54</v>
      </c>
      <c r="O98" s="25">
        <f t="shared" si="109"/>
        <v>0.19499635086605549</v>
      </c>
      <c r="P98" s="25">
        <f t="shared" si="110"/>
        <v>0.18821744820033692</v>
      </c>
      <c r="Q98" s="25">
        <f t="shared" si="111"/>
        <v>0.18514351815973029</v>
      </c>
      <c r="R98" s="25">
        <f t="shared" si="161"/>
        <v>0.16527375132091637</v>
      </c>
      <c r="S98" s="25">
        <f t="shared" si="162"/>
        <v>0.17868688406014588</v>
      </c>
      <c r="T98" s="25">
        <f t="shared" si="163"/>
        <v>0.1839131624032373</v>
      </c>
      <c r="U98" s="25">
        <f t="shared" si="164"/>
        <v>0.19818359603794078</v>
      </c>
      <c r="V98" s="25">
        <f t="shared" si="165"/>
        <v>0.17795088444257301</v>
      </c>
      <c r="W98" s="25">
        <f t="shared" si="166"/>
        <v>0.13740085509857436</v>
      </c>
      <c r="X98" s="36"/>
      <c r="Y98" s="36"/>
      <c r="AA98" s="124">
        <f t="shared" si="113"/>
        <v>55</v>
      </c>
      <c r="AB98" s="128">
        <f t="shared" si="167"/>
        <v>114011.02870681701</v>
      </c>
      <c r="AC98" s="124">
        <f t="shared" si="114"/>
        <v>55</v>
      </c>
      <c r="AD98" s="130">
        <f t="shared" si="227"/>
        <v>4.4999999999999998E-2</v>
      </c>
      <c r="AE98" s="127">
        <f t="shared" si="228"/>
        <v>1178</v>
      </c>
      <c r="AF98" s="128">
        <f t="shared" si="229"/>
        <v>117686.5</v>
      </c>
      <c r="AG98" s="128">
        <f t="shared" si="140"/>
        <v>117800</v>
      </c>
      <c r="AH98" s="128">
        <f t="shared" si="118"/>
        <v>117800</v>
      </c>
      <c r="AI98" s="130">
        <f t="shared" si="168"/>
        <v>4.4999999999999998E-2</v>
      </c>
      <c r="AJ98" s="128">
        <f t="shared" si="169"/>
        <v>118241.74999999999</v>
      </c>
      <c r="AK98" s="128" t="str">
        <f t="shared" si="170"/>
        <v>nie</v>
      </c>
      <c r="AL98" s="128">
        <f t="shared" si="171"/>
        <v>589</v>
      </c>
      <c r="AM98" s="128">
        <f t="shared" si="150"/>
        <v>117680.72749999999</v>
      </c>
      <c r="AN98" s="128">
        <f t="shared" si="172"/>
        <v>357.81749999998823</v>
      </c>
      <c r="AO98" s="130">
        <f t="shared" si="173"/>
        <v>4.4999999999999998E-2</v>
      </c>
      <c r="AP98" s="128">
        <f t="shared" si="174"/>
        <v>2541.1543890561061</v>
      </c>
      <c r="AQ98" s="128">
        <f t="shared" si="156"/>
        <v>119864.06438905612</v>
      </c>
      <c r="AS98" s="124">
        <f t="shared" si="119"/>
        <v>55</v>
      </c>
      <c r="AT98" s="130">
        <f t="shared" si="120"/>
        <v>4.4999999999999998E-2</v>
      </c>
      <c r="AU98" s="127">
        <f t="shared" si="230"/>
        <v>1172</v>
      </c>
      <c r="AV98" s="128">
        <f t="shared" si="231"/>
        <v>117091.3</v>
      </c>
      <c r="AW98" s="128">
        <f t="shared" si="151"/>
        <v>117200</v>
      </c>
      <c r="AX98" s="128">
        <f t="shared" si="123"/>
        <v>117200</v>
      </c>
      <c r="AY98" s="130">
        <f t="shared" si="175"/>
        <v>4.65E-2</v>
      </c>
      <c r="AZ98" s="128">
        <f t="shared" si="176"/>
        <v>117654.15000000001</v>
      </c>
      <c r="BA98" s="128" t="str">
        <f t="shared" si="177"/>
        <v>nie</v>
      </c>
      <c r="BB98" s="128">
        <f t="shared" si="178"/>
        <v>820.4</v>
      </c>
      <c r="BC98" s="128">
        <f t="shared" si="158"/>
        <v>116903.33750000001</v>
      </c>
      <c r="BD98" s="128">
        <f t="shared" si="179"/>
        <v>367.86150000000708</v>
      </c>
      <c r="BE98" s="130">
        <f t="shared" si="51"/>
        <v>4.4999999999999998E-2</v>
      </c>
      <c r="BF98" s="128">
        <f t="shared" si="180"/>
        <v>2661.0748615745474</v>
      </c>
      <c r="BG98" s="128">
        <f t="shared" si="159"/>
        <v>119196.55086157455</v>
      </c>
      <c r="BI98" s="124">
        <f t="shared" si="124"/>
        <v>55</v>
      </c>
      <c r="BJ98" s="130">
        <f t="shared" si="242"/>
        <v>4.3200000000000002E-2</v>
      </c>
      <c r="BK98" s="127">
        <f t="shared" si="232"/>
        <v>1126</v>
      </c>
      <c r="BL98" s="128">
        <f t="shared" si="233"/>
        <v>112487.40000000001</v>
      </c>
      <c r="BM98" s="128">
        <f t="shared" si="142"/>
        <v>112600</v>
      </c>
      <c r="BN98" s="128">
        <f t="shared" si="234"/>
        <v>118117.4</v>
      </c>
      <c r="BO98" s="130">
        <f t="shared" si="181"/>
        <v>4.9000000000000002E-2</v>
      </c>
      <c r="BP98" s="128">
        <f t="shared" si="182"/>
        <v>121493.58901666666</v>
      </c>
      <c r="BQ98" s="128" t="str">
        <f t="shared" si="183"/>
        <v>nie</v>
      </c>
      <c r="BR98" s="128">
        <f t="shared" si="184"/>
        <v>1126</v>
      </c>
      <c r="BS98" s="128">
        <f t="shared" si="153"/>
        <v>118891.74710350001</v>
      </c>
      <c r="BT98" s="128">
        <f t="shared" si="128"/>
        <v>0</v>
      </c>
      <c r="BU98" s="130">
        <f t="shared" si="185"/>
        <v>4.4999999999999998E-2</v>
      </c>
      <c r="BV98" s="128">
        <f t="shared" si="60"/>
        <v>13.31834493744268</v>
      </c>
      <c r="BW98" s="128">
        <f t="shared" si="243"/>
        <v>118905.06544843745</v>
      </c>
      <c r="BY98" s="130">
        <f t="shared" si="244"/>
        <v>2.9000000000000001E-2</v>
      </c>
      <c r="BZ98" s="127">
        <f t="shared" si="235"/>
        <v>1159</v>
      </c>
      <c r="CA98" s="128">
        <f t="shared" si="236"/>
        <v>115796.40000000001</v>
      </c>
      <c r="CB98" s="128">
        <f t="shared" si="154"/>
        <v>115900</v>
      </c>
      <c r="CC98" s="128">
        <f t="shared" si="131"/>
        <v>115900</v>
      </c>
      <c r="CD98" s="130">
        <f t="shared" si="186"/>
        <v>5.2499999999999998E-2</v>
      </c>
      <c r="CE98" s="128">
        <f t="shared" si="187"/>
        <v>119449.43749999999</v>
      </c>
      <c r="CF98" s="128" t="str">
        <f t="shared" si="188"/>
        <v>nie</v>
      </c>
      <c r="CG98" s="128">
        <f t="shared" si="189"/>
        <v>2318</v>
      </c>
      <c r="CH98" s="128">
        <f t="shared" si="160"/>
        <v>116897.46437499998</v>
      </c>
      <c r="CI98" s="128">
        <f t="shared" si="190"/>
        <v>0</v>
      </c>
      <c r="CJ98" s="130">
        <f t="shared" si="68"/>
        <v>4.4999999999999998E-2</v>
      </c>
      <c r="CK98" s="128">
        <f t="shared" si="191"/>
        <v>40.754799914732779</v>
      </c>
      <c r="CL98" s="128">
        <f t="shared" si="192"/>
        <v>116938.21917491472</v>
      </c>
      <c r="CN98" s="127">
        <f t="shared" si="237"/>
        <v>1000</v>
      </c>
      <c r="CO98" s="128">
        <f t="shared" si="238"/>
        <v>100000</v>
      </c>
      <c r="CP98" s="128">
        <f t="shared" si="134"/>
        <v>100000</v>
      </c>
      <c r="CQ98" s="128">
        <f t="shared" si="239"/>
        <v>122069.40863175</v>
      </c>
      <c r="CR98" s="130">
        <f t="shared" si="193"/>
        <v>4.9000000000000002E-2</v>
      </c>
      <c r="CS98" s="128">
        <f t="shared" si="194"/>
        <v>125558.5592284742</v>
      </c>
      <c r="CT98" s="128" t="str">
        <f t="shared" si="195"/>
        <v>nie</v>
      </c>
      <c r="CU98" s="128">
        <f t="shared" si="196"/>
        <v>3000</v>
      </c>
      <c r="CV98" s="128">
        <f t="shared" si="197"/>
        <v>118272.4329750641</v>
      </c>
      <c r="CW98" s="128">
        <f t="shared" si="76"/>
        <v>0</v>
      </c>
      <c r="CX98" s="130">
        <f t="shared" si="198"/>
        <v>4.4999999999999998E-2</v>
      </c>
      <c r="CY98" s="128">
        <f t="shared" si="199"/>
        <v>0</v>
      </c>
      <c r="CZ98" s="128">
        <f t="shared" si="200"/>
        <v>118272.4329750641</v>
      </c>
      <c r="DA98" s="20"/>
      <c r="DB98" s="127">
        <f t="shared" si="144"/>
        <v>1000</v>
      </c>
      <c r="DC98" s="128">
        <f t="shared" si="145"/>
        <v>100000</v>
      </c>
      <c r="DD98" s="128">
        <f t="shared" si="136"/>
        <v>100000</v>
      </c>
      <c r="DE98" s="128">
        <f t="shared" si="240"/>
        <v>121723.11243704997</v>
      </c>
      <c r="DF98" s="130">
        <f t="shared" si="201"/>
        <v>4.9000000000000002E-2</v>
      </c>
      <c r="DG98" s="128">
        <f t="shared" si="202"/>
        <v>125202.364734209</v>
      </c>
      <c r="DH98" s="128" t="str">
        <f t="shared" si="203"/>
        <v>nie</v>
      </c>
      <c r="DI98" s="128">
        <f t="shared" si="204"/>
        <v>2000</v>
      </c>
      <c r="DJ98" s="128">
        <f t="shared" si="205"/>
        <v>118793.91543470928</v>
      </c>
      <c r="DK98" s="128">
        <f t="shared" si="85"/>
        <v>0</v>
      </c>
      <c r="DL98" s="130">
        <f t="shared" si="206"/>
        <v>4.4999999999999998E-2</v>
      </c>
      <c r="DM98" s="128">
        <f t="shared" si="207"/>
        <v>0</v>
      </c>
      <c r="DN98" s="128">
        <f t="shared" si="208"/>
        <v>118793.91543470928</v>
      </c>
      <c r="DP98" s="127">
        <f t="shared" si="146"/>
        <v>1000</v>
      </c>
      <c r="DQ98" s="128">
        <f t="shared" si="147"/>
        <v>100000</v>
      </c>
      <c r="DR98" s="128">
        <f t="shared" si="138"/>
        <v>100000</v>
      </c>
      <c r="DS98" s="128">
        <f t="shared" si="241"/>
        <v>124115.97918400001</v>
      </c>
      <c r="DT98" s="130">
        <f t="shared" si="209"/>
        <v>5.4000000000000006E-2</v>
      </c>
      <c r="DU98" s="128">
        <f t="shared" si="210"/>
        <v>128025.63252829602</v>
      </c>
      <c r="DV98" s="128" t="str">
        <f t="shared" si="211"/>
        <v>nie</v>
      </c>
      <c r="DW98" s="128">
        <f t="shared" si="212"/>
        <v>3000</v>
      </c>
      <c r="DX98" s="128">
        <f t="shared" si="93"/>
        <v>120270.76234791978</v>
      </c>
      <c r="DY98" s="128">
        <f t="shared" si="94"/>
        <v>0</v>
      </c>
      <c r="DZ98" s="130">
        <f t="shared" si="213"/>
        <v>4.4999999999999998E-2</v>
      </c>
      <c r="EA98" s="128">
        <f t="shared" si="214"/>
        <v>0</v>
      </c>
      <c r="EB98" s="128">
        <f t="shared" si="215"/>
        <v>120270.76234791978</v>
      </c>
    </row>
    <row r="99" spans="1:132">
      <c r="A99" s="212"/>
      <c r="B99" s="188">
        <f t="shared" si="216"/>
        <v>55</v>
      </c>
      <c r="C99" s="128">
        <f t="shared" si="217"/>
        <v>119864.06438905612</v>
      </c>
      <c r="D99" s="128">
        <f t="shared" si="218"/>
        <v>119196.55086157455</v>
      </c>
      <c r="E99" s="128">
        <f t="shared" si="219"/>
        <v>118905.06544843745</v>
      </c>
      <c r="F99" s="128">
        <f t="shared" si="220"/>
        <v>116938.21917491472</v>
      </c>
      <c r="G99" s="128">
        <f t="shared" si="221"/>
        <v>118272.4329750641</v>
      </c>
      <c r="H99" s="128">
        <f t="shared" si="222"/>
        <v>118793.91543470928</v>
      </c>
      <c r="I99" s="128">
        <f t="shared" si="223"/>
        <v>120270.76234791978</v>
      </c>
      <c r="J99" s="128">
        <f t="shared" si="224"/>
        <v>118152.89102540673</v>
      </c>
      <c r="K99" s="128">
        <f t="shared" si="225"/>
        <v>114011.02870681701</v>
      </c>
      <c r="M99" s="36"/>
      <c r="N99" s="32">
        <f t="shared" si="226"/>
        <v>55</v>
      </c>
      <c r="O99" s="25">
        <f t="shared" si="109"/>
        <v>0.19864064389056124</v>
      </c>
      <c r="P99" s="25">
        <f t="shared" si="110"/>
        <v>0.19196550861574546</v>
      </c>
      <c r="Q99" s="25">
        <f t="shared" si="111"/>
        <v>0.18905065448437464</v>
      </c>
      <c r="R99" s="25">
        <f t="shared" si="161"/>
        <v>0.16938219174914715</v>
      </c>
      <c r="S99" s="25">
        <f t="shared" si="162"/>
        <v>0.18272432975064112</v>
      </c>
      <c r="T99" s="25">
        <f t="shared" si="163"/>
        <v>0.18793915434709274</v>
      </c>
      <c r="U99" s="25">
        <f t="shared" si="164"/>
        <v>0.2027076234791978</v>
      </c>
      <c r="V99" s="25">
        <f t="shared" si="165"/>
        <v>0.18152891025406737</v>
      </c>
      <c r="W99" s="25">
        <f t="shared" si="166"/>
        <v>0.14011028706817008</v>
      </c>
      <c r="X99" s="36"/>
      <c r="Y99" s="36"/>
      <c r="AA99" s="124">
        <f t="shared" si="113"/>
        <v>56</v>
      </c>
      <c r="AB99" s="128">
        <f t="shared" si="167"/>
        <v>114281.9719037766</v>
      </c>
      <c r="AC99" s="124">
        <f t="shared" si="114"/>
        <v>56</v>
      </c>
      <c r="AD99" s="130">
        <f t="shared" si="227"/>
        <v>4.4999999999999998E-2</v>
      </c>
      <c r="AE99" s="127">
        <f t="shared" si="228"/>
        <v>1178</v>
      </c>
      <c r="AF99" s="128">
        <f t="shared" si="229"/>
        <v>117686.5</v>
      </c>
      <c r="AG99" s="128">
        <f t="shared" si="140"/>
        <v>117800</v>
      </c>
      <c r="AH99" s="128">
        <f t="shared" si="118"/>
        <v>117800</v>
      </c>
      <c r="AI99" s="130">
        <f t="shared" si="168"/>
        <v>4.4999999999999998E-2</v>
      </c>
      <c r="AJ99" s="128">
        <f t="shared" si="169"/>
        <v>118241.74999999999</v>
      </c>
      <c r="AK99" s="128" t="str">
        <f t="shared" si="170"/>
        <v>nie</v>
      </c>
      <c r="AL99" s="128">
        <f t="shared" si="171"/>
        <v>589</v>
      </c>
      <c r="AM99" s="128">
        <f t="shared" si="150"/>
        <v>117680.72749999999</v>
      </c>
      <c r="AN99" s="128">
        <f t="shared" si="172"/>
        <v>357.81749999998823</v>
      </c>
      <c r="AO99" s="130">
        <f t="shared" si="173"/>
        <v>4.4999999999999998E-2</v>
      </c>
      <c r="AP99" s="128">
        <f t="shared" si="174"/>
        <v>2906.6906455128524</v>
      </c>
      <c r="AQ99" s="128">
        <f t="shared" si="156"/>
        <v>120229.60064551285</v>
      </c>
      <c r="AS99" s="124">
        <f t="shared" si="119"/>
        <v>56</v>
      </c>
      <c r="AT99" s="130">
        <f t="shared" si="120"/>
        <v>4.4999999999999998E-2</v>
      </c>
      <c r="AU99" s="127">
        <f t="shared" si="230"/>
        <v>1172</v>
      </c>
      <c r="AV99" s="128">
        <f t="shared" si="231"/>
        <v>117091.3</v>
      </c>
      <c r="AW99" s="128">
        <f t="shared" si="151"/>
        <v>117200</v>
      </c>
      <c r="AX99" s="128">
        <f t="shared" si="123"/>
        <v>117200</v>
      </c>
      <c r="AY99" s="130">
        <f t="shared" si="175"/>
        <v>4.65E-2</v>
      </c>
      <c r="AZ99" s="128">
        <f t="shared" si="176"/>
        <v>117654.15000000001</v>
      </c>
      <c r="BA99" s="128" t="str">
        <f t="shared" si="177"/>
        <v>nie</v>
      </c>
      <c r="BB99" s="128">
        <f t="shared" si="178"/>
        <v>820.4</v>
      </c>
      <c r="BC99" s="128">
        <f t="shared" si="158"/>
        <v>116903.33750000001</v>
      </c>
      <c r="BD99" s="128">
        <f t="shared" si="179"/>
        <v>367.86150000000708</v>
      </c>
      <c r="BE99" s="130">
        <f t="shared" si="51"/>
        <v>4.4999999999999998E-2</v>
      </c>
      <c r="BF99" s="128">
        <f t="shared" si="180"/>
        <v>3037.0193764665873</v>
      </c>
      <c r="BG99" s="128">
        <f t="shared" si="159"/>
        <v>119572.49537646658</v>
      </c>
      <c r="BI99" s="124">
        <f t="shared" si="124"/>
        <v>56</v>
      </c>
      <c r="BJ99" s="130">
        <f t="shared" si="242"/>
        <v>4.3200000000000002E-2</v>
      </c>
      <c r="BK99" s="127">
        <f t="shared" si="232"/>
        <v>1126</v>
      </c>
      <c r="BL99" s="128">
        <f t="shared" si="233"/>
        <v>112487.40000000001</v>
      </c>
      <c r="BM99" s="128">
        <f t="shared" si="142"/>
        <v>112600</v>
      </c>
      <c r="BN99" s="128">
        <f t="shared" si="234"/>
        <v>118117.4</v>
      </c>
      <c r="BO99" s="130">
        <f t="shared" si="181"/>
        <v>4.9000000000000002E-2</v>
      </c>
      <c r="BP99" s="128">
        <f t="shared" si="182"/>
        <v>121975.90173333332</v>
      </c>
      <c r="BQ99" s="128" t="str">
        <f t="shared" si="183"/>
        <v>nie</v>
      </c>
      <c r="BR99" s="128">
        <f t="shared" si="184"/>
        <v>1126</v>
      </c>
      <c r="BS99" s="128">
        <f t="shared" si="153"/>
        <v>119282.42040399999</v>
      </c>
      <c r="BT99" s="128">
        <f t="shared" si="128"/>
        <v>0</v>
      </c>
      <c r="BU99" s="130">
        <f t="shared" si="185"/>
        <v>4.4999999999999998E-2</v>
      </c>
      <c r="BV99" s="128">
        <f t="shared" si="60"/>
        <v>13.358799410190162</v>
      </c>
      <c r="BW99" s="128">
        <f t="shared" si="243"/>
        <v>119295.77920341017</v>
      </c>
      <c r="BY99" s="130">
        <f t="shared" si="244"/>
        <v>2.9000000000000001E-2</v>
      </c>
      <c r="BZ99" s="127">
        <f t="shared" si="235"/>
        <v>1159</v>
      </c>
      <c r="CA99" s="128">
        <f t="shared" si="236"/>
        <v>115796.40000000001</v>
      </c>
      <c r="CB99" s="128">
        <f t="shared" si="154"/>
        <v>115900</v>
      </c>
      <c r="CC99" s="128">
        <f t="shared" si="131"/>
        <v>115900</v>
      </c>
      <c r="CD99" s="130">
        <f t="shared" si="186"/>
        <v>5.2499999999999998E-2</v>
      </c>
      <c r="CE99" s="128">
        <f t="shared" si="187"/>
        <v>119956.49999999999</v>
      </c>
      <c r="CF99" s="128" t="str">
        <f t="shared" si="188"/>
        <v>nie</v>
      </c>
      <c r="CG99" s="128">
        <f t="shared" si="189"/>
        <v>2318</v>
      </c>
      <c r="CH99" s="128">
        <f t="shared" si="160"/>
        <v>117308.18499999998</v>
      </c>
      <c r="CI99" s="128">
        <f t="shared" si="190"/>
        <v>0</v>
      </c>
      <c r="CJ99" s="130">
        <f t="shared" si="68"/>
        <v>4.4999999999999998E-2</v>
      </c>
      <c r="CK99" s="128">
        <f t="shared" si="191"/>
        <v>40.878592619473778</v>
      </c>
      <c r="CL99" s="128">
        <f t="shared" si="192"/>
        <v>117349.06359261945</v>
      </c>
      <c r="CN99" s="127">
        <f t="shared" si="237"/>
        <v>1000</v>
      </c>
      <c r="CO99" s="128">
        <f t="shared" si="238"/>
        <v>100000</v>
      </c>
      <c r="CP99" s="128">
        <f t="shared" si="134"/>
        <v>100000</v>
      </c>
      <c r="CQ99" s="128">
        <f t="shared" si="239"/>
        <v>122069.40863175</v>
      </c>
      <c r="CR99" s="130">
        <f t="shared" si="193"/>
        <v>4.9000000000000002E-2</v>
      </c>
      <c r="CS99" s="128">
        <f t="shared" si="194"/>
        <v>126057.0093137205</v>
      </c>
      <c r="CT99" s="128" t="str">
        <f t="shared" si="195"/>
        <v>nie</v>
      </c>
      <c r="CU99" s="128">
        <f t="shared" si="196"/>
        <v>3000</v>
      </c>
      <c r="CV99" s="128">
        <f t="shared" si="197"/>
        <v>118676.1775441136</v>
      </c>
      <c r="CW99" s="128">
        <f t="shared" si="76"/>
        <v>0</v>
      </c>
      <c r="CX99" s="130">
        <f t="shared" si="198"/>
        <v>4.4999999999999998E-2</v>
      </c>
      <c r="CY99" s="128">
        <f t="shared" si="199"/>
        <v>0</v>
      </c>
      <c r="CZ99" s="128">
        <f t="shared" si="200"/>
        <v>118676.1775441136</v>
      </c>
      <c r="DA99" s="20"/>
      <c r="DB99" s="127">
        <f t="shared" si="144"/>
        <v>1000</v>
      </c>
      <c r="DC99" s="128">
        <f t="shared" si="145"/>
        <v>100000</v>
      </c>
      <c r="DD99" s="128">
        <f t="shared" si="136"/>
        <v>100000</v>
      </c>
      <c r="DE99" s="128">
        <f t="shared" si="240"/>
        <v>121723.11243704997</v>
      </c>
      <c r="DF99" s="130">
        <f t="shared" si="201"/>
        <v>4.9000000000000002E-2</v>
      </c>
      <c r="DG99" s="128">
        <f t="shared" si="202"/>
        <v>125699.40077666027</v>
      </c>
      <c r="DH99" s="128" t="str">
        <f t="shared" si="203"/>
        <v>nie</v>
      </c>
      <c r="DI99" s="128">
        <f t="shared" si="204"/>
        <v>2000</v>
      </c>
      <c r="DJ99" s="128">
        <f t="shared" si="205"/>
        <v>119196.51462909482</v>
      </c>
      <c r="DK99" s="128">
        <f t="shared" si="85"/>
        <v>0</v>
      </c>
      <c r="DL99" s="130">
        <f t="shared" si="206"/>
        <v>4.4999999999999998E-2</v>
      </c>
      <c r="DM99" s="128">
        <f t="shared" si="207"/>
        <v>0</v>
      </c>
      <c r="DN99" s="128">
        <f t="shared" si="208"/>
        <v>119196.51462909482</v>
      </c>
      <c r="DP99" s="127">
        <f t="shared" si="146"/>
        <v>1000</v>
      </c>
      <c r="DQ99" s="128">
        <f t="shared" si="147"/>
        <v>100000</v>
      </c>
      <c r="DR99" s="128">
        <f t="shared" si="138"/>
        <v>100000</v>
      </c>
      <c r="DS99" s="128">
        <f t="shared" si="241"/>
        <v>124115.97918400001</v>
      </c>
      <c r="DT99" s="130">
        <f t="shared" si="209"/>
        <v>5.4000000000000006E-2</v>
      </c>
      <c r="DU99" s="128">
        <f t="shared" si="210"/>
        <v>128584.15443462401</v>
      </c>
      <c r="DV99" s="128" t="str">
        <f t="shared" si="211"/>
        <v>nie</v>
      </c>
      <c r="DW99" s="128">
        <f t="shared" si="212"/>
        <v>3000</v>
      </c>
      <c r="DX99" s="128">
        <f t="shared" si="93"/>
        <v>120723.16509204546</v>
      </c>
      <c r="DY99" s="128">
        <f t="shared" si="94"/>
        <v>0</v>
      </c>
      <c r="DZ99" s="130">
        <f t="shared" si="213"/>
        <v>4.4999999999999998E-2</v>
      </c>
      <c r="EA99" s="128">
        <f t="shared" si="214"/>
        <v>0</v>
      </c>
      <c r="EB99" s="128">
        <f t="shared" si="215"/>
        <v>120723.16509204546</v>
      </c>
    </row>
    <row r="100" spans="1:132">
      <c r="A100" s="212"/>
      <c r="B100" s="188">
        <f t="shared" si="216"/>
        <v>56</v>
      </c>
      <c r="C100" s="128">
        <f t="shared" si="217"/>
        <v>120229.60064551285</v>
      </c>
      <c r="D100" s="128">
        <f t="shared" si="218"/>
        <v>119572.49537646658</v>
      </c>
      <c r="E100" s="128">
        <f t="shared" si="219"/>
        <v>119295.77920341017</v>
      </c>
      <c r="F100" s="128">
        <f t="shared" si="220"/>
        <v>117349.06359261945</v>
      </c>
      <c r="G100" s="128">
        <f t="shared" si="221"/>
        <v>118676.1775441136</v>
      </c>
      <c r="H100" s="128">
        <f t="shared" si="222"/>
        <v>119196.51462909482</v>
      </c>
      <c r="I100" s="128">
        <f t="shared" si="223"/>
        <v>120723.16509204546</v>
      </c>
      <c r="J100" s="128">
        <f t="shared" si="224"/>
        <v>118511.7804318964</v>
      </c>
      <c r="K100" s="128">
        <f t="shared" si="225"/>
        <v>114281.9719037766</v>
      </c>
      <c r="M100" s="36"/>
      <c r="N100" s="32">
        <f t="shared" si="226"/>
        <v>56</v>
      </c>
      <c r="O100" s="25">
        <f t="shared" si="109"/>
        <v>0.20229600645512846</v>
      </c>
      <c r="P100" s="25">
        <f t="shared" si="110"/>
        <v>0.19572495376466592</v>
      </c>
      <c r="Q100" s="25">
        <f t="shared" si="111"/>
        <v>0.19295779203410168</v>
      </c>
      <c r="R100" s="25">
        <f t="shared" si="161"/>
        <v>0.17349063592619451</v>
      </c>
      <c r="S100" s="25">
        <f t="shared" si="162"/>
        <v>0.18676177544113592</v>
      </c>
      <c r="T100" s="25">
        <f t="shared" si="163"/>
        <v>0.19196514629094819</v>
      </c>
      <c r="U100" s="25">
        <f t="shared" si="164"/>
        <v>0.20723165092045459</v>
      </c>
      <c r="V100" s="25">
        <f t="shared" si="165"/>
        <v>0.18511780431896407</v>
      </c>
      <c r="W100" s="25">
        <f t="shared" si="166"/>
        <v>0.14281971903776602</v>
      </c>
      <c r="X100" s="36"/>
      <c r="Y100" s="36"/>
      <c r="AA100" s="124">
        <f t="shared" si="113"/>
        <v>57</v>
      </c>
      <c r="AB100" s="128">
        <f t="shared" si="167"/>
        <v>114552.91510073615</v>
      </c>
      <c r="AC100" s="124">
        <f t="shared" si="114"/>
        <v>57</v>
      </c>
      <c r="AD100" s="130">
        <f t="shared" si="227"/>
        <v>4.4999999999999998E-2</v>
      </c>
      <c r="AE100" s="127">
        <f t="shared" si="228"/>
        <v>1178</v>
      </c>
      <c r="AF100" s="128">
        <f t="shared" si="229"/>
        <v>117686.5</v>
      </c>
      <c r="AG100" s="128">
        <f t="shared" si="140"/>
        <v>117800</v>
      </c>
      <c r="AH100" s="128">
        <f t="shared" si="118"/>
        <v>117800</v>
      </c>
      <c r="AI100" s="130">
        <f t="shared" si="168"/>
        <v>4.4999999999999998E-2</v>
      </c>
      <c r="AJ100" s="128">
        <f t="shared" si="169"/>
        <v>118241.74999999999</v>
      </c>
      <c r="AK100" s="128" t="str">
        <f t="shared" si="170"/>
        <v>nie</v>
      </c>
      <c r="AL100" s="128">
        <f t="shared" si="171"/>
        <v>589</v>
      </c>
      <c r="AM100" s="128">
        <f t="shared" si="150"/>
        <v>117680.72749999999</v>
      </c>
      <c r="AN100" s="128">
        <f t="shared" si="172"/>
        <v>357.81749999998823</v>
      </c>
      <c r="AO100" s="130">
        <f t="shared" si="173"/>
        <v>4.4999999999999998E-2</v>
      </c>
      <c r="AP100" s="128">
        <f t="shared" si="174"/>
        <v>3273.3372183485862</v>
      </c>
      <c r="AQ100" s="128">
        <f t="shared" si="156"/>
        <v>120596.2472183486</v>
      </c>
      <c r="AS100" s="124">
        <f t="shared" si="119"/>
        <v>57</v>
      </c>
      <c r="AT100" s="130">
        <f t="shared" si="120"/>
        <v>4.4999999999999998E-2</v>
      </c>
      <c r="AU100" s="127">
        <f t="shared" si="230"/>
        <v>1172</v>
      </c>
      <c r="AV100" s="128">
        <f t="shared" si="231"/>
        <v>117091.3</v>
      </c>
      <c r="AW100" s="128">
        <f t="shared" si="151"/>
        <v>117200</v>
      </c>
      <c r="AX100" s="128">
        <f t="shared" si="123"/>
        <v>117200</v>
      </c>
      <c r="AY100" s="130">
        <f t="shared" si="175"/>
        <v>4.65E-2</v>
      </c>
      <c r="AZ100" s="128">
        <f t="shared" si="176"/>
        <v>117654.15000000001</v>
      </c>
      <c r="BA100" s="128" t="str">
        <f t="shared" si="177"/>
        <v>nie</v>
      </c>
      <c r="BB100" s="128">
        <f t="shared" si="178"/>
        <v>820.4</v>
      </c>
      <c r="BC100" s="128">
        <f t="shared" si="158"/>
        <v>116903.33750000001</v>
      </c>
      <c r="BD100" s="128">
        <f t="shared" si="179"/>
        <v>367.86150000000708</v>
      </c>
      <c r="BE100" s="130">
        <f t="shared" si="51"/>
        <v>4.4999999999999998E-2</v>
      </c>
      <c r="BF100" s="128">
        <f t="shared" si="180"/>
        <v>3414.105822822612</v>
      </c>
      <c r="BG100" s="128">
        <f t="shared" si="159"/>
        <v>119949.58182282261</v>
      </c>
      <c r="BI100" s="124">
        <f t="shared" si="124"/>
        <v>57</v>
      </c>
      <c r="BJ100" s="130">
        <f t="shared" si="242"/>
        <v>4.3200000000000002E-2</v>
      </c>
      <c r="BK100" s="127">
        <f t="shared" si="232"/>
        <v>1126</v>
      </c>
      <c r="BL100" s="128">
        <f t="shared" si="233"/>
        <v>112487.40000000001</v>
      </c>
      <c r="BM100" s="128">
        <f t="shared" si="142"/>
        <v>112600</v>
      </c>
      <c r="BN100" s="128">
        <f t="shared" si="234"/>
        <v>118117.4</v>
      </c>
      <c r="BO100" s="130">
        <f t="shared" si="181"/>
        <v>4.9000000000000002E-2</v>
      </c>
      <c r="BP100" s="128">
        <f t="shared" si="182"/>
        <v>122458.21445</v>
      </c>
      <c r="BQ100" s="128" t="str">
        <f t="shared" si="183"/>
        <v>nie</v>
      </c>
      <c r="BR100" s="128">
        <f t="shared" si="184"/>
        <v>1126</v>
      </c>
      <c r="BS100" s="128">
        <f t="shared" si="153"/>
        <v>119673.0937045</v>
      </c>
      <c r="BT100" s="128">
        <f t="shared" si="128"/>
        <v>0</v>
      </c>
      <c r="BU100" s="130">
        <f t="shared" si="185"/>
        <v>4.4999999999999998E-2</v>
      </c>
      <c r="BV100" s="128">
        <f t="shared" si="60"/>
        <v>13.399376763398616</v>
      </c>
      <c r="BW100" s="128">
        <f t="shared" si="243"/>
        <v>119686.4930812634</v>
      </c>
      <c r="BY100" s="130">
        <f t="shared" si="244"/>
        <v>2.9000000000000001E-2</v>
      </c>
      <c r="BZ100" s="127">
        <f t="shared" si="235"/>
        <v>1159</v>
      </c>
      <c r="CA100" s="128">
        <f t="shared" si="236"/>
        <v>115796.40000000001</v>
      </c>
      <c r="CB100" s="128">
        <f t="shared" si="154"/>
        <v>115900</v>
      </c>
      <c r="CC100" s="128">
        <f t="shared" si="131"/>
        <v>115900</v>
      </c>
      <c r="CD100" s="130">
        <f t="shared" si="186"/>
        <v>5.2499999999999998E-2</v>
      </c>
      <c r="CE100" s="128">
        <f t="shared" si="187"/>
        <v>120463.5625</v>
      </c>
      <c r="CF100" s="128" t="str">
        <f t="shared" si="188"/>
        <v>nie</v>
      </c>
      <c r="CG100" s="128">
        <f t="shared" si="189"/>
        <v>2318</v>
      </c>
      <c r="CH100" s="128">
        <f t="shared" si="160"/>
        <v>117718.905625</v>
      </c>
      <c r="CI100" s="128">
        <f t="shared" si="190"/>
        <v>0</v>
      </c>
      <c r="CJ100" s="130">
        <f t="shared" si="68"/>
        <v>4.4999999999999998E-2</v>
      </c>
      <c r="CK100" s="128">
        <f t="shared" si="191"/>
        <v>41.002761344555431</v>
      </c>
      <c r="CL100" s="128">
        <f t="shared" si="192"/>
        <v>117759.90838634456</v>
      </c>
      <c r="CN100" s="127">
        <f t="shared" si="237"/>
        <v>1000</v>
      </c>
      <c r="CO100" s="128">
        <f t="shared" si="238"/>
        <v>100000</v>
      </c>
      <c r="CP100" s="128">
        <f t="shared" si="134"/>
        <v>100000</v>
      </c>
      <c r="CQ100" s="128">
        <f t="shared" si="239"/>
        <v>122069.40863175</v>
      </c>
      <c r="CR100" s="130">
        <f t="shared" si="193"/>
        <v>4.9000000000000002E-2</v>
      </c>
      <c r="CS100" s="128">
        <f t="shared" si="194"/>
        <v>126555.45939896682</v>
      </c>
      <c r="CT100" s="128" t="str">
        <f t="shared" si="195"/>
        <v>nie</v>
      </c>
      <c r="CU100" s="128">
        <f t="shared" si="196"/>
        <v>3000</v>
      </c>
      <c r="CV100" s="128">
        <f t="shared" si="197"/>
        <v>119079.92211316312</v>
      </c>
      <c r="CW100" s="128">
        <f t="shared" si="76"/>
        <v>0</v>
      </c>
      <c r="CX100" s="130">
        <f t="shared" si="198"/>
        <v>4.4999999999999998E-2</v>
      </c>
      <c r="CY100" s="128">
        <f t="shared" si="199"/>
        <v>0</v>
      </c>
      <c r="CZ100" s="128">
        <f t="shared" si="200"/>
        <v>119079.92211316312</v>
      </c>
      <c r="DA100" s="20"/>
      <c r="DB100" s="127">
        <f t="shared" si="144"/>
        <v>1000</v>
      </c>
      <c r="DC100" s="128">
        <f t="shared" si="145"/>
        <v>100000</v>
      </c>
      <c r="DD100" s="128">
        <f t="shared" si="136"/>
        <v>100000</v>
      </c>
      <c r="DE100" s="128">
        <f t="shared" si="240"/>
        <v>121723.11243704997</v>
      </c>
      <c r="DF100" s="130">
        <f t="shared" si="201"/>
        <v>4.9000000000000002E-2</v>
      </c>
      <c r="DG100" s="128">
        <f t="shared" si="202"/>
        <v>126196.43681911156</v>
      </c>
      <c r="DH100" s="128" t="str">
        <f t="shared" si="203"/>
        <v>nie</v>
      </c>
      <c r="DI100" s="128">
        <f t="shared" si="204"/>
        <v>2000</v>
      </c>
      <c r="DJ100" s="128">
        <f t="shared" si="205"/>
        <v>119599.11382348037</v>
      </c>
      <c r="DK100" s="128">
        <f t="shared" si="85"/>
        <v>0</v>
      </c>
      <c r="DL100" s="130">
        <f t="shared" si="206"/>
        <v>4.4999999999999998E-2</v>
      </c>
      <c r="DM100" s="128">
        <f t="shared" si="207"/>
        <v>0</v>
      </c>
      <c r="DN100" s="128">
        <f t="shared" si="208"/>
        <v>119599.11382348037</v>
      </c>
      <c r="DP100" s="127">
        <f t="shared" si="146"/>
        <v>1000</v>
      </c>
      <c r="DQ100" s="128">
        <f t="shared" si="147"/>
        <v>100000</v>
      </c>
      <c r="DR100" s="128">
        <f t="shared" si="138"/>
        <v>100000</v>
      </c>
      <c r="DS100" s="128">
        <f t="shared" si="241"/>
        <v>124115.97918400001</v>
      </c>
      <c r="DT100" s="130">
        <f t="shared" si="209"/>
        <v>5.4000000000000006E-2</v>
      </c>
      <c r="DU100" s="128">
        <f t="shared" si="210"/>
        <v>129142.67634095201</v>
      </c>
      <c r="DV100" s="128" t="str">
        <f t="shared" si="211"/>
        <v>nie</v>
      </c>
      <c r="DW100" s="128">
        <f t="shared" si="212"/>
        <v>3000</v>
      </c>
      <c r="DX100" s="128">
        <f t="shared" si="93"/>
        <v>121175.56783617113</v>
      </c>
      <c r="DY100" s="128">
        <f t="shared" si="94"/>
        <v>0</v>
      </c>
      <c r="DZ100" s="130">
        <f t="shared" si="213"/>
        <v>4.4999999999999998E-2</v>
      </c>
      <c r="EA100" s="128">
        <f t="shared" si="214"/>
        <v>0</v>
      </c>
      <c r="EB100" s="128">
        <f t="shared" si="215"/>
        <v>121175.56783617113</v>
      </c>
    </row>
    <row r="101" spans="1:132">
      <c r="A101" s="212"/>
      <c r="B101" s="188">
        <f t="shared" si="216"/>
        <v>57</v>
      </c>
      <c r="C101" s="128">
        <f t="shared" si="217"/>
        <v>120596.2472183486</v>
      </c>
      <c r="D101" s="128">
        <f t="shared" si="218"/>
        <v>119949.58182282261</v>
      </c>
      <c r="E101" s="128">
        <f t="shared" si="219"/>
        <v>119686.4930812634</v>
      </c>
      <c r="F101" s="128">
        <f t="shared" si="220"/>
        <v>117759.90838634456</v>
      </c>
      <c r="G101" s="128">
        <f t="shared" si="221"/>
        <v>119079.92211316312</v>
      </c>
      <c r="H101" s="128">
        <f t="shared" si="222"/>
        <v>119599.11382348037</v>
      </c>
      <c r="I101" s="128">
        <f t="shared" si="223"/>
        <v>121175.56783617113</v>
      </c>
      <c r="J101" s="128">
        <f t="shared" si="224"/>
        <v>118871.7599649583</v>
      </c>
      <c r="K101" s="128">
        <f t="shared" si="225"/>
        <v>114552.91510073615</v>
      </c>
      <c r="M101" s="36"/>
      <c r="N101" s="32">
        <f t="shared" si="226"/>
        <v>57</v>
      </c>
      <c r="O101" s="25">
        <f t="shared" si="109"/>
        <v>0.20596247218348585</v>
      </c>
      <c r="P101" s="25">
        <f t="shared" si="110"/>
        <v>0.19949581822822604</v>
      </c>
      <c r="Q101" s="25">
        <f t="shared" si="111"/>
        <v>0.19686493081263401</v>
      </c>
      <c r="R101" s="25">
        <f t="shared" si="161"/>
        <v>0.17759908386344558</v>
      </c>
      <c r="S101" s="25">
        <f t="shared" si="162"/>
        <v>0.19079922113163117</v>
      </c>
      <c r="T101" s="25">
        <f t="shared" si="163"/>
        <v>0.19599113823480363</v>
      </c>
      <c r="U101" s="25">
        <f t="shared" si="164"/>
        <v>0.21175567836171139</v>
      </c>
      <c r="V101" s="25">
        <f t="shared" si="165"/>
        <v>0.1887175996495829</v>
      </c>
      <c r="W101" s="25">
        <f t="shared" si="166"/>
        <v>0.14552915100736152</v>
      </c>
      <c r="X101" s="36"/>
      <c r="Y101" s="36"/>
      <c r="AA101" s="124">
        <f t="shared" si="113"/>
        <v>58</v>
      </c>
      <c r="AB101" s="128">
        <f t="shared" si="167"/>
        <v>114823.85829769574</v>
      </c>
      <c r="AC101" s="124">
        <f t="shared" si="114"/>
        <v>58</v>
      </c>
      <c r="AD101" s="130">
        <f t="shared" si="227"/>
        <v>4.4999999999999998E-2</v>
      </c>
      <c r="AE101" s="127">
        <f t="shared" si="228"/>
        <v>1178</v>
      </c>
      <c r="AF101" s="128">
        <f t="shared" si="229"/>
        <v>117686.5</v>
      </c>
      <c r="AG101" s="128">
        <f t="shared" si="140"/>
        <v>117800</v>
      </c>
      <c r="AH101" s="128">
        <f t="shared" si="118"/>
        <v>117800</v>
      </c>
      <c r="AI101" s="130">
        <f t="shared" si="168"/>
        <v>4.4999999999999998E-2</v>
      </c>
      <c r="AJ101" s="128">
        <f t="shared" si="169"/>
        <v>118241.74999999999</v>
      </c>
      <c r="AK101" s="128" t="str">
        <f t="shared" si="170"/>
        <v>nie</v>
      </c>
      <c r="AL101" s="128">
        <f t="shared" si="171"/>
        <v>589</v>
      </c>
      <c r="AM101" s="128">
        <f t="shared" si="150"/>
        <v>117680.72749999999</v>
      </c>
      <c r="AN101" s="128">
        <f t="shared" si="172"/>
        <v>357.81749999998823</v>
      </c>
      <c r="AO101" s="130">
        <f t="shared" si="173"/>
        <v>4.4999999999999998E-2</v>
      </c>
      <c r="AP101" s="128">
        <f t="shared" si="174"/>
        <v>3641.0974801493085</v>
      </c>
      <c r="AQ101" s="128">
        <f t="shared" si="156"/>
        <v>120964.00748014932</v>
      </c>
      <c r="AS101" s="124">
        <f t="shared" si="119"/>
        <v>58</v>
      </c>
      <c r="AT101" s="130">
        <f t="shared" si="120"/>
        <v>4.4999999999999998E-2</v>
      </c>
      <c r="AU101" s="127">
        <f t="shared" si="230"/>
        <v>1172</v>
      </c>
      <c r="AV101" s="128">
        <f t="shared" si="231"/>
        <v>117091.3</v>
      </c>
      <c r="AW101" s="128">
        <f t="shared" si="151"/>
        <v>117200</v>
      </c>
      <c r="AX101" s="128">
        <f t="shared" si="123"/>
        <v>117200</v>
      </c>
      <c r="AY101" s="130">
        <f t="shared" si="175"/>
        <v>4.65E-2</v>
      </c>
      <c r="AZ101" s="128">
        <f t="shared" si="176"/>
        <v>117654.15000000001</v>
      </c>
      <c r="BA101" s="128" t="str">
        <f t="shared" si="177"/>
        <v>nie</v>
      </c>
      <c r="BB101" s="128">
        <f t="shared" si="178"/>
        <v>820.4</v>
      </c>
      <c r="BC101" s="128">
        <f t="shared" si="158"/>
        <v>116903.33750000001</v>
      </c>
      <c r="BD101" s="128">
        <f t="shared" si="179"/>
        <v>367.86150000000708</v>
      </c>
      <c r="BE101" s="130">
        <f t="shared" si="51"/>
        <v>4.4999999999999998E-2</v>
      </c>
      <c r="BF101" s="128">
        <f t="shared" si="180"/>
        <v>3792.3376692594429</v>
      </c>
      <c r="BG101" s="128">
        <f t="shared" si="159"/>
        <v>120327.81366925944</v>
      </c>
      <c r="BI101" s="124">
        <f t="shared" si="124"/>
        <v>58</v>
      </c>
      <c r="BJ101" s="130">
        <f t="shared" si="242"/>
        <v>4.3200000000000002E-2</v>
      </c>
      <c r="BK101" s="127">
        <f t="shared" si="232"/>
        <v>1126</v>
      </c>
      <c r="BL101" s="128">
        <f t="shared" si="233"/>
        <v>112487.40000000001</v>
      </c>
      <c r="BM101" s="128">
        <f t="shared" si="142"/>
        <v>112600</v>
      </c>
      <c r="BN101" s="128">
        <f t="shared" si="234"/>
        <v>118117.4</v>
      </c>
      <c r="BO101" s="130">
        <f t="shared" si="181"/>
        <v>4.9000000000000002E-2</v>
      </c>
      <c r="BP101" s="128">
        <f t="shared" si="182"/>
        <v>122940.52716666665</v>
      </c>
      <c r="BQ101" s="128" t="str">
        <f t="shared" si="183"/>
        <v>nie</v>
      </c>
      <c r="BR101" s="128">
        <f t="shared" si="184"/>
        <v>1126</v>
      </c>
      <c r="BS101" s="128">
        <f t="shared" si="153"/>
        <v>120063.76700499999</v>
      </c>
      <c r="BT101" s="128">
        <f t="shared" si="128"/>
        <v>0</v>
      </c>
      <c r="BU101" s="130">
        <f t="shared" si="185"/>
        <v>4.4999999999999998E-2</v>
      </c>
      <c r="BV101" s="128">
        <f t="shared" si="60"/>
        <v>13.440077370317439</v>
      </c>
      <c r="BW101" s="128">
        <f t="shared" si="243"/>
        <v>120077.20708237031</v>
      </c>
      <c r="BY101" s="130">
        <f t="shared" si="244"/>
        <v>2.9000000000000001E-2</v>
      </c>
      <c r="BZ101" s="127">
        <f t="shared" si="235"/>
        <v>1159</v>
      </c>
      <c r="CA101" s="128">
        <f t="shared" si="236"/>
        <v>115796.40000000001</v>
      </c>
      <c r="CB101" s="128">
        <f t="shared" si="154"/>
        <v>115900</v>
      </c>
      <c r="CC101" s="128">
        <f t="shared" si="131"/>
        <v>115900</v>
      </c>
      <c r="CD101" s="130">
        <f t="shared" si="186"/>
        <v>5.2499999999999998E-2</v>
      </c>
      <c r="CE101" s="128">
        <f t="shared" si="187"/>
        <v>120970.625</v>
      </c>
      <c r="CF101" s="128" t="str">
        <f t="shared" si="188"/>
        <v>nie</v>
      </c>
      <c r="CG101" s="128">
        <f t="shared" si="189"/>
        <v>2318</v>
      </c>
      <c r="CH101" s="128">
        <f t="shared" si="160"/>
        <v>118129.62625</v>
      </c>
      <c r="CI101" s="128">
        <f t="shared" si="190"/>
        <v>0</v>
      </c>
      <c r="CJ101" s="130">
        <f t="shared" si="68"/>
        <v>4.4999999999999998E-2</v>
      </c>
      <c r="CK101" s="128">
        <f t="shared" si="191"/>
        <v>41.127307232139522</v>
      </c>
      <c r="CL101" s="128">
        <f t="shared" si="192"/>
        <v>118170.75355723214</v>
      </c>
      <c r="CN101" s="127">
        <f t="shared" si="237"/>
        <v>1000</v>
      </c>
      <c r="CO101" s="128">
        <f t="shared" si="238"/>
        <v>100000</v>
      </c>
      <c r="CP101" s="128">
        <f t="shared" si="134"/>
        <v>100000</v>
      </c>
      <c r="CQ101" s="128">
        <f t="shared" si="239"/>
        <v>122069.40863175</v>
      </c>
      <c r="CR101" s="130">
        <f t="shared" si="193"/>
        <v>4.9000000000000002E-2</v>
      </c>
      <c r="CS101" s="128">
        <f t="shared" si="194"/>
        <v>127053.90948421312</v>
      </c>
      <c r="CT101" s="128" t="str">
        <f t="shared" si="195"/>
        <v>nie</v>
      </c>
      <c r="CU101" s="128">
        <f t="shared" si="196"/>
        <v>3000</v>
      </c>
      <c r="CV101" s="128">
        <f t="shared" si="197"/>
        <v>119483.66668221263</v>
      </c>
      <c r="CW101" s="128">
        <f t="shared" si="76"/>
        <v>0</v>
      </c>
      <c r="CX101" s="130">
        <f t="shared" si="198"/>
        <v>4.4999999999999998E-2</v>
      </c>
      <c r="CY101" s="128">
        <f t="shared" si="199"/>
        <v>0</v>
      </c>
      <c r="CZ101" s="128">
        <f t="shared" si="200"/>
        <v>119483.66668221263</v>
      </c>
      <c r="DA101" s="20"/>
      <c r="DB101" s="127">
        <f t="shared" si="144"/>
        <v>1000</v>
      </c>
      <c r="DC101" s="128">
        <f t="shared" si="145"/>
        <v>100000</v>
      </c>
      <c r="DD101" s="128">
        <f t="shared" si="136"/>
        <v>100000</v>
      </c>
      <c r="DE101" s="128">
        <f t="shared" si="240"/>
        <v>121723.11243704997</v>
      </c>
      <c r="DF101" s="130">
        <f t="shared" si="201"/>
        <v>4.9000000000000002E-2</v>
      </c>
      <c r="DG101" s="128">
        <f t="shared" si="202"/>
        <v>126693.47286156284</v>
      </c>
      <c r="DH101" s="128" t="str">
        <f t="shared" si="203"/>
        <v>nie</v>
      </c>
      <c r="DI101" s="128">
        <f t="shared" si="204"/>
        <v>2000</v>
      </c>
      <c r="DJ101" s="128">
        <f t="shared" si="205"/>
        <v>120001.7130178659</v>
      </c>
      <c r="DK101" s="128">
        <f t="shared" si="85"/>
        <v>0</v>
      </c>
      <c r="DL101" s="130">
        <f t="shared" si="206"/>
        <v>4.4999999999999998E-2</v>
      </c>
      <c r="DM101" s="128">
        <f t="shared" si="207"/>
        <v>0</v>
      </c>
      <c r="DN101" s="128">
        <f t="shared" si="208"/>
        <v>120001.7130178659</v>
      </c>
      <c r="DP101" s="127">
        <f t="shared" si="146"/>
        <v>1000</v>
      </c>
      <c r="DQ101" s="128">
        <f t="shared" si="147"/>
        <v>100000</v>
      </c>
      <c r="DR101" s="128">
        <f t="shared" si="138"/>
        <v>100000</v>
      </c>
      <c r="DS101" s="128">
        <f t="shared" si="241"/>
        <v>124115.97918400001</v>
      </c>
      <c r="DT101" s="130">
        <f t="shared" si="209"/>
        <v>5.4000000000000006E-2</v>
      </c>
      <c r="DU101" s="128">
        <f t="shared" si="210"/>
        <v>129701.19824728</v>
      </c>
      <c r="DV101" s="128" t="str">
        <f t="shared" si="211"/>
        <v>nie</v>
      </c>
      <c r="DW101" s="128">
        <f t="shared" si="212"/>
        <v>3000</v>
      </c>
      <c r="DX101" s="128">
        <f t="shared" si="93"/>
        <v>121627.97058029679</v>
      </c>
      <c r="DY101" s="128">
        <f t="shared" si="94"/>
        <v>0</v>
      </c>
      <c r="DZ101" s="130">
        <f t="shared" si="213"/>
        <v>4.4999999999999998E-2</v>
      </c>
      <c r="EA101" s="128">
        <f t="shared" si="214"/>
        <v>0</v>
      </c>
      <c r="EB101" s="128">
        <f t="shared" si="215"/>
        <v>121627.97058029679</v>
      </c>
    </row>
    <row r="102" spans="1:132">
      <c r="A102" s="212"/>
      <c r="B102" s="188">
        <f t="shared" si="216"/>
        <v>58</v>
      </c>
      <c r="C102" s="128">
        <f t="shared" si="217"/>
        <v>120964.00748014932</v>
      </c>
      <c r="D102" s="128">
        <f t="shared" si="218"/>
        <v>120327.81366925944</v>
      </c>
      <c r="E102" s="128">
        <f t="shared" si="219"/>
        <v>120077.20708237031</v>
      </c>
      <c r="F102" s="128">
        <f t="shared" si="220"/>
        <v>118170.75355723214</v>
      </c>
      <c r="G102" s="128">
        <f t="shared" si="221"/>
        <v>119483.66668221263</v>
      </c>
      <c r="H102" s="128">
        <f t="shared" si="222"/>
        <v>120001.7130178659</v>
      </c>
      <c r="I102" s="128">
        <f t="shared" si="223"/>
        <v>121627.97058029679</v>
      </c>
      <c r="J102" s="128">
        <f t="shared" si="224"/>
        <v>119232.83293585187</v>
      </c>
      <c r="K102" s="128">
        <f t="shared" si="225"/>
        <v>114823.85829769574</v>
      </c>
      <c r="M102" s="36"/>
      <c r="N102" s="32">
        <f t="shared" si="226"/>
        <v>58</v>
      </c>
      <c r="O102" s="25">
        <f t="shared" si="109"/>
        <v>0.20964007480149327</v>
      </c>
      <c r="P102" s="25">
        <f t="shared" si="110"/>
        <v>0.20327813669259442</v>
      </c>
      <c r="Q102" s="25">
        <f t="shared" si="111"/>
        <v>0.20077207082370307</v>
      </c>
      <c r="R102" s="25">
        <f t="shared" si="161"/>
        <v>0.18170753557232144</v>
      </c>
      <c r="S102" s="25">
        <f t="shared" si="162"/>
        <v>0.19483666682212619</v>
      </c>
      <c r="T102" s="25">
        <f t="shared" si="163"/>
        <v>0.20001713017865907</v>
      </c>
      <c r="U102" s="25">
        <f t="shared" si="164"/>
        <v>0.21627970580296796</v>
      </c>
      <c r="V102" s="25">
        <f t="shared" si="165"/>
        <v>0.19232832935851873</v>
      </c>
      <c r="W102" s="25">
        <f t="shared" si="166"/>
        <v>0.14823858297695747</v>
      </c>
      <c r="X102" s="36"/>
      <c r="Y102" s="36"/>
      <c r="AA102" s="124">
        <f t="shared" si="113"/>
        <v>59</v>
      </c>
      <c r="AB102" s="128">
        <f t="shared" si="167"/>
        <v>115094.80149465532</v>
      </c>
      <c r="AC102" s="124">
        <f t="shared" si="114"/>
        <v>59</v>
      </c>
      <c r="AD102" s="130">
        <f t="shared" si="227"/>
        <v>4.4999999999999998E-2</v>
      </c>
      <c r="AE102" s="127">
        <f t="shared" si="228"/>
        <v>1178</v>
      </c>
      <c r="AF102" s="128">
        <f t="shared" si="229"/>
        <v>117686.5</v>
      </c>
      <c r="AG102" s="128">
        <f t="shared" si="140"/>
        <v>117800</v>
      </c>
      <c r="AH102" s="128">
        <f t="shared" si="118"/>
        <v>117800</v>
      </c>
      <c r="AI102" s="130">
        <f t="shared" si="168"/>
        <v>4.4999999999999998E-2</v>
      </c>
      <c r="AJ102" s="128">
        <f t="shared" si="169"/>
        <v>118241.74999999999</v>
      </c>
      <c r="AK102" s="128" t="str">
        <f t="shared" si="170"/>
        <v>nie</v>
      </c>
      <c r="AL102" s="128">
        <f t="shared" si="171"/>
        <v>589</v>
      </c>
      <c r="AM102" s="128">
        <f t="shared" si="150"/>
        <v>117680.72749999999</v>
      </c>
      <c r="AN102" s="128">
        <f t="shared" si="172"/>
        <v>357.81749999998823</v>
      </c>
      <c r="AO102" s="130">
        <f t="shared" si="173"/>
        <v>4.4999999999999998E-2</v>
      </c>
      <c r="AP102" s="128">
        <f t="shared" si="174"/>
        <v>4009.9748137452502</v>
      </c>
      <c r="AQ102" s="128">
        <f t="shared" si="156"/>
        <v>121332.88481374526</v>
      </c>
      <c r="AS102" s="124">
        <f t="shared" si="119"/>
        <v>59</v>
      </c>
      <c r="AT102" s="130">
        <f t="shared" si="120"/>
        <v>4.4999999999999998E-2</v>
      </c>
      <c r="AU102" s="127">
        <f t="shared" si="230"/>
        <v>1172</v>
      </c>
      <c r="AV102" s="128">
        <f t="shared" si="231"/>
        <v>117091.3</v>
      </c>
      <c r="AW102" s="128">
        <f t="shared" si="151"/>
        <v>117200</v>
      </c>
      <c r="AX102" s="128">
        <f t="shared" si="123"/>
        <v>117200</v>
      </c>
      <c r="AY102" s="130">
        <f t="shared" si="175"/>
        <v>4.65E-2</v>
      </c>
      <c r="AZ102" s="128">
        <f t="shared" si="176"/>
        <v>117654.15000000001</v>
      </c>
      <c r="BA102" s="128" t="str">
        <f t="shared" si="177"/>
        <v>nie</v>
      </c>
      <c r="BB102" s="128">
        <f t="shared" si="178"/>
        <v>820.4</v>
      </c>
      <c r="BC102" s="128">
        <f t="shared" si="158"/>
        <v>116903.33750000001</v>
      </c>
      <c r="BD102" s="128">
        <f t="shared" si="179"/>
        <v>367.86150000000708</v>
      </c>
      <c r="BE102" s="130">
        <f t="shared" si="51"/>
        <v>4.4999999999999998E-2</v>
      </c>
      <c r="BF102" s="128">
        <f t="shared" si="180"/>
        <v>4171.718394929826</v>
      </c>
      <c r="BG102" s="128">
        <f t="shared" si="159"/>
        <v>120707.19439492983</v>
      </c>
      <c r="BI102" s="124">
        <f t="shared" si="124"/>
        <v>59</v>
      </c>
      <c r="BJ102" s="130">
        <f t="shared" si="242"/>
        <v>4.3200000000000002E-2</v>
      </c>
      <c r="BK102" s="127">
        <f t="shared" si="232"/>
        <v>1126</v>
      </c>
      <c r="BL102" s="128">
        <f t="shared" si="233"/>
        <v>112487.40000000001</v>
      </c>
      <c r="BM102" s="128">
        <f t="shared" si="142"/>
        <v>112600</v>
      </c>
      <c r="BN102" s="128">
        <f t="shared" si="234"/>
        <v>118117.4</v>
      </c>
      <c r="BO102" s="130">
        <f t="shared" si="181"/>
        <v>4.9000000000000002E-2</v>
      </c>
      <c r="BP102" s="128">
        <f t="shared" si="182"/>
        <v>123422.83988333333</v>
      </c>
      <c r="BQ102" s="128" t="str">
        <f t="shared" si="183"/>
        <v>nie</v>
      </c>
      <c r="BR102" s="128">
        <f t="shared" si="184"/>
        <v>1126</v>
      </c>
      <c r="BS102" s="128">
        <f t="shared" si="153"/>
        <v>120454.4403055</v>
      </c>
      <c r="BT102" s="128">
        <f t="shared" si="128"/>
        <v>0</v>
      </c>
      <c r="BU102" s="130">
        <f t="shared" si="185"/>
        <v>4.4999999999999998E-2</v>
      </c>
      <c r="BV102" s="128">
        <f t="shared" si="60"/>
        <v>13.480901605329779</v>
      </c>
      <c r="BW102" s="128">
        <f t="shared" si="243"/>
        <v>120467.92120710533</v>
      </c>
      <c r="BY102" s="130">
        <f t="shared" si="244"/>
        <v>2.9000000000000001E-2</v>
      </c>
      <c r="BZ102" s="127">
        <f t="shared" si="235"/>
        <v>1159</v>
      </c>
      <c r="CA102" s="128">
        <f t="shared" si="236"/>
        <v>115796.40000000001</v>
      </c>
      <c r="CB102" s="128">
        <f t="shared" si="154"/>
        <v>115900</v>
      </c>
      <c r="CC102" s="128">
        <f t="shared" si="131"/>
        <v>115900</v>
      </c>
      <c r="CD102" s="130">
        <f t="shared" si="186"/>
        <v>5.2499999999999998E-2</v>
      </c>
      <c r="CE102" s="128">
        <f t="shared" si="187"/>
        <v>121477.6875</v>
      </c>
      <c r="CF102" s="128" t="str">
        <f t="shared" si="188"/>
        <v>nie</v>
      </c>
      <c r="CG102" s="128">
        <f t="shared" si="189"/>
        <v>2318</v>
      </c>
      <c r="CH102" s="128">
        <f t="shared" si="160"/>
        <v>118540.346875</v>
      </c>
      <c r="CI102" s="128">
        <f t="shared" si="190"/>
        <v>0</v>
      </c>
      <c r="CJ102" s="130">
        <f t="shared" si="68"/>
        <v>4.4999999999999998E-2</v>
      </c>
      <c r="CK102" s="128">
        <f t="shared" si="191"/>
        <v>41.252231427857147</v>
      </c>
      <c r="CL102" s="128">
        <f t="shared" si="192"/>
        <v>118581.59910642786</v>
      </c>
      <c r="CN102" s="127">
        <f t="shared" si="237"/>
        <v>1000</v>
      </c>
      <c r="CO102" s="128">
        <f t="shared" si="238"/>
        <v>100000</v>
      </c>
      <c r="CP102" s="128">
        <f t="shared" si="134"/>
        <v>100000</v>
      </c>
      <c r="CQ102" s="128">
        <f t="shared" si="239"/>
        <v>122069.40863175</v>
      </c>
      <c r="CR102" s="130">
        <f t="shared" si="193"/>
        <v>4.9000000000000002E-2</v>
      </c>
      <c r="CS102" s="128">
        <f t="shared" si="194"/>
        <v>127552.35956945946</v>
      </c>
      <c r="CT102" s="128" t="str">
        <f t="shared" si="195"/>
        <v>nie</v>
      </c>
      <c r="CU102" s="128">
        <f t="shared" si="196"/>
        <v>3000</v>
      </c>
      <c r="CV102" s="128">
        <f t="shared" si="197"/>
        <v>119887.41125126217</v>
      </c>
      <c r="CW102" s="128">
        <f t="shared" si="76"/>
        <v>0</v>
      </c>
      <c r="CX102" s="130">
        <f t="shared" si="198"/>
        <v>4.4999999999999998E-2</v>
      </c>
      <c r="CY102" s="128">
        <f t="shared" si="199"/>
        <v>0</v>
      </c>
      <c r="CZ102" s="128">
        <f t="shared" si="200"/>
        <v>119887.41125126217</v>
      </c>
      <c r="DA102" s="20"/>
      <c r="DB102" s="127">
        <f t="shared" si="144"/>
        <v>1000</v>
      </c>
      <c r="DC102" s="128">
        <f t="shared" si="145"/>
        <v>100000</v>
      </c>
      <c r="DD102" s="128">
        <f t="shared" si="136"/>
        <v>100000</v>
      </c>
      <c r="DE102" s="128">
        <f t="shared" si="240"/>
        <v>121723.11243704997</v>
      </c>
      <c r="DF102" s="130">
        <f t="shared" si="201"/>
        <v>4.9000000000000002E-2</v>
      </c>
      <c r="DG102" s="128">
        <f t="shared" si="202"/>
        <v>127190.50890401415</v>
      </c>
      <c r="DH102" s="128" t="str">
        <f t="shared" si="203"/>
        <v>nie</v>
      </c>
      <c r="DI102" s="128">
        <f t="shared" si="204"/>
        <v>2000</v>
      </c>
      <c r="DJ102" s="128">
        <f t="shared" si="205"/>
        <v>120404.31221225146</v>
      </c>
      <c r="DK102" s="128">
        <f t="shared" si="85"/>
        <v>0</v>
      </c>
      <c r="DL102" s="130">
        <f t="shared" si="206"/>
        <v>4.4999999999999998E-2</v>
      </c>
      <c r="DM102" s="128">
        <f t="shared" si="207"/>
        <v>0</v>
      </c>
      <c r="DN102" s="128">
        <f t="shared" si="208"/>
        <v>120404.31221225146</v>
      </c>
      <c r="DP102" s="127">
        <f t="shared" si="146"/>
        <v>1000</v>
      </c>
      <c r="DQ102" s="128">
        <f t="shared" si="147"/>
        <v>100000</v>
      </c>
      <c r="DR102" s="128">
        <f t="shared" si="138"/>
        <v>100000</v>
      </c>
      <c r="DS102" s="128">
        <f t="shared" si="241"/>
        <v>124115.97918400001</v>
      </c>
      <c r="DT102" s="130">
        <f t="shared" si="209"/>
        <v>5.4000000000000006E-2</v>
      </c>
      <c r="DU102" s="128">
        <f t="shared" si="210"/>
        <v>130259.72015360802</v>
      </c>
      <c r="DV102" s="128" t="str">
        <f t="shared" si="211"/>
        <v>nie</v>
      </c>
      <c r="DW102" s="128">
        <f t="shared" si="212"/>
        <v>3000</v>
      </c>
      <c r="DX102" s="128">
        <f t="shared" si="93"/>
        <v>122080.3733244225</v>
      </c>
      <c r="DY102" s="128">
        <f t="shared" si="94"/>
        <v>0</v>
      </c>
      <c r="DZ102" s="130">
        <f t="shared" si="213"/>
        <v>4.4999999999999998E-2</v>
      </c>
      <c r="EA102" s="128">
        <f t="shared" si="214"/>
        <v>0</v>
      </c>
      <c r="EB102" s="128">
        <f t="shared" si="215"/>
        <v>122080.3733244225</v>
      </c>
    </row>
    <row r="103" spans="1:132" ht="14.25" customHeight="1">
      <c r="A103" s="212"/>
      <c r="B103" s="188">
        <f t="shared" si="216"/>
        <v>59</v>
      </c>
      <c r="C103" s="128">
        <f t="shared" si="217"/>
        <v>121332.88481374526</v>
      </c>
      <c r="D103" s="128">
        <f t="shared" si="218"/>
        <v>120707.19439492983</v>
      </c>
      <c r="E103" s="128">
        <f t="shared" si="219"/>
        <v>120467.92120710533</v>
      </c>
      <c r="F103" s="128">
        <f t="shared" si="220"/>
        <v>118581.59910642786</v>
      </c>
      <c r="G103" s="128">
        <f t="shared" si="221"/>
        <v>119887.41125126217</v>
      </c>
      <c r="H103" s="128">
        <f t="shared" si="222"/>
        <v>120404.31221225146</v>
      </c>
      <c r="I103" s="128">
        <f t="shared" si="223"/>
        <v>122080.3733244225</v>
      </c>
      <c r="J103" s="128">
        <f t="shared" si="224"/>
        <v>119595.00266589453</v>
      </c>
      <c r="K103" s="128">
        <f t="shared" si="225"/>
        <v>115094.80149465532</v>
      </c>
      <c r="M103" s="36"/>
      <c r="N103" s="32">
        <f t="shared" si="226"/>
        <v>59</v>
      </c>
      <c r="O103" s="25">
        <f t="shared" si="109"/>
        <v>0.21332884813745268</v>
      </c>
      <c r="P103" s="25">
        <f t="shared" si="110"/>
        <v>0.20707194394929829</v>
      </c>
      <c r="Q103" s="25">
        <f t="shared" si="111"/>
        <v>0.20467921207105344</v>
      </c>
      <c r="R103" s="25">
        <f t="shared" si="161"/>
        <v>0.18581599106427871</v>
      </c>
      <c r="S103" s="25">
        <f t="shared" si="162"/>
        <v>0.19887411251262166</v>
      </c>
      <c r="T103" s="25">
        <f t="shared" si="163"/>
        <v>0.20404312212251452</v>
      </c>
      <c r="U103" s="25">
        <f t="shared" si="164"/>
        <v>0.22080373324422498</v>
      </c>
      <c r="V103" s="25">
        <f t="shared" si="165"/>
        <v>0.19595002665894534</v>
      </c>
      <c r="W103" s="25">
        <f t="shared" si="166"/>
        <v>0.15094801494655319</v>
      </c>
      <c r="X103" s="36"/>
      <c r="Y103" s="36"/>
      <c r="AA103" s="124">
        <f t="shared" si="113"/>
        <v>60</v>
      </c>
      <c r="AB103" s="128">
        <f t="shared" si="167"/>
        <v>115365.74469161486</v>
      </c>
      <c r="AC103" s="124">
        <f t="shared" si="114"/>
        <v>60</v>
      </c>
      <c r="AD103" s="130">
        <f t="shared" si="227"/>
        <v>4.4999999999999998E-2</v>
      </c>
      <c r="AE103" s="127">
        <f t="shared" si="228"/>
        <v>1178</v>
      </c>
      <c r="AF103" s="128">
        <f t="shared" si="229"/>
        <v>117686.5</v>
      </c>
      <c r="AG103" s="128">
        <f t="shared" si="140"/>
        <v>117800</v>
      </c>
      <c r="AH103" s="128">
        <f t="shared" si="118"/>
        <v>117800</v>
      </c>
      <c r="AI103" s="130">
        <f t="shared" si="168"/>
        <v>4.4999999999999998E-2</v>
      </c>
      <c r="AJ103" s="128">
        <f t="shared" si="169"/>
        <v>118241.74999999999</v>
      </c>
      <c r="AK103" s="128" t="str">
        <f t="shared" si="170"/>
        <v>tak</v>
      </c>
      <c r="AL103" s="128">
        <f t="shared" si="171"/>
        <v>0</v>
      </c>
      <c r="AM103" s="128">
        <f t="shared" si="150"/>
        <v>118157.81749999999</v>
      </c>
      <c r="AN103" s="128">
        <f t="shared" si="172"/>
        <v>476.11749999998153</v>
      </c>
      <c r="AO103" s="130">
        <f t="shared" si="173"/>
        <v>4.4999999999999998E-2</v>
      </c>
      <c r="AP103" s="128">
        <f t="shared" si="174"/>
        <v>4498.2726122419826</v>
      </c>
      <c r="AQ103" s="128">
        <f t="shared" si="156"/>
        <v>122179.972612242</v>
      </c>
      <c r="AS103" s="124">
        <f t="shared" si="119"/>
        <v>60</v>
      </c>
      <c r="AT103" s="130">
        <f t="shared" si="120"/>
        <v>4.4999999999999998E-2</v>
      </c>
      <c r="AU103" s="127">
        <f t="shared" si="230"/>
        <v>1172</v>
      </c>
      <c r="AV103" s="128">
        <f t="shared" si="231"/>
        <v>117091.3</v>
      </c>
      <c r="AW103" s="128">
        <f t="shared" si="151"/>
        <v>117200</v>
      </c>
      <c r="AX103" s="128">
        <f t="shared" si="123"/>
        <v>117200</v>
      </c>
      <c r="AY103" s="130">
        <f t="shared" si="175"/>
        <v>4.65E-2</v>
      </c>
      <c r="AZ103" s="128">
        <f t="shared" si="176"/>
        <v>117654.15000000001</v>
      </c>
      <c r="BA103" s="128" t="str">
        <f t="shared" si="177"/>
        <v>nie</v>
      </c>
      <c r="BB103" s="128">
        <f t="shared" si="178"/>
        <v>820.4</v>
      </c>
      <c r="BC103" s="128">
        <f t="shared" si="158"/>
        <v>116903.33750000001</v>
      </c>
      <c r="BD103" s="128">
        <f t="shared" si="179"/>
        <v>367.86150000000708</v>
      </c>
      <c r="BE103" s="130">
        <f t="shared" si="51"/>
        <v>4.4999999999999998E-2</v>
      </c>
      <c r="BF103" s="128">
        <f t="shared" si="180"/>
        <v>4552.2514895544327</v>
      </c>
      <c r="BG103" s="128">
        <f t="shared" si="159"/>
        <v>121087.72748955444</v>
      </c>
      <c r="BI103" s="124">
        <f t="shared" si="124"/>
        <v>60</v>
      </c>
      <c r="BJ103" s="130">
        <f t="shared" si="242"/>
        <v>4.3200000000000002E-2</v>
      </c>
      <c r="BK103" s="127">
        <f t="shared" si="232"/>
        <v>1126</v>
      </c>
      <c r="BL103" s="128">
        <f t="shared" si="233"/>
        <v>112487.40000000001</v>
      </c>
      <c r="BM103" s="128">
        <f t="shared" si="142"/>
        <v>112600</v>
      </c>
      <c r="BN103" s="128">
        <f t="shared" si="234"/>
        <v>118117.4</v>
      </c>
      <c r="BO103" s="130">
        <f t="shared" si="181"/>
        <v>4.9000000000000002E-2</v>
      </c>
      <c r="BP103" s="128">
        <f t="shared" si="182"/>
        <v>123905.15259999999</v>
      </c>
      <c r="BQ103" s="128" t="str">
        <f t="shared" si="183"/>
        <v>nie</v>
      </c>
      <c r="BR103" s="128">
        <f t="shared" si="184"/>
        <v>1126</v>
      </c>
      <c r="BS103" s="128">
        <f t="shared" si="153"/>
        <v>120845.11360599998</v>
      </c>
      <c r="BT103" s="128">
        <f t="shared" si="128"/>
        <v>0</v>
      </c>
      <c r="BU103" s="130">
        <f t="shared" si="185"/>
        <v>4.4999999999999998E-2</v>
      </c>
      <c r="BV103" s="128">
        <f t="shared" si="60"/>
        <v>13.521849843955968</v>
      </c>
      <c r="BW103" s="128">
        <f t="shared" si="243"/>
        <v>120858.63545584393</v>
      </c>
      <c r="BY103" s="130">
        <f t="shared" si="244"/>
        <v>2.9000000000000001E-2</v>
      </c>
      <c r="BZ103" s="127">
        <f t="shared" si="235"/>
        <v>1159</v>
      </c>
      <c r="CA103" s="128">
        <f t="shared" si="236"/>
        <v>115796.40000000001</v>
      </c>
      <c r="CB103" s="128">
        <f t="shared" si="154"/>
        <v>115900</v>
      </c>
      <c r="CC103" s="128">
        <f t="shared" si="131"/>
        <v>115900</v>
      </c>
      <c r="CD103" s="130">
        <f t="shared" si="186"/>
        <v>5.2499999999999998E-2</v>
      </c>
      <c r="CE103" s="128">
        <f t="shared" si="187"/>
        <v>121984.75</v>
      </c>
      <c r="CF103" s="128" t="str">
        <f t="shared" si="188"/>
        <v>nie</v>
      </c>
      <c r="CG103" s="128">
        <f t="shared" si="189"/>
        <v>2318</v>
      </c>
      <c r="CH103" s="128">
        <f t="shared" si="160"/>
        <v>118951.0675</v>
      </c>
      <c r="CI103" s="128">
        <f t="shared" si="190"/>
        <v>4928.6475</v>
      </c>
      <c r="CJ103" s="130">
        <f t="shared" si="68"/>
        <v>4.4999999999999998E-2</v>
      </c>
      <c r="CK103" s="128">
        <f t="shared" si="191"/>
        <v>4970.0250350808192</v>
      </c>
      <c r="CL103" s="128">
        <f t="shared" si="192"/>
        <v>118992.44503508082</v>
      </c>
      <c r="CN103" s="127">
        <f t="shared" si="237"/>
        <v>1000</v>
      </c>
      <c r="CO103" s="128">
        <f t="shared" si="238"/>
        <v>100000</v>
      </c>
      <c r="CP103" s="128">
        <f t="shared" si="134"/>
        <v>100000</v>
      </c>
      <c r="CQ103" s="128">
        <f t="shared" si="239"/>
        <v>122069.40863175</v>
      </c>
      <c r="CR103" s="130">
        <f t="shared" si="193"/>
        <v>4.9000000000000002E-2</v>
      </c>
      <c r="CS103" s="128">
        <f t="shared" si="194"/>
        <v>128050.80965470575</v>
      </c>
      <c r="CT103" s="128" t="str">
        <f t="shared" si="195"/>
        <v>nie</v>
      </c>
      <c r="CU103" s="128">
        <f t="shared" si="196"/>
        <v>3000</v>
      </c>
      <c r="CV103" s="128">
        <f t="shared" si="197"/>
        <v>120291.15582031166</v>
      </c>
      <c r="CW103" s="128">
        <f t="shared" si="76"/>
        <v>0</v>
      </c>
      <c r="CX103" s="130">
        <f t="shared" si="198"/>
        <v>4.4999999999999998E-2</v>
      </c>
      <c r="CY103" s="128">
        <f t="shared" si="199"/>
        <v>0</v>
      </c>
      <c r="CZ103" s="128">
        <f t="shared" si="200"/>
        <v>120291.15582031166</v>
      </c>
      <c r="DA103" s="20"/>
      <c r="DB103" s="127">
        <f t="shared" si="144"/>
        <v>1000</v>
      </c>
      <c r="DC103" s="128">
        <f t="shared" si="145"/>
        <v>100000</v>
      </c>
      <c r="DD103" s="128">
        <f t="shared" si="136"/>
        <v>100000</v>
      </c>
      <c r="DE103" s="128">
        <f t="shared" si="240"/>
        <v>121723.11243704997</v>
      </c>
      <c r="DF103" s="130">
        <f t="shared" si="201"/>
        <v>4.9000000000000002E-2</v>
      </c>
      <c r="DG103" s="128">
        <f t="shared" si="202"/>
        <v>127687.54494646541</v>
      </c>
      <c r="DH103" s="128" t="str">
        <f t="shared" si="203"/>
        <v>nie</v>
      </c>
      <c r="DI103" s="128">
        <f t="shared" si="204"/>
        <v>2000</v>
      </c>
      <c r="DJ103" s="128">
        <f t="shared" si="205"/>
        <v>120806.91140663698</v>
      </c>
      <c r="DK103" s="128">
        <f t="shared" si="85"/>
        <v>0</v>
      </c>
      <c r="DL103" s="130">
        <f t="shared" si="206"/>
        <v>4.4999999999999998E-2</v>
      </c>
      <c r="DM103" s="128">
        <f t="shared" si="207"/>
        <v>0</v>
      </c>
      <c r="DN103" s="128">
        <f t="shared" si="208"/>
        <v>120806.91140663698</v>
      </c>
      <c r="DP103" s="127">
        <f t="shared" si="146"/>
        <v>1000</v>
      </c>
      <c r="DQ103" s="128">
        <f t="shared" si="147"/>
        <v>100000</v>
      </c>
      <c r="DR103" s="128">
        <f t="shared" si="138"/>
        <v>100000</v>
      </c>
      <c r="DS103" s="128">
        <f t="shared" si="241"/>
        <v>124115.97918400001</v>
      </c>
      <c r="DT103" s="130">
        <f t="shared" si="209"/>
        <v>5.4000000000000006E-2</v>
      </c>
      <c r="DU103" s="128">
        <f t="shared" si="210"/>
        <v>130818.24205993602</v>
      </c>
      <c r="DV103" s="128" t="str">
        <f t="shared" si="211"/>
        <v>nie</v>
      </c>
      <c r="DW103" s="128">
        <f t="shared" si="212"/>
        <v>3000</v>
      </c>
      <c r="DX103" s="128">
        <f t="shared" si="93"/>
        <v>122532.77606854818</v>
      </c>
      <c r="DY103" s="128">
        <f t="shared" si="94"/>
        <v>0</v>
      </c>
      <c r="DZ103" s="130">
        <f t="shared" si="213"/>
        <v>4.4999999999999998E-2</v>
      </c>
      <c r="EA103" s="128">
        <f t="shared" si="214"/>
        <v>0</v>
      </c>
      <c r="EB103" s="128">
        <f t="shared" si="215"/>
        <v>122532.77606854818</v>
      </c>
    </row>
    <row r="104" spans="1:132">
      <c r="A104" s="212"/>
      <c r="B104" s="188">
        <f t="shared" si="216"/>
        <v>60</v>
      </c>
      <c r="C104" s="128">
        <f t="shared" si="217"/>
        <v>122179.972612242</v>
      </c>
      <c r="D104" s="128">
        <f t="shared" si="218"/>
        <v>121087.72748955444</v>
      </c>
      <c r="E104" s="128">
        <f t="shared" si="219"/>
        <v>120858.63545584393</v>
      </c>
      <c r="F104" s="128">
        <f t="shared" si="220"/>
        <v>118992.44503508082</v>
      </c>
      <c r="G104" s="128">
        <f t="shared" si="221"/>
        <v>120291.15582031166</v>
      </c>
      <c r="H104" s="128">
        <f t="shared" si="222"/>
        <v>120806.91140663698</v>
      </c>
      <c r="I104" s="128">
        <f t="shared" si="223"/>
        <v>122532.77606854818</v>
      </c>
      <c r="J104" s="128">
        <f t="shared" si="224"/>
        <v>119958.27248649219</v>
      </c>
      <c r="K104" s="128">
        <f t="shared" si="225"/>
        <v>115365.74469161486</v>
      </c>
      <c r="M104" s="36"/>
      <c r="N104" s="32">
        <f t="shared" si="226"/>
        <v>60</v>
      </c>
      <c r="O104" s="25">
        <f t="shared" si="109"/>
        <v>0.22179972612242005</v>
      </c>
      <c r="P104" s="25">
        <f t="shared" si="110"/>
        <v>0.21087727489554431</v>
      </c>
      <c r="Q104" s="25">
        <f t="shared" si="111"/>
        <v>0.20858635455843944</v>
      </c>
      <c r="R104" s="25">
        <f t="shared" si="161"/>
        <v>0.18992445035080818</v>
      </c>
      <c r="S104" s="25">
        <f t="shared" si="162"/>
        <v>0.20291155820311668</v>
      </c>
      <c r="T104" s="25">
        <f t="shared" si="163"/>
        <v>0.20806911406636974</v>
      </c>
      <c r="U104" s="25">
        <f t="shared" si="164"/>
        <v>0.22532776068548177</v>
      </c>
      <c r="V104" s="25">
        <f t="shared" si="165"/>
        <v>0.19958272486492201</v>
      </c>
      <c r="W104" s="25">
        <f t="shared" si="166"/>
        <v>0.15365744691614869</v>
      </c>
      <c r="X104" s="36"/>
      <c r="Y104" s="36"/>
      <c r="AA104" s="124">
        <f t="shared" si="113"/>
        <v>61</v>
      </c>
      <c r="AB104" s="128">
        <f t="shared" si="167"/>
        <v>115644.54524128627</v>
      </c>
      <c r="AC104" s="124">
        <f t="shared" si="114"/>
        <v>61</v>
      </c>
      <c r="AD104" s="130">
        <f t="shared" si="227"/>
        <v>4.4999999999999998E-2</v>
      </c>
      <c r="AE104" s="127">
        <f t="shared" si="228"/>
        <v>1226</v>
      </c>
      <c r="AF104" s="128">
        <f t="shared" si="229"/>
        <v>122481.8</v>
      </c>
      <c r="AG104" s="128">
        <f t="shared" si="140"/>
        <v>122600</v>
      </c>
      <c r="AH104" s="128">
        <f t="shared" si="118"/>
        <v>122600</v>
      </c>
      <c r="AI104" s="130">
        <f t="shared" si="168"/>
        <v>4.4999999999999998E-2</v>
      </c>
      <c r="AJ104" s="128">
        <f t="shared" si="169"/>
        <v>123059.74999999999</v>
      </c>
      <c r="AK104" s="128" t="str">
        <f t="shared" si="170"/>
        <v>nie</v>
      </c>
      <c r="AL104" s="128">
        <f t="shared" si="171"/>
        <v>459.74999999998545</v>
      </c>
      <c r="AM104" s="128">
        <f t="shared" si="150"/>
        <v>122600</v>
      </c>
      <c r="AN104" s="128">
        <f t="shared" si="172"/>
        <v>372.39749999998821</v>
      </c>
      <c r="AO104" s="130">
        <f t="shared" si="173"/>
        <v>4.4999999999999998E-2</v>
      </c>
      <c r="AP104" s="128">
        <f t="shared" si="174"/>
        <v>470.96861530165586</v>
      </c>
      <c r="AQ104" s="128">
        <f t="shared" si="156"/>
        <v>127111.93611530167</v>
      </c>
      <c r="AS104" s="124">
        <f t="shared" si="119"/>
        <v>61</v>
      </c>
      <c r="AT104" s="130">
        <f t="shared" si="120"/>
        <v>4.4999999999999998E-2</v>
      </c>
      <c r="AU104" s="127">
        <f t="shared" si="230"/>
        <v>1172</v>
      </c>
      <c r="AV104" s="128">
        <f t="shared" si="231"/>
        <v>117091.3</v>
      </c>
      <c r="AW104" s="128">
        <f t="shared" si="151"/>
        <v>117200</v>
      </c>
      <c r="AX104" s="128">
        <f t="shared" si="123"/>
        <v>117200</v>
      </c>
      <c r="AY104" s="130">
        <f t="shared" si="175"/>
        <v>4.65E-2</v>
      </c>
      <c r="AZ104" s="128">
        <f t="shared" si="176"/>
        <v>117654.15000000001</v>
      </c>
      <c r="BA104" s="128" t="str">
        <f t="shared" si="177"/>
        <v>nie</v>
      </c>
      <c r="BB104" s="128">
        <f t="shared" si="178"/>
        <v>820.4</v>
      </c>
      <c r="BC104" s="128">
        <f t="shared" si="158"/>
        <v>116903.33750000001</v>
      </c>
      <c r="BD104" s="128">
        <f t="shared" si="179"/>
        <v>367.86150000000708</v>
      </c>
      <c r="BE104" s="130">
        <f t="shared" si="51"/>
        <v>4.4999999999999998E-2</v>
      </c>
      <c r="BF104" s="128">
        <f t="shared" si="180"/>
        <v>4933.9404534539617</v>
      </c>
      <c r="BG104" s="128">
        <f t="shared" si="159"/>
        <v>121469.41645345396</v>
      </c>
      <c r="BI104" s="124">
        <f t="shared" si="124"/>
        <v>61</v>
      </c>
      <c r="BJ104" s="130">
        <f t="shared" si="242"/>
        <v>4.3200000000000002E-2</v>
      </c>
      <c r="BK104" s="127">
        <f t="shared" si="232"/>
        <v>1126</v>
      </c>
      <c r="BL104" s="128">
        <f t="shared" si="233"/>
        <v>112487.40000000001</v>
      </c>
      <c r="BM104" s="128">
        <f t="shared" si="142"/>
        <v>112600</v>
      </c>
      <c r="BN104" s="128">
        <f t="shared" si="234"/>
        <v>123905.15259999999</v>
      </c>
      <c r="BO104" s="130">
        <f t="shared" si="181"/>
        <v>4.9000000000000002E-2</v>
      </c>
      <c r="BP104" s="128">
        <f t="shared" si="182"/>
        <v>124411.09863978333</v>
      </c>
      <c r="BQ104" s="128" t="str">
        <f t="shared" si="183"/>
        <v>nie</v>
      </c>
      <c r="BR104" s="128">
        <f t="shared" si="184"/>
        <v>1126</v>
      </c>
      <c r="BS104" s="128">
        <f t="shared" si="153"/>
        <v>121254.92989822449</v>
      </c>
      <c r="BT104" s="128">
        <f t="shared" si="128"/>
        <v>0</v>
      </c>
      <c r="BU104" s="130">
        <f t="shared" si="185"/>
        <v>4.4999999999999998E-2</v>
      </c>
      <c r="BV104" s="128">
        <f t="shared" si="60"/>
        <v>13.562922462856985</v>
      </c>
      <c r="BW104" s="128">
        <f t="shared" si="243"/>
        <v>121268.49282068734</v>
      </c>
      <c r="BY104" s="130">
        <f t="shared" si="244"/>
        <v>2.9000000000000001E-2</v>
      </c>
      <c r="BZ104" s="127">
        <f t="shared" si="235"/>
        <v>1159</v>
      </c>
      <c r="CA104" s="128">
        <f t="shared" si="236"/>
        <v>115796.40000000001</v>
      </c>
      <c r="CB104" s="128">
        <f t="shared" si="154"/>
        <v>115900</v>
      </c>
      <c r="CC104" s="128">
        <f t="shared" si="131"/>
        <v>115900</v>
      </c>
      <c r="CD104" s="130">
        <f t="shared" si="186"/>
        <v>4.3999999999999997E-2</v>
      </c>
      <c r="CE104" s="128">
        <f t="shared" si="187"/>
        <v>116324.96666666667</v>
      </c>
      <c r="CF104" s="128" t="str">
        <f t="shared" si="188"/>
        <v>nie</v>
      </c>
      <c r="CG104" s="128">
        <f t="shared" si="189"/>
        <v>2318</v>
      </c>
      <c r="CH104" s="128">
        <f t="shared" si="160"/>
        <v>114366.64300000001</v>
      </c>
      <c r="CI104" s="128">
        <f t="shared" si="190"/>
        <v>0</v>
      </c>
      <c r="CJ104" s="130">
        <f t="shared" si="68"/>
        <v>4.4999999999999998E-2</v>
      </c>
      <c r="CK104" s="128">
        <f t="shared" si="191"/>
        <v>4985.1214861248773</v>
      </c>
      <c r="CL104" s="128">
        <f t="shared" si="192"/>
        <v>119351.76448612488</v>
      </c>
      <c r="CN104" s="127">
        <f t="shared" si="237"/>
        <v>1000</v>
      </c>
      <c r="CO104" s="128">
        <f t="shared" si="238"/>
        <v>100000</v>
      </c>
      <c r="CP104" s="128">
        <f t="shared" si="134"/>
        <v>100000</v>
      </c>
      <c r="CQ104" s="128">
        <f t="shared" si="239"/>
        <v>128050.80965470575</v>
      </c>
      <c r="CR104" s="130">
        <f t="shared" si="193"/>
        <v>4.9000000000000002E-2</v>
      </c>
      <c r="CS104" s="128">
        <f t="shared" si="194"/>
        <v>128573.68379412915</v>
      </c>
      <c r="CT104" s="128" t="str">
        <f t="shared" si="195"/>
        <v>nie</v>
      </c>
      <c r="CU104" s="128">
        <f t="shared" si="196"/>
        <v>3000</v>
      </c>
      <c r="CV104" s="128">
        <f t="shared" si="197"/>
        <v>120714.6838732446</v>
      </c>
      <c r="CW104" s="128">
        <f t="shared" si="76"/>
        <v>0</v>
      </c>
      <c r="CX104" s="130">
        <f t="shared" si="198"/>
        <v>4.4999999999999998E-2</v>
      </c>
      <c r="CY104" s="128">
        <f t="shared" si="199"/>
        <v>0</v>
      </c>
      <c r="CZ104" s="128">
        <f t="shared" si="200"/>
        <v>120714.6838732446</v>
      </c>
      <c r="DA104" s="20"/>
      <c r="DB104" s="127">
        <f t="shared" si="144"/>
        <v>1000</v>
      </c>
      <c r="DC104" s="128">
        <f t="shared" si="145"/>
        <v>100000</v>
      </c>
      <c r="DD104" s="128">
        <f t="shared" si="136"/>
        <v>100000</v>
      </c>
      <c r="DE104" s="128">
        <f t="shared" si="240"/>
        <v>127687.54494646541</v>
      </c>
      <c r="DF104" s="130">
        <f t="shared" si="201"/>
        <v>4.9000000000000002E-2</v>
      </c>
      <c r="DG104" s="128">
        <f t="shared" si="202"/>
        <v>128208.93575499683</v>
      </c>
      <c r="DH104" s="128" t="str">
        <f t="shared" si="203"/>
        <v>nie</v>
      </c>
      <c r="DI104" s="128">
        <f t="shared" si="204"/>
        <v>2000</v>
      </c>
      <c r="DJ104" s="128">
        <f t="shared" si="205"/>
        <v>121229.23796154743</v>
      </c>
      <c r="DK104" s="128">
        <f t="shared" si="85"/>
        <v>0</v>
      </c>
      <c r="DL104" s="130">
        <f t="shared" si="206"/>
        <v>4.4999999999999998E-2</v>
      </c>
      <c r="DM104" s="128">
        <f t="shared" si="207"/>
        <v>0</v>
      </c>
      <c r="DN104" s="128">
        <f t="shared" si="208"/>
        <v>121229.23796154743</v>
      </c>
      <c r="DP104" s="127">
        <f t="shared" si="146"/>
        <v>1000</v>
      </c>
      <c r="DQ104" s="128">
        <f t="shared" si="147"/>
        <v>100000</v>
      </c>
      <c r="DR104" s="128">
        <f t="shared" si="138"/>
        <v>100000</v>
      </c>
      <c r="DS104" s="128">
        <f t="shared" si="241"/>
        <v>130818.24205993602</v>
      </c>
      <c r="DT104" s="130">
        <f t="shared" si="209"/>
        <v>5.4000000000000006E-2</v>
      </c>
      <c r="DU104" s="128">
        <f t="shared" si="210"/>
        <v>131406.92414920573</v>
      </c>
      <c r="DV104" s="128" t="str">
        <f t="shared" si="211"/>
        <v>nie</v>
      </c>
      <c r="DW104" s="128">
        <f t="shared" si="212"/>
        <v>3000</v>
      </c>
      <c r="DX104" s="128">
        <f t="shared" si="93"/>
        <v>123009.60856085665</v>
      </c>
      <c r="DY104" s="128">
        <f t="shared" si="94"/>
        <v>0</v>
      </c>
      <c r="DZ104" s="130">
        <f t="shared" si="213"/>
        <v>4.4999999999999998E-2</v>
      </c>
      <c r="EA104" s="128">
        <f t="shared" si="214"/>
        <v>0</v>
      </c>
      <c r="EB104" s="128">
        <f t="shared" si="215"/>
        <v>123009.60856085665</v>
      </c>
    </row>
    <row r="105" spans="1:132">
      <c r="A105" s="212">
        <f>ROUNDUP(B116/12,0)</f>
        <v>6</v>
      </c>
      <c r="B105" s="188">
        <f t="shared" si="216"/>
        <v>61</v>
      </c>
      <c r="C105" s="128">
        <f t="shared" si="217"/>
        <v>127111.93611530167</v>
      </c>
      <c r="D105" s="128">
        <f t="shared" si="218"/>
        <v>121469.41645345396</v>
      </c>
      <c r="E105" s="128">
        <f t="shared" si="219"/>
        <v>121268.49282068734</v>
      </c>
      <c r="F105" s="128">
        <f t="shared" si="220"/>
        <v>119351.76448612488</v>
      </c>
      <c r="G105" s="128">
        <f t="shared" si="221"/>
        <v>120714.6838732446</v>
      </c>
      <c r="H105" s="128">
        <f t="shared" si="222"/>
        <v>121229.23796154743</v>
      </c>
      <c r="I105" s="128">
        <f t="shared" si="223"/>
        <v>123009.60856085665</v>
      </c>
      <c r="J105" s="128">
        <f t="shared" si="224"/>
        <v>120322.64573916991</v>
      </c>
      <c r="K105" s="128">
        <f t="shared" si="225"/>
        <v>115644.54524128627</v>
      </c>
      <c r="M105" s="36"/>
      <c r="N105" s="32">
        <f t="shared" si="226"/>
        <v>61</v>
      </c>
      <c r="O105" s="25">
        <f t="shared" si="109"/>
        <v>0.27111936115301671</v>
      </c>
      <c r="P105" s="25">
        <f t="shared" si="110"/>
        <v>0.21469416453453949</v>
      </c>
      <c r="Q105" s="25">
        <f t="shared" si="111"/>
        <v>0.21268492820687346</v>
      </c>
      <c r="R105" s="25">
        <f t="shared" si="161"/>
        <v>0.19351764486124878</v>
      </c>
      <c r="S105" s="25">
        <f t="shared" si="162"/>
        <v>0.20714683873244599</v>
      </c>
      <c r="T105" s="25">
        <f t="shared" si="163"/>
        <v>0.21229237961547431</v>
      </c>
      <c r="U105" s="25">
        <f t="shared" si="164"/>
        <v>0.23009608560856654</v>
      </c>
      <c r="V105" s="25">
        <f t="shared" si="165"/>
        <v>0.20322645739169909</v>
      </c>
      <c r="W105" s="25">
        <f t="shared" si="166"/>
        <v>0.15644545241286267</v>
      </c>
      <c r="X105" s="36"/>
      <c r="Y105" s="36"/>
      <c r="AA105" s="124">
        <f t="shared" si="113"/>
        <v>62</v>
      </c>
      <c r="AB105" s="128">
        <f t="shared" si="167"/>
        <v>115923.34579095765</v>
      </c>
      <c r="AC105" s="124">
        <f t="shared" si="114"/>
        <v>62</v>
      </c>
      <c r="AD105" s="130">
        <f t="shared" si="227"/>
        <v>4.4999999999999998E-2</v>
      </c>
      <c r="AE105" s="127">
        <f t="shared" si="228"/>
        <v>1226</v>
      </c>
      <c r="AF105" s="128">
        <f t="shared" si="229"/>
        <v>122481.8</v>
      </c>
      <c r="AG105" s="128">
        <f t="shared" si="140"/>
        <v>122600</v>
      </c>
      <c r="AH105" s="128">
        <f t="shared" si="118"/>
        <v>122600</v>
      </c>
      <c r="AI105" s="130">
        <f t="shared" si="168"/>
        <v>4.4999999999999998E-2</v>
      </c>
      <c r="AJ105" s="128">
        <f t="shared" si="169"/>
        <v>123059.74999999999</v>
      </c>
      <c r="AK105" s="128" t="str">
        <f t="shared" si="170"/>
        <v>nie</v>
      </c>
      <c r="AL105" s="128">
        <f t="shared" si="171"/>
        <v>613</v>
      </c>
      <c r="AM105" s="128">
        <f t="shared" si="150"/>
        <v>122475.86749999999</v>
      </c>
      <c r="AN105" s="128">
        <f t="shared" si="172"/>
        <v>372.39749999998821</v>
      </c>
      <c r="AO105" s="130">
        <f t="shared" si="173"/>
        <v>4.4999999999999998E-2</v>
      </c>
      <c r="AP105" s="128">
        <f t="shared" si="174"/>
        <v>844.79668247062284</v>
      </c>
      <c r="AQ105" s="128">
        <f t="shared" si="156"/>
        <v>122948.26668247062</v>
      </c>
      <c r="AS105" s="124">
        <f t="shared" si="119"/>
        <v>62</v>
      </c>
      <c r="AT105" s="130">
        <f t="shared" si="120"/>
        <v>4.4999999999999998E-2</v>
      </c>
      <c r="AU105" s="127">
        <f t="shared" si="230"/>
        <v>1172</v>
      </c>
      <c r="AV105" s="128">
        <f t="shared" si="231"/>
        <v>117091.3</v>
      </c>
      <c r="AW105" s="128">
        <f t="shared" si="151"/>
        <v>117200</v>
      </c>
      <c r="AX105" s="128">
        <f t="shared" si="123"/>
        <v>117200</v>
      </c>
      <c r="AY105" s="130">
        <f t="shared" si="175"/>
        <v>4.65E-2</v>
      </c>
      <c r="AZ105" s="128">
        <f t="shared" si="176"/>
        <v>117654.15000000001</v>
      </c>
      <c r="BA105" s="128" t="str">
        <f t="shared" si="177"/>
        <v>nie</v>
      </c>
      <c r="BB105" s="128">
        <f t="shared" si="178"/>
        <v>820.4</v>
      </c>
      <c r="BC105" s="128">
        <f t="shared" si="158"/>
        <v>116903.33750000001</v>
      </c>
      <c r="BD105" s="128">
        <f t="shared" si="179"/>
        <v>367.86150000000708</v>
      </c>
      <c r="BE105" s="130">
        <f t="shared" si="51"/>
        <v>4.4999999999999998E-2</v>
      </c>
      <c r="BF105" s="128">
        <f t="shared" si="180"/>
        <v>5316.7887975813355</v>
      </c>
      <c r="BG105" s="128">
        <f t="shared" si="159"/>
        <v>121852.26479758133</v>
      </c>
      <c r="BI105" s="124">
        <f t="shared" si="124"/>
        <v>62</v>
      </c>
      <c r="BJ105" s="130">
        <f t="shared" si="242"/>
        <v>4.3200000000000002E-2</v>
      </c>
      <c r="BK105" s="127">
        <f t="shared" si="232"/>
        <v>1126</v>
      </c>
      <c r="BL105" s="128">
        <f t="shared" si="233"/>
        <v>112487.40000000001</v>
      </c>
      <c r="BM105" s="128">
        <f t="shared" si="142"/>
        <v>112600</v>
      </c>
      <c r="BN105" s="128">
        <f t="shared" si="234"/>
        <v>123905.15259999999</v>
      </c>
      <c r="BO105" s="130">
        <f t="shared" si="181"/>
        <v>4.9000000000000002E-2</v>
      </c>
      <c r="BP105" s="128">
        <f t="shared" si="182"/>
        <v>124917.04467956665</v>
      </c>
      <c r="BQ105" s="128" t="str">
        <f t="shared" si="183"/>
        <v>nie</v>
      </c>
      <c r="BR105" s="128">
        <f t="shared" si="184"/>
        <v>1126</v>
      </c>
      <c r="BS105" s="128">
        <f t="shared" si="153"/>
        <v>121664.74619044899</v>
      </c>
      <c r="BT105" s="128">
        <f t="shared" si="128"/>
        <v>0</v>
      </c>
      <c r="BU105" s="130">
        <f t="shared" si="185"/>
        <v>4.4999999999999998E-2</v>
      </c>
      <c r="BV105" s="128">
        <f t="shared" si="60"/>
        <v>13.604119839837914</v>
      </c>
      <c r="BW105" s="128">
        <f t="shared" si="243"/>
        <v>121678.35031028882</v>
      </c>
      <c r="BY105" s="130">
        <f t="shared" si="244"/>
        <v>2.9000000000000001E-2</v>
      </c>
      <c r="BZ105" s="127">
        <f t="shared" si="235"/>
        <v>1159</v>
      </c>
      <c r="CA105" s="128">
        <f t="shared" si="236"/>
        <v>115796.40000000001</v>
      </c>
      <c r="CB105" s="128">
        <f t="shared" si="154"/>
        <v>115900</v>
      </c>
      <c r="CC105" s="128">
        <f t="shared" si="131"/>
        <v>115900</v>
      </c>
      <c r="CD105" s="130">
        <f t="shared" si="186"/>
        <v>4.3999999999999997E-2</v>
      </c>
      <c r="CE105" s="128">
        <f t="shared" si="187"/>
        <v>116749.93333333335</v>
      </c>
      <c r="CF105" s="128" t="str">
        <f t="shared" si="188"/>
        <v>nie</v>
      </c>
      <c r="CG105" s="128">
        <f t="shared" si="189"/>
        <v>2318</v>
      </c>
      <c r="CH105" s="128">
        <f t="shared" si="160"/>
        <v>114710.86600000001</v>
      </c>
      <c r="CI105" s="128">
        <f t="shared" si="190"/>
        <v>0</v>
      </c>
      <c r="CJ105" s="130">
        <f t="shared" si="68"/>
        <v>4.4999999999999998E-2</v>
      </c>
      <c r="CK105" s="128">
        <f t="shared" si="191"/>
        <v>5000.2637926389816</v>
      </c>
      <c r="CL105" s="128">
        <f t="shared" si="192"/>
        <v>119711.129792639</v>
      </c>
      <c r="CN105" s="127">
        <f t="shared" si="237"/>
        <v>1000</v>
      </c>
      <c r="CO105" s="128">
        <f t="shared" si="238"/>
        <v>100000</v>
      </c>
      <c r="CP105" s="128">
        <f t="shared" si="134"/>
        <v>100000</v>
      </c>
      <c r="CQ105" s="128">
        <f t="shared" si="239"/>
        <v>128050.80965470575</v>
      </c>
      <c r="CR105" s="130">
        <f t="shared" si="193"/>
        <v>4.9000000000000002E-2</v>
      </c>
      <c r="CS105" s="128">
        <f t="shared" si="194"/>
        <v>129096.55793355251</v>
      </c>
      <c r="CT105" s="128" t="str">
        <f t="shared" si="195"/>
        <v>nie</v>
      </c>
      <c r="CU105" s="128">
        <f t="shared" si="196"/>
        <v>3000</v>
      </c>
      <c r="CV105" s="128">
        <f t="shared" si="197"/>
        <v>121138.21192617754</v>
      </c>
      <c r="CW105" s="128">
        <f t="shared" si="76"/>
        <v>0</v>
      </c>
      <c r="CX105" s="130">
        <f t="shared" si="198"/>
        <v>4.4999999999999998E-2</v>
      </c>
      <c r="CY105" s="128">
        <f t="shared" si="199"/>
        <v>0</v>
      </c>
      <c r="CZ105" s="128">
        <f t="shared" si="200"/>
        <v>121138.21192617754</v>
      </c>
      <c r="DA105" s="20"/>
      <c r="DB105" s="127">
        <f t="shared" si="144"/>
        <v>1000</v>
      </c>
      <c r="DC105" s="128">
        <f t="shared" si="145"/>
        <v>100000</v>
      </c>
      <c r="DD105" s="128">
        <f t="shared" si="136"/>
        <v>100000</v>
      </c>
      <c r="DE105" s="128">
        <f t="shared" si="240"/>
        <v>127687.54494646541</v>
      </c>
      <c r="DF105" s="130">
        <f t="shared" si="201"/>
        <v>4.9000000000000002E-2</v>
      </c>
      <c r="DG105" s="128">
        <f t="shared" si="202"/>
        <v>128730.32656352822</v>
      </c>
      <c r="DH105" s="128" t="str">
        <f t="shared" si="203"/>
        <v>nie</v>
      </c>
      <c r="DI105" s="128">
        <f t="shared" si="204"/>
        <v>2000</v>
      </c>
      <c r="DJ105" s="128">
        <f t="shared" si="205"/>
        <v>121651.56451645786</v>
      </c>
      <c r="DK105" s="128">
        <f t="shared" si="85"/>
        <v>0</v>
      </c>
      <c r="DL105" s="130">
        <f t="shared" si="206"/>
        <v>4.4999999999999998E-2</v>
      </c>
      <c r="DM105" s="128">
        <f t="shared" si="207"/>
        <v>0</v>
      </c>
      <c r="DN105" s="128">
        <f t="shared" si="208"/>
        <v>121651.56451645786</v>
      </c>
      <c r="DP105" s="127">
        <f t="shared" si="146"/>
        <v>1000</v>
      </c>
      <c r="DQ105" s="128">
        <f t="shared" si="147"/>
        <v>100000</v>
      </c>
      <c r="DR105" s="128">
        <f t="shared" si="138"/>
        <v>100000</v>
      </c>
      <c r="DS105" s="128">
        <f t="shared" si="241"/>
        <v>130818.24205993602</v>
      </c>
      <c r="DT105" s="130">
        <f t="shared" si="209"/>
        <v>5.4000000000000006E-2</v>
      </c>
      <c r="DU105" s="128">
        <f t="shared" si="210"/>
        <v>131995.60623847542</v>
      </c>
      <c r="DV105" s="128" t="str">
        <f t="shared" si="211"/>
        <v>nie</v>
      </c>
      <c r="DW105" s="128">
        <f t="shared" si="212"/>
        <v>3000</v>
      </c>
      <c r="DX105" s="128">
        <f t="shared" si="93"/>
        <v>123486.44105316509</v>
      </c>
      <c r="DY105" s="128">
        <f t="shared" si="94"/>
        <v>0</v>
      </c>
      <c r="DZ105" s="130">
        <f t="shared" si="213"/>
        <v>4.4999999999999998E-2</v>
      </c>
      <c r="EA105" s="128">
        <f t="shared" si="214"/>
        <v>0</v>
      </c>
      <c r="EB105" s="128">
        <f t="shared" si="215"/>
        <v>123486.44105316509</v>
      </c>
    </row>
    <row r="106" spans="1:132">
      <c r="A106" s="212"/>
      <c r="B106" s="188">
        <f t="shared" si="216"/>
        <v>62</v>
      </c>
      <c r="C106" s="128">
        <f t="shared" si="217"/>
        <v>122948.26668247062</v>
      </c>
      <c r="D106" s="128">
        <f t="shared" si="218"/>
        <v>121852.26479758133</v>
      </c>
      <c r="E106" s="128">
        <f t="shared" si="219"/>
        <v>121678.35031028882</v>
      </c>
      <c r="F106" s="128">
        <f t="shared" si="220"/>
        <v>119711.129792639</v>
      </c>
      <c r="G106" s="128">
        <f t="shared" si="221"/>
        <v>121138.21192617754</v>
      </c>
      <c r="H106" s="128">
        <f t="shared" si="222"/>
        <v>121651.56451645786</v>
      </c>
      <c r="I106" s="128">
        <f t="shared" si="223"/>
        <v>123486.44105316509</v>
      </c>
      <c r="J106" s="128">
        <f t="shared" si="224"/>
        <v>120688.12577560265</v>
      </c>
      <c r="K106" s="128">
        <f t="shared" si="225"/>
        <v>115923.34579095765</v>
      </c>
      <c r="M106" s="36"/>
      <c r="N106" s="32">
        <f t="shared" si="226"/>
        <v>62</v>
      </c>
      <c r="O106" s="25">
        <f t="shared" si="109"/>
        <v>0.22948266682470631</v>
      </c>
      <c r="P106" s="25">
        <f t="shared" si="110"/>
        <v>0.21852264797581333</v>
      </c>
      <c r="Q106" s="25">
        <f t="shared" si="111"/>
        <v>0.21678350310288819</v>
      </c>
      <c r="R106" s="25">
        <f t="shared" si="161"/>
        <v>0.19711129792639004</v>
      </c>
      <c r="S106" s="25">
        <f t="shared" si="162"/>
        <v>0.2113821192617753</v>
      </c>
      <c r="T106" s="25">
        <f t="shared" si="163"/>
        <v>0.21651564516457866</v>
      </c>
      <c r="U106" s="25">
        <f t="shared" si="164"/>
        <v>0.23486441053165086</v>
      </c>
      <c r="V106" s="25">
        <f t="shared" si="165"/>
        <v>0.20688125775602639</v>
      </c>
      <c r="W106" s="25">
        <f t="shared" si="166"/>
        <v>0.15923345790957644</v>
      </c>
      <c r="X106" s="36"/>
      <c r="Y106" s="36"/>
      <c r="AA106" s="124">
        <f t="shared" si="113"/>
        <v>63</v>
      </c>
      <c r="AB106" s="128">
        <f t="shared" si="167"/>
        <v>116202.14634062907</v>
      </c>
      <c r="AC106" s="124">
        <f t="shared" si="114"/>
        <v>63</v>
      </c>
      <c r="AD106" s="130">
        <f t="shared" si="227"/>
        <v>4.4999999999999998E-2</v>
      </c>
      <c r="AE106" s="127">
        <f t="shared" si="228"/>
        <v>1226</v>
      </c>
      <c r="AF106" s="128">
        <f t="shared" si="229"/>
        <v>122481.8</v>
      </c>
      <c r="AG106" s="128">
        <f t="shared" si="140"/>
        <v>122600</v>
      </c>
      <c r="AH106" s="128">
        <f t="shared" si="118"/>
        <v>122600</v>
      </c>
      <c r="AI106" s="130">
        <f t="shared" si="168"/>
        <v>4.4999999999999998E-2</v>
      </c>
      <c r="AJ106" s="128">
        <f t="shared" si="169"/>
        <v>123059.74999999999</v>
      </c>
      <c r="AK106" s="128" t="str">
        <f t="shared" si="170"/>
        <v>nie</v>
      </c>
      <c r="AL106" s="128">
        <f t="shared" si="171"/>
        <v>613</v>
      </c>
      <c r="AM106" s="128">
        <f t="shared" si="150"/>
        <v>122475.86749999999</v>
      </c>
      <c r="AN106" s="128">
        <f t="shared" si="172"/>
        <v>372.39749999998821</v>
      </c>
      <c r="AO106" s="130">
        <f t="shared" si="173"/>
        <v>4.4999999999999998E-2</v>
      </c>
      <c r="AP106" s="128">
        <f t="shared" si="174"/>
        <v>1219.7602523936157</v>
      </c>
      <c r="AQ106" s="128">
        <f t="shared" si="156"/>
        <v>123323.23025239362</v>
      </c>
      <c r="AS106" s="124">
        <f t="shared" si="119"/>
        <v>63</v>
      </c>
      <c r="AT106" s="130">
        <f t="shared" si="120"/>
        <v>4.4999999999999998E-2</v>
      </c>
      <c r="AU106" s="127">
        <f t="shared" si="230"/>
        <v>1172</v>
      </c>
      <c r="AV106" s="128">
        <f t="shared" si="231"/>
        <v>117091.3</v>
      </c>
      <c r="AW106" s="128">
        <f t="shared" si="151"/>
        <v>117200</v>
      </c>
      <c r="AX106" s="128">
        <f t="shared" si="123"/>
        <v>117200</v>
      </c>
      <c r="AY106" s="130">
        <f t="shared" si="175"/>
        <v>4.65E-2</v>
      </c>
      <c r="AZ106" s="128">
        <f t="shared" si="176"/>
        <v>117654.15000000001</v>
      </c>
      <c r="BA106" s="128" t="str">
        <f t="shared" si="177"/>
        <v>nie</v>
      </c>
      <c r="BB106" s="128">
        <f t="shared" si="178"/>
        <v>820.4</v>
      </c>
      <c r="BC106" s="128">
        <f t="shared" si="158"/>
        <v>116903.33750000001</v>
      </c>
      <c r="BD106" s="128">
        <f t="shared" si="179"/>
        <v>367.86150000000708</v>
      </c>
      <c r="BE106" s="130">
        <f t="shared" si="51"/>
        <v>4.4999999999999998E-2</v>
      </c>
      <c r="BF106" s="128">
        <f t="shared" si="180"/>
        <v>5700.8000435539961</v>
      </c>
      <c r="BG106" s="128">
        <f t="shared" si="159"/>
        <v>122236.276043554</v>
      </c>
      <c r="BI106" s="124">
        <f t="shared" si="124"/>
        <v>63</v>
      </c>
      <c r="BJ106" s="130">
        <f t="shared" si="242"/>
        <v>4.3200000000000002E-2</v>
      </c>
      <c r="BK106" s="127">
        <f t="shared" si="232"/>
        <v>1126</v>
      </c>
      <c r="BL106" s="128">
        <f t="shared" si="233"/>
        <v>112487.40000000001</v>
      </c>
      <c r="BM106" s="128">
        <f t="shared" si="142"/>
        <v>112600</v>
      </c>
      <c r="BN106" s="128">
        <f t="shared" si="234"/>
        <v>123905.15259999999</v>
      </c>
      <c r="BO106" s="130">
        <f t="shared" si="181"/>
        <v>4.9000000000000002E-2</v>
      </c>
      <c r="BP106" s="128">
        <f t="shared" si="182"/>
        <v>125422.99071935</v>
      </c>
      <c r="BQ106" s="128" t="str">
        <f t="shared" si="183"/>
        <v>nie</v>
      </c>
      <c r="BR106" s="128">
        <f t="shared" si="184"/>
        <v>1126</v>
      </c>
      <c r="BS106" s="128">
        <f t="shared" si="153"/>
        <v>122074.5624826735</v>
      </c>
      <c r="BT106" s="128">
        <f t="shared" si="128"/>
        <v>0</v>
      </c>
      <c r="BU106" s="130">
        <f t="shared" si="185"/>
        <v>4.4999999999999998E-2</v>
      </c>
      <c r="BV106" s="128">
        <f t="shared" si="60"/>
        <v>13.645442353851422</v>
      </c>
      <c r="BW106" s="128">
        <f t="shared" si="243"/>
        <v>122088.20792502735</v>
      </c>
      <c r="BY106" s="130">
        <f t="shared" si="244"/>
        <v>2.9000000000000001E-2</v>
      </c>
      <c r="BZ106" s="127">
        <f t="shared" si="235"/>
        <v>1159</v>
      </c>
      <c r="CA106" s="128">
        <f t="shared" si="236"/>
        <v>115796.40000000001</v>
      </c>
      <c r="CB106" s="128">
        <f t="shared" si="154"/>
        <v>115900</v>
      </c>
      <c r="CC106" s="128">
        <f t="shared" si="131"/>
        <v>115900</v>
      </c>
      <c r="CD106" s="130">
        <f t="shared" si="186"/>
        <v>4.3999999999999997E-2</v>
      </c>
      <c r="CE106" s="128">
        <f t="shared" si="187"/>
        <v>117174.9</v>
      </c>
      <c r="CF106" s="128" t="str">
        <f t="shared" si="188"/>
        <v>nie</v>
      </c>
      <c r="CG106" s="128">
        <f t="shared" si="189"/>
        <v>2318</v>
      </c>
      <c r="CH106" s="128">
        <f t="shared" si="160"/>
        <v>115055.08899999999</v>
      </c>
      <c r="CI106" s="128">
        <f t="shared" si="190"/>
        <v>0</v>
      </c>
      <c r="CJ106" s="130">
        <f t="shared" si="68"/>
        <v>4.4999999999999998E-2</v>
      </c>
      <c r="CK106" s="128">
        <f t="shared" si="191"/>
        <v>5015.4520939091226</v>
      </c>
      <c r="CL106" s="128">
        <f t="shared" si="192"/>
        <v>120070.54109390911</v>
      </c>
      <c r="CN106" s="127">
        <f t="shared" si="237"/>
        <v>1000</v>
      </c>
      <c r="CO106" s="128">
        <f t="shared" si="238"/>
        <v>100000</v>
      </c>
      <c r="CP106" s="128">
        <f t="shared" si="134"/>
        <v>100000</v>
      </c>
      <c r="CQ106" s="128">
        <f t="shared" si="239"/>
        <v>128050.80965470575</v>
      </c>
      <c r="CR106" s="130">
        <f t="shared" si="193"/>
        <v>4.9000000000000002E-2</v>
      </c>
      <c r="CS106" s="128">
        <f t="shared" si="194"/>
        <v>129619.43207297591</v>
      </c>
      <c r="CT106" s="128" t="str">
        <f t="shared" si="195"/>
        <v>nie</v>
      </c>
      <c r="CU106" s="128">
        <f t="shared" si="196"/>
        <v>3000</v>
      </c>
      <c r="CV106" s="128">
        <f t="shared" si="197"/>
        <v>121561.73997911048</v>
      </c>
      <c r="CW106" s="128">
        <f t="shared" si="76"/>
        <v>0</v>
      </c>
      <c r="CX106" s="130">
        <f t="shared" si="198"/>
        <v>4.4999999999999998E-2</v>
      </c>
      <c r="CY106" s="128">
        <f t="shared" si="199"/>
        <v>0</v>
      </c>
      <c r="CZ106" s="128">
        <f t="shared" si="200"/>
        <v>121561.73997911048</v>
      </c>
      <c r="DA106" s="20"/>
      <c r="DB106" s="127">
        <f t="shared" si="144"/>
        <v>1000</v>
      </c>
      <c r="DC106" s="128">
        <f t="shared" si="145"/>
        <v>100000</v>
      </c>
      <c r="DD106" s="128">
        <f t="shared" si="136"/>
        <v>100000</v>
      </c>
      <c r="DE106" s="128">
        <f t="shared" si="240"/>
        <v>127687.54494646541</v>
      </c>
      <c r="DF106" s="130">
        <f t="shared" si="201"/>
        <v>4.9000000000000002E-2</v>
      </c>
      <c r="DG106" s="128">
        <f t="shared" si="202"/>
        <v>129251.71737205962</v>
      </c>
      <c r="DH106" s="128" t="str">
        <f t="shared" si="203"/>
        <v>nie</v>
      </c>
      <c r="DI106" s="128">
        <f t="shared" si="204"/>
        <v>2000</v>
      </c>
      <c r="DJ106" s="128">
        <f t="shared" si="205"/>
        <v>122073.89107136829</v>
      </c>
      <c r="DK106" s="128">
        <f t="shared" si="85"/>
        <v>0</v>
      </c>
      <c r="DL106" s="130">
        <f t="shared" si="206"/>
        <v>4.4999999999999998E-2</v>
      </c>
      <c r="DM106" s="128">
        <f t="shared" si="207"/>
        <v>0</v>
      </c>
      <c r="DN106" s="128">
        <f t="shared" si="208"/>
        <v>122073.89107136829</v>
      </c>
      <c r="DP106" s="127">
        <f t="shared" si="146"/>
        <v>1000</v>
      </c>
      <c r="DQ106" s="128">
        <f t="shared" si="147"/>
        <v>100000</v>
      </c>
      <c r="DR106" s="128">
        <f t="shared" si="138"/>
        <v>100000</v>
      </c>
      <c r="DS106" s="128">
        <f t="shared" si="241"/>
        <v>130818.24205993602</v>
      </c>
      <c r="DT106" s="130">
        <f t="shared" si="209"/>
        <v>5.4000000000000006E-2</v>
      </c>
      <c r="DU106" s="128">
        <f t="shared" si="210"/>
        <v>132584.28832774516</v>
      </c>
      <c r="DV106" s="128" t="str">
        <f t="shared" si="211"/>
        <v>nie</v>
      </c>
      <c r="DW106" s="128">
        <f t="shared" si="212"/>
        <v>3000</v>
      </c>
      <c r="DX106" s="128">
        <f t="shared" si="93"/>
        <v>123963.27354547358</v>
      </c>
      <c r="DY106" s="128">
        <f t="shared" si="94"/>
        <v>0</v>
      </c>
      <c r="DZ106" s="130">
        <f t="shared" si="213"/>
        <v>4.4999999999999998E-2</v>
      </c>
      <c r="EA106" s="128">
        <f t="shared" si="214"/>
        <v>0</v>
      </c>
      <c r="EB106" s="128">
        <f t="shared" si="215"/>
        <v>123963.27354547358</v>
      </c>
    </row>
    <row r="107" spans="1:132">
      <c r="A107" s="212"/>
      <c r="B107" s="188">
        <f t="shared" si="216"/>
        <v>63</v>
      </c>
      <c r="C107" s="128">
        <f t="shared" si="217"/>
        <v>123323.23025239362</v>
      </c>
      <c r="D107" s="128">
        <f t="shared" si="218"/>
        <v>122236.276043554</v>
      </c>
      <c r="E107" s="128">
        <f t="shared" si="219"/>
        <v>122088.20792502735</v>
      </c>
      <c r="F107" s="128">
        <f t="shared" si="220"/>
        <v>120070.54109390911</v>
      </c>
      <c r="G107" s="128">
        <f t="shared" si="221"/>
        <v>121561.73997911048</v>
      </c>
      <c r="H107" s="128">
        <f t="shared" si="222"/>
        <v>122073.89107136829</v>
      </c>
      <c r="I107" s="128">
        <f t="shared" si="223"/>
        <v>123963.27354547358</v>
      </c>
      <c r="J107" s="128">
        <f t="shared" si="224"/>
        <v>121054.71595764604</v>
      </c>
      <c r="K107" s="128">
        <f t="shared" si="225"/>
        <v>116202.14634062907</v>
      </c>
      <c r="M107" s="36"/>
      <c r="N107" s="32">
        <f t="shared" si="226"/>
        <v>63</v>
      </c>
      <c r="O107" s="25">
        <f t="shared" si="109"/>
        <v>0.23323230252393623</v>
      </c>
      <c r="P107" s="25">
        <f t="shared" si="110"/>
        <v>0.22236276043554004</v>
      </c>
      <c r="Q107" s="25">
        <f t="shared" si="111"/>
        <v>0.22088207925027348</v>
      </c>
      <c r="R107" s="25">
        <f t="shared" si="161"/>
        <v>0.20070541093909111</v>
      </c>
      <c r="S107" s="25">
        <f t="shared" si="162"/>
        <v>0.21561739979110484</v>
      </c>
      <c r="T107" s="25">
        <f t="shared" si="163"/>
        <v>0.22073891071368279</v>
      </c>
      <c r="U107" s="25">
        <f t="shared" si="164"/>
        <v>0.23963273545473585</v>
      </c>
      <c r="V107" s="25">
        <f t="shared" si="165"/>
        <v>0.21054715957646031</v>
      </c>
      <c r="W107" s="25">
        <f t="shared" si="166"/>
        <v>0.16202146340629064</v>
      </c>
      <c r="X107" s="36"/>
      <c r="Y107" s="36"/>
      <c r="AA107" s="124">
        <f t="shared" si="113"/>
        <v>64</v>
      </c>
      <c r="AB107" s="128">
        <f t="shared" si="167"/>
        <v>116480.94689030047</v>
      </c>
      <c r="AC107" s="124">
        <f t="shared" si="114"/>
        <v>64</v>
      </c>
      <c r="AD107" s="130">
        <f t="shared" si="227"/>
        <v>4.4999999999999998E-2</v>
      </c>
      <c r="AE107" s="127">
        <f t="shared" si="228"/>
        <v>1226</v>
      </c>
      <c r="AF107" s="128">
        <f t="shared" si="229"/>
        <v>122481.8</v>
      </c>
      <c r="AG107" s="128">
        <f t="shared" si="140"/>
        <v>122600</v>
      </c>
      <c r="AH107" s="128">
        <f t="shared" si="118"/>
        <v>122600</v>
      </c>
      <c r="AI107" s="130">
        <f t="shared" si="168"/>
        <v>4.4999999999999998E-2</v>
      </c>
      <c r="AJ107" s="128">
        <f t="shared" si="169"/>
        <v>123059.74999999999</v>
      </c>
      <c r="AK107" s="128" t="str">
        <f t="shared" si="170"/>
        <v>nie</v>
      </c>
      <c r="AL107" s="128">
        <f t="shared" si="171"/>
        <v>613</v>
      </c>
      <c r="AM107" s="128">
        <f t="shared" si="150"/>
        <v>122475.86749999999</v>
      </c>
      <c r="AN107" s="128">
        <f t="shared" si="172"/>
        <v>372.39749999998821</v>
      </c>
      <c r="AO107" s="130">
        <f t="shared" si="173"/>
        <v>4.4999999999999998E-2</v>
      </c>
      <c r="AP107" s="128">
        <f t="shared" si="174"/>
        <v>1595.8627741602495</v>
      </c>
      <c r="AQ107" s="128">
        <f t="shared" si="156"/>
        <v>123699.33277416026</v>
      </c>
      <c r="AS107" s="124">
        <f t="shared" si="119"/>
        <v>64</v>
      </c>
      <c r="AT107" s="130">
        <f t="shared" si="120"/>
        <v>4.4999999999999998E-2</v>
      </c>
      <c r="AU107" s="127">
        <f t="shared" si="230"/>
        <v>1172</v>
      </c>
      <c r="AV107" s="128">
        <f t="shared" si="231"/>
        <v>117091.3</v>
      </c>
      <c r="AW107" s="128">
        <f t="shared" si="151"/>
        <v>117200</v>
      </c>
      <c r="AX107" s="128">
        <f t="shared" si="123"/>
        <v>117200</v>
      </c>
      <c r="AY107" s="130">
        <f t="shared" si="175"/>
        <v>4.65E-2</v>
      </c>
      <c r="AZ107" s="128">
        <f t="shared" si="176"/>
        <v>117654.15000000001</v>
      </c>
      <c r="BA107" s="128" t="str">
        <f t="shared" si="177"/>
        <v>nie</v>
      </c>
      <c r="BB107" s="128">
        <f t="shared" si="178"/>
        <v>820.4</v>
      </c>
      <c r="BC107" s="128">
        <f t="shared" si="158"/>
        <v>116903.33750000001</v>
      </c>
      <c r="BD107" s="128">
        <f t="shared" si="179"/>
        <v>367.86150000000708</v>
      </c>
      <c r="BE107" s="130">
        <f t="shared" si="51"/>
        <v>4.4999999999999998E-2</v>
      </c>
      <c r="BF107" s="128">
        <f t="shared" si="180"/>
        <v>6085.9777236862992</v>
      </c>
      <c r="BG107" s="128">
        <f t="shared" si="159"/>
        <v>122621.4537236863</v>
      </c>
      <c r="BI107" s="124">
        <f t="shared" si="124"/>
        <v>64</v>
      </c>
      <c r="BJ107" s="130">
        <f t="shared" si="242"/>
        <v>4.3200000000000002E-2</v>
      </c>
      <c r="BK107" s="127">
        <f t="shared" si="232"/>
        <v>1126</v>
      </c>
      <c r="BL107" s="128">
        <f t="shared" si="233"/>
        <v>112487.40000000001</v>
      </c>
      <c r="BM107" s="128">
        <f t="shared" si="142"/>
        <v>112600</v>
      </c>
      <c r="BN107" s="128">
        <f t="shared" si="234"/>
        <v>123905.15259999999</v>
      </c>
      <c r="BO107" s="130">
        <f t="shared" si="181"/>
        <v>4.9000000000000002E-2</v>
      </c>
      <c r="BP107" s="128">
        <f t="shared" si="182"/>
        <v>125928.93675913331</v>
      </c>
      <c r="BQ107" s="128" t="str">
        <f t="shared" si="183"/>
        <v>nie</v>
      </c>
      <c r="BR107" s="128">
        <f t="shared" si="184"/>
        <v>1126</v>
      </c>
      <c r="BS107" s="128">
        <f t="shared" si="153"/>
        <v>122484.37877489798</v>
      </c>
      <c r="BT107" s="128">
        <f t="shared" si="128"/>
        <v>0</v>
      </c>
      <c r="BU107" s="130">
        <f t="shared" si="185"/>
        <v>4.4999999999999998E-2</v>
      </c>
      <c r="BV107" s="128">
        <f t="shared" si="60"/>
        <v>13.686890385001247</v>
      </c>
      <c r="BW107" s="128">
        <f t="shared" si="243"/>
        <v>122498.06566528298</v>
      </c>
      <c r="BY107" s="130">
        <f t="shared" si="244"/>
        <v>2.9000000000000001E-2</v>
      </c>
      <c r="BZ107" s="127">
        <f t="shared" si="235"/>
        <v>1159</v>
      </c>
      <c r="CA107" s="128">
        <f t="shared" si="236"/>
        <v>115796.40000000001</v>
      </c>
      <c r="CB107" s="128">
        <f t="shared" si="154"/>
        <v>115900</v>
      </c>
      <c r="CC107" s="128">
        <f t="shared" si="131"/>
        <v>115900</v>
      </c>
      <c r="CD107" s="130">
        <f t="shared" si="186"/>
        <v>4.3999999999999997E-2</v>
      </c>
      <c r="CE107" s="128">
        <f t="shared" si="187"/>
        <v>117599.86666666665</v>
      </c>
      <c r="CF107" s="128" t="str">
        <f t="shared" si="188"/>
        <v>nie</v>
      </c>
      <c r="CG107" s="128">
        <f t="shared" si="189"/>
        <v>2318</v>
      </c>
      <c r="CH107" s="128">
        <f t="shared" si="160"/>
        <v>115399.31199999999</v>
      </c>
      <c r="CI107" s="128">
        <f t="shared" si="190"/>
        <v>0</v>
      </c>
      <c r="CJ107" s="130">
        <f t="shared" si="68"/>
        <v>4.4999999999999998E-2</v>
      </c>
      <c r="CK107" s="128">
        <f t="shared" si="191"/>
        <v>5030.6865296443721</v>
      </c>
      <c r="CL107" s="128">
        <f t="shared" si="192"/>
        <v>120429.99852964436</v>
      </c>
      <c r="CN107" s="127">
        <f t="shared" si="237"/>
        <v>1000</v>
      </c>
      <c r="CO107" s="128">
        <f t="shared" si="238"/>
        <v>100000</v>
      </c>
      <c r="CP107" s="128">
        <f t="shared" si="134"/>
        <v>100000</v>
      </c>
      <c r="CQ107" s="128">
        <f t="shared" si="239"/>
        <v>128050.80965470575</v>
      </c>
      <c r="CR107" s="130">
        <f t="shared" si="193"/>
        <v>4.9000000000000002E-2</v>
      </c>
      <c r="CS107" s="128">
        <f t="shared" si="194"/>
        <v>130142.30621239927</v>
      </c>
      <c r="CT107" s="128" t="str">
        <f t="shared" si="195"/>
        <v>nie</v>
      </c>
      <c r="CU107" s="128">
        <f t="shared" si="196"/>
        <v>3000</v>
      </c>
      <c r="CV107" s="128">
        <f t="shared" si="197"/>
        <v>121985.26803204342</v>
      </c>
      <c r="CW107" s="128">
        <f t="shared" si="76"/>
        <v>0</v>
      </c>
      <c r="CX107" s="130">
        <f t="shared" si="198"/>
        <v>4.4999999999999998E-2</v>
      </c>
      <c r="CY107" s="128">
        <f t="shared" si="199"/>
        <v>0</v>
      </c>
      <c r="CZ107" s="128">
        <f t="shared" si="200"/>
        <v>121985.26803204342</v>
      </c>
      <c r="DA107" s="20"/>
      <c r="DB107" s="127">
        <f t="shared" si="144"/>
        <v>1000</v>
      </c>
      <c r="DC107" s="128">
        <f t="shared" si="145"/>
        <v>100000</v>
      </c>
      <c r="DD107" s="128">
        <f t="shared" si="136"/>
        <v>100000</v>
      </c>
      <c r="DE107" s="128">
        <f t="shared" si="240"/>
        <v>127687.54494646541</v>
      </c>
      <c r="DF107" s="130">
        <f t="shared" si="201"/>
        <v>4.9000000000000002E-2</v>
      </c>
      <c r="DG107" s="128">
        <f t="shared" si="202"/>
        <v>129773.10818059101</v>
      </c>
      <c r="DH107" s="128" t="str">
        <f t="shared" si="203"/>
        <v>nie</v>
      </c>
      <c r="DI107" s="128">
        <f t="shared" si="204"/>
        <v>2000</v>
      </c>
      <c r="DJ107" s="128">
        <f t="shared" si="205"/>
        <v>122496.21762627871</v>
      </c>
      <c r="DK107" s="128">
        <f t="shared" si="85"/>
        <v>0</v>
      </c>
      <c r="DL107" s="130">
        <f t="shared" si="206"/>
        <v>4.4999999999999998E-2</v>
      </c>
      <c r="DM107" s="128">
        <f t="shared" si="207"/>
        <v>0</v>
      </c>
      <c r="DN107" s="128">
        <f t="shared" si="208"/>
        <v>122496.21762627871</v>
      </c>
      <c r="DP107" s="127">
        <f t="shared" si="146"/>
        <v>1000</v>
      </c>
      <c r="DQ107" s="128">
        <f t="shared" si="147"/>
        <v>100000</v>
      </c>
      <c r="DR107" s="128">
        <f t="shared" si="138"/>
        <v>100000</v>
      </c>
      <c r="DS107" s="128">
        <f t="shared" si="241"/>
        <v>130818.24205993602</v>
      </c>
      <c r="DT107" s="130">
        <f t="shared" si="209"/>
        <v>5.4000000000000006E-2</v>
      </c>
      <c r="DU107" s="128">
        <f t="shared" si="210"/>
        <v>133172.97041701488</v>
      </c>
      <c r="DV107" s="128" t="str">
        <f t="shared" si="211"/>
        <v>nie</v>
      </c>
      <c r="DW107" s="128">
        <f t="shared" si="212"/>
        <v>3000</v>
      </c>
      <c r="DX107" s="128">
        <f t="shared" si="93"/>
        <v>124440.10603778205</v>
      </c>
      <c r="DY107" s="128">
        <f t="shared" si="94"/>
        <v>0</v>
      </c>
      <c r="DZ107" s="130">
        <f t="shared" si="213"/>
        <v>4.4999999999999998E-2</v>
      </c>
      <c r="EA107" s="128">
        <f t="shared" si="214"/>
        <v>0</v>
      </c>
      <c r="EB107" s="128">
        <f t="shared" si="215"/>
        <v>124440.10603778205</v>
      </c>
    </row>
    <row r="108" spans="1:132">
      <c r="A108" s="212"/>
      <c r="B108" s="188">
        <f t="shared" si="216"/>
        <v>64</v>
      </c>
      <c r="C108" s="128">
        <f t="shared" si="217"/>
        <v>123699.33277416026</v>
      </c>
      <c r="D108" s="128">
        <f t="shared" si="218"/>
        <v>122621.4537236863</v>
      </c>
      <c r="E108" s="128">
        <f t="shared" si="219"/>
        <v>122498.06566528298</v>
      </c>
      <c r="F108" s="128">
        <f t="shared" si="220"/>
        <v>120429.99852964436</v>
      </c>
      <c r="G108" s="128">
        <f t="shared" si="221"/>
        <v>121985.26803204342</v>
      </c>
      <c r="H108" s="128">
        <f t="shared" si="222"/>
        <v>122496.21762627871</v>
      </c>
      <c r="I108" s="128">
        <f t="shared" si="223"/>
        <v>124440.10603778205</v>
      </c>
      <c r="J108" s="128">
        <f t="shared" si="224"/>
        <v>121422.4196573674</v>
      </c>
      <c r="K108" s="128">
        <f t="shared" si="225"/>
        <v>116480.94689030047</v>
      </c>
      <c r="M108" s="36"/>
      <c r="N108" s="32">
        <f t="shared" si="226"/>
        <v>64</v>
      </c>
      <c r="O108" s="25">
        <f t="shared" si="109"/>
        <v>0.23699332774160253</v>
      </c>
      <c r="P108" s="25">
        <f t="shared" si="110"/>
        <v>0.22621453723686291</v>
      </c>
      <c r="Q108" s="25">
        <f t="shared" si="111"/>
        <v>0.22498065665282985</v>
      </c>
      <c r="R108" s="25">
        <f t="shared" ref="R108:R139" si="245">F108/zakup_domyslny_wartosc-1</f>
        <v>0.20429998529644355</v>
      </c>
      <c r="S108" s="25">
        <f t="shared" ref="S108:S139" si="246">G108/zakup_domyslny_wartosc-1</f>
        <v>0.21985268032043415</v>
      </c>
      <c r="T108" s="25">
        <f t="shared" ref="T108:T139" si="247">H108/zakup_domyslny_wartosc-1</f>
        <v>0.22496217626278714</v>
      </c>
      <c r="U108" s="25">
        <f t="shared" ref="U108:U139" si="248">I108/zakup_domyslny_wartosc-1</f>
        <v>0.24440106037782061</v>
      </c>
      <c r="V108" s="25">
        <f t="shared" ref="V108:V139" si="249">J108/zakup_domyslny_wartosc-1</f>
        <v>0.21422419657367398</v>
      </c>
      <c r="W108" s="25">
        <f t="shared" ref="W108:W139" si="250">K108/zakup_domyslny_wartosc-1</f>
        <v>0.16480946890300485</v>
      </c>
      <c r="X108" s="36"/>
      <c r="Y108" s="36"/>
      <c r="AA108" s="124">
        <f t="shared" si="113"/>
        <v>65</v>
      </c>
      <c r="AB108" s="128">
        <f t="shared" ref="AB108:AB139" si="251">zakup_domyslny_wartosc*IFERROR((INDEX(scenariusz_I_inflacja_skumulowana,MATCH(ROUNDDOWN(AA108/12,0),scenariusz_I_rok,0))+1),1)
*(1+MOD(AA108,12)*INDEX(scenariusz_I_inflacja,MATCH(ROUNDUP(AA108/12,0),scenariusz_I_rok,0))/12)</f>
        <v>116759.74743997189</v>
      </c>
      <c r="AC108" s="124">
        <f t="shared" si="114"/>
        <v>65</v>
      </c>
      <c r="AD108" s="130">
        <f t="shared" si="227"/>
        <v>4.4999999999999998E-2</v>
      </c>
      <c r="AE108" s="127">
        <f t="shared" si="228"/>
        <v>1226</v>
      </c>
      <c r="AF108" s="128">
        <f t="shared" si="229"/>
        <v>122481.8</v>
      </c>
      <c r="AG108" s="128">
        <f t="shared" si="140"/>
        <v>122600</v>
      </c>
      <c r="AH108" s="128">
        <f t="shared" si="118"/>
        <v>122600</v>
      </c>
      <c r="AI108" s="130">
        <f t="shared" ref="AI108:AI139" si="252">IF(AND(MOD($AA108,zapadalnosc_ROR)&lt;=zmiana_oprocentowania_co_ile_mc_ROR,MOD($AA108,zapadalnosc_ROR)&lt;&gt;0),proc_I_okres_ROR,(marza_ROR+AD108))</f>
        <v>4.4999999999999998E-2</v>
      </c>
      <c r="AJ108" s="128">
        <f t="shared" ref="AJ108:AJ139" si="253">AH108*(1+AI108*IF(MOD($AA108,wyplata_odsetek_ROR)&lt;&gt;0,MOD($AA108,wyplata_odsetek_ROR),wyplata_odsetek_ROR)/12)</f>
        <v>123059.74999999999</v>
      </c>
      <c r="AK108" s="128" t="str">
        <f t="shared" ref="AK108:AK139" si="254">IF(MOD($AA108,zapadalnosc_ROR)=0,"tak","nie")</f>
        <v>nie</v>
      </c>
      <c r="AL108" s="128">
        <f t="shared" ref="AL108:AL139" si="255">IF(MOD($AA108,zapadalnosc_ROR)=0,0,
IF(AND(MOD($AA108,zapadalnosc_ROR)&lt;zapadalnosc_ROR,MOD($AA108,zapadalnosc_ROR)&lt;=koszt_wczesniejszy_wykup_ochrona_ROR),
MIN(AJ108-AG108,AE108*koszt_wczesniejszy_wykup_ROR),AE108*koszt_wczesniejszy_wykup_ROR))</f>
        <v>613</v>
      </c>
      <c r="AM108" s="128">
        <f t="shared" si="150"/>
        <v>122475.86749999999</v>
      </c>
      <c r="AN108" s="128">
        <f t="shared" ref="AN108:AN139" si="256">IF(MOD($AA108,wyplata_odsetek_ROR)=0, (AJ108-AG108)*(1-podatek_Belki),0)
+IF(AK108="tak",ROUNDDOWN(AJ108/zamiana_ROR,0)*(100-zamiana_ROR),0)</f>
        <v>372.39749999998821</v>
      </c>
      <c r="AO108" s="130">
        <f t="shared" ref="AO108:AO139" si="257">INDEX(scenariusz_I_konto,MATCH(ROUNDUP($AA108/12,0),scenariusz_I_rok,0))</f>
        <v>4.4999999999999998E-2</v>
      </c>
      <c r="AP108" s="128">
        <f t="shared" ref="AP108:AP139" si="258">(AP107-IF(AK107="tak",ROUNDDOWN(AP107/100,0)*100,0))*
(1+AO108/12*(1-podatek_Belki))+AN108</f>
        <v>1973.1077073367496</v>
      </c>
      <c r="AQ108" s="128">
        <f t="shared" si="156"/>
        <v>124076.57770733675</v>
      </c>
      <c r="AS108" s="124">
        <f t="shared" si="119"/>
        <v>65</v>
      </c>
      <c r="AT108" s="130">
        <f t="shared" si="120"/>
        <v>4.4999999999999998E-2</v>
      </c>
      <c r="AU108" s="127">
        <f t="shared" si="230"/>
        <v>1172</v>
      </c>
      <c r="AV108" s="128">
        <f t="shared" si="231"/>
        <v>117091.3</v>
      </c>
      <c r="AW108" s="128">
        <f t="shared" si="151"/>
        <v>117200</v>
      </c>
      <c r="AX108" s="128">
        <f t="shared" si="123"/>
        <v>117200</v>
      </c>
      <c r="AY108" s="130">
        <f t="shared" ref="AY108:AY139" si="259">IF(AND(MOD($AA108,zapadalnosc_DOR)&lt;=zmiana_oprocentowania_co_ile_mc_DOR,MOD($AA108,zapadalnosc_DOR)&lt;&gt;0),proc_I_okres_DOR,(marza_DOR+AT108))</f>
        <v>4.65E-2</v>
      </c>
      <c r="AZ108" s="128">
        <f t="shared" ref="AZ108:AZ139" si="260">AX108*(1+AY108*IF(MOD($AA108,wyplata_odsetek_DOR)&lt;&gt;0,MOD($AA108,wyplata_odsetek_DOR),wyplata_odsetek_DOR)/12)</f>
        <v>117654.15000000001</v>
      </c>
      <c r="BA108" s="128" t="str">
        <f t="shared" ref="BA108:BA139" si="261">IF(MOD($AA108,zapadalnosc_DOR)=0,"tak","nie")</f>
        <v>nie</v>
      </c>
      <c r="BB108" s="128">
        <f t="shared" ref="BB108:BB139" si="262">IF(MOD($AA108,zapadalnosc_DOR)=0,0,
IF(AND(MOD($AA108,zapadalnosc_DOR)&lt;zapadalnosc_DOR,MOD($AA108,zapadalnosc_DOR)&lt;=koszt_wczesniejszy_wykup_ochrona_DOR),
MIN(AZ108-AW108,AU108*koszt_wczesniejszy_wykup_DOR),AU108*koszt_wczesniejszy_wykup_DOR))</f>
        <v>820.4</v>
      </c>
      <c r="BC108" s="128">
        <f t="shared" si="158"/>
        <v>116903.33750000001</v>
      </c>
      <c r="BD108" s="128">
        <f t="shared" ref="BD108:BD139" si="263">IF(MOD($AA108,wyplata_odsetek_DOR)=0, (AZ108-AW108)*(1-podatek_Belki),0)
+IF(BA108="tak",ROUNDDOWN(AZ108/zamiana_DOR,0)*(100-zamiana_DOR),0)</f>
        <v>367.86150000000708</v>
      </c>
      <c r="BE108" s="130">
        <f t="shared" ref="BE108:BE171" si="264">INDEX(scenariusz_I_konto,MATCH(ROUNDUP($AA108/12,0),scenariusz_I_rok,0))</f>
        <v>4.4999999999999998E-2</v>
      </c>
      <c r="BF108" s="128">
        <f t="shared" ref="BF108:BF139" si="265">(BF107-IF(BA107="tak",ROUNDDOWN(BF107/100,0)*100,0))*
(1+BE108/12*(1-podatek_Belki))+BD108</f>
        <v>6472.325381022004</v>
      </c>
      <c r="BG108" s="128">
        <f t="shared" si="159"/>
        <v>123007.801381022</v>
      </c>
      <c r="BI108" s="124">
        <f t="shared" si="124"/>
        <v>65</v>
      </c>
      <c r="BJ108" s="130">
        <f t="shared" si="242"/>
        <v>4.3200000000000002E-2</v>
      </c>
      <c r="BK108" s="127">
        <f t="shared" si="232"/>
        <v>1126</v>
      </c>
      <c r="BL108" s="128">
        <f t="shared" si="233"/>
        <v>112487.40000000001</v>
      </c>
      <c r="BM108" s="128">
        <f t="shared" si="142"/>
        <v>112600</v>
      </c>
      <c r="BN108" s="128">
        <f t="shared" si="234"/>
        <v>123905.15259999999</v>
      </c>
      <c r="BO108" s="130">
        <f t="shared" ref="BO108:BO139" si="266">IF(AND(MOD($AA108,zapadalnosc_TOS)&lt;=12,MOD($AA108,zapadalnosc_TOS)&lt;&gt;0),proc_I_okres_TOS,(marza_TOS+proc_I_okres_TOS))</f>
        <v>4.9000000000000002E-2</v>
      </c>
      <c r="BP108" s="128">
        <f t="shared" ref="BP108:BP139" si="267">BN108*(1+BO108*IF(MOD($AA108,12)&lt;&gt;0,MOD($AA108,12),12)/12)</f>
        <v>126434.88279891666</v>
      </c>
      <c r="BQ108" s="128" t="str">
        <f t="shared" ref="BQ108:BQ139" si="268">IF(MOD($AA108,zapadalnosc_TOS)=0,"tak","nie")</f>
        <v>nie</v>
      </c>
      <c r="BR108" s="128">
        <f t="shared" ref="BR108:BR139" si="269">IF(MOD($AA108,zapadalnosc_TOS)=0,0,
IF(AND(MOD($AA108,zapadalnosc_TOS)&lt;zapadalnosc_TOS,MOD($AA108,zapadalnosc_TOS)&lt;=koszt_wczesniejszy_wykup_ochrona_TOS),
MIN(BP108-BM108,BK108*koszt_wczesniejszy_wykup_TOS),BK108*koszt_wczesniejszy_wykup_TOS))</f>
        <v>1126</v>
      </c>
      <c r="BS108" s="128">
        <f t="shared" si="153"/>
        <v>122894.19506712249</v>
      </c>
      <c r="BT108" s="128">
        <f t="shared" si="128"/>
        <v>0</v>
      </c>
      <c r="BU108" s="130">
        <f t="shared" ref="BU108:BU139" si="270">INDEX(scenariusz_I_konto,MATCH(ROUNDUP($AA108/12,0),scenariusz_I_rok,0))</f>
        <v>4.4999999999999998E-2</v>
      </c>
      <c r="BV108" s="128">
        <f t="shared" ref="BV108:BV171" si="271">BV107*(1+BU108/12*(1-podatek_Belki))+BT108</f>
        <v>13.728464314545688</v>
      </c>
      <c r="BW108" s="128">
        <f t="shared" si="243"/>
        <v>122907.92353143703</v>
      </c>
      <c r="BY108" s="130">
        <f t="shared" si="244"/>
        <v>2.9000000000000001E-2</v>
      </c>
      <c r="BZ108" s="127">
        <f t="shared" si="235"/>
        <v>1159</v>
      </c>
      <c r="CA108" s="128">
        <f t="shared" si="236"/>
        <v>115796.40000000001</v>
      </c>
      <c r="CB108" s="128">
        <f t="shared" si="154"/>
        <v>115900</v>
      </c>
      <c r="CC108" s="128">
        <f t="shared" si="131"/>
        <v>115900</v>
      </c>
      <c r="CD108" s="130">
        <f t="shared" ref="CD108:CD139" si="272">IF(AND(MOD($AA108,zapadalnosc_COI)&lt;=zmiana_oprocentowania_co_ile_mc_COI,MOD($AA108,zapadalnosc_COI)&lt;&gt;0),proc_I_okres_COI,(marza_COI+BY108))</f>
        <v>4.3999999999999997E-2</v>
      </c>
      <c r="CE108" s="128">
        <f t="shared" ref="CE108:CE139" si="273">CC108*(1+CD108*IF(MOD($AA108,wyplata_odsetek_COI)&lt;&gt;0,MOD($AA108,wyplata_odsetek_COI),wyplata_odsetek_COI)/12)</f>
        <v>118024.83333333333</v>
      </c>
      <c r="CF108" s="128" t="str">
        <f t="shared" ref="CF108:CF139" si="274">IF(MOD($AA108,zapadalnosc_COI)=0,"tak","nie")</f>
        <v>nie</v>
      </c>
      <c r="CG108" s="128">
        <f t="shared" ref="CG108:CG139" si="275">IF(MOD($AA108,zapadalnosc_COI)=0,0,
IF(AND(MOD($AA108,zapadalnosc_COI)&lt;zapadalnosc_COI,MOD($AA108,zapadalnosc_COI)&lt;=koszt_wczesniejszy_wykup_ochrona_COI),
MIN(CE108-CB108,BZ108*koszt_wczesniejszy_wykup_COI),BZ108*koszt_wczesniejszy_wykup_COI))</f>
        <v>2318</v>
      </c>
      <c r="CH108" s="128">
        <f t="shared" si="160"/>
        <v>115743.53499999999</v>
      </c>
      <c r="CI108" s="128">
        <f t="shared" ref="CI108:CI139" si="276" xml:space="preserve"> IF(CF108="tak",
CH108-ROUNDDOWN(CH108/zamiana_COI,0)*zamiana_COI,
IF(MOD($AA108,wyplata_odsetek_COI)=0, (CE108-CB108)*(1-podatek_Belki),0))</f>
        <v>0</v>
      </c>
      <c r="CJ108" s="130">
        <f t="shared" ref="CJ108:CJ171" si="277">INDEX(scenariusz_I_konto,MATCH(ROUNDUP($AA108/12,0),scenariusz_I_rok,0))</f>
        <v>4.4999999999999998E-2</v>
      </c>
      <c r="CK108" s="128">
        <f t="shared" ref="CK108:CK139" si="278">(CK107-IF(CF107="tak",ROUNDDOWN(CK107/100,0)*100,0))*
(1+CJ108/12*(1-podatek_Belki))+CI108</f>
        <v>5045.9672399781666</v>
      </c>
      <c r="CL108" s="128">
        <f t="shared" ref="CL108:CL139" si="279">(CK107-IF(MOD($AA107,zapadalnosc_COI)=0,ROUNDDOWN(CK107/100,0)*100,0))*(1+CJ108/12*(1-podatek_Belki))+CH108</f>
        <v>120789.50223997816</v>
      </c>
      <c r="CN108" s="127">
        <f t="shared" si="237"/>
        <v>1000</v>
      </c>
      <c r="CO108" s="128">
        <f t="shared" si="238"/>
        <v>100000</v>
      </c>
      <c r="CP108" s="128">
        <f t="shared" si="134"/>
        <v>100000</v>
      </c>
      <c r="CQ108" s="128">
        <f t="shared" si="239"/>
        <v>128050.80965470575</v>
      </c>
      <c r="CR108" s="130">
        <f t="shared" ref="CR108:CR139" si="280">IF(AND(MOD($AA108,zapadalnosc_EDO)&lt;=12,MOD($AA108,zapadalnosc_EDO)&lt;&gt;0),proc_I_okres_EDO,(marza_EDO+$BY108))</f>
        <v>4.9000000000000002E-2</v>
      </c>
      <c r="CS108" s="128">
        <f t="shared" ref="CS108:CS139" si="281">CQ108*(1+CR108*IF(MOD($AA108,12)&lt;&gt;0,MOD($AA108,12),12)/12)</f>
        <v>130665.18035182267</v>
      </c>
      <c r="CT108" s="128" t="str">
        <f t="shared" ref="CT108:CT139" si="282">IF(MOD($AA108,zapadalnosc_EDO)=0,"tak","nie")</f>
        <v>nie</v>
      </c>
      <c r="CU108" s="128">
        <f t="shared" ref="CU108:CU139" si="283">IF(AND(MOD($AA108,zapadalnosc_EDO)&lt;zapadalnosc_EDO,MOD($AA108,zapadalnosc_EDO)&lt;&gt;0),MIN(CS108-CP108,CN108*koszt_wczesniejszy_wykup_EDO),0)</f>
        <v>3000</v>
      </c>
      <c r="CV108" s="128">
        <f t="shared" ref="CV108:CV139" si="284">CS108-CU108
-(CS108-CP108-CU108)*podatek_Belki</f>
        <v>122408.79608497636</v>
      </c>
      <c r="CW108" s="128">
        <f t="shared" ref="CW108:CW162" si="285">IF(AND(CT108="tak",CO109&lt;&gt;""),
 CV108-CO109,
0)</f>
        <v>0</v>
      </c>
      <c r="CX108" s="130">
        <f t="shared" ref="CX108:CX139" si="286">INDEX(scenariusz_I_konto,MATCH(ROUNDUP($AA108/12,0),scenariusz_I_rok,0))</f>
        <v>4.4999999999999998E-2</v>
      </c>
      <c r="CY108" s="128">
        <f t="shared" ref="CY108:CY139" si="287">CY107*(1+CX108/12*(1-podatek_Belki))+CW108</f>
        <v>0</v>
      </c>
      <c r="CZ108" s="128">
        <f t="shared" ref="CZ108:CZ139" si="288">CY107*(1+CX108/12*(1-podatek_Belki))+CV108</f>
        <v>122408.79608497636</v>
      </c>
      <c r="DA108" s="20"/>
      <c r="DB108" s="127">
        <f t="shared" si="144"/>
        <v>1000</v>
      </c>
      <c r="DC108" s="128">
        <f t="shared" si="145"/>
        <v>100000</v>
      </c>
      <c r="DD108" s="128">
        <f t="shared" si="136"/>
        <v>100000</v>
      </c>
      <c r="DE108" s="128">
        <f t="shared" si="240"/>
        <v>127687.54494646541</v>
      </c>
      <c r="DF108" s="130">
        <f t="shared" ref="DF108:DF139" si="289">IF(AND(MOD($AA108,zapadalnosc_ROS)&lt;=12,MOD($AA108,zapadalnosc_ROS)&lt;&gt;0),proc_I_okres_ROS,(marza_ROS+$BY108))</f>
        <v>4.9000000000000002E-2</v>
      </c>
      <c r="DG108" s="128">
        <f t="shared" ref="DG108:DG139" si="290">DE108*(1+DF108*IF(MOD($AA108,12)&lt;&gt;0,MOD($AA108,12),12)/12)</f>
        <v>130294.49898912242</v>
      </c>
      <c r="DH108" s="128" t="str">
        <f t="shared" ref="DH108:DH139" si="291">IF(MOD($AA108,zapadalnosc_ROS)=0,"tak","nie")</f>
        <v>nie</v>
      </c>
      <c r="DI108" s="128">
        <f t="shared" ref="DI108:DI139" si="292">IF(AND(MOD($AA108,zapadalnosc_ROS)&lt;zapadalnosc_ROS,MOD($AA108,zapadalnosc_ROS)&lt;&gt;0),MIN(DG108-DD108,DB108*koszt_wczesniejszy_wykup_ROS),0)</f>
        <v>2000</v>
      </c>
      <c r="DJ108" s="128">
        <f t="shared" ref="DJ108:DJ115" si="293">DG108-DI108
-(DG108-DD108-DI108)*podatek_Belki</f>
        <v>122918.54418118917</v>
      </c>
      <c r="DK108" s="128">
        <f t="shared" ref="DK108:DK162" si="294">IF(AND(DH108="tak",DC109&lt;&gt;""),
 DJ108-DC109,
0)</f>
        <v>0</v>
      </c>
      <c r="DL108" s="130">
        <f t="shared" ref="DL108:DL139" si="295">INDEX(scenariusz_I_konto,MATCH(ROUNDUP($AA108/12,0),scenariusz_I_rok,0))</f>
        <v>4.4999999999999998E-2</v>
      </c>
      <c r="DM108" s="128">
        <f t="shared" ref="DM108:DM139" si="296">DM107*(1+DL108/12*(1-podatek_Belki))+DK108</f>
        <v>0</v>
      </c>
      <c r="DN108" s="128">
        <f t="shared" ref="DN108:DN139" si="297">DM107*(1+DL108/12*(1-podatek_Belki))+DJ108</f>
        <v>122918.54418118917</v>
      </c>
      <c r="DP108" s="127">
        <f t="shared" si="146"/>
        <v>1000</v>
      </c>
      <c r="DQ108" s="128">
        <f t="shared" si="147"/>
        <v>100000</v>
      </c>
      <c r="DR108" s="128">
        <f t="shared" si="138"/>
        <v>100000</v>
      </c>
      <c r="DS108" s="128">
        <f t="shared" si="241"/>
        <v>130818.24205993602</v>
      </c>
      <c r="DT108" s="130">
        <f t="shared" ref="DT108:DT139" si="298">IF(AND(MOD($AA108,zapadalnosc_ROD)&lt;=12,MOD($AA108,zapadalnosc_ROD)&lt;&gt;0),proc_I_okres_ROD,(marza_ROD+$BY108))</f>
        <v>5.4000000000000006E-2</v>
      </c>
      <c r="DU108" s="128">
        <f t="shared" ref="DU108:DU139" si="299">DS108*(1+DT108*IF(MOD($AA108,12)&lt;&gt;0,MOD($AA108,12),12)/12)</f>
        <v>133761.65250628456</v>
      </c>
      <c r="DV108" s="128" t="str">
        <f t="shared" ref="DV108:DV139" si="300">IF(MOD($AA108,zapadalnosc_ROD)=0,"tak","nie")</f>
        <v>nie</v>
      </c>
      <c r="DW108" s="128">
        <f t="shared" ref="DW108:DW139" si="301">IF(AND(MOD($AA108,zapadalnosc_ROD)&lt;zapadalnosc_ROD,MOD($AA108,zapadalnosc_ROD)&lt;&gt;0),MIN(DU108-DR108,DP108*koszt_wczesniejszy_wykup_ROD),0)</f>
        <v>3000</v>
      </c>
      <c r="DX108" s="128">
        <f t="shared" ref="DX108:DX171" si="302">DU108-DW108
-(DU108-DR108-DW108)*podatek_Belki</f>
        <v>124916.9385300905</v>
      </c>
      <c r="DY108" s="128">
        <f t="shared" ref="DY108:DY162" si="303">IF(AND(DV108="tak",DQ109&lt;&gt;""),
 DX108-DQ109,
0)</f>
        <v>0</v>
      </c>
      <c r="DZ108" s="130">
        <f t="shared" ref="DZ108:DZ139" si="304">INDEX(scenariusz_I_konto,MATCH(ROUNDUP($AA108/12,0),scenariusz_I_rok,0))</f>
        <v>4.4999999999999998E-2</v>
      </c>
      <c r="EA108" s="128">
        <f t="shared" ref="EA108:EA139" si="305">EA107*(1+DZ108/12*(1-podatek_Belki))+DY108</f>
        <v>0</v>
      </c>
      <c r="EB108" s="128">
        <f t="shared" ref="EB108:EB139" si="306">EA107*(1+DZ108/12*(1-podatek_Belki))+DX108</f>
        <v>124916.9385300905</v>
      </c>
    </row>
    <row r="109" spans="1:132">
      <c r="A109" s="212"/>
      <c r="B109" s="188">
        <f t="shared" ref="B109:B140" si="307">AA108</f>
        <v>65</v>
      </c>
      <c r="C109" s="128">
        <f t="shared" ref="C109:C140" si="308">AQ108</f>
        <v>124076.57770733675</v>
      </c>
      <c r="D109" s="128">
        <f t="shared" ref="D109:D140" si="309">BG108</f>
        <v>123007.801381022</v>
      </c>
      <c r="E109" s="128">
        <f t="shared" ref="E109:E140" si="310">BW108</f>
        <v>122907.92353143703</v>
      </c>
      <c r="F109" s="128">
        <f t="shared" ref="F109:F140" si="311">CL108</f>
        <v>120789.50223997816</v>
      </c>
      <c r="G109" s="128">
        <f t="shared" ref="G109:G140" si="312">CZ108</f>
        <v>122408.79608497636</v>
      </c>
      <c r="H109" s="128">
        <f t="shared" ref="H109:H140" si="313">DN108</f>
        <v>122918.54418118917</v>
      </c>
      <c r="I109" s="128">
        <f t="shared" ref="I109:I140" si="314">EB108</f>
        <v>124916.9385300905</v>
      </c>
      <c r="J109" s="128">
        <f t="shared" ref="J109:J140" si="315">FV(INDEX(scenariusz_I_konto,MATCH(ROUNDUP(B109/12,0),scenariusz_I_rok,0))/12*(1-podatek_Belki),1,0,-J108,1)</f>
        <v>121791.24025707666</v>
      </c>
      <c r="K109" s="128">
        <f t="shared" ref="K109:K140" si="316">AB108</f>
        <v>116759.74743997189</v>
      </c>
      <c r="M109" s="36"/>
      <c r="N109" s="32">
        <f t="shared" ref="N109:N140" si="317">B109</f>
        <v>65</v>
      </c>
      <c r="O109" s="25">
        <f t="shared" ref="O109:O172" si="318">C109/zakup_domyslny_wartosc-1</f>
        <v>0.24076577707336755</v>
      </c>
      <c r="P109" s="25">
        <f t="shared" ref="P109:P172" si="319">D109/zakup_domyslny_wartosc-1</f>
        <v>0.23007801381022008</v>
      </c>
      <c r="Q109" s="25">
        <f t="shared" ref="Q109:Q172" si="320">E109/zakup_domyslny_wartosc-1</f>
        <v>0.22907923531437024</v>
      </c>
      <c r="R109" s="25">
        <f t="shared" si="245"/>
        <v>0.20789502239978153</v>
      </c>
      <c r="S109" s="25">
        <f t="shared" si="246"/>
        <v>0.22408796084976368</v>
      </c>
      <c r="T109" s="25">
        <f t="shared" si="247"/>
        <v>0.22918544181189171</v>
      </c>
      <c r="U109" s="25">
        <f t="shared" si="248"/>
        <v>0.24916938530090493</v>
      </c>
      <c r="V109" s="25">
        <f t="shared" si="249"/>
        <v>0.21791240257076661</v>
      </c>
      <c r="W109" s="25">
        <f t="shared" si="250"/>
        <v>0.16759747439971884</v>
      </c>
      <c r="X109" s="36"/>
      <c r="Y109" s="36"/>
      <c r="AA109" s="124">
        <f t="shared" ref="AA109:AA172" si="321">AA108+1</f>
        <v>66</v>
      </c>
      <c r="AB109" s="128">
        <f t="shared" si="251"/>
        <v>117038.54798964327</v>
      </c>
      <c r="AC109" s="124">
        <f t="shared" ref="AC109:AC172" si="322">AC108+1</f>
        <v>66</v>
      </c>
      <c r="AD109" s="130">
        <f t="shared" ref="AD109:AD140" si="323">MAX(INDEX(scenariusz_I_stopa_NBP,MATCH(ROUNDUP(AC109/12,0),scenariusz_I_rok,0)),0)</f>
        <v>4.4999999999999998E-2</v>
      </c>
      <c r="AE109" s="127">
        <f t="shared" ref="AE109:AE140" si="324">IF(AK108="tak",
ROUNDDOWN(AM108/zamiana_ROR,0)+ROUNDDOWN(AP108/100,0),
AE108)</f>
        <v>1226</v>
      </c>
      <c r="AF109" s="128">
        <f t="shared" ref="AF109:AF140" si="325">IF(AK108="tak",
ROUNDDOWN(AM108/zamiana_ROR,0)*zamiana_ROR+ROUNDDOWN(AP108/100,0)*100,
AF108)</f>
        <v>122481.8</v>
      </c>
      <c r="AG109" s="128">
        <f t="shared" si="140"/>
        <v>122600</v>
      </c>
      <c r="AH109" s="128">
        <f t="shared" ref="AH109:AH116" si="326">AG109</f>
        <v>122600</v>
      </c>
      <c r="AI109" s="130">
        <f t="shared" si="252"/>
        <v>4.4999999999999998E-2</v>
      </c>
      <c r="AJ109" s="128">
        <f t="shared" si="253"/>
        <v>123059.74999999999</v>
      </c>
      <c r="AK109" s="128" t="str">
        <f t="shared" si="254"/>
        <v>nie</v>
      </c>
      <c r="AL109" s="128">
        <f t="shared" si="255"/>
        <v>613</v>
      </c>
      <c r="AM109" s="128">
        <f t="shared" si="150"/>
        <v>122475.86749999999</v>
      </c>
      <c r="AN109" s="128">
        <f t="shared" si="256"/>
        <v>372.39749999998821</v>
      </c>
      <c r="AO109" s="130">
        <f t="shared" si="257"/>
        <v>4.4999999999999998E-2</v>
      </c>
      <c r="AP109" s="128">
        <f t="shared" si="258"/>
        <v>2351.4985219977734</v>
      </c>
      <c r="AQ109" s="128">
        <f t="shared" si="156"/>
        <v>124454.96852199778</v>
      </c>
      <c r="AS109" s="124">
        <f t="shared" ref="AS109:AS172" si="327">AS108+1</f>
        <v>66</v>
      </c>
      <c r="AT109" s="130">
        <f t="shared" ref="AT109:AT172" si="328">MAX(INDEX(scenariusz_I_stopa_NBP,MATCH(ROUNDUP(AS109/12,0),scenariusz_I_rok,0)),0)</f>
        <v>4.4999999999999998E-2</v>
      </c>
      <c r="AU109" s="127">
        <f t="shared" ref="AU109:AU140" si="329">IF(BA108="tak",
ROUNDDOWN(BC108/zamiana_DOR,0)+ROUNDDOWN(BF108/100,0),
AU108)</f>
        <v>1172</v>
      </c>
      <c r="AV109" s="128">
        <f t="shared" ref="AV109:AV140" si="330">IF(BA108="tak",
ROUNDDOWN(BC108/zamiana_DOR,0)*zamiana_DOR+ROUNDDOWN(BF108/100,0)*100,
AV108)</f>
        <v>117091.3</v>
      </c>
      <c r="AW109" s="128">
        <f t="shared" si="151"/>
        <v>117200</v>
      </c>
      <c r="AX109" s="128">
        <f t="shared" ref="AX109:AX116" si="331">AW109</f>
        <v>117200</v>
      </c>
      <c r="AY109" s="130">
        <f t="shared" si="259"/>
        <v>4.65E-2</v>
      </c>
      <c r="AZ109" s="128">
        <f t="shared" si="260"/>
        <v>117654.15000000001</v>
      </c>
      <c r="BA109" s="128" t="str">
        <f t="shared" si="261"/>
        <v>nie</v>
      </c>
      <c r="BB109" s="128">
        <f t="shared" si="262"/>
        <v>820.4</v>
      </c>
      <c r="BC109" s="128">
        <f t="shared" si="158"/>
        <v>116903.33750000001</v>
      </c>
      <c r="BD109" s="128">
        <f t="shared" si="263"/>
        <v>367.86150000000708</v>
      </c>
      <c r="BE109" s="130">
        <f t="shared" si="264"/>
        <v>4.4999999999999998E-2</v>
      </c>
      <c r="BF109" s="128">
        <f t="shared" si="265"/>
        <v>6859.8465693668659</v>
      </c>
      <c r="BG109" s="128">
        <f t="shared" si="159"/>
        <v>123395.32256936686</v>
      </c>
      <c r="BI109" s="124">
        <f t="shared" ref="BI109:BI172" si="332">BI108+1</f>
        <v>66</v>
      </c>
      <c r="BJ109" s="130">
        <f t="shared" si="242"/>
        <v>4.3200000000000002E-2</v>
      </c>
      <c r="BK109" s="127">
        <f t="shared" ref="BK109:BK140" si="333">IF(BQ108="tak",
ROUNDDOWN(BS108/zamiana_TOS,0),
BK108)</f>
        <v>1126</v>
      </c>
      <c r="BL109" s="128">
        <f t="shared" ref="BL109:BL140" si="334">IF(BQ108="tak",
BK109*zamiana_TOS,
BL108)</f>
        <v>112487.40000000001</v>
      </c>
      <c r="BM109" s="128">
        <f t="shared" si="142"/>
        <v>112600</v>
      </c>
      <c r="BN109" s="128">
        <f t="shared" ref="BN109:BN140" si="335">IF(BQ108="tak",
 BM109,
IF(MOD($AA109,kapitalizacja_odsetek_mc_ROS)&lt;&gt;1,BN108,BP108))</f>
        <v>123905.15259999999</v>
      </c>
      <c r="BO109" s="130">
        <f t="shared" si="266"/>
        <v>4.9000000000000002E-2</v>
      </c>
      <c r="BP109" s="128">
        <f t="shared" si="267"/>
        <v>126940.82883869998</v>
      </c>
      <c r="BQ109" s="128" t="str">
        <f t="shared" si="268"/>
        <v>nie</v>
      </c>
      <c r="BR109" s="128">
        <f t="shared" si="269"/>
        <v>1126</v>
      </c>
      <c r="BS109" s="128">
        <f t="shared" si="153"/>
        <v>123304.01135934699</v>
      </c>
      <c r="BT109" s="128">
        <f t="shared" ref="BT109:BT115" si="336">IF(AND(BQ109="tak",BL110&lt;&gt;""),
 BS109-BL110,
0)</f>
        <v>0</v>
      </c>
      <c r="BU109" s="130">
        <f t="shared" si="270"/>
        <v>4.4999999999999998E-2</v>
      </c>
      <c r="BV109" s="128">
        <f t="shared" si="271"/>
        <v>13.770164524901121</v>
      </c>
      <c r="BW109" s="128">
        <f t="shared" si="243"/>
        <v>123317.78152387189</v>
      </c>
      <c r="BY109" s="130">
        <f t="shared" si="244"/>
        <v>2.9000000000000001E-2</v>
      </c>
      <c r="BZ109" s="127">
        <f t="shared" ref="BZ109:BZ140" si="337">IF(CF108="tak",
ROUNDDOWN(CH108/zamiana_COI,0)+ROUNDDOWN(CK108/100,0),
BZ108)</f>
        <v>1159</v>
      </c>
      <c r="CA109" s="128">
        <f t="shared" ref="CA109:CA140" si="338">IF(CF108="tak",
ROUNDDOWN(CH108/zamiana_COI,0)*zamiana_COI+ROUNDDOWN(CK108/100,0)*100,
CA108)</f>
        <v>115796.40000000001</v>
      </c>
      <c r="CB109" s="128">
        <f t="shared" si="154"/>
        <v>115900</v>
      </c>
      <c r="CC109" s="128">
        <f t="shared" ref="CC109:CC116" si="339">CB109</f>
        <v>115900</v>
      </c>
      <c r="CD109" s="130">
        <f t="shared" si="272"/>
        <v>4.3999999999999997E-2</v>
      </c>
      <c r="CE109" s="128">
        <f t="shared" si="273"/>
        <v>118449.8</v>
      </c>
      <c r="CF109" s="128" t="str">
        <f t="shared" si="274"/>
        <v>nie</v>
      </c>
      <c r="CG109" s="128">
        <f t="shared" si="275"/>
        <v>2318</v>
      </c>
      <c r="CH109" s="128">
        <f t="shared" si="160"/>
        <v>116087.758</v>
      </c>
      <c r="CI109" s="128">
        <f t="shared" si="276"/>
        <v>0</v>
      </c>
      <c r="CJ109" s="130">
        <f t="shared" si="277"/>
        <v>4.4999999999999998E-2</v>
      </c>
      <c r="CK109" s="128">
        <f t="shared" si="278"/>
        <v>5061.2943654696001</v>
      </c>
      <c r="CL109" s="128">
        <f t="shared" si="279"/>
        <v>121149.0523654696</v>
      </c>
      <c r="CN109" s="127">
        <f t="shared" ref="CN109:CN140" si="340">IF(CT108="tak",
ROUNDDOWN(CV108/zamiana_EDO,0),
CN108)</f>
        <v>1000</v>
      </c>
      <c r="CO109" s="128">
        <f t="shared" ref="CO109:CO140" si="341">IF(CT108="tak",
CN109*zamiana_EDO,
CO108)</f>
        <v>100000</v>
      </c>
      <c r="CP109" s="128">
        <f t="shared" ref="CP109:CP172" si="342">IF(CT108="tak",
CN109*100,
CP108)</f>
        <v>100000</v>
      </c>
      <c r="CQ109" s="128">
        <f t="shared" ref="CQ109:CQ140" si="343">IF(CT108="tak",
 CP109,
IF(MOD($AA109,kapitalizacja_odsetek_mc_EDO)&lt;&gt;1,CQ108,CS108))</f>
        <v>128050.80965470575</v>
      </c>
      <c r="CR109" s="130">
        <f t="shared" si="280"/>
        <v>4.9000000000000002E-2</v>
      </c>
      <c r="CS109" s="128">
        <f t="shared" si="281"/>
        <v>131188.05449124603</v>
      </c>
      <c r="CT109" s="128" t="str">
        <f t="shared" si="282"/>
        <v>nie</v>
      </c>
      <c r="CU109" s="128">
        <f t="shared" si="283"/>
        <v>3000</v>
      </c>
      <c r="CV109" s="128">
        <f t="shared" si="284"/>
        <v>122832.32413790928</v>
      </c>
      <c r="CW109" s="128">
        <f t="shared" si="285"/>
        <v>0</v>
      </c>
      <c r="CX109" s="130">
        <f t="shared" si="286"/>
        <v>4.4999999999999998E-2</v>
      </c>
      <c r="CY109" s="128">
        <f t="shared" si="287"/>
        <v>0</v>
      </c>
      <c r="CZ109" s="128">
        <f t="shared" si="288"/>
        <v>122832.32413790928</v>
      </c>
      <c r="DA109" s="20"/>
      <c r="DB109" s="127">
        <f t="shared" si="144"/>
        <v>1000</v>
      </c>
      <c r="DC109" s="128">
        <f t="shared" si="145"/>
        <v>100000</v>
      </c>
      <c r="DD109" s="128">
        <f t="shared" ref="DD109:DD172" si="344">IF(DH108="tak",
DB109*100,
DD108)</f>
        <v>100000</v>
      </c>
      <c r="DE109" s="128">
        <f t="shared" ref="DE109:DE140" si="345">IF(DH108="tak",
 DD109,
IF(MOD($AA109,kapitalizacja_odsetek_mc_ROS)&lt;&gt;1,DE108,DG108))</f>
        <v>127687.54494646541</v>
      </c>
      <c r="DF109" s="130">
        <f t="shared" si="289"/>
        <v>4.9000000000000002E-2</v>
      </c>
      <c r="DG109" s="128">
        <f t="shared" si="290"/>
        <v>130815.88979765381</v>
      </c>
      <c r="DH109" s="128" t="str">
        <f t="shared" si="291"/>
        <v>nie</v>
      </c>
      <c r="DI109" s="128">
        <f t="shared" si="292"/>
        <v>2000</v>
      </c>
      <c r="DJ109" s="128">
        <f t="shared" si="293"/>
        <v>123340.87073609959</v>
      </c>
      <c r="DK109" s="128">
        <f t="shared" si="294"/>
        <v>0</v>
      </c>
      <c r="DL109" s="130">
        <f t="shared" si="295"/>
        <v>4.4999999999999998E-2</v>
      </c>
      <c r="DM109" s="128">
        <f t="shared" si="296"/>
        <v>0</v>
      </c>
      <c r="DN109" s="128">
        <f t="shared" si="297"/>
        <v>123340.87073609959</v>
      </c>
      <c r="DP109" s="127">
        <f t="shared" si="146"/>
        <v>1000</v>
      </c>
      <c r="DQ109" s="128">
        <f t="shared" si="147"/>
        <v>100000</v>
      </c>
      <c r="DR109" s="128">
        <f t="shared" ref="DR109:DR172" si="346">IF(DV108="tak",
DP109*100,
DR108)</f>
        <v>100000</v>
      </c>
      <c r="DS109" s="128">
        <f t="shared" ref="DS109:DS140" si="347">IF(DV108="tak",
 DR109,
IF(MOD($AA109,kapitalizacja_odsetek_mc_ROD)&lt;&gt;1,DS108,DU108))</f>
        <v>130818.24205993602</v>
      </c>
      <c r="DT109" s="130">
        <f t="shared" si="298"/>
        <v>5.4000000000000006E-2</v>
      </c>
      <c r="DU109" s="128">
        <f t="shared" si="299"/>
        <v>134350.33459555428</v>
      </c>
      <c r="DV109" s="128" t="str">
        <f t="shared" si="300"/>
        <v>nie</v>
      </c>
      <c r="DW109" s="128">
        <f t="shared" si="301"/>
        <v>3000</v>
      </c>
      <c r="DX109" s="128">
        <f t="shared" si="302"/>
        <v>125393.77102239896</v>
      </c>
      <c r="DY109" s="128">
        <f t="shared" si="303"/>
        <v>0</v>
      </c>
      <c r="DZ109" s="130">
        <f t="shared" si="304"/>
        <v>4.4999999999999998E-2</v>
      </c>
      <c r="EA109" s="128">
        <f t="shared" si="305"/>
        <v>0</v>
      </c>
      <c r="EB109" s="128">
        <f t="shared" si="306"/>
        <v>125393.77102239896</v>
      </c>
    </row>
    <row r="110" spans="1:132">
      <c r="A110" s="212"/>
      <c r="B110" s="188">
        <f t="shared" si="307"/>
        <v>66</v>
      </c>
      <c r="C110" s="128">
        <f t="shared" si="308"/>
        <v>124454.96852199778</v>
      </c>
      <c r="D110" s="128">
        <f t="shared" si="309"/>
        <v>123395.32256936686</v>
      </c>
      <c r="E110" s="128">
        <f t="shared" si="310"/>
        <v>123317.78152387189</v>
      </c>
      <c r="F110" s="128">
        <f t="shared" si="311"/>
        <v>121149.0523654696</v>
      </c>
      <c r="G110" s="128">
        <f t="shared" si="312"/>
        <v>122832.32413790928</v>
      </c>
      <c r="H110" s="128">
        <f t="shared" si="313"/>
        <v>123340.87073609959</v>
      </c>
      <c r="I110" s="128">
        <f t="shared" si="314"/>
        <v>125393.77102239896</v>
      </c>
      <c r="J110" s="128">
        <f t="shared" si="315"/>
        <v>122161.18114935754</v>
      </c>
      <c r="K110" s="128">
        <f t="shared" si="316"/>
        <v>117038.54798964327</v>
      </c>
      <c r="M110" s="36"/>
      <c r="N110" s="32">
        <f t="shared" si="317"/>
        <v>66</v>
      </c>
      <c r="O110" s="25">
        <f t="shared" si="318"/>
        <v>0.24454968521997777</v>
      </c>
      <c r="P110" s="25">
        <f t="shared" si="319"/>
        <v>0.23395322569366872</v>
      </c>
      <c r="Q110" s="25">
        <f t="shared" si="320"/>
        <v>0.23317781523871894</v>
      </c>
      <c r="R110" s="25">
        <f t="shared" si="245"/>
        <v>0.21149052365469601</v>
      </c>
      <c r="S110" s="25">
        <f t="shared" si="246"/>
        <v>0.22832324137909277</v>
      </c>
      <c r="T110" s="25">
        <f t="shared" si="247"/>
        <v>0.23340870736099584</v>
      </c>
      <c r="U110" s="25">
        <f t="shared" si="248"/>
        <v>0.25393771022398948</v>
      </c>
      <c r="V110" s="25">
        <f t="shared" si="249"/>
        <v>0.22161181149357545</v>
      </c>
      <c r="W110" s="25">
        <f t="shared" si="250"/>
        <v>0.1703854798964326</v>
      </c>
      <c r="X110" s="36"/>
      <c r="Y110" s="36"/>
      <c r="AA110" s="124">
        <f t="shared" si="321"/>
        <v>67</v>
      </c>
      <c r="AB110" s="128">
        <f t="shared" si="251"/>
        <v>117317.34853931468</v>
      </c>
      <c r="AC110" s="124">
        <f t="shared" si="322"/>
        <v>67</v>
      </c>
      <c r="AD110" s="130">
        <f t="shared" si="323"/>
        <v>4.4999999999999998E-2</v>
      </c>
      <c r="AE110" s="127">
        <f t="shared" si="324"/>
        <v>1226</v>
      </c>
      <c r="AF110" s="128">
        <f t="shared" si="325"/>
        <v>122481.8</v>
      </c>
      <c r="AG110" s="128">
        <f t="shared" ref="AG110:AG173" si="348">IF(AK109="tak",
AE110*100,
AG109)</f>
        <v>122600</v>
      </c>
      <c r="AH110" s="128">
        <f t="shared" si="326"/>
        <v>122600</v>
      </c>
      <c r="AI110" s="130">
        <f t="shared" si="252"/>
        <v>4.4999999999999998E-2</v>
      </c>
      <c r="AJ110" s="128">
        <f t="shared" si="253"/>
        <v>123059.74999999999</v>
      </c>
      <c r="AK110" s="128" t="str">
        <f t="shared" si="254"/>
        <v>nie</v>
      </c>
      <c r="AL110" s="128">
        <f t="shared" si="255"/>
        <v>613</v>
      </c>
      <c r="AM110" s="128">
        <f t="shared" si="150"/>
        <v>122475.86749999999</v>
      </c>
      <c r="AN110" s="128">
        <f t="shared" si="256"/>
        <v>372.39749999998821</v>
      </c>
      <c r="AO110" s="130">
        <f t="shared" si="257"/>
        <v>4.4999999999999998E-2</v>
      </c>
      <c r="AP110" s="128">
        <f t="shared" si="258"/>
        <v>2731.0386987583302</v>
      </c>
      <c r="AQ110" s="128">
        <f t="shared" si="156"/>
        <v>124834.50869875833</v>
      </c>
      <c r="AS110" s="124">
        <f t="shared" si="327"/>
        <v>67</v>
      </c>
      <c r="AT110" s="130">
        <f t="shared" si="328"/>
        <v>4.4999999999999998E-2</v>
      </c>
      <c r="AU110" s="127">
        <f t="shared" si="329"/>
        <v>1172</v>
      </c>
      <c r="AV110" s="128">
        <f t="shared" si="330"/>
        <v>117091.3</v>
      </c>
      <c r="AW110" s="128">
        <f t="shared" si="151"/>
        <v>117200</v>
      </c>
      <c r="AX110" s="128">
        <f t="shared" si="331"/>
        <v>117200</v>
      </c>
      <c r="AY110" s="130">
        <f t="shared" si="259"/>
        <v>4.65E-2</v>
      </c>
      <c r="AZ110" s="128">
        <f t="shared" si="260"/>
        <v>117654.15000000001</v>
      </c>
      <c r="BA110" s="128" t="str">
        <f t="shared" si="261"/>
        <v>nie</v>
      </c>
      <c r="BB110" s="128">
        <f t="shared" si="262"/>
        <v>820.4</v>
      </c>
      <c r="BC110" s="128">
        <f t="shared" si="158"/>
        <v>116903.33750000001</v>
      </c>
      <c r="BD110" s="128">
        <f t="shared" si="263"/>
        <v>367.86150000000708</v>
      </c>
      <c r="BE110" s="130">
        <f t="shared" si="264"/>
        <v>4.4999999999999998E-2</v>
      </c>
      <c r="BF110" s="128">
        <f t="shared" si="265"/>
        <v>7248.5448533213248</v>
      </c>
      <c r="BG110" s="128">
        <f t="shared" si="159"/>
        <v>123784.02085332133</v>
      </c>
      <c r="BI110" s="124">
        <f t="shared" si="332"/>
        <v>67</v>
      </c>
      <c r="BJ110" s="130">
        <f t="shared" si="242"/>
        <v>4.3200000000000002E-2</v>
      </c>
      <c r="BK110" s="127">
        <f>IF(BQ109="tak",
ROUNDDOWN(BS109/zamiana_TOS,0),
BK109)</f>
        <v>1126</v>
      </c>
      <c r="BL110" s="128">
        <f t="shared" si="334"/>
        <v>112487.40000000001</v>
      </c>
      <c r="BM110" s="128">
        <f t="shared" ref="BM110:BM173" si="349">IF(BQ109="tak",
BK110*100,
BM109)</f>
        <v>112600</v>
      </c>
      <c r="BN110" s="128">
        <f t="shared" si="335"/>
        <v>123905.15259999999</v>
      </c>
      <c r="BO110" s="130">
        <f t="shared" si="266"/>
        <v>4.9000000000000002E-2</v>
      </c>
      <c r="BP110" s="128">
        <f t="shared" si="267"/>
        <v>127446.77487848332</v>
      </c>
      <c r="BQ110" s="128" t="str">
        <f t="shared" si="268"/>
        <v>nie</v>
      </c>
      <c r="BR110" s="128">
        <f t="shared" si="269"/>
        <v>1126</v>
      </c>
      <c r="BS110" s="128">
        <f t="shared" si="153"/>
        <v>123713.8276515715</v>
      </c>
      <c r="BT110" s="128">
        <f t="shared" si="336"/>
        <v>0</v>
      </c>
      <c r="BU110" s="130">
        <f t="shared" si="270"/>
        <v>4.4999999999999998E-2</v>
      </c>
      <c r="BV110" s="128">
        <f t="shared" si="271"/>
        <v>13.811991399645509</v>
      </c>
      <c r="BW110" s="128">
        <f t="shared" si="243"/>
        <v>123727.63964297115</v>
      </c>
      <c r="BY110" s="130">
        <f t="shared" si="244"/>
        <v>2.9000000000000001E-2</v>
      </c>
      <c r="BZ110" s="127">
        <f t="shared" si="337"/>
        <v>1159</v>
      </c>
      <c r="CA110" s="128">
        <f t="shared" si="338"/>
        <v>115796.40000000001</v>
      </c>
      <c r="CB110" s="128">
        <f t="shared" si="154"/>
        <v>115900</v>
      </c>
      <c r="CC110" s="128">
        <f t="shared" si="339"/>
        <v>115900</v>
      </c>
      <c r="CD110" s="130">
        <f t="shared" si="272"/>
        <v>4.3999999999999997E-2</v>
      </c>
      <c r="CE110" s="128">
        <f t="shared" si="273"/>
        <v>118874.76666666668</v>
      </c>
      <c r="CF110" s="128" t="str">
        <f t="shared" si="274"/>
        <v>nie</v>
      </c>
      <c r="CG110" s="128">
        <f t="shared" si="275"/>
        <v>2318</v>
      </c>
      <c r="CH110" s="128">
        <f t="shared" si="160"/>
        <v>116431.98100000001</v>
      </c>
      <c r="CI110" s="128">
        <f t="shared" si="276"/>
        <v>0</v>
      </c>
      <c r="CJ110" s="130">
        <f t="shared" si="277"/>
        <v>4.4999999999999998E-2</v>
      </c>
      <c r="CK110" s="128">
        <f t="shared" si="278"/>
        <v>5076.6680471047139</v>
      </c>
      <c r="CL110" s="128">
        <f t="shared" si="279"/>
        <v>121508.64904710473</v>
      </c>
      <c r="CN110" s="127">
        <f t="shared" si="340"/>
        <v>1000</v>
      </c>
      <c r="CO110" s="128">
        <f t="shared" si="341"/>
        <v>100000</v>
      </c>
      <c r="CP110" s="128">
        <f t="shared" si="342"/>
        <v>100000</v>
      </c>
      <c r="CQ110" s="128">
        <f t="shared" si="343"/>
        <v>128050.80965470575</v>
      </c>
      <c r="CR110" s="130">
        <f t="shared" si="280"/>
        <v>4.9000000000000002E-2</v>
      </c>
      <c r="CS110" s="128">
        <f t="shared" si="281"/>
        <v>131710.92863066943</v>
      </c>
      <c r="CT110" s="128" t="str">
        <f t="shared" si="282"/>
        <v>nie</v>
      </c>
      <c r="CU110" s="128">
        <f t="shared" si="283"/>
        <v>3000</v>
      </c>
      <c r="CV110" s="128">
        <f t="shared" si="284"/>
        <v>123255.85219084224</v>
      </c>
      <c r="CW110" s="128">
        <f t="shared" si="285"/>
        <v>0</v>
      </c>
      <c r="CX110" s="130">
        <f t="shared" si="286"/>
        <v>4.4999999999999998E-2</v>
      </c>
      <c r="CY110" s="128">
        <f t="shared" si="287"/>
        <v>0</v>
      </c>
      <c r="CZ110" s="128">
        <f t="shared" si="288"/>
        <v>123255.85219084224</v>
      </c>
      <c r="DA110" s="20"/>
      <c r="DB110" s="127">
        <f t="shared" ref="DB110:DB173" si="350">IF(DH109="tak",
ROUNDDOWN(DJ109/100,0),
DB109)</f>
        <v>1000</v>
      </c>
      <c r="DC110" s="128">
        <f t="shared" ref="DC110:DC173" si="351">IF(DH109="tak",
DB110*100,
DC109)</f>
        <v>100000</v>
      </c>
      <c r="DD110" s="128">
        <f t="shared" si="344"/>
        <v>100000</v>
      </c>
      <c r="DE110" s="128">
        <f t="shared" si="345"/>
        <v>127687.54494646541</v>
      </c>
      <c r="DF110" s="130">
        <f t="shared" si="289"/>
        <v>4.9000000000000002E-2</v>
      </c>
      <c r="DG110" s="128">
        <f t="shared" si="290"/>
        <v>131337.28060618523</v>
      </c>
      <c r="DH110" s="128" t="str">
        <f t="shared" si="291"/>
        <v>nie</v>
      </c>
      <c r="DI110" s="128">
        <f t="shared" si="292"/>
        <v>2000</v>
      </c>
      <c r="DJ110" s="128">
        <f t="shared" si="293"/>
        <v>123763.19729101003</v>
      </c>
      <c r="DK110" s="128">
        <f t="shared" si="294"/>
        <v>0</v>
      </c>
      <c r="DL110" s="130">
        <f t="shared" si="295"/>
        <v>4.4999999999999998E-2</v>
      </c>
      <c r="DM110" s="128">
        <f t="shared" si="296"/>
        <v>0</v>
      </c>
      <c r="DN110" s="128">
        <f t="shared" si="297"/>
        <v>123763.19729101003</v>
      </c>
      <c r="DP110" s="127">
        <f t="shared" ref="DP110:DP173" si="352">IF(DV109="tak",
ROUNDDOWN(DX109/100,0),
DP109)</f>
        <v>1000</v>
      </c>
      <c r="DQ110" s="128">
        <f t="shared" ref="DQ110:DQ173" si="353">IF(DV109="tak",
DP110*100,
DQ109)</f>
        <v>100000</v>
      </c>
      <c r="DR110" s="128">
        <f t="shared" si="346"/>
        <v>100000</v>
      </c>
      <c r="DS110" s="128">
        <f t="shared" si="347"/>
        <v>130818.24205993602</v>
      </c>
      <c r="DT110" s="130">
        <f t="shared" si="298"/>
        <v>5.4000000000000006E-2</v>
      </c>
      <c r="DU110" s="128">
        <f t="shared" si="299"/>
        <v>134939.01668482402</v>
      </c>
      <c r="DV110" s="128" t="str">
        <f t="shared" si="300"/>
        <v>nie</v>
      </c>
      <c r="DW110" s="128">
        <f t="shared" si="301"/>
        <v>3000</v>
      </c>
      <c r="DX110" s="128">
        <f t="shared" si="302"/>
        <v>125870.60351470746</v>
      </c>
      <c r="DY110" s="128">
        <f t="shared" si="303"/>
        <v>0</v>
      </c>
      <c r="DZ110" s="130">
        <f t="shared" si="304"/>
        <v>4.4999999999999998E-2</v>
      </c>
      <c r="EA110" s="128">
        <f t="shared" si="305"/>
        <v>0</v>
      </c>
      <c r="EB110" s="128">
        <f t="shared" si="306"/>
        <v>125870.60351470746</v>
      </c>
    </row>
    <row r="111" spans="1:132">
      <c r="A111" s="212"/>
      <c r="B111" s="188">
        <f t="shared" si="307"/>
        <v>67</v>
      </c>
      <c r="C111" s="128">
        <f t="shared" si="308"/>
        <v>124834.50869875833</v>
      </c>
      <c r="D111" s="128">
        <f t="shared" si="309"/>
        <v>123784.02085332133</v>
      </c>
      <c r="E111" s="128">
        <f t="shared" si="310"/>
        <v>123727.63964297115</v>
      </c>
      <c r="F111" s="128">
        <f t="shared" si="311"/>
        <v>121508.64904710473</v>
      </c>
      <c r="G111" s="128">
        <f t="shared" si="312"/>
        <v>123255.85219084224</v>
      </c>
      <c r="H111" s="128">
        <f t="shared" si="313"/>
        <v>123763.19729101003</v>
      </c>
      <c r="I111" s="128">
        <f t="shared" si="314"/>
        <v>125870.60351470746</v>
      </c>
      <c r="J111" s="128">
        <f t="shared" si="315"/>
        <v>122532.24573709871</v>
      </c>
      <c r="K111" s="128">
        <f t="shared" si="316"/>
        <v>117317.34853931468</v>
      </c>
      <c r="M111" s="36"/>
      <c r="N111" s="32">
        <f t="shared" si="317"/>
        <v>67</v>
      </c>
      <c r="O111" s="25">
        <f t="shared" si="318"/>
        <v>0.2483450869875834</v>
      </c>
      <c r="P111" s="25">
        <f t="shared" si="319"/>
        <v>0.23784020853321319</v>
      </c>
      <c r="Q111" s="25">
        <f t="shared" si="320"/>
        <v>0.23727639642971154</v>
      </c>
      <c r="R111" s="25">
        <f t="shared" si="245"/>
        <v>0.21508649047104722</v>
      </c>
      <c r="S111" s="25">
        <f t="shared" si="246"/>
        <v>0.2325585219084223</v>
      </c>
      <c r="T111" s="25">
        <f t="shared" si="247"/>
        <v>0.23763197291010041</v>
      </c>
      <c r="U111" s="25">
        <f t="shared" si="248"/>
        <v>0.25870603514707469</v>
      </c>
      <c r="V111" s="25">
        <f t="shared" si="249"/>
        <v>0.22532245737098711</v>
      </c>
      <c r="W111" s="25">
        <f t="shared" si="250"/>
        <v>0.17317348539314681</v>
      </c>
      <c r="X111" s="36"/>
      <c r="Y111" s="36"/>
      <c r="AA111" s="124">
        <f t="shared" si="321"/>
        <v>68</v>
      </c>
      <c r="AB111" s="128">
        <f t="shared" si="251"/>
        <v>117596.14908898609</v>
      </c>
      <c r="AC111" s="124">
        <f t="shared" si="322"/>
        <v>68</v>
      </c>
      <c r="AD111" s="130">
        <f t="shared" si="323"/>
        <v>4.4999999999999998E-2</v>
      </c>
      <c r="AE111" s="127">
        <f t="shared" si="324"/>
        <v>1226</v>
      </c>
      <c r="AF111" s="128">
        <f t="shared" si="325"/>
        <v>122481.8</v>
      </c>
      <c r="AG111" s="128">
        <f t="shared" si="348"/>
        <v>122600</v>
      </c>
      <c r="AH111" s="128">
        <f t="shared" si="326"/>
        <v>122600</v>
      </c>
      <c r="AI111" s="130">
        <f t="shared" si="252"/>
        <v>4.4999999999999998E-2</v>
      </c>
      <c r="AJ111" s="128">
        <f t="shared" si="253"/>
        <v>123059.74999999999</v>
      </c>
      <c r="AK111" s="128" t="str">
        <f t="shared" si="254"/>
        <v>nie</v>
      </c>
      <c r="AL111" s="128">
        <f t="shared" si="255"/>
        <v>613</v>
      </c>
      <c r="AM111" s="128">
        <f t="shared" si="150"/>
        <v>122475.86749999999</v>
      </c>
      <c r="AN111" s="128">
        <f t="shared" si="256"/>
        <v>372.39749999998821</v>
      </c>
      <c r="AO111" s="130">
        <f t="shared" si="257"/>
        <v>4.4999999999999998E-2</v>
      </c>
      <c r="AP111" s="128">
        <f t="shared" si="258"/>
        <v>3111.731728805797</v>
      </c>
      <c r="AQ111" s="128">
        <f t="shared" si="156"/>
        <v>125215.2017288058</v>
      </c>
      <c r="AS111" s="124">
        <f t="shared" si="327"/>
        <v>68</v>
      </c>
      <c r="AT111" s="130">
        <f t="shared" si="328"/>
        <v>4.4999999999999998E-2</v>
      </c>
      <c r="AU111" s="127">
        <f t="shared" si="329"/>
        <v>1172</v>
      </c>
      <c r="AV111" s="128">
        <f t="shared" si="330"/>
        <v>117091.3</v>
      </c>
      <c r="AW111" s="128">
        <f t="shared" si="151"/>
        <v>117200</v>
      </c>
      <c r="AX111" s="128">
        <f t="shared" si="331"/>
        <v>117200</v>
      </c>
      <c r="AY111" s="130">
        <f t="shared" si="259"/>
        <v>4.65E-2</v>
      </c>
      <c r="AZ111" s="128">
        <f t="shared" si="260"/>
        <v>117654.15000000001</v>
      </c>
      <c r="BA111" s="128" t="str">
        <f t="shared" si="261"/>
        <v>nie</v>
      </c>
      <c r="BB111" s="128">
        <f t="shared" si="262"/>
        <v>820.4</v>
      </c>
      <c r="BC111" s="128">
        <f t="shared" si="158"/>
        <v>116903.33750000001</v>
      </c>
      <c r="BD111" s="128">
        <f t="shared" si="263"/>
        <v>367.86150000000708</v>
      </c>
      <c r="BE111" s="130">
        <f t="shared" si="264"/>
        <v>4.4999999999999998E-2</v>
      </c>
      <c r="BF111" s="128">
        <f t="shared" si="265"/>
        <v>7638.4238083132959</v>
      </c>
      <c r="BG111" s="128">
        <f t="shared" si="159"/>
        <v>124173.89980831329</v>
      </c>
      <c r="BI111" s="124">
        <f t="shared" si="332"/>
        <v>68</v>
      </c>
      <c r="BJ111" s="130">
        <f t="shared" si="242"/>
        <v>4.3200000000000002E-2</v>
      </c>
      <c r="BK111" s="127">
        <f t="shared" si="333"/>
        <v>1126</v>
      </c>
      <c r="BL111" s="128">
        <f t="shared" si="334"/>
        <v>112487.40000000001</v>
      </c>
      <c r="BM111" s="128">
        <f t="shared" si="349"/>
        <v>112600</v>
      </c>
      <c r="BN111" s="128">
        <f t="shared" si="335"/>
        <v>123905.15259999999</v>
      </c>
      <c r="BO111" s="130">
        <f t="shared" si="266"/>
        <v>4.9000000000000002E-2</v>
      </c>
      <c r="BP111" s="128">
        <f t="shared" si="267"/>
        <v>127952.72091826664</v>
      </c>
      <c r="BQ111" s="128" t="str">
        <f t="shared" si="268"/>
        <v>nie</v>
      </c>
      <c r="BR111" s="128">
        <f t="shared" si="269"/>
        <v>1126</v>
      </c>
      <c r="BS111" s="128">
        <f t="shared" si="153"/>
        <v>124123.64394379598</v>
      </c>
      <c r="BT111" s="128">
        <f t="shared" si="336"/>
        <v>0</v>
      </c>
      <c r="BU111" s="130">
        <f t="shared" si="270"/>
        <v>4.4999999999999998E-2</v>
      </c>
      <c r="BV111" s="128">
        <f t="shared" si="271"/>
        <v>13.853945323521932</v>
      </c>
      <c r="BW111" s="128">
        <f t="shared" si="243"/>
        <v>124137.49788911951</v>
      </c>
      <c r="BY111" s="130">
        <f t="shared" si="244"/>
        <v>2.9000000000000001E-2</v>
      </c>
      <c r="BZ111" s="127">
        <f t="shared" si="337"/>
        <v>1159</v>
      </c>
      <c r="CA111" s="128">
        <f t="shared" si="338"/>
        <v>115796.40000000001</v>
      </c>
      <c r="CB111" s="128">
        <f t="shared" si="154"/>
        <v>115900</v>
      </c>
      <c r="CC111" s="128">
        <f t="shared" si="339"/>
        <v>115900</v>
      </c>
      <c r="CD111" s="130">
        <f t="shared" si="272"/>
        <v>4.3999999999999997E-2</v>
      </c>
      <c r="CE111" s="128">
        <f t="shared" si="273"/>
        <v>119299.73333333335</v>
      </c>
      <c r="CF111" s="128" t="str">
        <f t="shared" si="274"/>
        <v>nie</v>
      </c>
      <c r="CG111" s="128">
        <f t="shared" si="275"/>
        <v>2318</v>
      </c>
      <c r="CH111" s="128">
        <f t="shared" si="160"/>
        <v>116776.20400000001</v>
      </c>
      <c r="CI111" s="128">
        <f t="shared" si="276"/>
        <v>0</v>
      </c>
      <c r="CJ111" s="130">
        <f t="shared" si="277"/>
        <v>4.4999999999999998E-2</v>
      </c>
      <c r="CK111" s="128">
        <f t="shared" si="278"/>
        <v>5092.0884262977943</v>
      </c>
      <c r="CL111" s="128">
        <f t="shared" si="279"/>
        <v>121868.2924262978</v>
      </c>
      <c r="CN111" s="127">
        <f t="shared" si="340"/>
        <v>1000</v>
      </c>
      <c r="CO111" s="128">
        <f t="shared" si="341"/>
        <v>100000</v>
      </c>
      <c r="CP111" s="128">
        <f t="shared" si="342"/>
        <v>100000</v>
      </c>
      <c r="CQ111" s="128">
        <f t="shared" si="343"/>
        <v>128050.80965470575</v>
      </c>
      <c r="CR111" s="130">
        <f t="shared" si="280"/>
        <v>4.9000000000000002E-2</v>
      </c>
      <c r="CS111" s="128">
        <f t="shared" si="281"/>
        <v>132233.80277009279</v>
      </c>
      <c r="CT111" s="128" t="str">
        <f t="shared" si="282"/>
        <v>nie</v>
      </c>
      <c r="CU111" s="128">
        <f t="shared" si="283"/>
        <v>3000</v>
      </c>
      <c r="CV111" s="128">
        <f t="shared" si="284"/>
        <v>123679.38024377516</v>
      </c>
      <c r="CW111" s="128">
        <f t="shared" si="285"/>
        <v>0</v>
      </c>
      <c r="CX111" s="130">
        <f t="shared" si="286"/>
        <v>4.4999999999999998E-2</v>
      </c>
      <c r="CY111" s="128">
        <f t="shared" si="287"/>
        <v>0</v>
      </c>
      <c r="CZ111" s="128">
        <f t="shared" si="288"/>
        <v>123679.38024377516</v>
      </c>
      <c r="DA111" s="20"/>
      <c r="DB111" s="127">
        <f t="shared" si="350"/>
        <v>1000</v>
      </c>
      <c r="DC111" s="128">
        <f t="shared" si="351"/>
        <v>100000</v>
      </c>
      <c r="DD111" s="128">
        <f t="shared" si="344"/>
        <v>100000</v>
      </c>
      <c r="DE111" s="128">
        <f t="shared" si="345"/>
        <v>127687.54494646541</v>
      </c>
      <c r="DF111" s="130">
        <f t="shared" si="289"/>
        <v>4.9000000000000002E-2</v>
      </c>
      <c r="DG111" s="128">
        <f t="shared" si="290"/>
        <v>131858.67141471661</v>
      </c>
      <c r="DH111" s="128" t="str">
        <f t="shared" si="291"/>
        <v>nie</v>
      </c>
      <c r="DI111" s="128">
        <f t="shared" si="292"/>
        <v>2000</v>
      </c>
      <c r="DJ111" s="128">
        <f t="shared" si="293"/>
        <v>124185.52384592046</v>
      </c>
      <c r="DK111" s="128">
        <f t="shared" si="294"/>
        <v>0</v>
      </c>
      <c r="DL111" s="130">
        <f t="shared" si="295"/>
        <v>4.4999999999999998E-2</v>
      </c>
      <c r="DM111" s="128">
        <f t="shared" si="296"/>
        <v>0</v>
      </c>
      <c r="DN111" s="128">
        <f t="shared" si="297"/>
        <v>124185.52384592046</v>
      </c>
      <c r="DP111" s="127">
        <f t="shared" si="352"/>
        <v>1000</v>
      </c>
      <c r="DQ111" s="128">
        <f t="shared" si="353"/>
        <v>100000</v>
      </c>
      <c r="DR111" s="128">
        <f t="shared" si="346"/>
        <v>100000</v>
      </c>
      <c r="DS111" s="128">
        <f t="shared" si="347"/>
        <v>130818.24205993602</v>
      </c>
      <c r="DT111" s="130">
        <f t="shared" si="298"/>
        <v>5.4000000000000006E-2</v>
      </c>
      <c r="DU111" s="128">
        <f t="shared" si="299"/>
        <v>135527.69877409373</v>
      </c>
      <c r="DV111" s="128" t="str">
        <f t="shared" si="300"/>
        <v>nie</v>
      </c>
      <c r="DW111" s="128">
        <f t="shared" si="301"/>
        <v>3000</v>
      </c>
      <c r="DX111" s="128">
        <f t="shared" si="302"/>
        <v>126347.43600701593</v>
      </c>
      <c r="DY111" s="128">
        <f t="shared" si="303"/>
        <v>0</v>
      </c>
      <c r="DZ111" s="130">
        <f t="shared" si="304"/>
        <v>4.4999999999999998E-2</v>
      </c>
      <c r="EA111" s="128">
        <f t="shared" si="305"/>
        <v>0</v>
      </c>
      <c r="EB111" s="128">
        <f t="shared" si="306"/>
        <v>126347.43600701593</v>
      </c>
    </row>
    <row r="112" spans="1:132">
      <c r="A112" s="212"/>
      <c r="B112" s="188">
        <f t="shared" si="307"/>
        <v>68</v>
      </c>
      <c r="C112" s="128">
        <f t="shared" si="308"/>
        <v>125215.2017288058</v>
      </c>
      <c r="D112" s="128">
        <f t="shared" si="309"/>
        <v>124173.89980831329</v>
      </c>
      <c r="E112" s="128">
        <f t="shared" si="310"/>
        <v>124137.49788911951</v>
      </c>
      <c r="F112" s="128">
        <f t="shared" si="311"/>
        <v>121868.2924262978</v>
      </c>
      <c r="G112" s="128">
        <f t="shared" si="312"/>
        <v>123679.38024377516</v>
      </c>
      <c r="H112" s="128">
        <f t="shared" si="313"/>
        <v>124185.52384592046</v>
      </c>
      <c r="I112" s="128">
        <f t="shared" si="314"/>
        <v>126347.43600701593</v>
      </c>
      <c r="J112" s="128">
        <f t="shared" si="315"/>
        <v>122904.43743352515</v>
      </c>
      <c r="K112" s="128">
        <f t="shared" si="316"/>
        <v>117596.14908898609</v>
      </c>
      <c r="M112" s="36"/>
      <c r="N112" s="32">
        <f t="shared" si="317"/>
        <v>68</v>
      </c>
      <c r="O112" s="25">
        <f t="shared" si="318"/>
        <v>0.25215201728805803</v>
      </c>
      <c r="P112" s="25">
        <f t="shared" si="319"/>
        <v>0.24173899808313282</v>
      </c>
      <c r="Q112" s="25">
        <f t="shared" si="320"/>
        <v>0.24137497889119497</v>
      </c>
      <c r="R112" s="25">
        <f t="shared" si="245"/>
        <v>0.21868292426297797</v>
      </c>
      <c r="S112" s="25">
        <f t="shared" si="246"/>
        <v>0.23679380243775161</v>
      </c>
      <c r="T112" s="25">
        <f t="shared" si="247"/>
        <v>0.24185523845920454</v>
      </c>
      <c r="U112" s="25">
        <f t="shared" si="248"/>
        <v>0.26347436007015923</v>
      </c>
      <c r="V112" s="25">
        <f t="shared" si="249"/>
        <v>0.22904437433525149</v>
      </c>
      <c r="W112" s="25">
        <f t="shared" si="250"/>
        <v>0.17596149088986079</v>
      </c>
      <c r="X112" s="36"/>
      <c r="Y112" s="36"/>
      <c r="AA112" s="124">
        <f t="shared" si="321"/>
        <v>69</v>
      </c>
      <c r="AB112" s="128">
        <f t="shared" si="251"/>
        <v>117874.94963865748</v>
      </c>
      <c r="AC112" s="124">
        <f t="shared" si="322"/>
        <v>69</v>
      </c>
      <c r="AD112" s="130">
        <f t="shared" si="323"/>
        <v>4.4999999999999998E-2</v>
      </c>
      <c r="AE112" s="127">
        <f t="shared" si="324"/>
        <v>1226</v>
      </c>
      <c r="AF112" s="128">
        <f t="shared" si="325"/>
        <v>122481.8</v>
      </c>
      <c r="AG112" s="128">
        <f t="shared" si="348"/>
        <v>122600</v>
      </c>
      <c r="AH112" s="128">
        <f t="shared" si="326"/>
        <v>122600</v>
      </c>
      <c r="AI112" s="130">
        <f t="shared" si="252"/>
        <v>4.4999999999999998E-2</v>
      </c>
      <c r="AJ112" s="128">
        <f t="shared" si="253"/>
        <v>123059.74999999999</v>
      </c>
      <c r="AK112" s="128" t="str">
        <f t="shared" si="254"/>
        <v>nie</v>
      </c>
      <c r="AL112" s="128">
        <f t="shared" si="255"/>
        <v>613</v>
      </c>
      <c r="AM112" s="128">
        <f t="shared" si="150"/>
        <v>122475.86749999999</v>
      </c>
      <c r="AN112" s="128">
        <f t="shared" si="256"/>
        <v>372.39749999998821</v>
      </c>
      <c r="AO112" s="130">
        <f t="shared" si="257"/>
        <v>4.4999999999999998E-2</v>
      </c>
      <c r="AP112" s="128">
        <f t="shared" si="258"/>
        <v>3493.5811139320331</v>
      </c>
      <c r="AQ112" s="128">
        <f t="shared" si="156"/>
        <v>125597.05111393204</v>
      </c>
      <c r="AS112" s="124">
        <f t="shared" si="327"/>
        <v>69</v>
      </c>
      <c r="AT112" s="130">
        <f t="shared" si="328"/>
        <v>4.4999999999999998E-2</v>
      </c>
      <c r="AU112" s="127">
        <f t="shared" si="329"/>
        <v>1172</v>
      </c>
      <c r="AV112" s="128">
        <f t="shared" si="330"/>
        <v>117091.3</v>
      </c>
      <c r="AW112" s="128">
        <f t="shared" si="151"/>
        <v>117200</v>
      </c>
      <c r="AX112" s="128">
        <f t="shared" si="331"/>
        <v>117200</v>
      </c>
      <c r="AY112" s="130">
        <f t="shared" si="259"/>
        <v>4.65E-2</v>
      </c>
      <c r="AZ112" s="128">
        <f t="shared" si="260"/>
        <v>117654.15000000001</v>
      </c>
      <c r="BA112" s="128" t="str">
        <f t="shared" si="261"/>
        <v>nie</v>
      </c>
      <c r="BB112" s="128">
        <f t="shared" si="262"/>
        <v>820.4</v>
      </c>
      <c r="BC112" s="128">
        <f t="shared" si="158"/>
        <v>116903.33750000001</v>
      </c>
      <c r="BD112" s="128">
        <f t="shared" si="263"/>
        <v>367.86150000000708</v>
      </c>
      <c r="BE112" s="130">
        <f t="shared" si="264"/>
        <v>4.4999999999999998E-2</v>
      </c>
      <c r="BF112" s="128">
        <f t="shared" si="265"/>
        <v>8029.4870206310552</v>
      </c>
      <c r="BG112" s="128">
        <f t="shared" si="159"/>
        <v>124564.96302063105</v>
      </c>
      <c r="BI112" s="124">
        <f t="shared" si="332"/>
        <v>69</v>
      </c>
      <c r="BJ112" s="130">
        <f t="shared" si="242"/>
        <v>4.3200000000000002E-2</v>
      </c>
      <c r="BK112" s="127">
        <f t="shared" si="333"/>
        <v>1126</v>
      </c>
      <c r="BL112" s="128">
        <f t="shared" si="334"/>
        <v>112487.40000000001</v>
      </c>
      <c r="BM112" s="128">
        <f t="shared" si="349"/>
        <v>112600</v>
      </c>
      <c r="BN112" s="128">
        <f t="shared" si="335"/>
        <v>123905.15259999999</v>
      </c>
      <c r="BO112" s="130">
        <f t="shared" si="266"/>
        <v>4.9000000000000002E-2</v>
      </c>
      <c r="BP112" s="128">
        <f t="shared" si="267"/>
        <v>128458.66695804999</v>
      </c>
      <c r="BQ112" s="128" t="str">
        <f t="shared" si="268"/>
        <v>nie</v>
      </c>
      <c r="BR112" s="128">
        <f t="shared" si="269"/>
        <v>1126</v>
      </c>
      <c r="BS112" s="128">
        <f t="shared" si="153"/>
        <v>124533.46023602049</v>
      </c>
      <c r="BT112" s="128">
        <f t="shared" si="336"/>
        <v>0</v>
      </c>
      <c r="BU112" s="130">
        <f t="shared" si="270"/>
        <v>4.4999999999999998E-2</v>
      </c>
      <c r="BV112" s="128">
        <f t="shared" si="271"/>
        <v>13.89602668244213</v>
      </c>
      <c r="BW112" s="128">
        <f t="shared" si="243"/>
        <v>124547.35626270293</v>
      </c>
      <c r="BY112" s="130">
        <f t="shared" si="244"/>
        <v>2.9000000000000001E-2</v>
      </c>
      <c r="BZ112" s="127">
        <f t="shared" si="337"/>
        <v>1159</v>
      </c>
      <c r="CA112" s="128">
        <f t="shared" si="338"/>
        <v>115796.40000000001</v>
      </c>
      <c r="CB112" s="128">
        <f t="shared" si="154"/>
        <v>115900</v>
      </c>
      <c r="CC112" s="128">
        <f t="shared" si="339"/>
        <v>115900</v>
      </c>
      <c r="CD112" s="130">
        <f t="shared" si="272"/>
        <v>4.3999999999999997E-2</v>
      </c>
      <c r="CE112" s="128">
        <f t="shared" si="273"/>
        <v>119724.7</v>
      </c>
      <c r="CF112" s="128" t="str">
        <f t="shared" si="274"/>
        <v>nie</v>
      </c>
      <c r="CG112" s="128">
        <f t="shared" si="275"/>
        <v>2318</v>
      </c>
      <c r="CH112" s="128">
        <f t="shared" si="160"/>
        <v>117120.427</v>
      </c>
      <c r="CI112" s="128">
        <f t="shared" si="276"/>
        <v>0</v>
      </c>
      <c r="CJ112" s="130">
        <f t="shared" si="277"/>
        <v>4.4999999999999998E-2</v>
      </c>
      <c r="CK112" s="128">
        <f t="shared" si="278"/>
        <v>5107.5556448926736</v>
      </c>
      <c r="CL112" s="128">
        <f t="shared" si="279"/>
        <v>122227.98264489268</v>
      </c>
      <c r="CN112" s="127">
        <f t="shared" si="340"/>
        <v>1000</v>
      </c>
      <c r="CO112" s="128">
        <f t="shared" si="341"/>
        <v>100000</v>
      </c>
      <c r="CP112" s="128">
        <f t="shared" si="342"/>
        <v>100000</v>
      </c>
      <c r="CQ112" s="128">
        <f t="shared" si="343"/>
        <v>128050.80965470575</v>
      </c>
      <c r="CR112" s="130">
        <f t="shared" si="280"/>
        <v>4.9000000000000002E-2</v>
      </c>
      <c r="CS112" s="128">
        <f t="shared" si="281"/>
        <v>132756.67690951619</v>
      </c>
      <c r="CT112" s="128" t="str">
        <f t="shared" si="282"/>
        <v>nie</v>
      </c>
      <c r="CU112" s="128">
        <f t="shared" si="283"/>
        <v>3000</v>
      </c>
      <c r="CV112" s="128">
        <f t="shared" si="284"/>
        <v>124102.9082967081</v>
      </c>
      <c r="CW112" s="128">
        <f t="shared" si="285"/>
        <v>0</v>
      </c>
      <c r="CX112" s="130">
        <f t="shared" si="286"/>
        <v>4.4999999999999998E-2</v>
      </c>
      <c r="CY112" s="128">
        <f t="shared" si="287"/>
        <v>0</v>
      </c>
      <c r="CZ112" s="128">
        <f t="shared" si="288"/>
        <v>124102.9082967081</v>
      </c>
      <c r="DA112" s="20"/>
      <c r="DB112" s="127">
        <f t="shared" si="350"/>
        <v>1000</v>
      </c>
      <c r="DC112" s="128">
        <f t="shared" si="351"/>
        <v>100000</v>
      </c>
      <c r="DD112" s="128">
        <f t="shared" si="344"/>
        <v>100000</v>
      </c>
      <c r="DE112" s="128">
        <f t="shared" si="345"/>
        <v>127687.54494646541</v>
      </c>
      <c r="DF112" s="130">
        <f t="shared" si="289"/>
        <v>4.9000000000000002E-2</v>
      </c>
      <c r="DG112" s="128">
        <f t="shared" si="290"/>
        <v>132380.06222324801</v>
      </c>
      <c r="DH112" s="128" t="str">
        <f t="shared" si="291"/>
        <v>nie</v>
      </c>
      <c r="DI112" s="128">
        <f t="shared" si="292"/>
        <v>2000</v>
      </c>
      <c r="DJ112" s="128">
        <f t="shared" si="293"/>
        <v>124607.85040083088</v>
      </c>
      <c r="DK112" s="128">
        <f t="shared" si="294"/>
        <v>0</v>
      </c>
      <c r="DL112" s="130">
        <f t="shared" si="295"/>
        <v>4.4999999999999998E-2</v>
      </c>
      <c r="DM112" s="128">
        <f t="shared" si="296"/>
        <v>0</v>
      </c>
      <c r="DN112" s="128">
        <f t="shared" si="297"/>
        <v>124607.85040083088</v>
      </c>
      <c r="DP112" s="127">
        <f t="shared" si="352"/>
        <v>1000</v>
      </c>
      <c r="DQ112" s="128">
        <f t="shared" si="353"/>
        <v>100000</v>
      </c>
      <c r="DR112" s="128">
        <f t="shared" si="346"/>
        <v>100000</v>
      </c>
      <c r="DS112" s="128">
        <f t="shared" si="347"/>
        <v>130818.24205993602</v>
      </c>
      <c r="DT112" s="130">
        <f t="shared" si="298"/>
        <v>5.4000000000000006E-2</v>
      </c>
      <c r="DU112" s="128">
        <f t="shared" si="299"/>
        <v>136116.38086336342</v>
      </c>
      <c r="DV112" s="128" t="str">
        <f t="shared" si="300"/>
        <v>nie</v>
      </c>
      <c r="DW112" s="128">
        <f t="shared" si="301"/>
        <v>3000</v>
      </c>
      <c r="DX112" s="128">
        <f t="shared" si="302"/>
        <v>126824.26849932437</v>
      </c>
      <c r="DY112" s="128">
        <f t="shared" si="303"/>
        <v>0</v>
      </c>
      <c r="DZ112" s="130">
        <f t="shared" si="304"/>
        <v>4.4999999999999998E-2</v>
      </c>
      <c r="EA112" s="128">
        <f t="shared" si="305"/>
        <v>0</v>
      </c>
      <c r="EB112" s="128">
        <f t="shared" si="306"/>
        <v>126824.26849932437</v>
      </c>
    </row>
    <row r="113" spans="1:132">
      <c r="A113" s="212"/>
      <c r="B113" s="188">
        <f t="shared" si="307"/>
        <v>69</v>
      </c>
      <c r="C113" s="128">
        <f t="shared" si="308"/>
        <v>125597.05111393204</v>
      </c>
      <c r="D113" s="128">
        <f t="shared" si="309"/>
        <v>124564.96302063105</v>
      </c>
      <c r="E113" s="128">
        <f t="shared" si="310"/>
        <v>124547.35626270293</v>
      </c>
      <c r="F113" s="128">
        <f t="shared" si="311"/>
        <v>122227.98264489268</v>
      </c>
      <c r="G113" s="128">
        <f t="shared" si="312"/>
        <v>124102.9082967081</v>
      </c>
      <c r="H113" s="128">
        <f t="shared" si="313"/>
        <v>124607.85040083088</v>
      </c>
      <c r="I113" s="128">
        <f t="shared" si="314"/>
        <v>126824.26849932437</v>
      </c>
      <c r="J113" s="128">
        <f t="shared" si="315"/>
        <v>123277.75966222948</v>
      </c>
      <c r="K113" s="128">
        <f t="shared" si="316"/>
        <v>117874.94963865748</v>
      </c>
      <c r="M113" s="36"/>
      <c r="N113" s="32">
        <f t="shared" si="317"/>
        <v>69</v>
      </c>
      <c r="O113" s="25">
        <f t="shared" si="318"/>
        <v>0.25597051113932046</v>
      </c>
      <c r="P113" s="25">
        <f t="shared" si="319"/>
        <v>0.24564963020631048</v>
      </c>
      <c r="Q113" s="25">
        <f t="shared" si="320"/>
        <v>0.24547356262702924</v>
      </c>
      <c r="R113" s="25">
        <f t="shared" si="245"/>
        <v>0.22227982644892674</v>
      </c>
      <c r="S113" s="25">
        <f t="shared" si="246"/>
        <v>0.24102908296708114</v>
      </c>
      <c r="T113" s="25">
        <f t="shared" si="247"/>
        <v>0.24607850400830888</v>
      </c>
      <c r="U113" s="25">
        <f t="shared" si="248"/>
        <v>0.26824268499324377</v>
      </c>
      <c r="V113" s="25">
        <f t="shared" si="249"/>
        <v>0.23277759662229491</v>
      </c>
      <c r="W113" s="25">
        <f t="shared" si="250"/>
        <v>0.17874949638657478</v>
      </c>
      <c r="X113" s="36"/>
      <c r="Y113" s="36"/>
      <c r="AA113" s="124">
        <f t="shared" si="321"/>
        <v>70</v>
      </c>
      <c r="AB113" s="128">
        <f t="shared" si="251"/>
        <v>118153.75018832889</v>
      </c>
      <c r="AC113" s="124">
        <f t="shared" si="322"/>
        <v>70</v>
      </c>
      <c r="AD113" s="130">
        <f t="shared" si="323"/>
        <v>4.4999999999999998E-2</v>
      </c>
      <c r="AE113" s="127">
        <f t="shared" si="324"/>
        <v>1226</v>
      </c>
      <c r="AF113" s="128">
        <f t="shared" si="325"/>
        <v>122481.8</v>
      </c>
      <c r="AG113" s="128">
        <f t="shared" si="348"/>
        <v>122600</v>
      </c>
      <c r="AH113" s="128">
        <f t="shared" si="326"/>
        <v>122600</v>
      </c>
      <c r="AI113" s="130">
        <f t="shared" si="252"/>
        <v>4.4999999999999998E-2</v>
      </c>
      <c r="AJ113" s="128">
        <f t="shared" si="253"/>
        <v>123059.74999999999</v>
      </c>
      <c r="AK113" s="128" t="str">
        <f t="shared" si="254"/>
        <v>nie</v>
      </c>
      <c r="AL113" s="128">
        <f t="shared" si="255"/>
        <v>613</v>
      </c>
      <c r="AM113" s="128">
        <f t="shared" si="150"/>
        <v>122475.86749999999</v>
      </c>
      <c r="AN113" s="128">
        <f t="shared" si="256"/>
        <v>372.39749999998821</v>
      </c>
      <c r="AO113" s="130">
        <f t="shared" si="257"/>
        <v>4.4999999999999998E-2</v>
      </c>
      <c r="AP113" s="128">
        <f t="shared" si="258"/>
        <v>3876.5903665655901</v>
      </c>
      <c r="AQ113" s="128">
        <f t="shared" si="156"/>
        <v>125980.06036656559</v>
      </c>
      <c r="AS113" s="124">
        <f t="shared" si="327"/>
        <v>70</v>
      </c>
      <c r="AT113" s="130">
        <f t="shared" si="328"/>
        <v>4.4999999999999998E-2</v>
      </c>
      <c r="AU113" s="127">
        <f t="shared" si="329"/>
        <v>1172</v>
      </c>
      <c r="AV113" s="128">
        <f t="shared" si="330"/>
        <v>117091.3</v>
      </c>
      <c r="AW113" s="128">
        <f t="shared" si="151"/>
        <v>117200</v>
      </c>
      <c r="AX113" s="128">
        <f t="shared" si="331"/>
        <v>117200</v>
      </c>
      <c r="AY113" s="130">
        <f t="shared" si="259"/>
        <v>4.65E-2</v>
      </c>
      <c r="AZ113" s="128">
        <f t="shared" si="260"/>
        <v>117654.15000000001</v>
      </c>
      <c r="BA113" s="128" t="str">
        <f t="shared" si="261"/>
        <v>nie</v>
      </c>
      <c r="BB113" s="128">
        <f t="shared" si="262"/>
        <v>820.4</v>
      </c>
      <c r="BC113" s="128">
        <f t="shared" si="158"/>
        <v>116903.33750000001</v>
      </c>
      <c r="BD113" s="128">
        <f t="shared" si="263"/>
        <v>367.86150000000708</v>
      </c>
      <c r="BE113" s="130">
        <f t="shared" si="264"/>
        <v>4.4999999999999998E-2</v>
      </c>
      <c r="BF113" s="128">
        <f t="shared" si="265"/>
        <v>8421.7380874562296</v>
      </c>
      <c r="BG113" s="128">
        <f t="shared" si="159"/>
        <v>124957.21408745623</v>
      </c>
      <c r="BI113" s="124">
        <f t="shared" si="332"/>
        <v>70</v>
      </c>
      <c r="BJ113" s="130">
        <f t="shared" si="242"/>
        <v>4.3200000000000002E-2</v>
      </c>
      <c r="BK113" s="127">
        <f t="shared" si="333"/>
        <v>1126</v>
      </c>
      <c r="BL113" s="128">
        <f t="shared" si="334"/>
        <v>112487.40000000001</v>
      </c>
      <c r="BM113" s="128">
        <f t="shared" si="349"/>
        <v>112600</v>
      </c>
      <c r="BN113" s="128">
        <f t="shared" si="335"/>
        <v>123905.15259999999</v>
      </c>
      <c r="BO113" s="130">
        <f t="shared" si="266"/>
        <v>4.9000000000000002E-2</v>
      </c>
      <c r="BP113" s="128">
        <f t="shared" si="267"/>
        <v>128964.61299783332</v>
      </c>
      <c r="BQ113" s="128" t="str">
        <f t="shared" si="268"/>
        <v>nie</v>
      </c>
      <c r="BR113" s="128">
        <f t="shared" si="269"/>
        <v>1126</v>
      </c>
      <c r="BS113" s="128">
        <f t="shared" si="153"/>
        <v>124943.27652824498</v>
      </c>
      <c r="BT113" s="128">
        <f t="shared" si="336"/>
        <v>0</v>
      </c>
      <c r="BU113" s="130">
        <f t="shared" si="270"/>
        <v>4.4999999999999998E-2</v>
      </c>
      <c r="BV113" s="128">
        <f t="shared" si="271"/>
        <v>13.938235863490048</v>
      </c>
      <c r="BW113" s="128">
        <f t="shared" si="243"/>
        <v>124957.21476410847</v>
      </c>
      <c r="BY113" s="130">
        <f t="shared" si="244"/>
        <v>2.9000000000000001E-2</v>
      </c>
      <c r="BZ113" s="127">
        <f t="shared" si="337"/>
        <v>1159</v>
      </c>
      <c r="CA113" s="128">
        <f t="shared" si="338"/>
        <v>115796.40000000001</v>
      </c>
      <c r="CB113" s="128">
        <f t="shared" si="154"/>
        <v>115900</v>
      </c>
      <c r="CC113" s="128">
        <f t="shared" si="339"/>
        <v>115900</v>
      </c>
      <c r="CD113" s="130">
        <f t="shared" si="272"/>
        <v>4.3999999999999997E-2</v>
      </c>
      <c r="CE113" s="128">
        <f t="shared" si="273"/>
        <v>120149.66666666666</v>
      </c>
      <c r="CF113" s="128" t="str">
        <f t="shared" si="274"/>
        <v>nie</v>
      </c>
      <c r="CG113" s="128">
        <f t="shared" si="275"/>
        <v>2318</v>
      </c>
      <c r="CH113" s="128">
        <f t="shared" si="160"/>
        <v>117464.65</v>
      </c>
      <c r="CI113" s="128">
        <f t="shared" si="276"/>
        <v>0</v>
      </c>
      <c r="CJ113" s="130">
        <f t="shared" si="277"/>
        <v>4.4999999999999998E-2</v>
      </c>
      <c r="CK113" s="128">
        <f t="shared" si="278"/>
        <v>5123.0698451640355</v>
      </c>
      <c r="CL113" s="128">
        <f t="shared" si="279"/>
        <v>122587.71984516403</v>
      </c>
      <c r="CN113" s="127">
        <f t="shared" si="340"/>
        <v>1000</v>
      </c>
      <c r="CO113" s="128">
        <f t="shared" si="341"/>
        <v>100000</v>
      </c>
      <c r="CP113" s="128">
        <f t="shared" si="342"/>
        <v>100000</v>
      </c>
      <c r="CQ113" s="128">
        <f t="shared" si="343"/>
        <v>128050.80965470575</v>
      </c>
      <c r="CR113" s="130">
        <f t="shared" si="280"/>
        <v>4.9000000000000002E-2</v>
      </c>
      <c r="CS113" s="128">
        <f t="shared" si="281"/>
        <v>133279.55104893955</v>
      </c>
      <c r="CT113" s="128" t="str">
        <f t="shared" si="282"/>
        <v>nie</v>
      </c>
      <c r="CU113" s="128">
        <f t="shared" si="283"/>
        <v>3000</v>
      </c>
      <c r="CV113" s="128">
        <f t="shared" si="284"/>
        <v>124526.43634964104</v>
      </c>
      <c r="CW113" s="128">
        <f t="shared" si="285"/>
        <v>0</v>
      </c>
      <c r="CX113" s="130">
        <f t="shared" si="286"/>
        <v>4.4999999999999998E-2</v>
      </c>
      <c r="CY113" s="128">
        <f t="shared" si="287"/>
        <v>0</v>
      </c>
      <c r="CZ113" s="128">
        <f t="shared" si="288"/>
        <v>124526.43634964104</v>
      </c>
      <c r="DA113" s="20"/>
      <c r="DB113" s="127">
        <f t="shared" si="350"/>
        <v>1000</v>
      </c>
      <c r="DC113" s="128">
        <f t="shared" si="351"/>
        <v>100000</v>
      </c>
      <c r="DD113" s="128">
        <f t="shared" si="344"/>
        <v>100000</v>
      </c>
      <c r="DE113" s="128">
        <f t="shared" si="345"/>
        <v>127687.54494646541</v>
      </c>
      <c r="DF113" s="130">
        <f t="shared" si="289"/>
        <v>4.9000000000000002E-2</v>
      </c>
      <c r="DG113" s="128">
        <f t="shared" si="290"/>
        <v>132901.45303177941</v>
      </c>
      <c r="DH113" s="128" t="str">
        <f t="shared" si="291"/>
        <v>nie</v>
      </c>
      <c r="DI113" s="128">
        <f t="shared" si="292"/>
        <v>2000</v>
      </c>
      <c r="DJ113" s="128">
        <f t="shared" si="293"/>
        <v>125030.17695574132</v>
      </c>
      <c r="DK113" s="128">
        <f t="shared" si="294"/>
        <v>0</v>
      </c>
      <c r="DL113" s="130">
        <f t="shared" si="295"/>
        <v>4.4999999999999998E-2</v>
      </c>
      <c r="DM113" s="128">
        <f t="shared" si="296"/>
        <v>0</v>
      </c>
      <c r="DN113" s="128">
        <f t="shared" si="297"/>
        <v>125030.17695574132</v>
      </c>
      <c r="DP113" s="127">
        <f t="shared" si="352"/>
        <v>1000</v>
      </c>
      <c r="DQ113" s="128">
        <f t="shared" si="353"/>
        <v>100000</v>
      </c>
      <c r="DR113" s="128">
        <f t="shared" si="346"/>
        <v>100000</v>
      </c>
      <c r="DS113" s="128">
        <f t="shared" si="347"/>
        <v>130818.24205993602</v>
      </c>
      <c r="DT113" s="130">
        <f t="shared" si="298"/>
        <v>5.4000000000000006E-2</v>
      </c>
      <c r="DU113" s="128">
        <f t="shared" si="299"/>
        <v>136705.06295263313</v>
      </c>
      <c r="DV113" s="128" t="str">
        <f t="shared" si="300"/>
        <v>nie</v>
      </c>
      <c r="DW113" s="128">
        <f t="shared" si="301"/>
        <v>3000</v>
      </c>
      <c r="DX113" s="128">
        <f t="shared" si="302"/>
        <v>127301.10099163283</v>
      </c>
      <c r="DY113" s="128">
        <f t="shared" si="303"/>
        <v>0</v>
      </c>
      <c r="DZ113" s="130">
        <f t="shared" si="304"/>
        <v>4.4999999999999998E-2</v>
      </c>
      <c r="EA113" s="128">
        <f t="shared" si="305"/>
        <v>0</v>
      </c>
      <c r="EB113" s="128">
        <f t="shared" si="306"/>
        <v>127301.10099163283</v>
      </c>
    </row>
    <row r="114" spans="1:132">
      <c r="A114" s="212"/>
      <c r="B114" s="188">
        <f t="shared" si="307"/>
        <v>70</v>
      </c>
      <c r="C114" s="128">
        <f t="shared" si="308"/>
        <v>125980.06036656559</v>
      </c>
      <c r="D114" s="128">
        <f t="shared" si="309"/>
        <v>124957.21408745623</v>
      </c>
      <c r="E114" s="128">
        <f t="shared" si="310"/>
        <v>124957.21476410847</v>
      </c>
      <c r="F114" s="128">
        <f t="shared" si="311"/>
        <v>122587.71984516403</v>
      </c>
      <c r="G114" s="128">
        <f t="shared" si="312"/>
        <v>124526.43634964104</v>
      </c>
      <c r="H114" s="128">
        <f t="shared" si="313"/>
        <v>125030.17695574132</v>
      </c>
      <c r="I114" s="128">
        <f t="shared" si="314"/>
        <v>127301.10099163283</v>
      </c>
      <c r="J114" s="128">
        <f t="shared" si="315"/>
        <v>123652.21585720351</v>
      </c>
      <c r="K114" s="128">
        <f t="shared" si="316"/>
        <v>118153.75018832889</v>
      </c>
      <c r="M114" s="36"/>
      <c r="N114" s="32">
        <f t="shared" si="317"/>
        <v>70</v>
      </c>
      <c r="O114" s="25">
        <f t="shared" si="318"/>
        <v>0.25980060366565594</v>
      </c>
      <c r="P114" s="25">
        <f t="shared" si="319"/>
        <v>0.24957214087456236</v>
      </c>
      <c r="Q114" s="25">
        <f t="shared" si="320"/>
        <v>0.24957214764108482</v>
      </c>
      <c r="R114" s="25">
        <f t="shared" si="245"/>
        <v>0.22587719845164034</v>
      </c>
      <c r="S114" s="25">
        <f t="shared" si="246"/>
        <v>0.24526436349641045</v>
      </c>
      <c r="T114" s="25">
        <f t="shared" si="247"/>
        <v>0.25030176955741323</v>
      </c>
      <c r="U114" s="25">
        <f t="shared" si="248"/>
        <v>0.27301100991632832</v>
      </c>
      <c r="V114" s="25">
        <f t="shared" si="249"/>
        <v>0.23652215857203518</v>
      </c>
      <c r="W114" s="25">
        <f t="shared" si="250"/>
        <v>0.18153750188328899</v>
      </c>
      <c r="X114" s="36"/>
      <c r="Y114" s="36"/>
      <c r="AA114" s="124">
        <f t="shared" si="321"/>
        <v>71</v>
      </c>
      <c r="AB114" s="128">
        <f t="shared" si="251"/>
        <v>118432.5507380003</v>
      </c>
      <c r="AC114" s="124">
        <f t="shared" si="322"/>
        <v>71</v>
      </c>
      <c r="AD114" s="130">
        <f t="shared" si="323"/>
        <v>4.4999999999999998E-2</v>
      </c>
      <c r="AE114" s="127">
        <f t="shared" si="324"/>
        <v>1226</v>
      </c>
      <c r="AF114" s="128">
        <f t="shared" si="325"/>
        <v>122481.8</v>
      </c>
      <c r="AG114" s="128">
        <f t="shared" si="348"/>
        <v>122600</v>
      </c>
      <c r="AH114" s="128">
        <f t="shared" si="326"/>
        <v>122600</v>
      </c>
      <c r="AI114" s="130">
        <f t="shared" si="252"/>
        <v>4.4999999999999998E-2</v>
      </c>
      <c r="AJ114" s="128">
        <f t="shared" si="253"/>
        <v>123059.74999999999</v>
      </c>
      <c r="AK114" s="128" t="str">
        <f t="shared" si="254"/>
        <v>nie</v>
      </c>
      <c r="AL114" s="128">
        <f t="shared" si="255"/>
        <v>613</v>
      </c>
      <c r="AM114" s="128">
        <f t="shared" si="150"/>
        <v>122475.86749999999</v>
      </c>
      <c r="AN114" s="128">
        <f t="shared" si="256"/>
        <v>372.39749999998821</v>
      </c>
      <c r="AO114" s="130">
        <f t="shared" si="257"/>
        <v>4.4999999999999998E-2</v>
      </c>
      <c r="AP114" s="128">
        <f t="shared" si="258"/>
        <v>4260.7630098040208</v>
      </c>
      <c r="AQ114" s="128">
        <f t="shared" si="156"/>
        <v>126364.23300980403</v>
      </c>
      <c r="AS114" s="124">
        <f t="shared" si="327"/>
        <v>71</v>
      </c>
      <c r="AT114" s="130">
        <f t="shared" si="328"/>
        <v>4.4999999999999998E-2</v>
      </c>
      <c r="AU114" s="127">
        <f t="shared" si="329"/>
        <v>1172</v>
      </c>
      <c r="AV114" s="128">
        <f t="shared" si="330"/>
        <v>117091.3</v>
      </c>
      <c r="AW114" s="128">
        <f t="shared" si="151"/>
        <v>117200</v>
      </c>
      <c r="AX114" s="128">
        <f t="shared" si="331"/>
        <v>117200</v>
      </c>
      <c r="AY114" s="130">
        <f t="shared" si="259"/>
        <v>4.65E-2</v>
      </c>
      <c r="AZ114" s="128">
        <f t="shared" si="260"/>
        <v>117654.15000000001</v>
      </c>
      <c r="BA114" s="128" t="str">
        <f t="shared" si="261"/>
        <v>nie</v>
      </c>
      <c r="BB114" s="128">
        <f t="shared" si="262"/>
        <v>820.4</v>
      </c>
      <c r="BC114" s="128">
        <f t="shared" si="158"/>
        <v>116903.33750000001</v>
      </c>
      <c r="BD114" s="128">
        <f t="shared" si="263"/>
        <v>367.86150000000708</v>
      </c>
      <c r="BE114" s="130">
        <f t="shared" si="264"/>
        <v>4.4999999999999998E-2</v>
      </c>
      <c r="BF114" s="128">
        <f t="shared" si="265"/>
        <v>8815.1806168968851</v>
      </c>
      <c r="BG114" s="128">
        <f t="shared" si="159"/>
        <v>125350.65661689689</v>
      </c>
      <c r="BI114" s="124">
        <f t="shared" si="332"/>
        <v>71</v>
      </c>
      <c r="BJ114" s="130">
        <f t="shared" ref="BJ114:BJ145" si="354">MAX(INDEX(scenariusz_I_WIBOR6M,MATCH(ROUNDUP(BI114/12,0),scenariusz_I_rok,0)),0)</f>
        <v>4.3200000000000002E-2</v>
      </c>
      <c r="BK114" s="127">
        <f t="shared" si="333"/>
        <v>1126</v>
      </c>
      <c r="BL114" s="128">
        <f t="shared" si="334"/>
        <v>112487.40000000001</v>
      </c>
      <c r="BM114" s="128">
        <f t="shared" si="349"/>
        <v>112600</v>
      </c>
      <c r="BN114" s="128">
        <f t="shared" si="335"/>
        <v>123905.15259999999</v>
      </c>
      <c r="BO114" s="130">
        <f t="shared" si="266"/>
        <v>4.9000000000000002E-2</v>
      </c>
      <c r="BP114" s="128">
        <f t="shared" si="267"/>
        <v>129470.55903761667</v>
      </c>
      <c r="BQ114" s="128" t="str">
        <f t="shared" si="268"/>
        <v>nie</v>
      </c>
      <c r="BR114" s="128">
        <f t="shared" si="269"/>
        <v>1126</v>
      </c>
      <c r="BS114" s="128">
        <f t="shared" si="153"/>
        <v>125353.09282046949</v>
      </c>
      <c r="BT114" s="128">
        <f t="shared" si="336"/>
        <v>0</v>
      </c>
      <c r="BU114" s="130">
        <f t="shared" si="270"/>
        <v>4.4999999999999998E-2</v>
      </c>
      <c r="BV114" s="128">
        <f t="shared" si="271"/>
        <v>13.9805732549254</v>
      </c>
      <c r="BW114" s="128">
        <f t="shared" si="243"/>
        <v>125367.07339372442</v>
      </c>
      <c r="BY114" s="130">
        <f t="shared" si="244"/>
        <v>2.9000000000000001E-2</v>
      </c>
      <c r="BZ114" s="127">
        <f t="shared" si="337"/>
        <v>1159</v>
      </c>
      <c r="CA114" s="128">
        <f t="shared" si="338"/>
        <v>115796.40000000001</v>
      </c>
      <c r="CB114" s="128">
        <f t="shared" si="154"/>
        <v>115900</v>
      </c>
      <c r="CC114" s="128">
        <f t="shared" si="339"/>
        <v>115900</v>
      </c>
      <c r="CD114" s="130">
        <f t="shared" si="272"/>
        <v>4.3999999999999997E-2</v>
      </c>
      <c r="CE114" s="128">
        <f t="shared" si="273"/>
        <v>120574.63333333333</v>
      </c>
      <c r="CF114" s="128" t="str">
        <f t="shared" si="274"/>
        <v>nie</v>
      </c>
      <c r="CG114" s="128">
        <f t="shared" si="275"/>
        <v>2318</v>
      </c>
      <c r="CH114" s="128">
        <f t="shared" si="160"/>
        <v>117808.87299999999</v>
      </c>
      <c r="CI114" s="128">
        <f t="shared" si="276"/>
        <v>0</v>
      </c>
      <c r="CJ114" s="130">
        <f t="shared" si="277"/>
        <v>4.4999999999999998E-2</v>
      </c>
      <c r="CK114" s="128">
        <f t="shared" si="278"/>
        <v>5138.631169818721</v>
      </c>
      <c r="CL114" s="128">
        <f t="shared" si="279"/>
        <v>122947.50416981871</v>
      </c>
      <c r="CN114" s="127">
        <f t="shared" si="340"/>
        <v>1000</v>
      </c>
      <c r="CO114" s="128">
        <f t="shared" si="341"/>
        <v>100000</v>
      </c>
      <c r="CP114" s="128">
        <f t="shared" si="342"/>
        <v>100000</v>
      </c>
      <c r="CQ114" s="128">
        <f t="shared" si="343"/>
        <v>128050.80965470575</v>
      </c>
      <c r="CR114" s="130">
        <f t="shared" si="280"/>
        <v>4.9000000000000002E-2</v>
      </c>
      <c r="CS114" s="128">
        <f t="shared" si="281"/>
        <v>133802.42518836295</v>
      </c>
      <c r="CT114" s="128" t="str">
        <f t="shared" si="282"/>
        <v>nie</v>
      </c>
      <c r="CU114" s="128">
        <f t="shared" si="283"/>
        <v>3000</v>
      </c>
      <c r="CV114" s="128">
        <f t="shared" si="284"/>
        <v>124949.96440257398</v>
      </c>
      <c r="CW114" s="128">
        <f t="shared" si="285"/>
        <v>0</v>
      </c>
      <c r="CX114" s="130">
        <f t="shared" si="286"/>
        <v>4.4999999999999998E-2</v>
      </c>
      <c r="CY114" s="128">
        <f t="shared" si="287"/>
        <v>0</v>
      </c>
      <c r="CZ114" s="128">
        <f t="shared" si="288"/>
        <v>124949.96440257398</v>
      </c>
      <c r="DA114" s="20"/>
      <c r="DB114" s="127">
        <f t="shared" si="350"/>
        <v>1000</v>
      </c>
      <c r="DC114" s="128">
        <f t="shared" si="351"/>
        <v>100000</v>
      </c>
      <c r="DD114" s="128">
        <f t="shared" si="344"/>
        <v>100000</v>
      </c>
      <c r="DE114" s="128">
        <f t="shared" si="345"/>
        <v>127687.54494646541</v>
      </c>
      <c r="DF114" s="130">
        <f t="shared" si="289"/>
        <v>4.9000000000000002E-2</v>
      </c>
      <c r="DG114" s="128">
        <f t="shared" si="290"/>
        <v>133422.84384031082</v>
      </c>
      <c r="DH114" s="128" t="str">
        <f t="shared" si="291"/>
        <v>nie</v>
      </c>
      <c r="DI114" s="128">
        <f t="shared" si="292"/>
        <v>2000</v>
      </c>
      <c r="DJ114" s="128">
        <f t="shared" si="293"/>
        <v>125452.50351065176</v>
      </c>
      <c r="DK114" s="128">
        <f t="shared" si="294"/>
        <v>0</v>
      </c>
      <c r="DL114" s="130">
        <f t="shared" si="295"/>
        <v>4.4999999999999998E-2</v>
      </c>
      <c r="DM114" s="128">
        <f t="shared" si="296"/>
        <v>0</v>
      </c>
      <c r="DN114" s="128">
        <f t="shared" si="297"/>
        <v>125452.50351065176</v>
      </c>
      <c r="DP114" s="127">
        <f t="shared" si="352"/>
        <v>1000</v>
      </c>
      <c r="DQ114" s="128">
        <f t="shared" si="353"/>
        <v>100000</v>
      </c>
      <c r="DR114" s="128">
        <f t="shared" si="346"/>
        <v>100000</v>
      </c>
      <c r="DS114" s="128">
        <f t="shared" si="347"/>
        <v>130818.24205993602</v>
      </c>
      <c r="DT114" s="130">
        <f t="shared" si="298"/>
        <v>5.4000000000000006E-2</v>
      </c>
      <c r="DU114" s="128">
        <f t="shared" si="299"/>
        <v>137293.74504190288</v>
      </c>
      <c r="DV114" s="128" t="str">
        <f t="shared" si="300"/>
        <v>nie</v>
      </c>
      <c r="DW114" s="128">
        <f t="shared" si="301"/>
        <v>3000</v>
      </c>
      <c r="DX114" s="128">
        <f t="shared" si="302"/>
        <v>127777.93348394133</v>
      </c>
      <c r="DY114" s="128">
        <f t="shared" si="303"/>
        <v>0</v>
      </c>
      <c r="DZ114" s="130">
        <f t="shared" si="304"/>
        <v>4.4999999999999998E-2</v>
      </c>
      <c r="EA114" s="128">
        <f t="shared" si="305"/>
        <v>0</v>
      </c>
      <c r="EB114" s="128">
        <f t="shared" si="306"/>
        <v>127777.93348394133</v>
      </c>
    </row>
    <row r="115" spans="1:132" ht="14.25" customHeight="1">
      <c r="A115" s="212"/>
      <c r="B115" s="188">
        <f t="shared" si="307"/>
        <v>71</v>
      </c>
      <c r="C115" s="128">
        <f t="shared" si="308"/>
        <v>126364.23300980403</v>
      </c>
      <c r="D115" s="128">
        <f t="shared" si="309"/>
        <v>125350.65661689689</v>
      </c>
      <c r="E115" s="128">
        <f t="shared" si="310"/>
        <v>125367.07339372442</v>
      </c>
      <c r="F115" s="128">
        <f t="shared" si="311"/>
        <v>122947.50416981871</v>
      </c>
      <c r="G115" s="128">
        <f t="shared" si="312"/>
        <v>124949.96440257398</v>
      </c>
      <c r="H115" s="128">
        <f t="shared" si="313"/>
        <v>125452.50351065176</v>
      </c>
      <c r="I115" s="128">
        <f t="shared" si="314"/>
        <v>127777.93348394133</v>
      </c>
      <c r="J115" s="128">
        <f t="shared" si="315"/>
        <v>124027.80946286977</v>
      </c>
      <c r="K115" s="128">
        <f t="shared" si="316"/>
        <v>118432.5507380003</v>
      </c>
      <c r="M115" s="36"/>
      <c r="N115" s="32">
        <f t="shared" si="317"/>
        <v>71</v>
      </c>
      <c r="O115" s="25">
        <f t="shared" si="318"/>
        <v>0.26364233009804017</v>
      </c>
      <c r="P115" s="25">
        <f t="shared" si="319"/>
        <v>0.25350656616896883</v>
      </c>
      <c r="Q115" s="25">
        <f t="shared" si="320"/>
        <v>0.25367073393724415</v>
      </c>
      <c r="R115" s="25">
        <f t="shared" si="245"/>
        <v>0.22947504169818722</v>
      </c>
      <c r="S115" s="25">
        <f t="shared" si="246"/>
        <v>0.24949964402573976</v>
      </c>
      <c r="T115" s="25">
        <f t="shared" si="247"/>
        <v>0.25452503510651758</v>
      </c>
      <c r="U115" s="25">
        <f t="shared" si="248"/>
        <v>0.27777933483941331</v>
      </c>
      <c r="V115" s="25">
        <f t="shared" si="249"/>
        <v>0.24027809462869776</v>
      </c>
      <c r="W115" s="25">
        <f t="shared" si="250"/>
        <v>0.18432550738000297</v>
      </c>
      <c r="X115" s="36"/>
      <c r="Y115" s="36"/>
      <c r="AA115" s="124">
        <f t="shared" si="321"/>
        <v>72</v>
      </c>
      <c r="AB115" s="128">
        <f t="shared" si="251"/>
        <v>118711.3512876717</v>
      </c>
      <c r="AC115" s="124">
        <f t="shared" si="322"/>
        <v>72</v>
      </c>
      <c r="AD115" s="130">
        <f t="shared" si="323"/>
        <v>4.4999999999999998E-2</v>
      </c>
      <c r="AE115" s="127">
        <f t="shared" si="324"/>
        <v>1226</v>
      </c>
      <c r="AF115" s="128">
        <f t="shared" si="325"/>
        <v>122481.8</v>
      </c>
      <c r="AG115" s="128">
        <f t="shared" si="348"/>
        <v>122600</v>
      </c>
      <c r="AH115" s="128">
        <f t="shared" si="326"/>
        <v>122600</v>
      </c>
      <c r="AI115" s="130">
        <f t="shared" si="252"/>
        <v>4.4999999999999998E-2</v>
      </c>
      <c r="AJ115" s="128">
        <f t="shared" si="253"/>
        <v>123059.74999999999</v>
      </c>
      <c r="AK115" s="128" t="str">
        <f t="shared" si="254"/>
        <v>tak</v>
      </c>
      <c r="AL115" s="128">
        <f t="shared" si="255"/>
        <v>0</v>
      </c>
      <c r="AM115" s="128">
        <f t="shared" si="150"/>
        <v>122972.39749999999</v>
      </c>
      <c r="AN115" s="128">
        <f t="shared" si="256"/>
        <v>495.49749999998119</v>
      </c>
      <c r="AO115" s="130">
        <f t="shared" si="257"/>
        <v>4.4999999999999998E-2</v>
      </c>
      <c r="AP115" s="128">
        <f t="shared" si="258"/>
        <v>4769.2025774462818</v>
      </c>
      <c r="AQ115" s="128">
        <f t="shared" si="156"/>
        <v>127246.10257744629</v>
      </c>
      <c r="AS115" s="124">
        <f t="shared" si="327"/>
        <v>72</v>
      </c>
      <c r="AT115" s="130">
        <f t="shared" si="328"/>
        <v>4.4999999999999998E-2</v>
      </c>
      <c r="AU115" s="127">
        <f t="shared" si="329"/>
        <v>1172</v>
      </c>
      <c r="AV115" s="128">
        <f t="shared" si="330"/>
        <v>117091.3</v>
      </c>
      <c r="AW115" s="128">
        <f t="shared" si="151"/>
        <v>117200</v>
      </c>
      <c r="AX115" s="128">
        <f t="shared" si="331"/>
        <v>117200</v>
      </c>
      <c r="AY115" s="130">
        <f t="shared" si="259"/>
        <v>4.65E-2</v>
      </c>
      <c r="AZ115" s="128">
        <f t="shared" si="260"/>
        <v>117654.15000000001</v>
      </c>
      <c r="BA115" s="128" t="str">
        <f t="shared" si="261"/>
        <v>tak</v>
      </c>
      <c r="BB115" s="128">
        <f t="shared" si="262"/>
        <v>0</v>
      </c>
      <c r="BC115" s="128">
        <f t="shared" si="158"/>
        <v>117567.86150000001</v>
      </c>
      <c r="BD115" s="128">
        <f t="shared" si="263"/>
        <v>485.56150000000036</v>
      </c>
      <c r="BE115" s="130">
        <f t="shared" si="264"/>
        <v>4.4999999999999998E-2</v>
      </c>
      <c r="BF115" s="128">
        <f t="shared" si="265"/>
        <v>9327.51822802071</v>
      </c>
      <c r="BG115" s="128">
        <f t="shared" si="159"/>
        <v>126409.81822802073</v>
      </c>
      <c r="BI115" s="124">
        <f t="shared" si="332"/>
        <v>72</v>
      </c>
      <c r="BJ115" s="130">
        <f t="shared" si="354"/>
        <v>4.3200000000000002E-2</v>
      </c>
      <c r="BK115" s="127">
        <f t="shared" si="333"/>
        <v>1126</v>
      </c>
      <c r="BL115" s="128">
        <f t="shared" si="334"/>
        <v>112487.40000000001</v>
      </c>
      <c r="BM115" s="128">
        <f t="shared" si="349"/>
        <v>112600</v>
      </c>
      <c r="BN115" s="128">
        <f t="shared" si="335"/>
        <v>123905.15259999999</v>
      </c>
      <c r="BO115" s="130">
        <f t="shared" si="266"/>
        <v>4.9000000000000002E-2</v>
      </c>
      <c r="BP115" s="128">
        <f t="shared" si="267"/>
        <v>129976.50507739998</v>
      </c>
      <c r="BQ115" s="128" t="str">
        <f t="shared" si="268"/>
        <v>tak</v>
      </c>
      <c r="BR115" s="128">
        <f t="shared" si="269"/>
        <v>0</v>
      </c>
      <c r="BS115" s="128">
        <f t="shared" si="153"/>
        <v>126674.96911269399</v>
      </c>
      <c r="BT115" s="128">
        <f t="shared" si="336"/>
        <v>1.7691126939753303</v>
      </c>
      <c r="BU115" s="130">
        <f t="shared" si="270"/>
        <v>4.4999999999999998E-2</v>
      </c>
      <c r="BV115" s="128">
        <f t="shared" si="271"/>
        <v>15.792151940162567</v>
      </c>
      <c r="BW115" s="128">
        <f t="shared" si="243"/>
        <v>126688.99215194017</v>
      </c>
      <c r="BY115" s="130">
        <f t="shared" si="244"/>
        <v>2.9000000000000001E-2</v>
      </c>
      <c r="BZ115" s="127">
        <f t="shared" si="337"/>
        <v>1159</v>
      </c>
      <c r="CA115" s="128">
        <f t="shared" si="338"/>
        <v>115796.40000000001</v>
      </c>
      <c r="CB115" s="128">
        <f t="shared" si="154"/>
        <v>115900</v>
      </c>
      <c r="CC115" s="128">
        <f t="shared" si="339"/>
        <v>115900</v>
      </c>
      <c r="CD115" s="130">
        <f t="shared" si="272"/>
        <v>4.3999999999999997E-2</v>
      </c>
      <c r="CE115" s="128">
        <f t="shared" si="273"/>
        <v>120999.6</v>
      </c>
      <c r="CF115" s="128" t="str">
        <f t="shared" si="274"/>
        <v>nie</v>
      </c>
      <c r="CG115" s="128">
        <f t="shared" si="275"/>
        <v>2318</v>
      </c>
      <c r="CH115" s="128">
        <f t="shared" si="160"/>
        <v>118153.09600000001</v>
      </c>
      <c r="CI115" s="128">
        <f t="shared" si="276"/>
        <v>4130.6760000000049</v>
      </c>
      <c r="CJ115" s="130">
        <f t="shared" si="277"/>
        <v>4.4999999999999998E-2</v>
      </c>
      <c r="CK115" s="128">
        <f t="shared" si="278"/>
        <v>9284.9157619970501</v>
      </c>
      <c r="CL115" s="128">
        <f t="shared" si="279"/>
        <v>123307.33576199705</v>
      </c>
      <c r="CN115" s="127">
        <f t="shared" si="340"/>
        <v>1000</v>
      </c>
      <c r="CO115" s="128">
        <f t="shared" si="341"/>
        <v>100000</v>
      </c>
      <c r="CP115" s="128">
        <f t="shared" si="342"/>
        <v>100000</v>
      </c>
      <c r="CQ115" s="128">
        <f t="shared" si="343"/>
        <v>128050.80965470575</v>
      </c>
      <c r="CR115" s="130">
        <f t="shared" si="280"/>
        <v>4.9000000000000002E-2</v>
      </c>
      <c r="CS115" s="128">
        <f t="shared" si="281"/>
        <v>134325.29932778631</v>
      </c>
      <c r="CT115" s="128" t="str">
        <f t="shared" si="282"/>
        <v>nie</v>
      </c>
      <c r="CU115" s="128">
        <f t="shared" si="283"/>
        <v>3000</v>
      </c>
      <c r="CV115" s="128">
        <f t="shared" si="284"/>
        <v>125373.49245550692</v>
      </c>
      <c r="CW115" s="128">
        <f t="shared" si="285"/>
        <v>0</v>
      </c>
      <c r="CX115" s="130">
        <f t="shared" si="286"/>
        <v>4.4999999999999998E-2</v>
      </c>
      <c r="CY115" s="128">
        <f t="shared" si="287"/>
        <v>0</v>
      </c>
      <c r="CZ115" s="128">
        <f t="shared" si="288"/>
        <v>125373.49245550692</v>
      </c>
      <c r="DA115" s="20"/>
      <c r="DB115" s="127">
        <f t="shared" si="350"/>
        <v>1000</v>
      </c>
      <c r="DC115" s="128">
        <f t="shared" si="351"/>
        <v>100000</v>
      </c>
      <c r="DD115" s="128">
        <f t="shared" si="344"/>
        <v>100000</v>
      </c>
      <c r="DE115" s="128">
        <f t="shared" si="345"/>
        <v>127687.54494646541</v>
      </c>
      <c r="DF115" s="130">
        <f t="shared" si="289"/>
        <v>4.9000000000000002E-2</v>
      </c>
      <c r="DG115" s="128">
        <f t="shared" si="290"/>
        <v>133944.23464884222</v>
      </c>
      <c r="DH115" s="128" t="str">
        <f t="shared" si="291"/>
        <v>tak</v>
      </c>
      <c r="DI115" s="128">
        <f t="shared" si="292"/>
        <v>0</v>
      </c>
      <c r="DJ115" s="128">
        <f t="shared" si="293"/>
        <v>127494.8300655622</v>
      </c>
      <c r="DK115" s="128">
        <f t="shared" si="294"/>
        <v>94.830065562200616</v>
      </c>
      <c r="DL115" s="130">
        <f t="shared" si="295"/>
        <v>4.4999999999999998E-2</v>
      </c>
      <c r="DM115" s="128">
        <f t="shared" si="296"/>
        <v>94.830065562200616</v>
      </c>
      <c r="DN115" s="128">
        <f t="shared" si="297"/>
        <v>127494.8300655622</v>
      </c>
      <c r="DP115" s="127">
        <f t="shared" si="352"/>
        <v>1000</v>
      </c>
      <c r="DQ115" s="128">
        <f t="shared" si="353"/>
        <v>100000</v>
      </c>
      <c r="DR115" s="128">
        <f t="shared" si="346"/>
        <v>100000</v>
      </c>
      <c r="DS115" s="128">
        <f t="shared" si="347"/>
        <v>130818.24205993602</v>
      </c>
      <c r="DT115" s="130">
        <f t="shared" si="298"/>
        <v>5.4000000000000006E-2</v>
      </c>
      <c r="DU115" s="128">
        <f t="shared" si="299"/>
        <v>137882.42713117256</v>
      </c>
      <c r="DV115" s="128" t="str">
        <f t="shared" si="300"/>
        <v>nie</v>
      </c>
      <c r="DW115" s="128">
        <f t="shared" si="301"/>
        <v>3000</v>
      </c>
      <c r="DX115" s="128">
        <f t="shared" si="302"/>
        <v>128254.76597624978</v>
      </c>
      <c r="DY115" s="128">
        <f t="shared" si="303"/>
        <v>0</v>
      </c>
      <c r="DZ115" s="130">
        <f t="shared" si="304"/>
        <v>4.4999999999999998E-2</v>
      </c>
      <c r="EA115" s="128">
        <f t="shared" si="305"/>
        <v>0</v>
      </c>
      <c r="EB115" s="128">
        <f t="shared" si="306"/>
        <v>128254.76597624978</v>
      </c>
    </row>
    <row r="116" spans="1:132">
      <c r="A116" s="212"/>
      <c r="B116" s="188">
        <f t="shared" si="307"/>
        <v>72</v>
      </c>
      <c r="C116" s="128">
        <f t="shared" si="308"/>
        <v>127246.10257744629</v>
      </c>
      <c r="D116" s="128">
        <f t="shared" si="309"/>
        <v>126409.81822802073</v>
      </c>
      <c r="E116" s="128">
        <f t="shared" si="310"/>
        <v>126688.99215194017</v>
      </c>
      <c r="F116" s="128">
        <f t="shared" si="311"/>
        <v>123307.33576199705</v>
      </c>
      <c r="G116" s="128">
        <f t="shared" si="312"/>
        <v>125373.49245550692</v>
      </c>
      <c r="H116" s="128">
        <f t="shared" si="313"/>
        <v>127494.8300655622</v>
      </c>
      <c r="I116" s="128">
        <f t="shared" si="314"/>
        <v>128254.76597624978</v>
      </c>
      <c r="J116" s="128">
        <f t="shared" si="315"/>
        <v>124404.54393411324</v>
      </c>
      <c r="K116" s="128">
        <f t="shared" si="316"/>
        <v>118711.3512876717</v>
      </c>
      <c r="M116" s="36"/>
      <c r="N116" s="32">
        <f t="shared" si="317"/>
        <v>72</v>
      </c>
      <c r="O116" s="25">
        <f t="shared" si="318"/>
        <v>0.27246102577446285</v>
      </c>
      <c r="P116" s="25">
        <f t="shared" si="319"/>
        <v>0.26409818228020732</v>
      </c>
      <c r="Q116" s="25">
        <f t="shared" si="320"/>
        <v>0.26688992151940161</v>
      </c>
      <c r="R116" s="25">
        <f t="shared" si="245"/>
        <v>0.23307335761997039</v>
      </c>
      <c r="S116" s="25">
        <f t="shared" si="246"/>
        <v>0.25373492455506907</v>
      </c>
      <c r="T116" s="25">
        <f t="shared" si="247"/>
        <v>0.27494830065562192</v>
      </c>
      <c r="U116" s="25">
        <f t="shared" si="248"/>
        <v>0.28254765976249785</v>
      </c>
      <c r="V116" s="25">
        <f t="shared" si="249"/>
        <v>0.24404543934113243</v>
      </c>
      <c r="W116" s="25">
        <f t="shared" si="250"/>
        <v>0.18711351287671696</v>
      </c>
      <c r="X116" s="36"/>
      <c r="Y116" s="36"/>
      <c r="AA116" s="124">
        <f t="shared" si="321"/>
        <v>73</v>
      </c>
      <c r="AB116" s="128">
        <f t="shared" si="251"/>
        <v>118998.23705328358</v>
      </c>
      <c r="AC116" s="124">
        <f t="shared" si="322"/>
        <v>73</v>
      </c>
      <c r="AD116" s="130">
        <f t="shared" si="323"/>
        <v>4.4999999999999998E-2</v>
      </c>
      <c r="AE116" s="127">
        <f t="shared" si="324"/>
        <v>1277</v>
      </c>
      <c r="AF116" s="128">
        <f t="shared" si="325"/>
        <v>127577</v>
      </c>
      <c r="AG116" s="128">
        <f t="shared" si="348"/>
        <v>127700</v>
      </c>
      <c r="AH116" s="128">
        <f t="shared" si="326"/>
        <v>127700</v>
      </c>
      <c r="AI116" s="130">
        <f t="shared" si="252"/>
        <v>4.4999999999999998E-2</v>
      </c>
      <c r="AJ116" s="128">
        <f t="shared" si="253"/>
        <v>128178.87499999999</v>
      </c>
      <c r="AK116" s="128" t="str">
        <f t="shared" si="254"/>
        <v>nie</v>
      </c>
      <c r="AL116" s="128">
        <f t="shared" si="255"/>
        <v>478.87499999998545</v>
      </c>
      <c r="AM116" s="128">
        <f t="shared" si="150"/>
        <v>127700</v>
      </c>
      <c r="AN116" s="128">
        <f t="shared" si="256"/>
        <v>387.88874999998825</v>
      </c>
      <c r="AO116" s="130">
        <f t="shared" si="257"/>
        <v>4.4999999999999998E-2</v>
      </c>
      <c r="AP116" s="128">
        <f t="shared" si="258"/>
        <v>457.30153027526313</v>
      </c>
      <c r="AQ116" s="128">
        <f t="shared" si="156"/>
        <v>132483.68903027527</v>
      </c>
      <c r="AS116" s="124">
        <f t="shared" si="327"/>
        <v>73</v>
      </c>
      <c r="AT116" s="130">
        <f t="shared" si="328"/>
        <v>4.4999999999999998E-2</v>
      </c>
      <c r="AU116" s="127">
        <f t="shared" si="329"/>
        <v>1269</v>
      </c>
      <c r="AV116" s="128">
        <f t="shared" si="330"/>
        <v>126782.40000000001</v>
      </c>
      <c r="AW116" s="128">
        <f t="shared" si="151"/>
        <v>126900</v>
      </c>
      <c r="AX116" s="128">
        <f t="shared" si="331"/>
        <v>126900</v>
      </c>
      <c r="AY116" s="130">
        <f t="shared" si="259"/>
        <v>4.65E-2</v>
      </c>
      <c r="AZ116" s="128">
        <f t="shared" si="260"/>
        <v>127391.7375</v>
      </c>
      <c r="BA116" s="128" t="str">
        <f t="shared" si="261"/>
        <v>nie</v>
      </c>
      <c r="BB116" s="128">
        <f t="shared" si="262"/>
        <v>491.73750000000291</v>
      </c>
      <c r="BC116" s="128">
        <f t="shared" si="158"/>
        <v>126900</v>
      </c>
      <c r="BD116" s="128">
        <f t="shared" si="263"/>
        <v>398.30737500000237</v>
      </c>
      <c r="BE116" s="130">
        <f t="shared" si="264"/>
        <v>4.4999999999999998E-2</v>
      </c>
      <c r="BF116" s="128">
        <f t="shared" si="265"/>
        <v>425.9091896383253</v>
      </c>
      <c r="BG116" s="128">
        <f t="shared" si="159"/>
        <v>136255.85056463833</v>
      </c>
      <c r="BI116" s="124">
        <f t="shared" si="332"/>
        <v>73</v>
      </c>
      <c r="BJ116" s="130">
        <f t="shared" si="354"/>
        <v>4.3200000000000002E-2</v>
      </c>
      <c r="BK116" s="127">
        <f t="shared" si="333"/>
        <v>1268</v>
      </c>
      <c r="BL116" s="128">
        <f t="shared" si="334"/>
        <v>126673.20000000001</v>
      </c>
      <c r="BM116" s="128">
        <f t="shared" si="349"/>
        <v>126800</v>
      </c>
      <c r="BN116" s="128">
        <f t="shared" si="335"/>
        <v>126800</v>
      </c>
      <c r="BO116" s="130">
        <f t="shared" si="266"/>
        <v>4.9000000000000002E-2</v>
      </c>
      <c r="BP116" s="128">
        <f t="shared" si="267"/>
        <v>127317.76666666668</v>
      </c>
      <c r="BQ116" s="128" t="str">
        <f t="shared" si="268"/>
        <v>nie</v>
      </c>
      <c r="BR116" s="128">
        <f t="shared" si="269"/>
        <v>517.76666666667734</v>
      </c>
      <c r="BS116" s="128">
        <f t="shared" si="153"/>
        <v>126800</v>
      </c>
      <c r="BT116" s="128">
        <f>IF(AND(BQ116="tak",BL117&lt;&gt;""),
 BS116-BL117,
0)</f>
        <v>0</v>
      </c>
      <c r="BU116" s="130">
        <f t="shared" si="270"/>
        <v>4.4999999999999998E-2</v>
      </c>
      <c r="BV116" s="128">
        <f t="shared" si="271"/>
        <v>15.840120601680811</v>
      </c>
      <c r="BW116" s="128">
        <f t="shared" si="243"/>
        <v>126815.84012060169</v>
      </c>
      <c r="BY116" s="130">
        <f t="shared" si="244"/>
        <v>2.9000000000000001E-2</v>
      </c>
      <c r="BZ116" s="127">
        <f t="shared" si="337"/>
        <v>1159</v>
      </c>
      <c r="CA116" s="128">
        <f t="shared" si="338"/>
        <v>115796.40000000001</v>
      </c>
      <c r="CB116" s="128">
        <f t="shared" si="154"/>
        <v>115900</v>
      </c>
      <c r="CC116" s="128">
        <f t="shared" si="339"/>
        <v>115900</v>
      </c>
      <c r="CD116" s="130">
        <f t="shared" si="272"/>
        <v>4.3999999999999997E-2</v>
      </c>
      <c r="CE116" s="128">
        <f t="shared" si="273"/>
        <v>116324.96666666667</v>
      </c>
      <c r="CF116" s="128" t="str">
        <f t="shared" si="274"/>
        <v>nie</v>
      </c>
      <c r="CG116" s="128">
        <f t="shared" si="275"/>
        <v>2318</v>
      </c>
      <c r="CH116" s="128">
        <f t="shared" si="160"/>
        <v>114366.64300000001</v>
      </c>
      <c r="CI116" s="128">
        <f t="shared" si="276"/>
        <v>0</v>
      </c>
      <c r="CJ116" s="130">
        <f t="shared" si="277"/>
        <v>4.4999999999999998E-2</v>
      </c>
      <c r="CK116" s="128">
        <f t="shared" si="278"/>
        <v>9313.1186936241156</v>
      </c>
      <c r="CL116" s="128">
        <f t="shared" si="279"/>
        <v>123679.76169362412</v>
      </c>
      <c r="CN116" s="127">
        <f t="shared" si="340"/>
        <v>1000</v>
      </c>
      <c r="CO116" s="128">
        <f t="shared" si="341"/>
        <v>100000</v>
      </c>
      <c r="CP116" s="128">
        <f t="shared" si="342"/>
        <v>100000</v>
      </c>
      <c r="CQ116" s="128">
        <f t="shared" si="343"/>
        <v>134325.29932778631</v>
      </c>
      <c r="CR116" s="130">
        <f t="shared" si="280"/>
        <v>4.9000000000000002E-2</v>
      </c>
      <c r="CS116" s="128">
        <f t="shared" si="281"/>
        <v>134873.79430004145</v>
      </c>
      <c r="CT116" s="128" t="str">
        <f t="shared" si="282"/>
        <v>nie</v>
      </c>
      <c r="CU116" s="128">
        <f t="shared" si="283"/>
        <v>3000</v>
      </c>
      <c r="CV116" s="128">
        <f t="shared" si="284"/>
        <v>125817.77338303358</v>
      </c>
      <c r="CW116" s="128">
        <f t="shared" si="285"/>
        <v>0</v>
      </c>
      <c r="CX116" s="130">
        <f t="shared" si="286"/>
        <v>4.4999999999999998E-2</v>
      </c>
      <c r="CY116" s="128">
        <f t="shared" si="287"/>
        <v>0</v>
      </c>
      <c r="CZ116" s="128">
        <f t="shared" si="288"/>
        <v>125817.77338303358</v>
      </c>
      <c r="DA116" s="20"/>
      <c r="DB116" s="127">
        <f t="shared" si="350"/>
        <v>1274</v>
      </c>
      <c r="DC116" s="128">
        <f t="shared" si="351"/>
        <v>127400</v>
      </c>
      <c r="DD116" s="128">
        <f t="shared" si="344"/>
        <v>127400</v>
      </c>
      <c r="DE116" s="128">
        <f t="shared" si="345"/>
        <v>127400</v>
      </c>
      <c r="DF116" s="130">
        <f t="shared" si="289"/>
        <v>5.45E-2</v>
      </c>
      <c r="DG116" s="128">
        <f t="shared" si="290"/>
        <v>127978.60833333334</v>
      </c>
      <c r="DH116" s="128" t="str">
        <f t="shared" si="291"/>
        <v>nie</v>
      </c>
      <c r="DI116" s="128">
        <f t="shared" si="292"/>
        <v>578.60833333333721</v>
      </c>
      <c r="DJ116" s="128">
        <f t="shared" ref="DJ116:DJ179" si="355">DG116-DI116
-(DG116-DD116-DI116)*podatek_Belki</f>
        <v>127400</v>
      </c>
      <c r="DK116" s="128">
        <f t="shared" si="294"/>
        <v>0</v>
      </c>
      <c r="DL116" s="130">
        <f t="shared" si="295"/>
        <v>4.4999999999999998E-2</v>
      </c>
      <c r="DM116" s="128">
        <f t="shared" si="296"/>
        <v>95.118111886345801</v>
      </c>
      <c r="DN116" s="128">
        <f t="shared" si="297"/>
        <v>127495.11811188635</v>
      </c>
      <c r="DP116" s="127">
        <f t="shared" si="352"/>
        <v>1000</v>
      </c>
      <c r="DQ116" s="128">
        <f t="shared" si="353"/>
        <v>100000</v>
      </c>
      <c r="DR116" s="128">
        <f t="shared" si="346"/>
        <v>100000</v>
      </c>
      <c r="DS116" s="128">
        <f t="shared" si="347"/>
        <v>137882.42713117256</v>
      </c>
      <c r="DT116" s="130">
        <f t="shared" si="298"/>
        <v>5.4000000000000006E-2</v>
      </c>
      <c r="DU116" s="128">
        <f t="shared" si="299"/>
        <v>138502.89805326282</v>
      </c>
      <c r="DV116" s="128" t="str">
        <f t="shared" si="300"/>
        <v>nie</v>
      </c>
      <c r="DW116" s="128">
        <f t="shared" si="301"/>
        <v>3000</v>
      </c>
      <c r="DX116" s="128">
        <f t="shared" si="302"/>
        <v>128757.34742314288</v>
      </c>
      <c r="DY116" s="128">
        <f t="shared" si="303"/>
        <v>0</v>
      </c>
      <c r="DZ116" s="130">
        <f t="shared" si="304"/>
        <v>4.4999999999999998E-2</v>
      </c>
      <c r="EA116" s="128">
        <f t="shared" si="305"/>
        <v>0</v>
      </c>
      <c r="EB116" s="128">
        <f t="shared" si="306"/>
        <v>128757.34742314288</v>
      </c>
    </row>
    <row r="117" spans="1:132">
      <c r="A117" s="212">
        <f>ROUNDUP(B128/12,0)</f>
        <v>7</v>
      </c>
      <c r="B117" s="188">
        <f t="shared" si="307"/>
        <v>73</v>
      </c>
      <c r="C117" s="128">
        <f t="shared" si="308"/>
        <v>132483.68903027527</v>
      </c>
      <c r="D117" s="128">
        <f t="shared" si="309"/>
        <v>136255.85056463833</v>
      </c>
      <c r="E117" s="128">
        <f t="shared" si="310"/>
        <v>126815.84012060169</v>
      </c>
      <c r="F117" s="128">
        <f t="shared" si="311"/>
        <v>123679.76169362412</v>
      </c>
      <c r="G117" s="128">
        <f t="shared" si="312"/>
        <v>125817.77338303358</v>
      </c>
      <c r="H117" s="128">
        <f t="shared" si="313"/>
        <v>127495.11811188635</v>
      </c>
      <c r="I117" s="128">
        <f t="shared" si="314"/>
        <v>128757.34742314288</v>
      </c>
      <c r="J117" s="128">
        <f t="shared" si="315"/>
        <v>124782.42273631312</v>
      </c>
      <c r="K117" s="128">
        <f t="shared" si="316"/>
        <v>118998.23705328358</v>
      </c>
      <c r="M117" s="36"/>
      <c r="N117" s="32">
        <f t="shared" si="317"/>
        <v>73</v>
      </c>
      <c r="O117" s="25">
        <f t="shared" si="318"/>
        <v>0.32483689030275276</v>
      </c>
      <c r="P117" s="25">
        <f t="shared" si="319"/>
        <v>0.36255850564638337</v>
      </c>
      <c r="Q117" s="25">
        <f t="shared" si="320"/>
        <v>0.26815840120601675</v>
      </c>
      <c r="R117" s="25">
        <f t="shared" si="245"/>
        <v>0.23679761693624135</v>
      </c>
      <c r="S117" s="25">
        <f t="shared" si="246"/>
        <v>0.25817773383033571</v>
      </c>
      <c r="T117" s="25">
        <f t="shared" si="247"/>
        <v>0.27495118111886341</v>
      </c>
      <c r="U117" s="25">
        <f t="shared" si="248"/>
        <v>0.28757347423142887</v>
      </c>
      <c r="V117" s="25">
        <f t="shared" si="249"/>
        <v>0.24782422736313126</v>
      </c>
      <c r="W117" s="25">
        <f t="shared" si="250"/>
        <v>0.18998237053283584</v>
      </c>
      <c r="X117" s="36"/>
      <c r="Y117" s="36"/>
      <c r="AA117" s="124">
        <f t="shared" si="321"/>
        <v>74</v>
      </c>
      <c r="AB117" s="128">
        <f t="shared" si="251"/>
        <v>119285.12281889544</v>
      </c>
      <c r="AC117" s="124">
        <f t="shared" si="322"/>
        <v>74</v>
      </c>
      <c r="AD117" s="130">
        <f t="shared" si="323"/>
        <v>4.4999999999999998E-2</v>
      </c>
      <c r="AE117" s="127">
        <f t="shared" si="324"/>
        <v>1277</v>
      </c>
      <c r="AF117" s="128">
        <f t="shared" si="325"/>
        <v>127577</v>
      </c>
      <c r="AG117" s="128">
        <f t="shared" si="348"/>
        <v>127700</v>
      </c>
      <c r="AH117" s="128">
        <f>AG117</f>
        <v>127700</v>
      </c>
      <c r="AI117" s="130">
        <f t="shared" si="252"/>
        <v>4.4999999999999998E-2</v>
      </c>
      <c r="AJ117" s="128">
        <f t="shared" si="253"/>
        <v>128178.87499999999</v>
      </c>
      <c r="AK117" s="128" t="str">
        <f t="shared" si="254"/>
        <v>nie</v>
      </c>
      <c r="AL117" s="128">
        <f t="shared" si="255"/>
        <v>638.5</v>
      </c>
      <c r="AM117" s="128">
        <f t="shared" si="150"/>
        <v>127570.70374999999</v>
      </c>
      <c r="AN117" s="128">
        <f t="shared" si="256"/>
        <v>387.88874999998825</v>
      </c>
      <c r="AO117" s="130">
        <f t="shared" si="257"/>
        <v>4.4999999999999998E-2</v>
      </c>
      <c r="AP117" s="128">
        <f t="shared" si="258"/>
        <v>846.57933367346254</v>
      </c>
      <c r="AQ117" s="128">
        <f t="shared" si="156"/>
        <v>128029.39433367347</v>
      </c>
      <c r="AS117" s="124">
        <f t="shared" si="327"/>
        <v>74</v>
      </c>
      <c r="AT117" s="130">
        <f t="shared" si="328"/>
        <v>4.4999999999999998E-2</v>
      </c>
      <c r="AU117" s="127">
        <f t="shared" si="329"/>
        <v>1269</v>
      </c>
      <c r="AV117" s="128">
        <f t="shared" si="330"/>
        <v>126782.40000000001</v>
      </c>
      <c r="AW117" s="128">
        <f t="shared" si="151"/>
        <v>126900</v>
      </c>
      <c r="AX117" s="128">
        <f>AW117</f>
        <v>126900</v>
      </c>
      <c r="AY117" s="130">
        <f t="shared" si="259"/>
        <v>4.65E-2</v>
      </c>
      <c r="AZ117" s="128">
        <f t="shared" si="260"/>
        <v>127391.7375</v>
      </c>
      <c r="BA117" s="128" t="str">
        <f t="shared" si="261"/>
        <v>nie</v>
      </c>
      <c r="BB117" s="128">
        <f t="shared" si="262"/>
        <v>888.3</v>
      </c>
      <c r="BC117" s="128">
        <f t="shared" si="158"/>
        <v>126578.784375</v>
      </c>
      <c r="BD117" s="128">
        <f t="shared" si="263"/>
        <v>398.30737500000237</v>
      </c>
      <c r="BE117" s="130">
        <f t="shared" si="264"/>
        <v>4.4999999999999998E-2</v>
      </c>
      <c r="BF117" s="128">
        <f t="shared" si="265"/>
        <v>825.51026380185408</v>
      </c>
      <c r="BG117" s="128">
        <f t="shared" si="159"/>
        <v>127005.98726380186</v>
      </c>
      <c r="BI117" s="124">
        <f t="shared" si="332"/>
        <v>74</v>
      </c>
      <c r="BJ117" s="130">
        <f t="shared" si="354"/>
        <v>4.3200000000000002E-2</v>
      </c>
      <c r="BK117" s="127">
        <f t="shared" si="333"/>
        <v>1268</v>
      </c>
      <c r="BL117" s="128">
        <f t="shared" si="334"/>
        <v>126673.20000000001</v>
      </c>
      <c r="BM117" s="128">
        <f t="shared" si="349"/>
        <v>126800</v>
      </c>
      <c r="BN117" s="128">
        <f t="shared" si="335"/>
        <v>126800</v>
      </c>
      <c r="BO117" s="130">
        <f t="shared" si="266"/>
        <v>4.9000000000000002E-2</v>
      </c>
      <c r="BP117" s="128">
        <f t="shared" si="267"/>
        <v>127835.53333333333</v>
      </c>
      <c r="BQ117" s="128" t="str">
        <f t="shared" si="268"/>
        <v>nie</v>
      </c>
      <c r="BR117" s="128">
        <f t="shared" si="269"/>
        <v>1035.5333333333256</v>
      </c>
      <c r="BS117" s="128">
        <f t="shared" si="153"/>
        <v>126800</v>
      </c>
      <c r="BT117" s="128">
        <f t="shared" ref="BT117:BT139" si="356">IF(AND(BQ117="tak",BL118&lt;&gt;""),
 BS117-BL118,
0)</f>
        <v>0</v>
      </c>
      <c r="BU117" s="130">
        <f t="shared" si="270"/>
        <v>4.4999999999999998E-2</v>
      </c>
      <c r="BV117" s="128">
        <f t="shared" si="271"/>
        <v>15.888234968008417</v>
      </c>
      <c r="BW117" s="128">
        <f t="shared" si="243"/>
        <v>126815.88823496801</v>
      </c>
      <c r="BY117" s="130">
        <f t="shared" si="244"/>
        <v>2.9000000000000001E-2</v>
      </c>
      <c r="BZ117" s="127">
        <f t="shared" si="337"/>
        <v>1159</v>
      </c>
      <c r="CA117" s="128">
        <f t="shared" si="338"/>
        <v>115796.40000000001</v>
      </c>
      <c r="CB117" s="128">
        <f t="shared" si="154"/>
        <v>115900</v>
      </c>
      <c r="CC117" s="128">
        <f>CB117</f>
        <v>115900</v>
      </c>
      <c r="CD117" s="130">
        <f t="shared" si="272"/>
        <v>4.3999999999999997E-2</v>
      </c>
      <c r="CE117" s="128">
        <f t="shared" si="273"/>
        <v>116749.93333333335</v>
      </c>
      <c r="CF117" s="128" t="str">
        <f t="shared" si="274"/>
        <v>nie</v>
      </c>
      <c r="CG117" s="128">
        <f t="shared" si="275"/>
        <v>2318</v>
      </c>
      <c r="CH117" s="128">
        <f t="shared" si="160"/>
        <v>114710.86600000001</v>
      </c>
      <c r="CI117" s="128">
        <f t="shared" si="276"/>
        <v>0</v>
      </c>
      <c r="CJ117" s="130">
        <f t="shared" si="277"/>
        <v>4.4999999999999998E-2</v>
      </c>
      <c r="CK117" s="128">
        <f t="shared" si="278"/>
        <v>9341.4072916559999</v>
      </c>
      <c r="CL117" s="128">
        <f t="shared" si="279"/>
        <v>124052.27329165601</v>
      </c>
      <c r="CN117" s="127">
        <f t="shared" si="340"/>
        <v>1000</v>
      </c>
      <c r="CO117" s="128">
        <f t="shared" si="341"/>
        <v>100000</v>
      </c>
      <c r="CP117" s="128">
        <f t="shared" si="342"/>
        <v>100000</v>
      </c>
      <c r="CQ117" s="128">
        <f t="shared" si="343"/>
        <v>134325.29932778631</v>
      </c>
      <c r="CR117" s="130">
        <f t="shared" si="280"/>
        <v>4.9000000000000002E-2</v>
      </c>
      <c r="CS117" s="128">
        <f t="shared" si="281"/>
        <v>135422.28927229656</v>
      </c>
      <c r="CT117" s="128" t="str">
        <f t="shared" si="282"/>
        <v>nie</v>
      </c>
      <c r="CU117" s="128">
        <f t="shared" si="283"/>
        <v>3000</v>
      </c>
      <c r="CV117" s="128">
        <f t="shared" si="284"/>
        <v>126262.05431056021</v>
      </c>
      <c r="CW117" s="128">
        <f t="shared" si="285"/>
        <v>0</v>
      </c>
      <c r="CX117" s="130">
        <f t="shared" si="286"/>
        <v>4.4999999999999998E-2</v>
      </c>
      <c r="CY117" s="128">
        <f t="shared" si="287"/>
        <v>0</v>
      </c>
      <c r="CZ117" s="128">
        <f t="shared" si="288"/>
        <v>126262.05431056021</v>
      </c>
      <c r="DA117" s="20"/>
      <c r="DB117" s="127">
        <f t="shared" si="350"/>
        <v>1274</v>
      </c>
      <c r="DC117" s="128">
        <f t="shared" si="351"/>
        <v>127400</v>
      </c>
      <c r="DD117" s="128">
        <f t="shared" si="344"/>
        <v>127400</v>
      </c>
      <c r="DE117" s="128">
        <f t="shared" si="345"/>
        <v>127400</v>
      </c>
      <c r="DF117" s="130">
        <f t="shared" si="289"/>
        <v>5.45E-2</v>
      </c>
      <c r="DG117" s="128">
        <f t="shared" si="290"/>
        <v>128557.21666666666</v>
      </c>
      <c r="DH117" s="128" t="str">
        <f t="shared" si="291"/>
        <v>nie</v>
      </c>
      <c r="DI117" s="128">
        <f t="shared" si="292"/>
        <v>1157.2166666666599</v>
      </c>
      <c r="DJ117" s="128">
        <f t="shared" si="355"/>
        <v>127400</v>
      </c>
      <c r="DK117" s="128">
        <f t="shared" si="294"/>
        <v>0</v>
      </c>
      <c r="DL117" s="130">
        <f t="shared" si="295"/>
        <v>4.4999999999999998E-2</v>
      </c>
      <c r="DM117" s="128">
        <f t="shared" si="296"/>
        <v>95.407033151200579</v>
      </c>
      <c r="DN117" s="128">
        <f t="shared" si="297"/>
        <v>127495.4070331512</v>
      </c>
      <c r="DP117" s="127">
        <f t="shared" si="352"/>
        <v>1000</v>
      </c>
      <c r="DQ117" s="128">
        <f t="shared" si="353"/>
        <v>100000</v>
      </c>
      <c r="DR117" s="128">
        <f t="shared" si="346"/>
        <v>100000</v>
      </c>
      <c r="DS117" s="128">
        <f t="shared" si="347"/>
        <v>137882.42713117256</v>
      </c>
      <c r="DT117" s="130">
        <f t="shared" si="298"/>
        <v>5.4000000000000006E-2</v>
      </c>
      <c r="DU117" s="128">
        <f t="shared" si="299"/>
        <v>139123.36897535311</v>
      </c>
      <c r="DV117" s="128" t="str">
        <f t="shared" si="300"/>
        <v>nie</v>
      </c>
      <c r="DW117" s="128">
        <f t="shared" si="301"/>
        <v>3000</v>
      </c>
      <c r="DX117" s="128">
        <f t="shared" si="302"/>
        <v>129259.92887003602</v>
      </c>
      <c r="DY117" s="128">
        <f t="shared" si="303"/>
        <v>0</v>
      </c>
      <c r="DZ117" s="130">
        <f t="shared" si="304"/>
        <v>4.4999999999999998E-2</v>
      </c>
      <c r="EA117" s="128">
        <f t="shared" si="305"/>
        <v>0</v>
      </c>
      <c r="EB117" s="128">
        <f t="shared" si="306"/>
        <v>129259.92887003602</v>
      </c>
    </row>
    <row r="118" spans="1:132">
      <c r="A118" s="212"/>
      <c r="B118" s="188">
        <f t="shared" si="307"/>
        <v>74</v>
      </c>
      <c r="C118" s="128">
        <f t="shared" si="308"/>
        <v>128029.39433367347</v>
      </c>
      <c r="D118" s="128">
        <f t="shared" si="309"/>
        <v>127005.98726380186</v>
      </c>
      <c r="E118" s="128">
        <f t="shared" si="310"/>
        <v>126815.88823496801</v>
      </c>
      <c r="F118" s="128">
        <f t="shared" si="311"/>
        <v>124052.27329165601</v>
      </c>
      <c r="G118" s="128">
        <f t="shared" si="312"/>
        <v>126262.05431056021</v>
      </c>
      <c r="H118" s="128">
        <f t="shared" si="313"/>
        <v>127495.4070331512</v>
      </c>
      <c r="I118" s="128">
        <f t="shared" si="314"/>
        <v>129259.92887003602</v>
      </c>
      <c r="J118" s="128">
        <f t="shared" si="315"/>
        <v>125161.44934537467</v>
      </c>
      <c r="K118" s="128">
        <f t="shared" si="316"/>
        <v>119285.12281889544</v>
      </c>
      <c r="M118" s="36"/>
      <c r="N118" s="32">
        <f t="shared" si="317"/>
        <v>74</v>
      </c>
      <c r="O118" s="25">
        <f t="shared" si="318"/>
        <v>0.28029394333673463</v>
      </c>
      <c r="P118" s="25">
        <f t="shared" si="319"/>
        <v>0.27005987263801856</v>
      </c>
      <c r="Q118" s="25">
        <f t="shared" si="320"/>
        <v>0.26815888234968011</v>
      </c>
      <c r="R118" s="25">
        <f t="shared" si="245"/>
        <v>0.24052273291656001</v>
      </c>
      <c r="S118" s="25">
        <f t="shared" si="246"/>
        <v>0.26262054310560212</v>
      </c>
      <c r="T118" s="25">
        <f t="shared" si="247"/>
        <v>0.27495407033151209</v>
      </c>
      <c r="U118" s="25">
        <f t="shared" si="248"/>
        <v>0.29259928870036012</v>
      </c>
      <c r="V118" s="25">
        <f t="shared" si="249"/>
        <v>0.25161449345374676</v>
      </c>
      <c r="W118" s="25">
        <f t="shared" si="250"/>
        <v>0.1928512281889545</v>
      </c>
      <c r="X118" s="36"/>
      <c r="Y118" s="36"/>
      <c r="AA118" s="124">
        <f t="shared" si="321"/>
        <v>75</v>
      </c>
      <c r="AB118" s="128">
        <f t="shared" si="251"/>
        <v>119572.00858450732</v>
      </c>
      <c r="AC118" s="124">
        <f t="shared" si="322"/>
        <v>75</v>
      </c>
      <c r="AD118" s="130">
        <f t="shared" si="323"/>
        <v>4.4999999999999998E-2</v>
      </c>
      <c r="AE118" s="127">
        <f t="shared" si="324"/>
        <v>1277</v>
      </c>
      <c r="AF118" s="128">
        <f t="shared" si="325"/>
        <v>127577</v>
      </c>
      <c r="AG118" s="128">
        <f t="shared" si="348"/>
        <v>127700</v>
      </c>
      <c r="AH118" s="128">
        <f t="shared" ref="AH118:AH181" si="357">AG118</f>
        <v>127700</v>
      </c>
      <c r="AI118" s="130">
        <f t="shared" si="252"/>
        <v>4.4999999999999998E-2</v>
      </c>
      <c r="AJ118" s="128">
        <f t="shared" si="253"/>
        <v>128178.87499999999</v>
      </c>
      <c r="AK118" s="128" t="str">
        <f t="shared" si="254"/>
        <v>nie</v>
      </c>
      <c r="AL118" s="128">
        <f t="shared" si="255"/>
        <v>638.5</v>
      </c>
      <c r="AM118" s="128">
        <f t="shared" si="150"/>
        <v>127570.70374999999</v>
      </c>
      <c r="AN118" s="128">
        <f t="shared" si="256"/>
        <v>387.88874999998825</v>
      </c>
      <c r="AO118" s="130">
        <f t="shared" si="257"/>
        <v>4.4999999999999998E-2</v>
      </c>
      <c r="AP118" s="128">
        <f t="shared" si="258"/>
        <v>1237.0395683994839</v>
      </c>
      <c r="AQ118" s="128">
        <f t="shared" si="156"/>
        <v>128419.85456839949</v>
      </c>
      <c r="AS118" s="124">
        <f t="shared" si="327"/>
        <v>75</v>
      </c>
      <c r="AT118" s="130">
        <f t="shared" si="328"/>
        <v>4.4999999999999998E-2</v>
      </c>
      <c r="AU118" s="127">
        <f t="shared" si="329"/>
        <v>1269</v>
      </c>
      <c r="AV118" s="128">
        <f t="shared" si="330"/>
        <v>126782.40000000001</v>
      </c>
      <c r="AW118" s="128">
        <f t="shared" si="151"/>
        <v>126900</v>
      </c>
      <c r="AX118" s="128">
        <f t="shared" ref="AX118:AX181" si="358">AW118</f>
        <v>126900</v>
      </c>
      <c r="AY118" s="130">
        <f t="shared" si="259"/>
        <v>4.65E-2</v>
      </c>
      <c r="AZ118" s="128">
        <f t="shared" si="260"/>
        <v>127391.7375</v>
      </c>
      <c r="BA118" s="128" t="str">
        <f t="shared" si="261"/>
        <v>nie</v>
      </c>
      <c r="BB118" s="128">
        <f t="shared" si="262"/>
        <v>888.3</v>
      </c>
      <c r="BC118" s="128">
        <f t="shared" si="158"/>
        <v>126578.784375</v>
      </c>
      <c r="BD118" s="128">
        <f t="shared" si="263"/>
        <v>398.30737500000237</v>
      </c>
      <c r="BE118" s="130">
        <f t="shared" si="264"/>
        <v>4.4999999999999998E-2</v>
      </c>
      <c r="BF118" s="128">
        <f t="shared" si="265"/>
        <v>1226.3251262281547</v>
      </c>
      <c r="BG118" s="128">
        <f t="shared" si="159"/>
        <v>127406.80212622815</v>
      </c>
      <c r="BI118" s="124">
        <f t="shared" si="332"/>
        <v>75</v>
      </c>
      <c r="BJ118" s="130">
        <f t="shared" si="354"/>
        <v>4.3200000000000002E-2</v>
      </c>
      <c r="BK118" s="127">
        <f t="shared" si="333"/>
        <v>1268</v>
      </c>
      <c r="BL118" s="128">
        <f t="shared" si="334"/>
        <v>126673.20000000001</v>
      </c>
      <c r="BM118" s="128">
        <f t="shared" si="349"/>
        <v>126800</v>
      </c>
      <c r="BN118" s="128">
        <f t="shared" si="335"/>
        <v>126800</v>
      </c>
      <c r="BO118" s="130">
        <f t="shared" si="266"/>
        <v>4.9000000000000002E-2</v>
      </c>
      <c r="BP118" s="128">
        <f t="shared" si="267"/>
        <v>128353.30000000002</v>
      </c>
      <c r="BQ118" s="128" t="str">
        <f t="shared" si="268"/>
        <v>nie</v>
      </c>
      <c r="BR118" s="128">
        <f t="shared" si="269"/>
        <v>1268</v>
      </c>
      <c r="BS118" s="128">
        <f t="shared" si="153"/>
        <v>127031.09300000001</v>
      </c>
      <c r="BT118" s="128">
        <f t="shared" si="356"/>
        <v>0</v>
      </c>
      <c r="BU118" s="130">
        <f t="shared" si="270"/>
        <v>4.4999999999999998E-2</v>
      </c>
      <c r="BV118" s="128">
        <f t="shared" si="271"/>
        <v>15.936495481723743</v>
      </c>
      <c r="BW118" s="128">
        <f t="shared" si="243"/>
        <v>127047.02949548174</v>
      </c>
      <c r="BY118" s="130">
        <f t="shared" si="244"/>
        <v>2.9000000000000001E-2</v>
      </c>
      <c r="BZ118" s="127">
        <f t="shared" si="337"/>
        <v>1159</v>
      </c>
      <c r="CA118" s="128">
        <f t="shared" si="338"/>
        <v>115796.40000000001</v>
      </c>
      <c r="CB118" s="128">
        <f t="shared" si="154"/>
        <v>115900</v>
      </c>
      <c r="CC118" s="128">
        <f t="shared" ref="CC118:CC181" si="359">CB118</f>
        <v>115900</v>
      </c>
      <c r="CD118" s="130">
        <f t="shared" si="272"/>
        <v>4.3999999999999997E-2</v>
      </c>
      <c r="CE118" s="128">
        <f t="shared" si="273"/>
        <v>117174.9</v>
      </c>
      <c r="CF118" s="128" t="str">
        <f t="shared" si="274"/>
        <v>nie</v>
      </c>
      <c r="CG118" s="128">
        <f t="shared" si="275"/>
        <v>2318</v>
      </c>
      <c r="CH118" s="128">
        <f t="shared" si="160"/>
        <v>115055.08899999999</v>
      </c>
      <c r="CI118" s="128">
        <f t="shared" si="276"/>
        <v>0</v>
      </c>
      <c r="CJ118" s="130">
        <f t="shared" si="277"/>
        <v>4.4999999999999998E-2</v>
      </c>
      <c r="CK118" s="128">
        <f t="shared" si="278"/>
        <v>9369.7818163044049</v>
      </c>
      <c r="CL118" s="128">
        <f t="shared" si="279"/>
        <v>124424.87081630439</v>
      </c>
      <c r="CN118" s="127">
        <f t="shared" si="340"/>
        <v>1000</v>
      </c>
      <c r="CO118" s="128">
        <f t="shared" si="341"/>
        <v>100000</v>
      </c>
      <c r="CP118" s="128">
        <f t="shared" si="342"/>
        <v>100000</v>
      </c>
      <c r="CQ118" s="128">
        <f t="shared" si="343"/>
        <v>134325.29932778631</v>
      </c>
      <c r="CR118" s="130">
        <f t="shared" si="280"/>
        <v>4.9000000000000002E-2</v>
      </c>
      <c r="CS118" s="128">
        <f t="shared" si="281"/>
        <v>135970.7842445517</v>
      </c>
      <c r="CT118" s="128" t="str">
        <f t="shared" si="282"/>
        <v>nie</v>
      </c>
      <c r="CU118" s="128">
        <f t="shared" si="283"/>
        <v>3000</v>
      </c>
      <c r="CV118" s="128">
        <f t="shared" si="284"/>
        <v>126706.33523808687</v>
      </c>
      <c r="CW118" s="128">
        <f t="shared" si="285"/>
        <v>0</v>
      </c>
      <c r="CX118" s="130">
        <f t="shared" si="286"/>
        <v>4.4999999999999998E-2</v>
      </c>
      <c r="CY118" s="128">
        <f t="shared" si="287"/>
        <v>0</v>
      </c>
      <c r="CZ118" s="128">
        <f t="shared" si="288"/>
        <v>126706.33523808687</v>
      </c>
      <c r="DA118" s="20"/>
      <c r="DB118" s="127">
        <f t="shared" si="350"/>
        <v>1274</v>
      </c>
      <c r="DC118" s="128">
        <f t="shared" si="351"/>
        <v>127400</v>
      </c>
      <c r="DD118" s="128">
        <f t="shared" si="344"/>
        <v>127400</v>
      </c>
      <c r="DE118" s="128">
        <f t="shared" si="345"/>
        <v>127400</v>
      </c>
      <c r="DF118" s="130">
        <f t="shared" si="289"/>
        <v>5.45E-2</v>
      </c>
      <c r="DG118" s="128">
        <f t="shared" si="290"/>
        <v>129135.825</v>
      </c>
      <c r="DH118" s="128" t="str">
        <f t="shared" si="291"/>
        <v>nie</v>
      </c>
      <c r="DI118" s="128">
        <f t="shared" si="292"/>
        <v>1735.8249999999971</v>
      </c>
      <c r="DJ118" s="128">
        <f t="shared" si="355"/>
        <v>127400</v>
      </c>
      <c r="DK118" s="128">
        <f t="shared" si="294"/>
        <v>0</v>
      </c>
      <c r="DL118" s="130">
        <f t="shared" si="295"/>
        <v>4.4999999999999998E-2</v>
      </c>
      <c r="DM118" s="128">
        <f t="shared" si="296"/>
        <v>95.696832014397359</v>
      </c>
      <c r="DN118" s="128">
        <f t="shared" si="297"/>
        <v>127495.69683201439</v>
      </c>
      <c r="DP118" s="127">
        <f t="shared" si="352"/>
        <v>1000</v>
      </c>
      <c r="DQ118" s="128">
        <f t="shared" si="353"/>
        <v>100000</v>
      </c>
      <c r="DR118" s="128">
        <f t="shared" si="346"/>
        <v>100000</v>
      </c>
      <c r="DS118" s="128">
        <f t="shared" si="347"/>
        <v>137882.42713117256</v>
      </c>
      <c r="DT118" s="130">
        <f t="shared" si="298"/>
        <v>5.4000000000000006E-2</v>
      </c>
      <c r="DU118" s="128">
        <f t="shared" si="299"/>
        <v>139743.83989744339</v>
      </c>
      <c r="DV118" s="128" t="str">
        <f t="shared" si="300"/>
        <v>nie</v>
      </c>
      <c r="DW118" s="128">
        <f t="shared" si="301"/>
        <v>3000</v>
      </c>
      <c r="DX118" s="128">
        <f t="shared" si="302"/>
        <v>129762.51031692915</v>
      </c>
      <c r="DY118" s="128">
        <f t="shared" si="303"/>
        <v>0</v>
      </c>
      <c r="DZ118" s="130">
        <f t="shared" si="304"/>
        <v>4.4999999999999998E-2</v>
      </c>
      <c r="EA118" s="128">
        <f t="shared" si="305"/>
        <v>0</v>
      </c>
      <c r="EB118" s="128">
        <f t="shared" si="306"/>
        <v>129762.51031692915</v>
      </c>
    </row>
    <row r="119" spans="1:132">
      <c r="A119" s="212"/>
      <c r="B119" s="188">
        <f t="shared" si="307"/>
        <v>75</v>
      </c>
      <c r="C119" s="128">
        <f t="shared" si="308"/>
        <v>128419.85456839949</v>
      </c>
      <c r="D119" s="128">
        <f t="shared" si="309"/>
        <v>127406.80212622815</v>
      </c>
      <c r="E119" s="128">
        <f t="shared" si="310"/>
        <v>127047.02949548174</v>
      </c>
      <c r="F119" s="128">
        <f t="shared" si="311"/>
        <v>124424.87081630439</v>
      </c>
      <c r="G119" s="128">
        <f t="shared" si="312"/>
        <v>126706.33523808687</v>
      </c>
      <c r="H119" s="128">
        <f t="shared" si="313"/>
        <v>127495.69683201439</v>
      </c>
      <c r="I119" s="128">
        <f t="shared" si="314"/>
        <v>129762.51031692915</v>
      </c>
      <c r="J119" s="128">
        <f t="shared" si="315"/>
        <v>125541.62724776125</v>
      </c>
      <c r="K119" s="128">
        <f t="shared" si="316"/>
        <v>119572.00858450732</v>
      </c>
      <c r="M119" s="36"/>
      <c r="N119" s="32">
        <f t="shared" si="317"/>
        <v>75</v>
      </c>
      <c r="O119" s="25">
        <f t="shared" si="318"/>
        <v>0.28419854568399483</v>
      </c>
      <c r="P119" s="25">
        <f t="shared" si="319"/>
        <v>0.27406802126228147</v>
      </c>
      <c r="Q119" s="25">
        <f t="shared" si="320"/>
        <v>0.27047029495481745</v>
      </c>
      <c r="R119" s="25">
        <f t="shared" si="245"/>
        <v>0.244248708163044</v>
      </c>
      <c r="S119" s="25">
        <f t="shared" si="246"/>
        <v>0.26706335238086876</v>
      </c>
      <c r="T119" s="25">
        <f t="shared" si="247"/>
        <v>0.27495696832014382</v>
      </c>
      <c r="U119" s="25">
        <f t="shared" si="248"/>
        <v>0.29762510316929158</v>
      </c>
      <c r="V119" s="25">
        <f t="shared" si="249"/>
        <v>0.25541627247761256</v>
      </c>
      <c r="W119" s="25">
        <f t="shared" si="250"/>
        <v>0.19572008584507317</v>
      </c>
      <c r="X119" s="36"/>
      <c r="Y119" s="36"/>
      <c r="AA119" s="124">
        <f t="shared" si="321"/>
        <v>76</v>
      </c>
      <c r="AB119" s="128">
        <f t="shared" si="251"/>
        <v>119858.8943501192</v>
      </c>
      <c r="AC119" s="124">
        <f t="shared" si="322"/>
        <v>76</v>
      </c>
      <c r="AD119" s="130">
        <f t="shared" si="323"/>
        <v>4.4999999999999998E-2</v>
      </c>
      <c r="AE119" s="127">
        <f t="shared" si="324"/>
        <v>1277</v>
      </c>
      <c r="AF119" s="128">
        <f t="shared" si="325"/>
        <v>127577</v>
      </c>
      <c r="AG119" s="128">
        <f t="shared" si="348"/>
        <v>127700</v>
      </c>
      <c r="AH119" s="128">
        <f t="shared" si="357"/>
        <v>127700</v>
      </c>
      <c r="AI119" s="130">
        <f t="shared" si="252"/>
        <v>4.4999999999999998E-2</v>
      </c>
      <c r="AJ119" s="128">
        <f t="shared" si="253"/>
        <v>128178.87499999999</v>
      </c>
      <c r="AK119" s="128" t="str">
        <f t="shared" si="254"/>
        <v>nie</v>
      </c>
      <c r="AL119" s="128">
        <f t="shared" si="255"/>
        <v>638.5</v>
      </c>
      <c r="AM119" s="128">
        <f t="shared" si="150"/>
        <v>127570.70374999999</v>
      </c>
      <c r="AN119" s="128">
        <f t="shared" si="256"/>
        <v>387.88874999998825</v>
      </c>
      <c r="AO119" s="130">
        <f t="shared" si="257"/>
        <v>4.4999999999999998E-2</v>
      </c>
      <c r="AP119" s="128">
        <f t="shared" si="258"/>
        <v>1628.6858260884856</v>
      </c>
      <c r="AQ119" s="128">
        <f t="shared" si="156"/>
        <v>128811.50082608848</v>
      </c>
      <c r="AS119" s="124">
        <f t="shared" si="327"/>
        <v>76</v>
      </c>
      <c r="AT119" s="130">
        <f t="shared" si="328"/>
        <v>4.4999999999999998E-2</v>
      </c>
      <c r="AU119" s="127">
        <f t="shared" si="329"/>
        <v>1269</v>
      </c>
      <c r="AV119" s="128">
        <f t="shared" si="330"/>
        <v>126782.40000000001</v>
      </c>
      <c r="AW119" s="128">
        <f t="shared" si="151"/>
        <v>126900</v>
      </c>
      <c r="AX119" s="128">
        <f t="shared" si="358"/>
        <v>126900</v>
      </c>
      <c r="AY119" s="130">
        <f t="shared" si="259"/>
        <v>4.65E-2</v>
      </c>
      <c r="AZ119" s="128">
        <f t="shared" si="260"/>
        <v>127391.7375</v>
      </c>
      <c r="BA119" s="128" t="str">
        <f t="shared" si="261"/>
        <v>nie</v>
      </c>
      <c r="BB119" s="128">
        <f t="shared" si="262"/>
        <v>888.3</v>
      </c>
      <c r="BC119" s="128">
        <f t="shared" si="158"/>
        <v>126578.784375</v>
      </c>
      <c r="BD119" s="128">
        <f t="shared" si="263"/>
        <v>398.30737500000237</v>
      </c>
      <c r="BE119" s="130">
        <f t="shared" si="264"/>
        <v>4.4999999999999998E-2</v>
      </c>
      <c r="BF119" s="128">
        <f t="shared" si="265"/>
        <v>1628.357463799075</v>
      </c>
      <c r="BG119" s="128">
        <f t="shared" si="159"/>
        <v>127808.83446379908</v>
      </c>
      <c r="BI119" s="124">
        <f t="shared" si="332"/>
        <v>76</v>
      </c>
      <c r="BJ119" s="130">
        <f t="shared" si="354"/>
        <v>4.3200000000000002E-2</v>
      </c>
      <c r="BK119" s="127">
        <f t="shared" si="333"/>
        <v>1268</v>
      </c>
      <c r="BL119" s="128">
        <f t="shared" si="334"/>
        <v>126673.20000000001</v>
      </c>
      <c r="BM119" s="128">
        <f t="shared" si="349"/>
        <v>126800</v>
      </c>
      <c r="BN119" s="128">
        <f t="shared" si="335"/>
        <v>126800</v>
      </c>
      <c r="BO119" s="130">
        <f t="shared" si="266"/>
        <v>4.9000000000000002E-2</v>
      </c>
      <c r="BP119" s="128">
        <f t="shared" si="267"/>
        <v>128871.06666666667</v>
      </c>
      <c r="BQ119" s="128" t="str">
        <f t="shared" si="268"/>
        <v>nie</v>
      </c>
      <c r="BR119" s="128">
        <f t="shared" si="269"/>
        <v>1268</v>
      </c>
      <c r="BS119" s="128">
        <f t="shared" si="153"/>
        <v>127450.484</v>
      </c>
      <c r="BT119" s="128">
        <f t="shared" si="356"/>
        <v>0</v>
      </c>
      <c r="BU119" s="130">
        <f t="shared" si="270"/>
        <v>4.4999999999999998E-2</v>
      </c>
      <c r="BV119" s="128">
        <f t="shared" si="271"/>
        <v>15.984902586749479</v>
      </c>
      <c r="BW119" s="128">
        <f t="shared" si="243"/>
        <v>127466.46890258674</v>
      </c>
      <c r="BY119" s="130">
        <f t="shared" si="244"/>
        <v>2.9000000000000001E-2</v>
      </c>
      <c r="BZ119" s="127">
        <f t="shared" si="337"/>
        <v>1159</v>
      </c>
      <c r="CA119" s="128">
        <f t="shared" si="338"/>
        <v>115796.40000000001</v>
      </c>
      <c r="CB119" s="128">
        <f t="shared" si="154"/>
        <v>115900</v>
      </c>
      <c r="CC119" s="128">
        <f t="shared" si="359"/>
        <v>115900</v>
      </c>
      <c r="CD119" s="130">
        <f t="shared" si="272"/>
        <v>4.3999999999999997E-2</v>
      </c>
      <c r="CE119" s="128">
        <f t="shared" si="273"/>
        <v>117599.86666666665</v>
      </c>
      <c r="CF119" s="128" t="str">
        <f t="shared" si="274"/>
        <v>nie</v>
      </c>
      <c r="CG119" s="128">
        <f t="shared" si="275"/>
        <v>2318</v>
      </c>
      <c r="CH119" s="128">
        <f t="shared" si="160"/>
        <v>115399.31199999999</v>
      </c>
      <c r="CI119" s="128">
        <f t="shared" si="276"/>
        <v>0</v>
      </c>
      <c r="CJ119" s="130">
        <f t="shared" si="277"/>
        <v>4.4999999999999998E-2</v>
      </c>
      <c r="CK119" s="128">
        <f t="shared" si="278"/>
        <v>9398.2425285714289</v>
      </c>
      <c r="CL119" s="128">
        <f t="shared" si="279"/>
        <v>124797.55452857142</v>
      </c>
      <c r="CN119" s="127">
        <f t="shared" si="340"/>
        <v>1000</v>
      </c>
      <c r="CO119" s="128">
        <f t="shared" si="341"/>
        <v>100000</v>
      </c>
      <c r="CP119" s="128">
        <f t="shared" si="342"/>
        <v>100000</v>
      </c>
      <c r="CQ119" s="128">
        <f t="shared" si="343"/>
        <v>134325.29932778631</v>
      </c>
      <c r="CR119" s="130">
        <f t="shared" si="280"/>
        <v>4.9000000000000002E-2</v>
      </c>
      <c r="CS119" s="128">
        <f t="shared" si="281"/>
        <v>136519.27921680681</v>
      </c>
      <c r="CT119" s="128" t="str">
        <f t="shared" si="282"/>
        <v>nie</v>
      </c>
      <c r="CU119" s="128">
        <f t="shared" si="283"/>
        <v>3000</v>
      </c>
      <c r="CV119" s="128">
        <f t="shared" si="284"/>
        <v>127150.61616561352</v>
      </c>
      <c r="CW119" s="128">
        <f t="shared" si="285"/>
        <v>0</v>
      </c>
      <c r="CX119" s="130">
        <f t="shared" si="286"/>
        <v>4.4999999999999998E-2</v>
      </c>
      <c r="CY119" s="128">
        <f t="shared" si="287"/>
        <v>0</v>
      </c>
      <c r="CZ119" s="128">
        <f t="shared" si="288"/>
        <v>127150.61616561352</v>
      </c>
      <c r="DA119" s="20"/>
      <c r="DB119" s="127">
        <f t="shared" si="350"/>
        <v>1274</v>
      </c>
      <c r="DC119" s="128">
        <f t="shared" si="351"/>
        <v>127400</v>
      </c>
      <c r="DD119" s="128">
        <f t="shared" si="344"/>
        <v>127400</v>
      </c>
      <c r="DE119" s="128">
        <f t="shared" si="345"/>
        <v>127400</v>
      </c>
      <c r="DF119" s="130">
        <f t="shared" si="289"/>
        <v>5.45E-2</v>
      </c>
      <c r="DG119" s="128">
        <f t="shared" si="290"/>
        <v>129714.43333333333</v>
      </c>
      <c r="DH119" s="128" t="str">
        <f t="shared" si="291"/>
        <v>nie</v>
      </c>
      <c r="DI119" s="128">
        <f t="shared" si="292"/>
        <v>2314.4333333333343</v>
      </c>
      <c r="DJ119" s="128">
        <f t="shared" si="355"/>
        <v>127400</v>
      </c>
      <c r="DK119" s="128">
        <f t="shared" si="294"/>
        <v>0</v>
      </c>
      <c r="DL119" s="130">
        <f t="shared" si="295"/>
        <v>4.4999999999999998E-2</v>
      </c>
      <c r="DM119" s="128">
        <f t="shared" si="296"/>
        <v>95.987511141641093</v>
      </c>
      <c r="DN119" s="128">
        <f t="shared" si="297"/>
        <v>127495.98751114165</v>
      </c>
      <c r="DP119" s="127">
        <f t="shared" si="352"/>
        <v>1000</v>
      </c>
      <c r="DQ119" s="128">
        <f t="shared" si="353"/>
        <v>100000</v>
      </c>
      <c r="DR119" s="128">
        <f t="shared" si="346"/>
        <v>100000</v>
      </c>
      <c r="DS119" s="128">
        <f t="shared" si="347"/>
        <v>137882.42713117256</v>
      </c>
      <c r="DT119" s="130">
        <f t="shared" si="298"/>
        <v>5.4000000000000006E-2</v>
      </c>
      <c r="DU119" s="128">
        <f t="shared" si="299"/>
        <v>140364.31081953368</v>
      </c>
      <c r="DV119" s="128" t="str">
        <f t="shared" si="300"/>
        <v>nie</v>
      </c>
      <c r="DW119" s="128">
        <f t="shared" si="301"/>
        <v>3000</v>
      </c>
      <c r="DX119" s="128">
        <f t="shared" si="302"/>
        <v>130265.09176382229</v>
      </c>
      <c r="DY119" s="128">
        <f t="shared" si="303"/>
        <v>0</v>
      </c>
      <c r="DZ119" s="130">
        <f t="shared" si="304"/>
        <v>4.4999999999999998E-2</v>
      </c>
      <c r="EA119" s="128">
        <f t="shared" si="305"/>
        <v>0</v>
      </c>
      <c r="EB119" s="128">
        <f t="shared" si="306"/>
        <v>130265.09176382229</v>
      </c>
    </row>
    <row r="120" spans="1:132">
      <c r="A120" s="212"/>
      <c r="B120" s="188">
        <f t="shared" si="307"/>
        <v>76</v>
      </c>
      <c r="C120" s="128">
        <f t="shared" si="308"/>
        <v>128811.50082608848</v>
      </c>
      <c r="D120" s="128">
        <f t="shared" si="309"/>
        <v>127808.83446379908</v>
      </c>
      <c r="E120" s="128">
        <f t="shared" si="310"/>
        <v>127466.46890258674</v>
      </c>
      <c r="F120" s="128">
        <f t="shared" si="311"/>
        <v>124797.55452857142</v>
      </c>
      <c r="G120" s="128">
        <f t="shared" si="312"/>
        <v>127150.61616561352</v>
      </c>
      <c r="H120" s="128">
        <f t="shared" si="313"/>
        <v>127495.98751114165</v>
      </c>
      <c r="I120" s="128">
        <f t="shared" si="314"/>
        <v>130265.09176382229</v>
      </c>
      <c r="J120" s="128">
        <f t="shared" si="315"/>
        <v>125922.95994052633</v>
      </c>
      <c r="K120" s="128">
        <f t="shared" si="316"/>
        <v>119858.8943501192</v>
      </c>
      <c r="M120" s="36"/>
      <c r="N120" s="32">
        <f t="shared" si="317"/>
        <v>76</v>
      </c>
      <c r="O120" s="25">
        <f t="shared" si="318"/>
        <v>0.28811500826088476</v>
      </c>
      <c r="P120" s="25">
        <f t="shared" si="319"/>
        <v>0.2780883446379907</v>
      </c>
      <c r="Q120" s="25">
        <f t="shared" si="320"/>
        <v>0.27466468902586749</v>
      </c>
      <c r="R120" s="25">
        <f t="shared" si="245"/>
        <v>0.24797554528571419</v>
      </c>
      <c r="S120" s="25">
        <f t="shared" si="246"/>
        <v>0.27150616165613517</v>
      </c>
      <c r="T120" s="25">
        <f t="shared" si="247"/>
        <v>0.2749598751114164</v>
      </c>
      <c r="U120" s="25">
        <f t="shared" si="248"/>
        <v>0.30265091763822283</v>
      </c>
      <c r="V120" s="25">
        <f t="shared" si="249"/>
        <v>0.25922959940526336</v>
      </c>
      <c r="W120" s="25">
        <f t="shared" si="250"/>
        <v>0.19858894350119205</v>
      </c>
      <c r="X120" s="36"/>
      <c r="Y120" s="36"/>
      <c r="AA120" s="124">
        <f t="shared" si="321"/>
        <v>77</v>
      </c>
      <c r="AB120" s="128">
        <f t="shared" si="251"/>
        <v>120145.78011573108</v>
      </c>
      <c r="AC120" s="124">
        <f t="shared" si="322"/>
        <v>77</v>
      </c>
      <c r="AD120" s="130">
        <f t="shared" si="323"/>
        <v>4.4999999999999998E-2</v>
      </c>
      <c r="AE120" s="127">
        <f t="shared" si="324"/>
        <v>1277</v>
      </c>
      <c r="AF120" s="128">
        <f t="shared" si="325"/>
        <v>127577</v>
      </c>
      <c r="AG120" s="128">
        <f t="shared" si="348"/>
        <v>127700</v>
      </c>
      <c r="AH120" s="128">
        <f t="shared" si="357"/>
        <v>127700</v>
      </c>
      <c r="AI120" s="130">
        <f t="shared" si="252"/>
        <v>4.4999999999999998E-2</v>
      </c>
      <c r="AJ120" s="128">
        <f t="shared" si="253"/>
        <v>128178.87499999999</v>
      </c>
      <c r="AK120" s="128" t="str">
        <f t="shared" si="254"/>
        <v>nie</v>
      </c>
      <c r="AL120" s="128">
        <f t="shared" si="255"/>
        <v>638.5</v>
      </c>
      <c r="AM120" s="128">
        <f t="shared" si="150"/>
        <v>127570.70374999999</v>
      </c>
      <c r="AN120" s="128">
        <f t="shared" si="256"/>
        <v>387.88874999998825</v>
      </c>
      <c r="AO120" s="130">
        <f t="shared" si="257"/>
        <v>4.4999999999999998E-2</v>
      </c>
      <c r="AP120" s="128">
        <f t="shared" si="258"/>
        <v>2021.5217092852176</v>
      </c>
      <c r="AQ120" s="128">
        <f t="shared" si="156"/>
        <v>129204.33670928521</v>
      </c>
      <c r="AS120" s="124">
        <f t="shared" si="327"/>
        <v>77</v>
      </c>
      <c r="AT120" s="130">
        <f t="shared" si="328"/>
        <v>4.4999999999999998E-2</v>
      </c>
      <c r="AU120" s="127">
        <f t="shared" si="329"/>
        <v>1269</v>
      </c>
      <c r="AV120" s="128">
        <f t="shared" si="330"/>
        <v>126782.40000000001</v>
      </c>
      <c r="AW120" s="128">
        <f t="shared" si="151"/>
        <v>126900</v>
      </c>
      <c r="AX120" s="128">
        <f t="shared" si="358"/>
        <v>126900</v>
      </c>
      <c r="AY120" s="130">
        <f t="shared" si="259"/>
        <v>4.65E-2</v>
      </c>
      <c r="AZ120" s="128">
        <f t="shared" si="260"/>
        <v>127391.7375</v>
      </c>
      <c r="BA120" s="128" t="str">
        <f t="shared" si="261"/>
        <v>nie</v>
      </c>
      <c r="BB120" s="128">
        <f t="shared" si="262"/>
        <v>888.3</v>
      </c>
      <c r="BC120" s="128">
        <f t="shared" si="158"/>
        <v>126578.784375</v>
      </c>
      <c r="BD120" s="128">
        <f t="shared" si="263"/>
        <v>398.30737500000237</v>
      </c>
      <c r="BE120" s="130">
        <f t="shared" si="264"/>
        <v>4.4999999999999998E-2</v>
      </c>
      <c r="BF120" s="128">
        <f t="shared" si="265"/>
        <v>2031.6109745953672</v>
      </c>
      <c r="BG120" s="128">
        <f t="shared" si="159"/>
        <v>128212.08797459537</v>
      </c>
      <c r="BI120" s="124">
        <f t="shared" si="332"/>
        <v>77</v>
      </c>
      <c r="BJ120" s="130">
        <f t="shared" si="354"/>
        <v>4.3200000000000002E-2</v>
      </c>
      <c r="BK120" s="127">
        <f t="shared" si="333"/>
        <v>1268</v>
      </c>
      <c r="BL120" s="128">
        <f t="shared" si="334"/>
        <v>126673.20000000001</v>
      </c>
      <c r="BM120" s="128">
        <f t="shared" si="349"/>
        <v>126800</v>
      </c>
      <c r="BN120" s="128">
        <f t="shared" si="335"/>
        <v>126800</v>
      </c>
      <c r="BO120" s="130">
        <f t="shared" si="266"/>
        <v>4.9000000000000002E-2</v>
      </c>
      <c r="BP120" s="128">
        <f t="shared" si="267"/>
        <v>129388.83333333334</v>
      </c>
      <c r="BQ120" s="128" t="str">
        <f t="shared" si="268"/>
        <v>nie</v>
      </c>
      <c r="BR120" s="128">
        <f t="shared" si="269"/>
        <v>1268</v>
      </c>
      <c r="BS120" s="128">
        <f t="shared" si="153"/>
        <v>127869.87500000001</v>
      </c>
      <c r="BT120" s="128">
        <f t="shared" si="356"/>
        <v>0</v>
      </c>
      <c r="BU120" s="130">
        <f t="shared" si="270"/>
        <v>4.4999999999999998E-2</v>
      </c>
      <c r="BV120" s="128">
        <f t="shared" si="271"/>
        <v>16.033456728356732</v>
      </c>
      <c r="BW120" s="128">
        <f t="shared" si="243"/>
        <v>127885.90845672837</v>
      </c>
      <c r="BY120" s="130">
        <f t="shared" ref="BY120:BY151" si="360">MAX(INDEX(scenariusz_I_inflacja,MATCH(ROUNDUP(AA120/12,0)-1,scenariusz_I_rok,0)),0)</f>
        <v>2.9000000000000001E-2</v>
      </c>
      <c r="BZ120" s="127">
        <f t="shared" si="337"/>
        <v>1159</v>
      </c>
      <c r="CA120" s="128">
        <f t="shared" si="338"/>
        <v>115796.40000000001</v>
      </c>
      <c r="CB120" s="128">
        <f t="shared" si="154"/>
        <v>115900</v>
      </c>
      <c r="CC120" s="128">
        <f t="shared" si="359"/>
        <v>115900</v>
      </c>
      <c r="CD120" s="130">
        <f t="shared" si="272"/>
        <v>4.3999999999999997E-2</v>
      </c>
      <c r="CE120" s="128">
        <f t="shared" si="273"/>
        <v>118024.83333333333</v>
      </c>
      <c r="CF120" s="128" t="str">
        <f t="shared" si="274"/>
        <v>nie</v>
      </c>
      <c r="CG120" s="128">
        <f t="shared" si="275"/>
        <v>2318</v>
      </c>
      <c r="CH120" s="128">
        <f t="shared" si="160"/>
        <v>115743.53499999999</v>
      </c>
      <c r="CI120" s="128">
        <f t="shared" si="276"/>
        <v>0</v>
      </c>
      <c r="CJ120" s="130">
        <f t="shared" si="277"/>
        <v>4.4999999999999998E-2</v>
      </c>
      <c r="CK120" s="128">
        <f t="shared" si="278"/>
        <v>9426.7896902519642</v>
      </c>
      <c r="CL120" s="128">
        <f t="shared" si="279"/>
        <v>125170.32469025196</v>
      </c>
      <c r="CN120" s="127">
        <f t="shared" si="340"/>
        <v>1000</v>
      </c>
      <c r="CO120" s="128">
        <f t="shared" si="341"/>
        <v>100000</v>
      </c>
      <c r="CP120" s="128">
        <f t="shared" si="342"/>
        <v>100000</v>
      </c>
      <c r="CQ120" s="128">
        <f t="shared" si="343"/>
        <v>134325.29932778631</v>
      </c>
      <c r="CR120" s="130">
        <f t="shared" si="280"/>
        <v>4.9000000000000002E-2</v>
      </c>
      <c r="CS120" s="128">
        <f t="shared" si="281"/>
        <v>137067.77418906195</v>
      </c>
      <c r="CT120" s="128" t="str">
        <f t="shared" si="282"/>
        <v>nie</v>
      </c>
      <c r="CU120" s="128">
        <f t="shared" si="283"/>
        <v>3000</v>
      </c>
      <c r="CV120" s="128">
        <f t="shared" si="284"/>
        <v>127594.89709314019</v>
      </c>
      <c r="CW120" s="128">
        <f t="shared" si="285"/>
        <v>0</v>
      </c>
      <c r="CX120" s="130">
        <f t="shared" si="286"/>
        <v>4.4999999999999998E-2</v>
      </c>
      <c r="CY120" s="128">
        <f t="shared" si="287"/>
        <v>0</v>
      </c>
      <c r="CZ120" s="128">
        <f t="shared" si="288"/>
        <v>127594.89709314019</v>
      </c>
      <c r="DA120" s="20"/>
      <c r="DB120" s="127">
        <f t="shared" si="350"/>
        <v>1274</v>
      </c>
      <c r="DC120" s="128">
        <f t="shared" si="351"/>
        <v>127400</v>
      </c>
      <c r="DD120" s="128">
        <f t="shared" si="344"/>
        <v>127400</v>
      </c>
      <c r="DE120" s="128">
        <f t="shared" si="345"/>
        <v>127400</v>
      </c>
      <c r="DF120" s="130">
        <f t="shared" si="289"/>
        <v>5.45E-2</v>
      </c>
      <c r="DG120" s="128">
        <f t="shared" si="290"/>
        <v>130293.04166666667</v>
      </c>
      <c r="DH120" s="128" t="str">
        <f t="shared" si="291"/>
        <v>nie</v>
      </c>
      <c r="DI120" s="128">
        <f t="shared" si="292"/>
        <v>2548</v>
      </c>
      <c r="DJ120" s="128">
        <f t="shared" si="355"/>
        <v>127679.48375</v>
      </c>
      <c r="DK120" s="128">
        <f t="shared" si="294"/>
        <v>0</v>
      </c>
      <c r="DL120" s="130">
        <f t="shared" si="295"/>
        <v>4.4999999999999998E-2</v>
      </c>
      <c r="DM120" s="128">
        <f t="shared" si="296"/>
        <v>96.279073206733827</v>
      </c>
      <c r="DN120" s="128">
        <f t="shared" si="297"/>
        <v>127775.76282320674</v>
      </c>
      <c r="DP120" s="127">
        <f t="shared" si="352"/>
        <v>1000</v>
      </c>
      <c r="DQ120" s="128">
        <f t="shared" si="353"/>
        <v>100000</v>
      </c>
      <c r="DR120" s="128">
        <f t="shared" si="346"/>
        <v>100000</v>
      </c>
      <c r="DS120" s="128">
        <f t="shared" si="347"/>
        <v>137882.42713117256</v>
      </c>
      <c r="DT120" s="130">
        <f t="shared" si="298"/>
        <v>5.4000000000000006E-2</v>
      </c>
      <c r="DU120" s="128">
        <f t="shared" si="299"/>
        <v>140984.78174162394</v>
      </c>
      <c r="DV120" s="128" t="str">
        <f t="shared" si="300"/>
        <v>nie</v>
      </c>
      <c r="DW120" s="128">
        <f t="shared" si="301"/>
        <v>3000</v>
      </c>
      <c r="DX120" s="128">
        <f t="shared" si="302"/>
        <v>130767.67321071539</v>
      </c>
      <c r="DY120" s="128">
        <f t="shared" si="303"/>
        <v>0</v>
      </c>
      <c r="DZ120" s="130">
        <f t="shared" si="304"/>
        <v>4.4999999999999998E-2</v>
      </c>
      <c r="EA120" s="128">
        <f t="shared" si="305"/>
        <v>0</v>
      </c>
      <c r="EB120" s="128">
        <f t="shared" si="306"/>
        <v>130767.67321071539</v>
      </c>
    </row>
    <row r="121" spans="1:132">
      <c r="A121" s="212"/>
      <c r="B121" s="188">
        <f t="shared" si="307"/>
        <v>77</v>
      </c>
      <c r="C121" s="128">
        <f t="shared" si="308"/>
        <v>129204.33670928521</v>
      </c>
      <c r="D121" s="128">
        <f t="shared" si="309"/>
        <v>128212.08797459537</v>
      </c>
      <c r="E121" s="128">
        <f t="shared" si="310"/>
        <v>127885.90845672837</v>
      </c>
      <c r="F121" s="128">
        <f t="shared" si="311"/>
        <v>125170.32469025196</v>
      </c>
      <c r="G121" s="128">
        <f t="shared" si="312"/>
        <v>127594.89709314019</v>
      </c>
      <c r="H121" s="128">
        <f t="shared" si="313"/>
        <v>127775.76282320674</v>
      </c>
      <c r="I121" s="128">
        <f t="shared" si="314"/>
        <v>130767.67321071539</v>
      </c>
      <c r="J121" s="128">
        <f t="shared" si="315"/>
        <v>126305.45093134568</v>
      </c>
      <c r="K121" s="128">
        <f t="shared" si="316"/>
        <v>120145.78011573108</v>
      </c>
      <c r="M121" s="36"/>
      <c r="N121" s="32">
        <f t="shared" si="317"/>
        <v>77</v>
      </c>
      <c r="O121" s="25">
        <f t="shared" si="318"/>
        <v>0.29204336709285217</v>
      </c>
      <c r="P121" s="25">
        <f t="shared" si="319"/>
        <v>0.28212087974595379</v>
      </c>
      <c r="Q121" s="25">
        <f t="shared" si="320"/>
        <v>0.27885908456728381</v>
      </c>
      <c r="R121" s="25">
        <f t="shared" si="245"/>
        <v>0.25170324690251955</v>
      </c>
      <c r="S121" s="25">
        <f t="shared" si="246"/>
        <v>0.2759489709314018</v>
      </c>
      <c r="T121" s="25">
        <f t="shared" si="247"/>
        <v>0.27775762823206729</v>
      </c>
      <c r="U121" s="25">
        <f t="shared" si="248"/>
        <v>0.30767673210715385</v>
      </c>
      <c r="V121" s="25">
        <f t="shared" si="249"/>
        <v>0.26305450931345686</v>
      </c>
      <c r="W121" s="25">
        <f t="shared" si="250"/>
        <v>0.20145780115731071</v>
      </c>
      <c r="X121" s="36"/>
      <c r="Y121" s="36"/>
      <c r="AA121" s="124">
        <f t="shared" si="321"/>
        <v>78</v>
      </c>
      <c r="AB121" s="128">
        <f t="shared" si="251"/>
        <v>120432.66588134294</v>
      </c>
      <c r="AC121" s="124">
        <f t="shared" si="322"/>
        <v>78</v>
      </c>
      <c r="AD121" s="130">
        <f t="shared" si="323"/>
        <v>4.4999999999999998E-2</v>
      </c>
      <c r="AE121" s="127">
        <f t="shared" si="324"/>
        <v>1277</v>
      </c>
      <c r="AF121" s="128">
        <f t="shared" si="325"/>
        <v>127577</v>
      </c>
      <c r="AG121" s="128">
        <f t="shared" si="348"/>
        <v>127700</v>
      </c>
      <c r="AH121" s="128">
        <f t="shared" si="357"/>
        <v>127700</v>
      </c>
      <c r="AI121" s="130">
        <f t="shared" si="252"/>
        <v>4.4999999999999998E-2</v>
      </c>
      <c r="AJ121" s="128">
        <f t="shared" si="253"/>
        <v>128178.87499999999</v>
      </c>
      <c r="AK121" s="128" t="str">
        <f t="shared" si="254"/>
        <v>nie</v>
      </c>
      <c r="AL121" s="128">
        <f t="shared" si="255"/>
        <v>638.5</v>
      </c>
      <c r="AM121" s="128">
        <f t="shared" ref="AM121:AM184" si="361">AJ121-AL121
-(AJ121-AG121-AL121)*podatek_Belki</f>
        <v>127570.70374999999</v>
      </c>
      <c r="AN121" s="128">
        <f t="shared" si="256"/>
        <v>387.88874999998825</v>
      </c>
      <c r="AO121" s="130">
        <f t="shared" si="257"/>
        <v>4.4999999999999998E-2</v>
      </c>
      <c r="AP121" s="128">
        <f t="shared" si="258"/>
        <v>2415.5508314771596</v>
      </c>
      <c r="AQ121" s="128">
        <f t="shared" ref="AQ121:AQ184" si="362">AP120*(1+AO121/12*(1-podatek_Belki))+AM121</f>
        <v>129598.36583147716</v>
      </c>
      <c r="AS121" s="124">
        <f t="shared" si="327"/>
        <v>78</v>
      </c>
      <c r="AT121" s="130">
        <f t="shared" si="328"/>
        <v>4.4999999999999998E-2</v>
      </c>
      <c r="AU121" s="127">
        <f t="shared" si="329"/>
        <v>1269</v>
      </c>
      <c r="AV121" s="128">
        <f t="shared" si="330"/>
        <v>126782.40000000001</v>
      </c>
      <c r="AW121" s="128">
        <f t="shared" ref="AW121:AW184" si="363">IF(BA120="tak",
AU121*100,
AW120)</f>
        <v>126900</v>
      </c>
      <c r="AX121" s="128">
        <f t="shared" si="358"/>
        <v>126900</v>
      </c>
      <c r="AY121" s="130">
        <f t="shared" si="259"/>
        <v>4.65E-2</v>
      </c>
      <c r="AZ121" s="128">
        <f t="shared" si="260"/>
        <v>127391.7375</v>
      </c>
      <c r="BA121" s="128" t="str">
        <f t="shared" si="261"/>
        <v>nie</v>
      </c>
      <c r="BB121" s="128">
        <f t="shared" si="262"/>
        <v>888.3</v>
      </c>
      <c r="BC121" s="128">
        <f t="shared" si="158"/>
        <v>126578.784375</v>
      </c>
      <c r="BD121" s="128">
        <f t="shared" si="263"/>
        <v>398.30737500000237</v>
      </c>
      <c r="BE121" s="130">
        <f t="shared" si="264"/>
        <v>4.4999999999999998E-2</v>
      </c>
      <c r="BF121" s="128">
        <f t="shared" si="265"/>
        <v>2436.0893679307028</v>
      </c>
      <c r="BG121" s="128">
        <f t="shared" si="159"/>
        <v>128616.5663679307</v>
      </c>
      <c r="BI121" s="124">
        <f t="shared" si="332"/>
        <v>78</v>
      </c>
      <c r="BJ121" s="130">
        <f t="shared" si="354"/>
        <v>4.3200000000000002E-2</v>
      </c>
      <c r="BK121" s="127">
        <f t="shared" si="333"/>
        <v>1268</v>
      </c>
      <c r="BL121" s="128">
        <f t="shared" si="334"/>
        <v>126673.20000000001</v>
      </c>
      <c r="BM121" s="128">
        <f t="shared" si="349"/>
        <v>126800</v>
      </c>
      <c r="BN121" s="128">
        <f t="shared" si="335"/>
        <v>126800</v>
      </c>
      <c r="BO121" s="130">
        <f t="shared" si="266"/>
        <v>4.9000000000000002E-2</v>
      </c>
      <c r="BP121" s="128">
        <f t="shared" si="267"/>
        <v>129906.59999999999</v>
      </c>
      <c r="BQ121" s="128" t="str">
        <f t="shared" si="268"/>
        <v>nie</v>
      </c>
      <c r="BR121" s="128">
        <f t="shared" si="269"/>
        <v>1268</v>
      </c>
      <c r="BS121" s="128">
        <f t="shared" ref="BS121:BS184" si="364">BP121-BR121
-(BP121-BM121-BR121)*podatek_Belki</f>
        <v>128289.26599999999</v>
      </c>
      <c r="BT121" s="128">
        <f t="shared" si="356"/>
        <v>0</v>
      </c>
      <c r="BU121" s="130">
        <f t="shared" si="270"/>
        <v>4.4999999999999998E-2</v>
      </c>
      <c r="BV121" s="128">
        <f t="shared" si="271"/>
        <v>16.082158353169117</v>
      </c>
      <c r="BW121" s="128">
        <f t="shared" ref="BW121:BW184" si="365">BV120*(1+BU121/12*(1-podatek_Belki))+BS121</f>
        <v>128305.34815835315</v>
      </c>
      <c r="BY121" s="130">
        <f t="shared" si="360"/>
        <v>2.9000000000000001E-2</v>
      </c>
      <c r="BZ121" s="127">
        <f t="shared" si="337"/>
        <v>1159</v>
      </c>
      <c r="CA121" s="128">
        <f t="shared" si="338"/>
        <v>115796.40000000001</v>
      </c>
      <c r="CB121" s="128">
        <f t="shared" ref="CB121:CB184" si="366">IF(CF120="tak",
BZ121*100,
CB120)</f>
        <v>115900</v>
      </c>
      <c r="CC121" s="128">
        <f t="shared" si="359"/>
        <v>115900</v>
      </c>
      <c r="CD121" s="130">
        <f t="shared" si="272"/>
        <v>4.3999999999999997E-2</v>
      </c>
      <c r="CE121" s="128">
        <f t="shared" si="273"/>
        <v>118449.8</v>
      </c>
      <c r="CF121" s="128" t="str">
        <f t="shared" si="274"/>
        <v>nie</v>
      </c>
      <c r="CG121" s="128">
        <f t="shared" si="275"/>
        <v>2318</v>
      </c>
      <c r="CH121" s="128">
        <f t="shared" si="160"/>
        <v>116087.758</v>
      </c>
      <c r="CI121" s="128">
        <f t="shared" si="276"/>
        <v>0</v>
      </c>
      <c r="CJ121" s="130">
        <f t="shared" si="277"/>
        <v>4.4999999999999998E-2</v>
      </c>
      <c r="CK121" s="128">
        <f t="shared" si="278"/>
        <v>9455.423563936105</v>
      </c>
      <c r="CL121" s="128">
        <f t="shared" si="279"/>
        <v>125543.1815639361</v>
      </c>
      <c r="CN121" s="127">
        <f t="shared" si="340"/>
        <v>1000</v>
      </c>
      <c r="CO121" s="128">
        <f t="shared" si="341"/>
        <v>100000</v>
      </c>
      <c r="CP121" s="128">
        <f t="shared" si="342"/>
        <v>100000</v>
      </c>
      <c r="CQ121" s="128">
        <f t="shared" si="343"/>
        <v>134325.29932778631</v>
      </c>
      <c r="CR121" s="130">
        <f t="shared" si="280"/>
        <v>4.9000000000000002E-2</v>
      </c>
      <c r="CS121" s="128">
        <f t="shared" si="281"/>
        <v>137616.26916131706</v>
      </c>
      <c r="CT121" s="128" t="str">
        <f t="shared" si="282"/>
        <v>nie</v>
      </c>
      <c r="CU121" s="128">
        <f t="shared" si="283"/>
        <v>3000</v>
      </c>
      <c r="CV121" s="128">
        <f t="shared" si="284"/>
        <v>128039.17802066682</v>
      </c>
      <c r="CW121" s="128">
        <f t="shared" si="285"/>
        <v>0</v>
      </c>
      <c r="CX121" s="130">
        <f t="shared" si="286"/>
        <v>4.4999999999999998E-2</v>
      </c>
      <c r="CY121" s="128">
        <f t="shared" si="287"/>
        <v>0</v>
      </c>
      <c r="CZ121" s="128">
        <f t="shared" si="288"/>
        <v>128039.17802066682</v>
      </c>
      <c r="DA121" s="20"/>
      <c r="DB121" s="127">
        <f t="shared" si="350"/>
        <v>1274</v>
      </c>
      <c r="DC121" s="128">
        <f t="shared" si="351"/>
        <v>127400</v>
      </c>
      <c r="DD121" s="128">
        <f t="shared" si="344"/>
        <v>127400</v>
      </c>
      <c r="DE121" s="128">
        <f t="shared" si="345"/>
        <v>127400</v>
      </c>
      <c r="DF121" s="130">
        <f t="shared" si="289"/>
        <v>5.45E-2</v>
      </c>
      <c r="DG121" s="128">
        <f t="shared" si="290"/>
        <v>130871.65</v>
      </c>
      <c r="DH121" s="128" t="str">
        <f t="shared" si="291"/>
        <v>nie</v>
      </c>
      <c r="DI121" s="128">
        <f t="shared" si="292"/>
        <v>2548</v>
      </c>
      <c r="DJ121" s="128">
        <f t="shared" si="355"/>
        <v>128148.1565</v>
      </c>
      <c r="DK121" s="128">
        <f t="shared" si="294"/>
        <v>0</v>
      </c>
      <c r="DL121" s="130">
        <f t="shared" si="295"/>
        <v>4.4999999999999998E-2</v>
      </c>
      <c r="DM121" s="128">
        <f t="shared" si="296"/>
        <v>96.571520891599278</v>
      </c>
      <c r="DN121" s="128">
        <f t="shared" si="297"/>
        <v>128244.72802089159</v>
      </c>
      <c r="DP121" s="127">
        <f t="shared" si="352"/>
        <v>1000</v>
      </c>
      <c r="DQ121" s="128">
        <f t="shared" si="353"/>
        <v>100000</v>
      </c>
      <c r="DR121" s="128">
        <f t="shared" si="346"/>
        <v>100000</v>
      </c>
      <c r="DS121" s="128">
        <f t="shared" si="347"/>
        <v>137882.42713117256</v>
      </c>
      <c r="DT121" s="130">
        <f t="shared" si="298"/>
        <v>5.4000000000000006E-2</v>
      </c>
      <c r="DU121" s="128">
        <f t="shared" si="299"/>
        <v>141605.2526637142</v>
      </c>
      <c r="DV121" s="128" t="str">
        <f t="shared" si="300"/>
        <v>nie</v>
      </c>
      <c r="DW121" s="128">
        <f t="shared" si="301"/>
        <v>3000</v>
      </c>
      <c r="DX121" s="128">
        <f t="shared" si="302"/>
        <v>131270.25465760852</v>
      </c>
      <c r="DY121" s="128">
        <f t="shared" si="303"/>
        <v>0</v>
      </c>
      <c r="DZ121" s="130">
        <f t="shared" si="304"/>
        <v>4.4999999999999998E-2</v>
      </c>
      <c r="EA121" s="128">
        <f t="shared" si="305"/>
        <v>0</v>
      </c>
      <c r="EB121" s="128">
        <f t="shared" si="306"/>
        <v>131270.25465760852</v>
      </c>
    </row>
    <row r="122" spans="1:132">
      <c r="A122" s="212"/>
      <c r="B122" s="188">
        <f t="shared" si="307"/>
        <v>78</v>
      </c>
      <c r="C122" s="128">
        <f t="shared" si="308"/>
        <v>129598.36583147716</v>
      </c>
      <c r="D122" s="128">
        <f t="shared" si="309"/>
        <v>128616.5663679307</v>
      </c>
      <c r="E122" s="128">
        <f t="shared" si="310"/>
        <v>128305.34815835315</v>
      </c>
      <c r="F122" s="128">
        <f t="shared" si="311"/>
        <v>125543.1815639361</v>
      </c>
      <c r="G122" s="128">
        <f t="shared" si="312"/>
        <v>128039.17802066682</v>
      </c>
      <c r="H122" s="128">
        <f t="shared" si="313"/>
        <v>128244.72802089159</v>
      </c>
      <c r="I122" s="128">
        <f t="shared" si="314"/>
        <v>131270.25465760852</v>
      </c>
      <c r="J122" s="128">
        <f t="shared" si="315"/>
        <v>126689.10373854965</v>
      </c>
      <c r="K122" s="128">
        <f t="shared" si="316"/>
        <v>120432.66588134294</v>
      </c>
      <c r="M122" s="36"/>
      <c r="N122" s="32">
        <f t="shared" si="317"/>
        <v>78</v>
      </c>
      <c r="O122" s="25">
        <f t="shared" si="318"/>
        <v>0.29598365831477169</v>
      </c>
      <c r="P122" s="25">
        <f t="shared" si="319"/>
        <v>0.28616566367930707</v>
      </c>
      <c r="Q122" s="25">
        <f t="shared" si="320"/>
        <v>0.2830534815835315</v>
      </c>
      <c r="R122" s="25">
        <f t="shared" si="245"/>
        <v>0.2554318156393609</v>
      </c>
      <c r="S122" s="25">
        <f t="shared" si="246"/>
        <v>0.28039178020666822</v>
      </c>
      <c r="T122" s="25">
        <f t="shared" si="247"/>
        <v>0.28244728020891596</v>
      </c>
      <c r="U122" s="25">
        <f t="shared" si="248"/>
        <v>0.31270254657608509</v>
      </c>
      <c r="V122" s="25">
        <f t="shared" si="249"/>
        <v>0.26689103738549647</v>
      </c>
      <c r="W122" s="25">
        <f t="shared" si="250"/>
        <v>0.20432665881342937</v>
      </c>
      <c r="X122" s="36"/>
      <c r="Y122" s="36"/>
      <c r="AA122" s="124">
        <f t="shared" si="321"/>
        <v>79</v>
      </c>
      <c r="AB122" s="128">
        <f t="shared" si="251"/>
        <v>120719.55164695482</v>
      </c>
      <c r="AC122" s="124">
        <f t="shared" si="322"/>
        <v>79</v>
      </c>
      <c r="AD122" s="130">
        <f t="shared" si="323"/>
        <v>4.4999999999999998E-2</v>
      </c>
      <c r="AE122" s="127">
        <f t="shared" si="324"/>
        <v>1277</v>
      </c>
      <c r="AF122" s="128">
        <f t="shared" si="325"/>
        <v>127577</v>
      </c>
      <c r="AG122" s="128">
        <f t="shared" si="348"/>
        <v>127700</v>
      </c>
      <c r="AH122" s="128">
        <f t="shared" si="357"/>
        <v>127700</v>
      </c>
      <c r="AI122" s="130">
        <f t="shared" si="252"/>
        <v>4.4999999999999998E-2</v>
      </c>
      <c r="AJ122" s="128">
        <f t="shared" si="253"/>
        <v>128178.87499999999</v>
      </c>
      <c r="AK122" s="128" t="str">
        <f t="shared" si="254"/>
        <v>nie</v>
      </c>
      <c r="AL122" s="128">
        <f t="shared" si="255"/>
        <v>638.5</v>
      </c>
      <c r="AM122" s="128">
        <f t="shared" si="361"/>
        <v>127570.70374999999</v>
      </c>
      <c r="AN122" s="128">
        <f t="shared" si="256"/>
        <v>387.88874999998825</v>
      </c>
      <c r="AO122" s="130">
        <f t="shared" si="257"/>
        <v>4.4999999999999998E-2</v>
      </c>
      <c r="AP122" s="128">
        <f t="shared" si="258"/>
        <v>2810.7768171277598</v>
      </c>
      <c r="AQ122" s="128">
        <f t="shared" si="362"/>
        <v>129993.59181712776</v>
      </c>
      <c r="AS122" s="124">
        <f t="shared" si="327"/>
        <v>79</v>
      </c>
      <c r="AT122" s="130">
        <f t="shared" si="328"/>
        <v>4.4999999999999998E-2</v>
      </c>
      <c r="AU122" s="127">
        <f t="shared" si="329"/>
        <v>1269</v>
      </c>
      <c r="AV122" s="128">
        <f t="shared" si="330"/>
        <v>126782.40000000001</v>
      </c>
      <c r="AW122" s="128">
        <f t="shared" si="363"/>
        <v>126900</v>
      </c>
      <c r="AX122" s="128">
        <f t="shared" si="358"/>
        <v>126900</v>
      </c>
      <c r="AY122" s="130">
        <f t="shared" si="259"/>
        <v>4.65E-2</v>
      </c>
      <c r="AZ122" s="128">
        <f t="shared" si="260"/>
        <v>127391.7375</v>
      </c>
      <c r="BA122" s="128" t="str">
        <f t="shared" si="261"/>
        <v>nie</v>
      </c>
      <c r="BB122" s="128">
        <f t="shared" si="262"/>
        <v>888.3</v>
      </c>
      <c r="BC122" s="128">
        <f t="shared" si="158"/>
        <v>126578.784375</v>
      </c>
      <c r="BD122" s="128">
        <f t="shared" si="263"/>
        <v>398.30737500000237</v>
      </c>
      <c r="BE122" s="130">
        <f t="shared" si="264"/>
        <v>4.4999999999999998E-2</v>
      </c>
      <c r="BF122" s="128">
        <f t="shared" si="265"/>
        <v>2841.7963643857947</v>
      </c>
      <c r="BG122" s="128">
        <f t="shared" si="159"/>
        <v>129022.27336438579</v>
      </c>
      <c r="BI122" s="124">
        <f t="shared" si="332"/>
        <v>79</v>
      </c>
      <c r="BJ122" s="130">
        <f t="shared" si="354"/>
        <v>4.3200000000000002E-2</v>
      </c>
      <c r="BK122" s="127">
        <f t="shared" si="333"/>
        <v>1268</v>
      </c>
      <c r="BL122" s="128">
        <f t="shared" si="334"/>
        <v>126673.20000000001</v>
      </c>
      <c r="BM122" s="128">
        <f t="shared" si="349"/>
        <v>126800</v>
      </c>
      <c r="BN122" s="128">
        <f t="shared" si="335"/>
        <v>126800</v>
      </c>
      <c r="BO122" s="130">
        <f t="shared" si="266"/>
        <v>4.9000000000000002E-2</v>
      </c>
      <c r="BP122" s="128">
        <f t="shared" si="267"/>
        <v>130424.36666666667</v>
      </c>
      <c r="BQ122" s="128" t="str">
        <f t="shared" si="268"/>
        <v>nie</v>
      </c>
      <c r="BR122" s="128">
        <f t="shared" si="269"/>
        <v>1268</v>
      </c>
      <c r="BS122" s="128">
        <f t="shared" si="364"/>
        <v>128708.65700000001</v>
      </c>
      <c r="BT122" s="128">
        <f t="shared" si="356"/>
        <v>0</v>
      </c>
      <c r="BU122" s="130">
        <f t="shared" si="270"/>
        <v>4.4999999999999998E-2</v>
      </c>
      <c r="BV122" s="128">
        <f t="shared" si="271"/>
        <v>16.131007909166868</v>
      </c>
      <c r="BW122" s="128">
        <f t="shared" si="365"/>
        <v>128724.78800790917</v>
      </c>
      <c r="BY122" s="130">
        <f t="shared" si="360"/>
        <v>2.9000000000000001E-2</v>
      </c>
      <c r="BZ122" s="127">
        <f t="shared" si="337"/>
        <v>1159</v>
      </c>
      <c r="CA122" s="128">
        <f t="shared" si="338"/>
        <v>115796.40000000001</v>
      </c>
      <c r="CB122" s="128">
        <f t="shared" si="366"/>
        <v>115900</v>
      </c>
      <c r="CC122" s="128">
        <f t="shared" si="359"/>
        <v>115900</v>
      </c>
      <c r="CD122" s="130">
        <f t="shared" si="272"/>
        <v>4.3999999999999997E-2</v>
      </c>
      <c r="CE122" s="128">
        <f t="shared" si="273"/>
        <v>118874.76666666668</v>
      </c>
      <c r="CF122" s="128" t="str">
        <f t="shared" si="274"/>
        <v>nie</v>
      </c>
      <c r="CG122" s="128">
        <f t="shared" si="275"/>
        <v>2318</v>
      </c>
      <c r="CH122" s="128">
        <f t="shared" si="160"/>
        <v>116431.98100000001</v>
      </c>
      <c r="CI122" s="128">
        <f t="shared" si="276"/>
        <v>0</v>
      </c>
      <c r="CJ122" s="130">
        <f t="shared" si="277"/>
        <v>4.4999999999999998E-2</v>
      </c>
      <c r="CK122" s="128">
        <f t="shared" si="278"/>
        <v>9484.1444130115615</v>
      </c>
      <c r="CL122" s="128">
        <f t="shared" si="279"/>
        <v>125916.12541301157</v>
      </c>
      <c r="CN122" s="127">
        <f t="shared" si="340"/>
        <v>1000</v>
      </c>
      <c r="CO122" s="128">
        <f t="shared" si="341"/>
        <v>100000</v>
      </c>
      <c r="CP122" s="128">
        <f t="shared" si="342"/>
        <v>100000</v>
      </c>
      <c r="CQ122" s="128">
        <f t="shared" si="343"/>
        <v>134325.29932778631</v>
      </c>
      <c r="CR122" s="130">
        <f t="shared" si="280"/>
        <v>4.9000000000000002E-2</v>
      </c>
      <c r="CS122" s="128">
        <f t="shared" si="281"/>
        <v>138164.76413357223</v>
      </c>
      <c r="CT122" s="128" t="str">
        <f t="shared" si="282"/>
        <v>nie</v>
      </c>
      <c r="CU122" s="128">
        <f t="shared" si="283"/>
        <v>3000</v>
      </c>
      <c r="CV122" s="128">
        <f t="shared" si="284"/>
        <v>128483.45894819351</v>
      </c>
      <c r="CW122" s="128">
        <f t="shared" si="285"/>
        <v>0</v>
      </c>
      <c r="CX122" s="130">
        <f t="shared" si="286"/>
        <v>4.4999999999999998E-2</v>
      </c>
      <c r="CY122" s="128">
        <f t="shared" si="287"/>
        <v>0</v>
      </c>
      <c r="CZ122" s="128">
        <f t="shared" si="288"/>
        <v>128483.45894819351</v>
      </c>
      <c r="DA122" s="20"/>
      <c r="DB122" s="127">
        <f t="shared" si="350"/>
        <v>1274</v>
      </c>
      <c r="DC122" s="128">
        <f t="shared" si="351"/>
        <v>127400</v>
      </c>
      <c r="DD122" s="128">
        <f t="shared" si="344"/>
        <v>127400</v>
      </c>
      <c r="DE122" s="128">
        <f t="shared" si="345"/>
        <v>127400</v>
      </c>
      <c r="DF122" s="130">
        <f t="shared" si="289"/>
        <v>5.45E-2</v>
      </c>
      <c r="DG122" s="128">
        <f t="shared" si="290"/>
        <v>131450.25833333333</v>
      </c>
      <c r="DH122" s="128" t="str">
        <f t="shared" si="291"/>
        <v>nie</v>
      </c>
      <c r="DI122" s="128">
        <f t="shared" si="292"/>
        <v>2548</v>
      </c>
      <c r="DJ122" s="128">
        <f t="shared" si="355"/>
        <v>128616.82925</v>
      </c>
      <c r="DK122" s="128">
        <f t="shared" si="294"/>
        <v>0</v>
      </c>
      <c r="DL122" s="130">
        <f t="shared" si="295"/>
        <v>4.4999999999999998E-2</v>
      </c>
      <c r="DM122" s="128">
        <f t="shared" si="296"/>
        <v>96.864856886307507</v>
      </c>
      <c r="DN122" s="128">
        <f t="shared" si="297"/>
        <v>128713.69410688631</v>
      </c>
      <c r="DP122" s="127">
        <f t="shared" si="352"/>
        <v>1000</v>
      </c>
      <c r="DQ122" s="128">
        <f t="shared" si="353"/>
        <v>100000</v>
      </c>
      <c r="DR122" s="128">
        <f t="shared" si="346"/>
        <v>100000</v>
      </c>
      <c r="DS122" s="128">
        <f t="shared" si="347"/>
        <v>137882.42713117256</v>
      </c>
      <c r="DT122" s="130">
        <f t="shared" si="298"/>
        <v>5.4000000000000006E-2</v>
      </c>
      <c r="DU122" s="128">
        <f t="shared" si="299"/>
        <v>142225.72358580452</v>
      </c>
      <c r="DV122" s="128" t="str">
        <f t="shared" si="300"/>
        <v>nie</v>
      </c>
      <c r="DW122" s="128">
        <f t="shared" si="301"/>
        <v>3000</v>
      </c>
      <c r="DX122" s="128">
        <f t="shared" si="302"/>
        <v>131772.83610450165</v>
      </c>
      <c r="DY122" s="128">
        <f t="shared" si="303"/>
        <v>0</v>
      </c>
      <c r="DZ122" s="130">
        <f t="shared" si="304"/>
        <v>4.4999999999999998E-2</v>
      </c>
      <c r="EA122" s="128">
        <f t="shared" si="305"/>
        <v>0</v>
      </c>
      <c r="EB122" s="128">
        <f t="shared" si="306"/>
        <v>131772.83610450165</v>
      </c>
    </row>
    <row r="123" spans="1:132">
      <c r="A123" s="212"/>
      <c r="B123" s="188">
        <f t="shared" si="307"/>
        <v>79</v>
      </c>
      <c r="C123" s="128">
        <f t="shared" si="308"/>
        <v>129993.59181712776</v>
      </c>
      <c r="D123" s="128">
        <f t="shared" si="309"/>
        <v>129022.27336438579</v>
      </c>
      <c r="E123" s="128">
        <f t="shared" si="310"/>
        <v>128724.78800790917</v>
      </c>
      <c r="F123" s="128">
        <f t="shared" si="311"/>
        <v>125916.12541301157</v>
      </c>
      <c r="G123" s="128">
        <f t="shared" si="312"/>
        <v>128483.45894819351</v>
      </c>
      <c r="H123" s="128">
        <f t="shared" si="313"/>
        <v>128713.69410688631</v>
      </c>
      <c r="I123" s="128">
        <f t="shared" si="314"/>
        <v>131772.83610450165</v>
      </c>
      <c r="J123" s="128">
        <f t="shared" si="315"/>
        <v>127073.92189115549</v>
      </c>
      <c r="K123" s="128">
        <f t="shared" si="316"/>
        <v>120719.55164695482</v>
      </c>
      <c r="M123" s="36"/>
      <c r="N123" s="32">
        <f t="shared" si="317"/>
        <v>79</v>
      </c>
      <c r="O123" s="25">
        <f t="shared" si="318"/>
        <v>0.29993591817127752</v>
      </c>
      <c r="P123" s="25">
        <f t="shared" si="319"/>
        <v>0.29022273364385787</v>
      </c>
      <c r="Q123" s="25">
        <f t="shared" si="320"/>
        <v>0.28724788007909163</v>
      </c>
      <c r="R123" s="25">
        <f t="shared" si="245"/>
        <v>0.25916125413011559</v>
      </c>
      <c r="S123" s="25">
        <f t="shared" si="246"/>
        <v>0.28483458948193507</v>
      </c>
      <c r="T123" s="25">
        <f t="shared" si="247"/>
        <v>0.28713694106886312</v>
      </c>
      <c r="U123" s="25">
        <f t="shared" si="248"/>
        <v>0.31772836104501656</v>
      </c>
      <c r="V123" s="25">
        <f t="shared" si="249"/>
        <v>0.27073921891155495</v>
      </c>
      <c r="W123" s="25">
        <f t="shared" si="250"/>
        <v>0.20719551646954826</v>
      </c>
      <c r="X123" s="36"/>
      <c r="Y123" s="36"/>
      <c r="AA123" s="124">
        <f t="shared" si="321"/>
        <v>80</v>
      </c>
      <c r="AB123" s="128">
        <f t="shared" si="251"/>
        <v>121006.43741256669</v>
      </c>
      <c r="AC123" s="124">
        <f t="shared" si="322"/>
        <v>80</v>
      </c>
      <c r="AD123" s="130">
        <f t="shared" si="323"/>
        <v>4.4999999999999998E-2</v>
      </c>
      <c r="AE123" s="127">
        <f t="shared" si="324"/>
        <v>1277</v>
      </c>
      <c r="AF123" s="128">
        <f t="shared" si="325"/>
        <v>127577</v>
      </c>
      <c r="AG123" s="128">
        <f t="shared" si="348"/>
        <v>127700</v>
      </c>
      <c r="AH123" s="128">
        <f t="shared" si="357"/>
        <v>127700</v>
      </c>
      <c r="AI123" s="130">
        <f t="shared" si="252"/>
        <v>4.4999999999999998E-2</v>
      </c>
      <c r="AJ123" s="128">
        <f t="shared" si="253"/>
        <v>128178.87499999999</v>
      </c>
      <c r="AK123" s="128" t="str">
        <f t="shared" si="254"/>
        <v>nie</v>
      </c>
      <c r="AL123" s="128">
        <f t="shared" si="255"/>
        <v>638.5</v>
      </c>
      <c r="AM123" s="128">
        <f t="shared" si="361"/>
        <v>127570.70374999999</v>
      </c>
      <c r="AN123" s="128">
        <f t="shared" si="256"/>
        <v>387.88874999998825</v>
      </c>
      <c r="AO123" s="130">
        <f t="shared" si="257"/>
        <v>4.4999999999999998E-2</v>
      </c>
      <c r="AP123" s="128">
        <f t="shared" si="258"/>
        <v>3207.2033017097738</v>
      </c>
      <c r="AQ123" s="128">
        <f t="shared" si="362"/>
        <v>130390.01830170977</v>
      </c>
      <c r="AS123" s="124">
        <f t="shared" si="327"/>
        <v>80</v>
      </c>
      <c r="AT123" s="130">
        <f t="shared" si="328"/>
        <v>4.4999999999999998E-2</v>
      </c>
      <c r="AU123" s="127">
        <f t="shared" si="329"/>
        <v>1269</v>
      </c>
      <c r="AV123" s="128">
        <f t="shared" si="330"/>
        <v>126782.40000000001</v>
      </c>
      <c r="AW123" s="128">
        <f t="shared" si="363"/>
        <v>126900</v>
      </c>
      <c r="AX123" s="128">
        <f t="shared" si="358"/>
        <v>126900</v>
      </c>
      <c r="AY123" s="130">
        <f t="shared" si="259"/>
        <v>4.65E-2</v>
      </c>
      <c r="AZ123" s="128">
        <f t="shared" si="260"/>
        <v>127391.7375</v>
      </c>
      <c r="BA123" s="128" t="str">
        <f t="shared" si="261"/>
        <v>nie</v>
      </c>
      <c r="BB123" s="128">
        <f t="shared" si="262"/>
        <v>888.3</v>
      </c>
      <c r="BC123" s="128">
        <f t="shared" si="158"/>
        <v>126578.784375</v>
      </c>
      <c r="BD123" s="128">
        <f t="shared" si="263"/>
        <v>398.30737500000237</v>
      </c>
      <c r="BE123" s="130">
        <f t="shared" si="264"/>
        <v>4.4999999999999998E-2</v>
      </c>
      <c r="BF123" s="128">
        <f t="shared" si="265"/>
        <v>3248.735695842619</v>
      </c>
      <c r="BG123" s="128">
        <f t="shared" si="159"/>
        <v>129429.21269584262</v>
      </c>
      <c r="BI123" s="124">
        <f t="shared" si="332"/>
        <v>80</v>
      </c>
      <c r="BJ123" s="130">
        <f t="shared" si="354"/>
        <v>4.3200000000000002E-2</v>
      </c>
      <c r="BK123" s="127">
        <f t="shared" si="333"/>
        <v>1268</v>
      </c>
      <c r="BL123" s="128">
        <f t="shared" si="334"/>
        <v>126673.20000000001</v>
      </c>
      <c r="BM123" s="128">
        <f t="shared" si="349"/>
        <v>126800</v>
      </c>
      <c r="BN123" s="128">
        <f t="shared" si="335"/>
        <v>126800</v>
      </c>
      <c r="BO123" s="130">
        <f t="shared" si="266"/>
        <v>4.9000000000000002E-2</v>
      </c>
      <c r="BP123" s="128">
        <f t="shared" si="267"/>
        <v>130942.13333333333</v>
      </c>
      <c r="BQ123" s="128" t="str">
        <f t="shared" si="268"/>
        <v>nie</v>
      </c>
      <c r="BR123" s="128">
        <f t="shared" si="269"/>
        <v>1268</v>
      </c>
      <c r="BS123" s="128">
        <f t="shared" si="364"/>
        <v>129128.048</v>
      </c>
      <c r="BT123" s="128">
        <f t="shared" si="356"/>
        <v>0</v>
      </c>
      <c r="BU123" s="130">
        <f t="shared" si="270"/>
        <v>4.4999999999999998E-2</v>
      </c>
      <c r="BV123" s="128">
        <f t="shared" si="271"/>
        <v>16.180005845690964</v>
      </c>
      <c r="BW123" s="128">
        <f t="shared" si="365"/>
        <v>129144.22800584568</v>
      </c>
      <c r="BY123" s="130">
        <f t="shared" si="360"/>
        <v>2.9000000000000001E-2</v>
      </c>
      <c r="BZ123" s="127">
        <f t="shared" si="337"/>
        <v>1159</v>
      </c>
      <c r="CA123" s="128">
        <f t="shared" si="338"/>
        <v>115796.40000000001</v>
      </c>
      <c r="CB123" s="128">
        <f t="shared" si="366"/>
        <v>115900</v>
      </c>
      <c r="CC123" s="128">
        <f t="shared" si="359"/>
        <v>115900</v>
      </c>
      <c r="CD123" s="130">
        <f t="shared" si="272"/>
        <v>4.3999999999999997E-2</v>
      </c>
      <c r="CE123" s="128">
        <f t="shared" si="273"/>
        <v>119299.73333333335</v>
      </c>
      <c r="CF123" s="128" t="str">
        <f t="shared" si="274"/>
        <v>nie</v>
      </c>
      <c r="CG123" s="128">
        <f t="shared" si="275"/>
        <v>2318</v>
      </c>
      <c r="CH123" s="128">
        <f t="shared" si="160"/>
        <v>116776.20400000001</v>
      </c>
      <c r="CI123" s="128">
        <f t="shared" si="276"/>
        <v>0</v>
      </c>
      <c r="CJ123" s="130">
        <f t="shared" si="277"/>
        <v>4.4999999999999998E-2</v>
      </c>
      <c r="CK123" s="128">
        <f t="shared" si="278"/>
        <v>9512.9525016660846</v>
      </c>
      <c r="CL123" s="128">
        <f t="shared" si="279"/>
        <v>126289.15650166609</v>
      </c>
      <c r="CN123" s="127">
        <f t="shared" si="340"/>
        <v>1000</v>
      </c>
      <c r="CO123" s="128">
        <f t="shared" si="341"/>
        <v>100000</v>
      </c>
      <c r="CP123" s="128">
        <f t="shared" si="342"/>
        <v>100000</v>
      </c>
      <c r="CQ123" s="128">
        <f t="shared" si="343"/>
        <v>134325.29932778631</v>
      </c>
      <c r="CR123" s="130">
        <f t="shared" si="280"/>
        <v>4.9000000000000002E-2</v>
      </c>
      <c r="CS123" s="128">
        <f t="shared" si="281"/>
        <v>138713.25910582734</v>
      </c>
      <c r="CT123" s="128" t="str">
        <f t="shared" si="282"/>
        <v>nie</v>
      </c>
      <c r="CU123" s="128">
        <f t="shared" si="283"/>
        <v>3000</v>
      </c>
      <c r="CV123" s="128">
        <f t="shared" si="284"/>
        <v>128927.73987572014</v>
      </c>
      <c r="CW123" s="128">
        <f t="shared" si="285"/>
        <v>0</v>
      </c>
      <c r="CX123" s="130">
        <f t="shared" si="286"/>
        <v>4.4999999999999998E-2</v>
      </c>
      <c r="CY123" s="128">
        <f t="shared" si="287"/>
        <v>0</v>
      </c>
      <c r="CZ123" s="128">
        <f t="shared" si="288"/>
        <v>128927.73987572014</v>
      </c>
      <c r="DA123" s="20"/>
      <c r="DB123" s="127">
        <f t="shared" si="350"/>
        <v>1274</v>
      </c>
      <c r="DC123" s="128">
        <f t="shared" si="351"/>
        <v>127400</v>
      </c>
      <c r="DD123" s="128">
        <f t="shared" si="344"/>
        <v>127400</v>
      </c>
      <c r="DE123" s="128">
        <f t="shared" si="345"/>
        <v>127400</v>
      </c>
      <c r="DF123" s="130">
        <f t="shared" si="289"/>
        <v>5.45E-2</v>
      </c>
      <c r="DG123" s="128">
        <f t="shared" si="290"/>
        <v>132028.86666666667</v>
      </c>
      <c r="DH123" s="128" t="str">
        <f t="shared" si="291"/>
        <v>nie</v>
      </c>
      <c r="DI123" s="128">
        <f t="shared" si="292"/>
        <v>2548</v>
      </c>
      <c r="DJ123" s="128">
        <f t="shared" si="355"/>
        <v>129085.50200000001</v>
      </c>
      <c r="DK123" s="128">
        <f t="shared" si="294"/>
        <v>0</v>
      </c>
      <c r="DL123" s="130">
        <f t="shared" si="295"/>
        <v>4.4999999999999998E-2</v>
      </c>
      <c r="DM123" s="128">
        <f t="shared" si="296"/>
        <v>97.159083889099662</v>
      </c>
      <c r="DN123" s="128">
        <f t="shared" si="297"/>
        <v>129182.66108388911</v>
      </c>
      <c r="DP123" s="127">
        <f t="shared" si="352"/>
        <v>1000</v>
      </c>
      <c r="DQ123" s="128">
        <f t="shared" si="353"/>
        <v>100000</v>
      </c>
      <c r="DR123" s="128">
        <f t="shared" si="346"/>
        <v>100000</v>
      </c>
      <c r="DS123" s="128">
        <f t="shared" si="347"/>
        <v>137882.42713117256</v>
      </c>
      <c r="DT123" s="130">
        <f t="shared" si="298"/>
        <v>5.4000000000000006E-2</v>
      </c>
      <c r="DU123" s="128">
        <f t="shared" si="299"/>
        <v>142846.19450789478</v>
      </c>
      <c r="DV123" s="128" t="str">
        <f t="shared" si="300"/>
        <v>nie</v>
      </c>
      <c r="DW123" s="128">
        <f t="shared" si="301"/>
        <v>3000</v>
      </c>
      <c r="DX123" s="128">
        <f t="shared" si="302"/>
        <v>132275.41755139476</v>
      </c>
      <c r="DY123" s="128">
        <f t="shared" si="303"/>
        <v>0</v>
      </c>
      <c r="DZ123" s="130">
        <f t="shared" si="304"/>
        <v>4.4999999999999998E-2</v>
      </c>
      <c r="EA123" s="128">
        <f t="shared" si="305"/>
        <v>0</v>
      </c>
      <c r="EB123" s="128">
        <f t="shared" si="306"/>
        <v>132275.41755139476</v>
      </c>
    </row>
    <row r="124" spans="1:132">
      <c r="A124" s="212"/>
      <c r="B124" s="188">
        <f t="shared" si="307"/>
        <v>80</v>
      </c>
      <c r="C124" s="128">
        <f t="shared" si="308"/>
        <v>130390.01830170977</v>
      </c>
      <c r="D124" s="128">
        <f t="shared" si="309"/>
        <v>129429.21269584262</v>
      </c>
      <c r="E124" s="128">
        <f t="shared" si="310"/>
        <v>129144.22800584568</v>
      </c>
      <c r="F124" s="128">
        <f t="shared" si="311"/>
        <v>126289.15650166609</v>
      </c>
      <c r="G124" s="128">
        <f t="shared" si="312"/>
        <v>128927.73987572014</v>
      </c>
      <c r="H124" s="128">
        <f t="shared" si="313"/>
        <v>129182.66108388911</v>
      </c>
      <c r="I124" s="128">
        <f t="shared" si="314"/>
        <v>132275.41755139476</v>
      </c>
      <c r="J124" s="128">
        <f t="shared" si="315"/>
        <v>127459.90892889988</v>
      </c>
      <c r="K124" s="128">
        <f t="shared" si="316"/>
        <v>121006.43741256669</v>
      </c>
      <c r="M124" s="36"/>
      <c r="N124" s="32">
        <f t="shared" si="317"/>
        <v>80</v>
      </c>
      <c r="O124" s="25">
        <f t="shared" si="318"/>
        <v>0.30390018301709776</v>
      </c>
      <c r="P124" s="25">
        <f t="shared" si="319"/>
        <v>0.29429212695842621</v>
      </c>
      <c r="Q124" s="25">
        <f t="shared" si="320"/>
        <v>0.29144228005845685</v>
      </c>
      <c r="R124" s="25">
        <f t="shared" si="245"/>
        <v>0.262891565016661</v>
      </c>
      <c r="S124" s="25">
        <f t="shared" si="246"/>
        <v>0.28927739875720149</v>
      </c>
      <c r="T124" s="25">
        <f t="shared" si="247"/>
        <v>0.29182661083889117</v>
      </c>
      <c r="U124" s="25">
        <f t="shared" si="248"/>
        <v>0.32275417551394758</v>
      </c>
      <c r="V124" s="25">
        <f t="shared" si="249"/>
        <v>0.2745990892889989</v>
      </c>
      <c r="W124" s="25">
        <f t="shared" si="250"/>
        <v>0.21006437412566692</v>
      </c>
      <c r="X124" s="36"/>
      <c r="Y124" s="36"/>
      <c r="AA124" s="124">
        <f t="shared" si="321"/>
        <v>81</v>
      </c>
      <c r="AB124" s="128">
        <f t="shared" si="251"/>
        <v>121293.32317817856</v>
      </c>
      <c r="AC124" s="124">
        <f t="shared" si="322"/>
        <v>81</v>
      </c>
      <c r="AD124" s="130">
        <f t="shared" si="323"/>
        <v>4.4999999999999998E-2</v>
      </c>
      <c r="AE124" s="127">
        <f t="shared" si="324"/>
        <v>1277</v>
      </c>
      <c r="AF124" s="128">
        <f t="shared" si="325"/>
        <v>127577</v>
      </c>
      <c r="AG124" s="128">
        <f t="shared" si="348"/>
        <v>127700</v>
      </c>
      <c r="AH124" s="128">
        <f t="shared" si="357"/>
        <v>127700</v>
      </c>
      <c r="AI124" s="130">
        <f t="shared" si="252"/>
        <v>4.4999999999999998E-2</v>
      </c>
      <c r="AJ124" s="128">
        <f t="shared" si="253"/>
        <v>128178.87499999999</v>
      </c>
      <c r="AK124" s="128" t="str">
        <f t="shared" si="254"/>
        <v>nie</v>
      </c>
      <c r="AL124" s="128">
        <f t="shared" si="255"/>
        <v>638.5</v>
      </c>
      <c r="AM124" s="128">
        <f t="shared" si="361"/>
        <v>127570.70374999999</v>
      </c>
      <c r="AN124" s="128">
        <f t="shared" si="256"/>
        <v>387.88874999998825</v>
      </c>
      <c r="AO124" s="130">
        <f t="shared" si="257"/>
        <v>4.4999999999999998E-2</v>
      </c>
      <c r="AP124" s="128">
        <f t="shared" si="258"/>
        <v>3604.8339317387054</v>
      </c>
      <c r="AQ124" s="128">
        <f t="shared" si="362"/>
        <v>130787.6489317387</v>
      </c>
      <c r="AS124" s="124">
        <f t="shared" si="327"/>
        <v>81</v>
      </c>
      <c r="AT124" s="130">
        <f t="shared" si="328"/>
        <v>4.4999999999999998E-2</v>
      </c>
      <c r="AU124" s="127">
        <f t="shared" si="329"/>
        <v>1269</v>
      </c>
      <c r="AV124" s="128">
        <f t="shared" si="330"/>
        <v>126782.40000000001</v>
      </c>
      <c r="AW124" s="128">
        <f t="shared" si="363"/>
        <v>126900</v>
      </c>
      <c r="AX124" s="128">
        <f t="shared" si="358"/>
        <v>126900</v>
      </c>
      <c r="AY124" s="130">
        <f t="shared" si="259"/>
        <v>4.65E-2</v>
      </c>
      <c r="AZ124" s="128">
        <f t="shared" si="260"/>
        <v>127391.7375</v>
      </c>
      <c r="BA124" s="128" t="str">
        <f t="shared" si="261"/>
        <v>nie</v>
      </c>
      <c r="BB124" s="128">
        <f t="shared" si="262"/>
        <v>888.3</v>
      </c>
      <c r="BC124" s="128">
        <f t="shared" si="158"/>
        <v>126578.784375</v>
      </c>
      <c r="BD124" s="128">
        <f t="shared" si="263"/>
        <v>398.30737500000237</v>
      </c>
      <c r="BE124" s="130">
        <f t="shared" si="264"/>
        <v>4.4999999999999998E-2</v>
      </c>
      <c r="BF124" s="128">
        <f t="shared" si="265"/>
        <v>3656.9111055187432</v>
      </c>
      <c r="BG124" s="128">
        <f t="shared" si="159"/>
        <v>129837.38810551874</v>
      </c>
      <c r="BI124" s="124">
        <f t="shared" si="332"/>
        <v>81</v>
      </c>
      <c r="BJ124" s="130">
        <f t="shared" si="354"/>
        <v>4.3200000000000002E-2</v>
      </c>
      <c r="BK124" s="127">
        <f t="shared" si="333"/>
        <v>1268</v>
      </c>
      <c r="BL124" s="128">
        <f t="shared" si="334"/>
        <v>126673.20000000001</v>
      </c>
      <c r="BM124" s="128">
        <f t="shared" si="349"/>
        <v>126800</v>
      </c>
      <c r="BN124" s="128">
        <f t="shared" si="335"/>
        <v>126800</v>
      </c>
      <c r="BO124" s="130">
        <f t="shared" si="266"/>
        <v>4.9000000000000002E-2</v>
      </c>
      <c r="BP124" s="128">
        <f t="shared" si="267"/>
        <v>131459.9</v>
      </c>
      <c r="BQ124" s="128" t="str">
        <f t="shared" si="268"/>
        <v>nie</v>
      </c>
      <c r="BR124" s="128">
        <f t="shared" si="269"/>
        <v>1268</v>
      </c>
      <c r="BS124" s="128">
        <f t="shared" si="364"/>
        <v>129547.439</v>
      </c>
      <c r="BT124" s="128">
        <f t="shared" si="356"/>
        <v>0</v>
      </c>
      <c r="BU124" s="130">
        <f t="shared" si="270"/>
        <v>4.4999999999999998E-2</v>
      </c>
      <c r="BV124" s="128">
        <f t="shared" si="271"/>
        <v>16.229152613447251</v>
      </c>
      <c r="BW124" s="128">
        <f t="shared" si="365"/>
        <v>129563.66815261345</v>
      </c>
      <c r="BY124" s="130">
        <f t="shared" si="360"/>
        <v>2.9000000000000001E-2</v>
      </c>
      <c r="BZ124" s="127">
        <f t="shared" si="337"/>
        <v>1159</v>
      </c>
      <c r="CA124" s="128">
        <f t="shared" si="338"/>
        <v>115796.40000000001</v>
      </c>
      <c r="CB124" s="128">
        <f t="shared" si="366"/>
        <v>115900</v>
      </c>
      <c r="CC124" s="128">
        <f t="shared" si="359"/>
        <v>115900</v>
      </c>
      <c r="CD124" s="130">
        <f t="shared" si="272"/>
        <v>4.3999999999999997E-2</v>
      </c>
      <c r="CE124" s="128">
        <f t="shared" si="273"/>
        <v>119724.7</v>
      </c>
      <c r="CF124" s="128" t="str">
        <f t="shared" si="274"/>
        <v>nie</v>
      </c>
      <c r="CG124" s="128">
        <f t="shared" si="275"/>
        <v>2318</v>
      </c>
      <c r="CH124" s="128">
        <f t="shared" si="160"/>
        <v>117120.427</v>
      </c>
      <c r="CI124" s="128">
        <f t="shared" si="276"/>
        <v>0</v>
      </c>
      <c r="CJ124" s="130">
        <f t="shared" si="277"/>
        <v>4.4999999999999998E-2</v>
      </c>
      <c r="CK124" s="128">
        <f t="shared" si="278"/>
        <v>9541.8480948898959</v>
      </c>
      <c r="CL124" s="128">
        <f t="shared" si="279"/>
        <v>126662.27509488989</v>
      </c>
      <c r="CN124" s="127">
        <f t="shared" si="340"/>
        <v>1000</v>
      </c>
      <c r="CO124" s="128">
        <f t="shared" si="341"/>
        <v>100000</v>
      </c>
      <c r="CP124" s="128">
        <f t="shared" si="342"/>
        <v>100000</v>
      </c>
      <c r="CQ124" s="128">
        <f t="shared" si="343"/>
        <v>134325.29932778631</v>
      </c>
      <c r="CR124" s="130">
        <f t="shared" si="280"/>
        <v>4.9000000000000002E-2</v>
      </c>
      <c r="CS124" s="128">
        <f t="shared" si="281"/>
        <v>139261.75407808248</v>
      </c>
      <c r="CT124" s="128" t="str">
        <f t="shared" si="282"/>
        <v>nie</v>
      </c>
      <c r="CU124" s="128">
        <f t="shared" si="283"/>
        <v>3000</v>
      </c>
      <c r="CV124" s="128">
        <f t="shared" si="284"/>
        <v>129372.02080324681</v>
      </c>
      <c r="CW124" s="128">
        <f t="shared" si="285"/>
        <v>0</v>
      </c>
      <c r="CX124" s="130">
        <f t="shared" si="286"/>
        <v>4.4999999999999998E-2</v>
      </c>
      <c r="CY124" s="128">
        <f t="shared" si="287"/>
        <v>0</v>
      </c>
      <c r="CZ124" s="128">
        <f t="shared" si="288"/>
        <v>129372.02080324681</v>
      </c>
      <c r="DA124" s="20"/>
      <c r="DB124" s="127">
        <f t="shared" si="350"/>
        <v>1274</v>
      </c>
      <c r="DC124" s="128">
        <f t="shared" si="351"/>
        <v>127400</v>
      </c>
      <c r="DD124" s="128">
        <f t="shared" si="344"/>
        <v>127400</v>
      </c>
      <c r="DE124" s="128">
        <f t="shared" si="345"/>
        <v>127400</v>
      </c>
      <c r="DF124" s="130">
        <f t="shared" si="289"/>
        <v>5.45E-2</v>
      </c>
      <c r="DG124" s="128">
        <f t="shared" si="290"/>
        <v>132607.47500000001</v>
      </c>
      <c r="DH124" s="128" t="str">
        <f t="shared" si="291"/>
        <v>nie</v>
      </c>
      <c r="DI124" s="128">
        <f t="shared" si="292"/>
        <v>2548</v>
      </c>
      <c r="DJ124" s="128">
        <f t="shared" si="355"/>
        <v>129554.17475000001</v>
      </c>
      <c r="DK124" s="128">
        <f t="shared" si="294"/>
        <v>0</v>
      </c>
      <c r="DL124" s="130">
        <f t="shared" si="295"/>
        <v>4.4999999999999998E-2</v>
      </c>
      <c r="DM124" s="128">
        <f t="shared" si="296"/>
        <v>97.454204606412802</v>
      </c>
      <c r="DN124" s="128">
        <f t="shared" si="297"/>
        <v>129651.62895460642</v>
      </c>
      <c r="DP124" s="127">
        <f t="shared" si="352"/>
        <v>1000</v>
      </c>
      <c r="DQ124" s="128">
        <f t="shared" si="353"/>
        <v>100000</v>
      </c>
      <c r="DR124" s="128">
        <f t="shared" si="346"/>
        <v>100000</v>
      </c>
      <c r="DS124" s="128">
        <f t="shared" si="347"/>
        <v>137882.42713117256</v>
      </c>
      <c r="DT124" s="130">
        <f t="shared" si="298"/>
        <v>5.4000000000000006E-2</v>
      </c>
      <c r="DU124" s="128">
        <f t="shared" si="299"/>
        <v>143466.66542998503</v>
      </c>
      <c r="DV124" s="128" t="str">
        <f t="shared" si="300"/>
        <v>nie</v>
      </c>
      <c r="DW124" s="128">
        <f t="shared" si="301"/>
        <v>3000</v>
      </c>
      <c r="DX124" s="128">
        <f t="shared" si="302"/>
        <v>132777.99899828789</v>
      </c>
      <c r="DY124" s="128">
        <f t="shared" si="303"/>
        <v>0</v>
      </c>
      <c r="DZ124" s="130">
        <f t="shared" si="304"/>
        <v>4.4999999999999998E-2</v>
      </c>
      <c r="EA124" s="128">
        <f t="shared" si="305"/>
        <v>0</v>
      </c>
      <c r="EB124" s="128">
        <f t="shared" si="306"/>
        <v>132777.99899828789</v>
      </c>
    </row>
    <row r="125" spans="1:132">
      <c r="A125" s="212"/>
      <c r="B125" s="188">
        <f t="shared" si="307"/>
        <v>81</v>
      </c>
      <c r="C125" s="128">
        <f t="shared" si="308"/>
        <v>130787.6489317387</v>
      </c>
      <c r="D125" s="128">
        <f t="shared" si="309"/>
        <v>129837.38810551874</v>
      </c>
      <c r="E125" s="128">
        <f t="shared" si="310"/>
        <v>129563.66815261345</v>
      </c>
      <c r="F125" s="128">
        <f t="shared" si="311"/>
        <v>126662.27509488989</v>
      </c>
      <c r="G125" s="128">
        <f t="shared" si="312"/>
        <v>129372.02080324681</v>
      </c>
      <c r="H125" s="128">
        <f t="shared" si="313"/>
        <v>129651.62895460642</v>
      </c>
      <c r="I125" s="128">
        <f t="shared" si="314"/>
        <v>132777.99899828789</v>
      </c>
      <c r="J125" s="128">
        <f t="shared" si="315"/>
        <v>127847.06840227141</v>
      </c>
      <c r="K125" s="128">
        <f t="shared" si="316"/>
        <v>121293.32317817856</v>
      </c>
      <c r="M125" s="36"/>
      <c r="N125" s="32">
        <f t="shared" si="317"/>
        <v>81</v>
      </c>
      <c r="O125" s="25">
        <f t="shared" si="318"/>
        <v>0.30787648931738709</v>
      </c>
      <c r="P125" s="25">
        <f t="shared" si="319"/>
        <v>0.29837388105518747</v>
      </c>
      <c r="Q125" s="25">
        <f t="shared" si="320"/>
        <v>0.29563668152613443</v>
      </c>
      <c r="R125" s="25">
        <f t="shared" si="245"/>
        <v>0.26662275094889898</v>
      </c>
      <c r="S125" s="25">
        <f t="shared" si="246"/>
        <v>0.29372020803246812</v>
      </c>
      <c r="T125" s="25">
        <f t="shared" si="247"/>
        <v>0.29651628954606424</v>
      </c>
      <c r="U125" s="25">
        <f t="shared" si="248"/>
        <v>0.32777998998287883</v>
      </c>
      <c r="V125" s="25">
        <f t="shared" si="249"/>
        <v>0.27847068402271402</v>
      </c>
      <c r="W125" s="25">
        <f t="shared" si="250"/>
        <v>0.21293323178178558</v>
      </c>
      <c r="X125" s="36"/>
      <c r="Y125" s="36"/>
      <c r="AA125" s="124">
        <f t="shared" si="321"/>
        <v>82</v>
      </c>
      <c r="AB125" s="128">
        <f t="shared" si="251"/>
        <v>121580.20894379044</v>
      </c>
      <c r="AC125" s="124">
        <f t="shared" si="322"/>
        <v>82</v>
      </c>
      <c r="AD125" s="130">
        <f t="shared" si="323"/>
        <v>4.4999999999999998E-2</v>
      </c>
      <c r="AE125" s="127">
        <f t="shared" si="324"/>
        <v>1277</v>
      </c>
      <c r="AF125" s="128">
        <f t="shared" si="325"/>
        <v>127577</v>
      </c>
      <c r="AG125" s="128">
        <f t="shared" si="348"/>
        <v>127700</v>
      </c>
      <c r="AH125" s="128">
        <f t="shared" si="357"/>
        <v>127700</v>
      </c>
      <c r="AI125" s="130">
        <f t="shared" si="252"/>
        <v>4.4999999999999998E-2</v>
      </c>
      <c r="AJ125" s="128">
        <f t="shared" si="253"/>
        <v>128178.87499999999</v>
      </c>
      <c r="AK125" s="128" t="str">
        <f t="shared" si="254"/>
        <v>nie</v>
      </c>
      <c r="AL125" s="128">
        <f t="shared" si="255"/>
        <v>638.5</v>
      </c>
      <c r="AM125" s="128">
        <f t="shared" si="361"/>
        <v>127570.70374999999</v>
      </c>
      <c r="AN125" s="128">
        <f t="shared" si="256"/>
        <v>387.88874999998825</v>
      </c>
      <c r="AO125" s="130">
        <f t="shared" si="257"/>
        <v>4.4999999999999998E-2</v>
      </c>
      <c r="AP125" s="128">
        <f t="shared" si="258"/>
        <v>4003.6723648063498</v>
      </c>
      <c r="AQ125" s="128">
        <f t="shared" si="362"/>
        <v>131186.48736480635</v>
      </c>
      <c r="AS125" s="124">
        <f t="shared" si="327"/>
        <v>82</v>
      </c>
      <c r="AT125" s="130">
        <f t="shared" si="328"/>
        <v>4.4999999999999998E-2</v>
      </c>
      <c r="AU125" s="127">
        <f t="shared" si="329"/>
        <v>1269</v>
      </c>
      <c r="AV125" s="128">
        <f t="shared" si="330"/>
        <v>126782.40000000001</v>
      </c>
      <c r="AW125" s="128">
        <f t="shared" si="363"/>
        <v>126900</v>
      </c>
      <c r="AX125" s="128">
        <f t="shared" si="358"/>
        <v>126900</v>
      </c>
      <c r="AY125" s="130">
        <f t="shared" si="259"/>
        <v>4.65E-2</v>
      </c>
      <c r="AZ125" s="128">
        <f t="shared" si="260"/>
        <v>127391.7375</v>
      </c>
      <c r="BA125" s="128" t="str">
        <f t="shared" si="261"/>
        <v>nie</v>
      </c>
      <c r="BB125" s="128">
        <f t="shared" si="262"/>
        <v>888.3</v>
      </c>
      <c r="BC125" s="128">
        <f t="shared" si="158"/>
        <v>126578.784375</v>
      </c>
      <c r="BD125" s="128">
        <f t="shared" si="263"/>
        <v>398.30737500000237</v>
      </c>
      <c r="BE125" s="130">
        <f t="shared" si="264"/>
        <v>4.4999999999999998E-2</v>
      </c>
      <c r="BF125" s="128">
        <f t="shared" si="265"/>
        <v>4066.3263480017586</v>
      </c>
      <c r="BG125" s="128">
        <f t="shared" si="159"/>
        <v>130246.80334800176</v>
      </c>
      <c r="BI125" s="124">
        <f t="shared" si="332"/>
        <v>82</v>
      </c>
      <c r="BJ125" s="130">
        <f t="shared" si="354"/>
        <v>4.3200000000000002E-2</v>
      </c>
      <c r="BK125" s="127">
        <f t="shared" si="333"/>
        <v>1268</v>
      </c>
      <c r="BL125" s="128">
        <f t="shared" si="334"/>
        <v>126673.20000000001</v>
      </c>
      <c r="BM125" s="128">
        <f t="shared" si="349"/>
        <v>126800</v>
      </c>
      <c r="BN125" s="128">
        <f t="shared" si="335"/>
        <v>126800</v>
      </c>
      <c r="BO125" s="130">
        <f t="shared" si="266"/>
        <v>4.9000000000000002E-2</v>
      </c>
      <c r="BP125" s="128">
        <f t="shared" si="267"/>
        <v>131977.66666666666</v>
      </c>
      <c r="BQ125" s="128" t="str">
        <f t="shared" si="268"/>
        <v>nie</v>
      </c>
      <c r="BR125" s="128">
        <f t="shared" si="269"/>
        <v>1268</v>
      </c>
      <c r="BS125" s="128">
        <f t="shared" si="364"/>
        <v>129966.82999999999</v>
      </c>
      <c r="BT125" s="128">
        <f t="shared" si="356"/>
        <v>0</v>
      </c>
      <c r="BU125" s="130">
        <f t="shared" si="270"/>
        <v>4.4999999999999998E-2</v>
      </c>
      <c r="BV125" s="128">
        <f t="shared" si="271"/>
        <v>16.278448664510599</v>
      </c>
      <c r="BW125" s="128">
        <f t="shared" si="365"/>
        <v>129983.1084486645</v>
      </c>
      <c r="BY125" s="130">
        <f t="shared" si="360"/>
        <v>2.9000000000000001E-2</v>
      </c>
      <c r="BZ125" s="127">
        <f t="shared" si="337"/>
        <v>1159</v>
      </c>
      <c r="CA125" s="128">
        <f t="shared" si="338"/>
        <v>115796.40000000001</v>
      </c>
      <c r="CB125" s="128">
        <f t="shared" si="366"/>
        <v>115900</v>
      </c>
      <c r="CC125" s="128">
        <f t="shared" si="359"/>
        <v>115900</v>
      </c>
      <c r="CD125" s="130">
        <f t="shared" si="272"/>
        <v>4.3999999999999997E-2</v>
      </c>
      <c r="CE125" s="128">
        <f t="shared" si="273"/>
        <v>120149.66666666666</v>
      </c>
      <c r="CF125" s="128" t="str">
        <f t="shared" si="274"/>
        <v>nie</v>
      </c>
      <c r="CG125" s="128">
        <f t="shared" si="275"/>
        <v>2318</v>
      </c>
      <c r="CH125" s="128">
        <f t="shared" si="160"/>
        <v>117464.65</v>
      </c>
      <c r="CI125" s="128">
        <f t="shared" si="276"/>
        <v>0</v>
      </c>
      <c r="CJ125" s="130">
        <f t="shared" si="277"/>
        <v>4.4999999999999998E-2</v>
      </c>
      <c r="CK125" s="128">
        <f t="shared" si="278"/>
        <v>9570.8314584781237</v>
      </c>
      <c r="CL125" s="128">
        <f t="shared" si="279"/>
        <v>127035.48145847811</v>
      </c>
      <c r="CN125" s="127">
        <f t="shared" si="340"/>
        <v>1000</v>
      </c>
      <c r="CO125" s="128">
        <f t="shared" si="341"/>
        <v>100000</v>
      </c>
      <c r="CP125" s="128">
        <f t="shared" si="342"/>
        <v>100000</v>
      </c>
      <c r="CQ125" s="128">
        <f t="shared" si="343"/>
        <v>134325.29932778631</v>
      </c>
      <c r="CR125" s="130">
        <f t="shared" si="280"/>
        <v>4.9000000000000002E-2</v>
      </c>
      <c r="CS125" s="128">
        <f t="shared" si="281"/>
        <v>139810.24905033759</v>
      </c>
      <c r="CT125" s="128" t="str">
        <f t="shared" si="282"/>
        <v>nie</v>
      </c>
      <c r="CU125" s="128">
        <f t="shared" si="283"/>
        <v>3000</v>
      </c>
      <c r="CV125" s="128">
        <f t="shared" si="284"/>
        <v>129816.30173077344</v>
      </c>
      <c r="CW125" s="128">
        <f t="shared" si="285"/>
        <v>0</v>
      </c>
      <c r="CX125" s="130">
        <f t="shared" si="286"/>
        <v>4.4999999999999998E-2</v>
      </c>
      <c r="CY125" s="128">
        <f t="shared" si="287"/>
        <v>0</v>
      </c>
      <c r="CZ125" s="128">
        <f t="shared" si="288"/>
        <v>129816.30173077344</v>
      </c>
      <c r="DA125" s="20"/>
      <c r="DB125" s="127">
        <f t="shared" si="350"/>
        <v>1274</v>
      </c>
      <c r="DC125" s="128">
        <f t="shared" si="351"/>
        <v>127400</v>
      </c>
      <c r="DD125" s="128">
        <f t="shared" si="344"/>
        <v>127400</v>
      </c>
      <c r="DE125" s="128">
        <f t="shared" si="345"/>
        <v>127400</v>
      </c>
      <c r="DF125" s="130">
        <f t="shared" si="289"/>
        <v>5.45E-2</v>
      </c>
      <c r="DG125" s="128">
        <f t="shared" si="290"/>
        <v>133186.08333333334</v>
      </c>
      <c r="DH125" s="128" t="str">
        <f t="shared" si="291"/>
        <v>nie</v>
      </c>
      <c r="DI125" s="128">
        <f t="shared" si="292"/>
        <v>2548</v>
      </c>
      <c r="DJ125" s="128">
        <f t="shared" si="355"/>
        <v>130022.8475</v>
      </c>
      <c r="DK125" s="128">
        <f t="shared" si="294"/>
        <v>0</v>
      </c>
      <c r="DL125" s="130">
        <f t="shared" si="295"/>
        <v>4.4999999999999998E-2</v>
      </c>
      <c r="DM125" s="128">
        <f t="shared" si="296"/>
        <v>97.750221752904778</v>
      </c>
      <c r="DN125" s="128">
        <f t="shared" si="297"/>
        <v>130120.59772175291</v>
      </c>
      <c r="DP125" s="127">
        <f t="shared" si="352"/>
        <v>1000</v>
      </c>
      <c r="DQ125" s="128">
        <f t="shared" si="353"/>
        <v>100000</v>
      </c>
      <c r="DR125" s="128">
        <f t="shared" si="346"/>
        <v>100000</v>
      </c>
      <c r="DS125" s="128">
        <f t="shared" si="347"/>
        <v>137882.42713117256</v>
      </c>
      <c r="DT125" s="130">
        <f t="shared" si="298"/>
        <v>5.4000000000000006E-2</v>
      </c>
      <c r="DU125" s="128">
        <f t="shared" si="299"/>
        <v>144087.13635207532</v>
      </c>
      <c r="DV125" s="128" t="str">
        <f t="shared" si="300"/>
        <v>nie</v>
      </c>
      <c r="DW125" s="128">
        <f t="shared" si="301"/>
        <v>3000</v>
      </c>
      <c r="DX125" s="128">
        <f t="shared" si="302"/>
        <v>133280.580445181</v>
      </c>
      <c r="DY125" s="128">
        <f t="shared" si="303"/>
        <v>0</v>
      </c>
      <c r="DZ125" s="130">
        <f t="shared" si="304"/>
        <v>4.4999999999999998E-2</v>
      </c>
      <c r="EA125" s="128">
        <f t="shared" si="305"/>
        <v>0</v>
      </c>
      <c r="EB125" s="128">
        <f t="shared" si="306"/>
        <v>133280.580445181</v>
      </c>
    </row>
    <row r="126" spans="1:132">
      <c r="A126" s="212"/>
      <c r="B126" s="188">
        <f t="shared" si="307"/>
        <v>82</v>
      </c>
      <c r="C126" s="128">
        <f t="shared" si="308"/>
        <v>131186.48736480635</v>
      </c>
      <c r="D126" s="128">
        <f t="shared" si="309"/>
        <v>130246.80334800176</v>
      </c>
      <c r="E126" s="128">
        <f t="shared" si="310"/>
        <v>129983.1084486645</v>
      </c>
      <c r="F126" s="128">
        <f t="shared" si="311"/>
        <v>127035.48145847811</v>
      </c>
      <c r="G126" s="128">
        <f t="shared" si="312"/>
        <v>129816.30173077344</v>
      </c>
      <c r="H126" s="128">
        <f t="shared" si="313"/>
        <v>130120.59772175291</v>
      </c>
      <c r="I126" s="128">
        <f t="shared" si="314"/>
        <v>133280.580445181</v>
      </c>
      <c r="J126" s="128">
        <f t="shared" si="315"/>
        <v>128235.40387254332</v>
      </c>
      <c r="K126" s="128">
        <f t="shared" si="316"/>
        <v>121580.20894379044</v>
      </c>
      <c r="M126" s="36"/>
      <c r="N126" s="32">
        <f t="shared" si="317"/>
        <v>82</v>
      </c>
      <c r="O126" s="25">
        <f t="shared" si="318"/>
        <v>0.31186487364806359</v>
      </c>
      <c r="P126" s="25">
        <f t="shared" si="319"/>
        <v>0.30246803348001761</v>
      </c>
      <c r="Q126" s="25">
        <f t="shared" si="320"/>
        <v>0.29983108448664497</v>
      </c>
      <c r="R126" s="25">
        <f t="shared" si="245"/>
        <v>0.27035481458478117</v>
      </c>
      <c r="S126" s="25">
        <f t="shared" si="246"/>
        <v>0.29816301730773431</v>
      </c>
      <c r="T126" s="25">
        <f t="shared" si="247"/>
        <v>0.30120597721752906</v>
      </c>
      <c r="U126" s="25">
        <f t="shared" si="248"/>
        <v>0.33280580445181007</v>
      </c>
      <c r="V126" s="25">
        <f t="shared" si="249"/>
        <v>0.2823540387254333</v>
      </c>
      <c r="W126" s="25">
        <f t="shared" si="250"/>
        <v>0.21580208943790447</v>
      </c>
      <c r="X126" s="36"/>
      <c r="Y126" s="36"/>
      <c r="AA126" s="124">
        <f t="shared" si="321"/>
        <v>83</v>
      </c>
      <c r="AB126" s="128">
        <f t="shared" si="251"/>
        <v>121867.09470940231</v>
      </c>
      <c r="AC126" s="124">
        <f t="shared" si="322"/>
        <v>83</v>
      </c>
      <c r="AD126" s="130">
        <f t="shared" si="323"/>
        <v>4.4999999999999998E-2</v>
      </c>
      <c r="AE126" s="127">
        <f t="shared" si="324"/>
        <v>1277</v>
      </c>
      <c r="AF126" s="128">
        <f t="shared" si="325"/>
        <v>127577</v>
      </c>
      <c r="AG126" s="128">
        <f t="shared" si="348"/>
        <v>127700</v>
      </c>
      <c r="AH126" s="128">
        <f t="shared" si="357"/>
        <v>127700</v>
      </c>
      <c r="AI126" s="130">
        <f t="shared" si="252"/>
        <v>4.4999999999999998E-2</v>
      </c>
      <c r="AJ126" s="128">
        <f t="shared" si="253"/>
        <v>128178.87499999999</v>
      </c>
      <c r="AK126" s="128" t="str">
        <f t="shared" si="254"/>
        <v>nie</v>
      </c>
      <c r="AL126" s="128">
        <f t="shared" si="255"/>
        <v>638.5</v>
      </c>
      <c r="AM126" s="128">
        <f t="shared" si="361"/>
        <v>127570.70374999999</v>
      </c>
      <c r="AN126" s="128">
        <f t="shared" si="256"/>
        <v>387.88874999998825</v>
      </c>
      <c r="AO126" s="130">
        <f t="shared" si="257"/>
        <v>4.4999999999999998E-2</v>
      </c>
      <c r="AP126" s="128">
        <f t="shared" si="258"/>
        <v>4403.7222696144381</v>
      </c>
      <c r="AQ126" s="128">
        <f t="shared" si="362"/>
        <v>131586.53726961443</v>
      </c>
      <c r="AS126" s="124">
        <f t="shared" si="327"/>
        <v>83</v>
      </c>
      <c r="AT126" s="130">
        <f t="shared" si="328"/>
        <v>4.4999999999999998E-2</v>
      </c>
      <c r="AU126" s="127">
        <f t="shared" si="329"/>
        <v>1269</v>
      </c>
      <c r="AV126" s="128">
        <f t="shared" si="330"/>
        <v>126782.40000000001</v>
      </c>
      <c r="AW126" s="128">
        <f t="shared" si="363"/>
        <v>126900</v>
      </c>
      <c r="AX126" s="128">
        <f t="shared" si="358"/>
        <v>126900</v>
      </c>
      <c r="AY126" s="130">
        <f t="shared" si="259"/>
        <v>4.65E-2</v>
      </c>
      <c r="AZ126" s="128">
        <f t="shared" si="260"/>
        <v>127391.7375</v>
      </c>
      <c r="BA126" s="128" t="str">
        <f t="shared" si="261"/>
        <v>nie</v>
      </c>
      <c r="BB126" s="128">
        <f t="shared" si="262"/>
        <v>888.3</v>
      </c>
      <c r="BC126" s="128">
        <f t="shared" si="158"/>
        <v>126578.784375</v>
      </c>
      <c r="BD126" s="128">
        <f t="shared" si="263"/>
        <v>398.30737500000237</v>
      </c>
      <c r="BE126" s="130">
        <f t="shared" si="264"/>
        <v>4.4999999999999998E-2</v>
      </c>
      <c r="BF126" s="128">
        <f t="shared" si="265"/>
        <v>4476.985189283816</v>
      </c>
      <c r="BG126" s="128">
        <f t="shared" si="159"/>
        <v>130657.46218928382</v>
      </c>
      <c r="BI126" s="124">
        <f t="shared" si="332"/>
        <v>83</v>
      </c>
      <c r="BJ126" s="130">
        <f t="shared" si="354"/>
        <v>4.3200000000000002E-2</v>
      </c>
      <c r="BK126" s="127">
        <f t="shared" si="333"/>
        <v>1268</v>
      </c>
      <c r="BL126" s="128">
        <f t="shared" si="334"/>
        <v>126673.20000000001</v>
      </c>
      <c r="BM126" s="128">
        <f t="shared" si="349"/>
        <v>126800</v>
      </c>
      <c r="BN126" s="128">
        <f t="shared" si="335"/>
        <v>126800</v>
      </c>
      <c r="BO126" s="130">
        <f t="shared" si="266"/>
        <v>4.9000000000000002E-2</v>
      </c>
      <c r="BP126" s="128">
        <f t="shared" si="267"/>
        <v>132495.43333333335</v>
      </c>
      <c r="BQ126" s="128" t="str">
        <f t="shared" si="268"/>
        <v>nie</v>
      </c>
      <c r="BR126" s="128">
        <f t="shared" si="269"/>
        <v>1268</v>
      </c>
      <c r="BS126" s="128">
        <f t="shared" si="364"/>
        <v>130386.22100000002</v>
      </c>
      <c r="BT126" s="128">
        <f t="shared" si="356"/>
        <v>0</v>
      </c>
      <c r="BU126" s="130">
        <f t="shared" si="270"/>
        <v>4.4999999999999998E-2</v>
      </c>
      <c r="BV126" s="128">
        <f t="shared" si="271"/>
        <v>16.327894452329051</v>
      </c>
      <c r="BW126" s="128">
        <f t="shared" si="365"/>
        <v>130402.54889445235</v>
      </c>
      <c r="BY126" s="130">
        <f t="shared" si="360"/>
        <v>2.9000000000000001E-2</v>
      </c>
      <c r="BZ126" s="127">
        <f t="shared" si="337"/>
        <v>1159</v>
      </c>
      <c r="CA126" s="128">
        <f t="shared" si="338"/>
        <v>115796.40000000001</v>
      </c>
      <c r="CB126" s="128">
        <f t="shared" si="366"/>
        <v>115900</v>
      </c>
      <c r="CC126" s="128">
        <f t="shared" si="359"/>
        <v>115900</v>
      </c>
      <c r="CD126" s="130">
        <f t="shared" si="272"/>
        <v>4.3999999999999997E-2</v>
      </c>
      <c r="CE126" s="128">
        <f t="shared" si="273"/>
        <v>120574.63333333333</v>
      </c>
      <c r="CF126" s="128" t="str">
        <f t="shared" si="274"/>
        <v>nie</v>
      </c>
      <c r="CG126" s="128">
        <f t="shared" si="275"/>
        <v>2318</v>
      </c>
      <c r="CH126" s="128">
        <f t="shared" si="160"/>
        <v>117808.87299999999</v>
      </c>
      <c r="CI126" s="128">
        <f t="shared" si="276"/>
        <v>0</v>
      </c>
      <c r="CJ126" s="130">
        <f t="shared" si="277"/>
        <v>4.4999999999999998E-2</v>
      </c>
      <c r="CK126" s="128">
        <f t="shared" si="278"/>
        <v>9599.9028590332509</v>
      </c>
      <c r="CL126" s="128">
        <f t="shared" si="279"/>
        <v>127408.77585903324</v>
      </c>
      <c r="CN126" s="127">
        <f t="shared" si="340"/>
        <v>1000</v>
      </c>
      <c r="CO126" s="128">
        <f t="shared" si="341"/>
        <v>100000</v>
      </c>
      <c r="CP126" s="128">
        <f t="shared" si="342"/>
        <v>100000</v>
      </c>
      <c r="CQ126" s="128">
        <f t="shared" si="343"/>
        <v>134325.29932778631</v>
      </c>
      <c r="CR126" s="130">
        <f t="shared" si="280"/>
        <v>4.9000000000000002E-2</v>
      </c>
      <c r="CS126" s="128">
        <f t="shared" si="281"/>
        <v>140358.74402259273</v>
      </c>
      <c r="CT126" s="128" t="str">
        <f t="shared" si="282"/>
        <v>nie</v>
      </c>
      <c r="CU126" s="128">
        <f t="shared" si="283"/>
        <v>3000</v>
      </c>
      <c r="CV126" s="128">
        <f t="shared" si="284"/>
        <v>130260.5826583001</v>
      </c>
      <c r="CW126" s="128">
        <f t="shared" si="285"/>
        <v>0</v>
      </c>
      <c r="CX126" s="130">
        <f t="shared" si="286"/>
        <v>4.4999999999999998E-2</v>
      </c>
      <c r="CY126" s="128">
        <f t="shared" si="287"/>
        <v>0</v>
      </c>
      <c r="CZ126" s="128">
        <f t="shared" si="288"/>
        <v>130260.5826583001</v>
      </c>
      <c r="DA126" s="20"/>
      <c r="DB126" s="127">
        <f t="shared" si="350"/>
        <v>1274</v>
      </c>
      <c r="DC126" s="128">
        <f t="shared" si="351"/>
        <v>127400</v>
      </c>
      <c r="DD126" s="128">
        <f t="shared" si="344"/>
        <v>127400</v>
      </c>
      <c r="DE126" s="128">
        <f t="shared" si="345"/>
        <v>127400</v>
      </c>
      <c r="DF126" s="130">
        <f t="shared" si="289"/>
        <v>5.45E-2</v>
      </c>
      <c r="DG126" s="128">
        <f t="shared" si="290"/>
        <v>133764.69166666668</v>
      </c>
      <c r="DH126" s="128" t="str">
        <f t="shared" si="291"/>
        <v>nie</v>
      </c>
      <c r="DI126" s="128">
        <f t="shared" si="292"/>
        <v>2548</v>
      </c>
      <c r="DJ126" s="128">
        <f t="shared" si="355"/>
        <v>130491.52025000002</v>
      </c>
      <c r="DK126" s="128">
        <f t="shared" si="294"/>
        <v>0</v>
      </c>
      <c r="DL126" s="130">
        <f t="shared" si="295"/>
        <v>4.4999999999999998E-2</v>
      </c>
      <c r="DM126" s="128">
        <f t="shared" si="296"/>
        <v>98.047138051479223</v>
      </c>
      <c r="DN126" s="128">
        <f t="shared" si="297"/>
        <v>130589.5673880515</v>
      </c>
      <c r="DP126" s="127">
        <f t="shared" si="352"/>
        <v>1000</v>
      </c>
      <c r="DQ126" s="128">
        <f t="shared" si="353"/>
        <v>100000</v>
      </c>
      <c r="DR126" s="128">
        <f t="shared" si="346"/>
        <v>100000</v>
      </c>
      <c r="DS126" s="128">
        <f t="shared" si="347"/>
        <v>137882.42713117256</v>
      </c>
      <c r="DT126" s="130">
        <f t="shared" si="298"/>
        <v>5.4000000000000006E-2</v>
      </c>
      <c r="DU126" s="128">
        <f t="shared" si="299"/>
        <v>144707.60727416561</v>
      </c>
      <c r="DV126" s="128" t="str">
        <f t="shared" si="300"/>
        <v>nie</v>
      </c>
      <c r="DW126" s="128">
        <f t="shared" si="301"/>
        <v>3000</v>
      </c>
      <c r="DX126" s="128">
        <f t="shared" si="302"/>
        <v>133783.16189207413</v>
      </c>
      <c r="DY126" s="128">
        <f t="shared" si="303"/>
        <v>0</v>
      </c>
      <c r="DZ126" s="130">
        <f t="shared" si="304"/>
        <v>4.4999999999999998E-2</v>
      </c>
      <c r="EA126" s="128">
        <f t="shared" si="305"/>
        <v>0</v>
      </c>
      <c r="EB126" s="128">
        <f t="shared" si="306"/>
        <v>133783.16189207413</v>
      </c>
    </row>
    <row r="127" spans="1:132" ht="14.25" customHeight="1">
      <c r="A127" s="212"/>
      <c r="B127" s="188">
        <f t="shared" si="307"/>
        <v>83</v>
      </c>
      <c r="C127" s="128">
        <f t="shared" si="308"/>
        <v>131586.53726961443</v>
      </c>
      <c r="D127" s="128">
        <f t="shared" si="309"/>
        <v>130657.46218928382</v>
      </c>
      <c r="E127" s="128">
        <f t="shared" si="310"/>
        <v>130402.54889445235</v>
      </c>
      <c r="F127" s="128">
        <f t="shared" si="311"/>
        <v>127408.77585903324</v>
      </c>
      <c r="G127" s="128">
        <f t="shared" si="312"/>
        <v>130260.5826583001</v>
      </c>
      <c r="H127" s="128">
        <f t="shared" si="313"/>
        <v>130589.5673880515</v>
      </c>
      <c r="I127" s="128">
        <f t="shared" si="314"/>
        <v>133783.16189207413</v>
      </c>
      <c r="J127" s="128">
        <f t="shared" si="315"/>
        <v>128624.91891180618</v>
      </c>
      <c r="K127" s="128">
        <f t="shared" si="316"/>
        <v>121867.09470940231</v>
      </c>
      <c r="M127" s="36"/>
      <c r="N127" s="32">
        <f t="shared" si="317"/>
        <v>83</v>
      </c>
      <c r="O127" s="25">
        <f t="shared" si="318"/>
        <v>0.31586537269614423</v>
      </c>
      <c r="P127" s="25">
        <f t="shared" si="319"/>
        <v>0.30657462189283824</v>
      </c>
      <c r="Q127" s="25">
        <f t="shared" si="320"/>
        <v>0.30402548894452353</v>
      </c>
      <c r="R127" s="25">
        <f t="shared" si="245"/>
        <v>0.2740877585903323</v>
      </c>
      <c r="S127" s="25">
        <f t="shared" si="246"/>
        <v>0.30260582658300095</v>
      </c>
      <c r="T127" s="25">
        <f t="shared" si="247"/>
        <v>0.30589567388051497</v>
      </c>
      <c r="U127" s="25">
        <f t="shared" si="248"/>
        <v>0.33783161892074132</v>
      </c>
      <c r="V127" s="25">
        <f t="shared" si="249"/>
        <v>0.28624918911806185</v>
      </c>
      <c r="W127" s="25">
        <f t="shared" si="250"/>
        <v>0.21867094709402313</v>
      </c>
      <c r="X127" s="36"/>
      <c r="Y127" s="36"/>
      <c r="AA127" s="124">
        <f t="shared" si="321"/>
        <v>84</v>
      </c>
      <c r="AB127" s="128">
        <f t="shared" si="251"/>
        <v>122153.98047501416</v>
      </c>
      <c r="AC127" s="124">
        <f t="shared" si="322"/>
        <v>84</v>
      </c>
      <c r="AD127" s="130">
        <f t="shared" si="323"/>
        <v>4.4999999999999998E-2</v>
      </c>
      <c r="AE127" s="127">
        <f t="shared" si="324"/>
        <v>1277</v>
      </c>
      <c r="AF127" s="128">
        <f t="shared" si="325"/>
        <v>127577</v>
      </c>
      <c r="AG127" s="128">
        <f t="shared" si="348"/>
        <v>127700</v>
      </c>
      <c r="AH127" s="128">
        <f t="shared" si="357"/>
        <v>127700</v>
      </c>
      <c r="AI127" s="130">
        <f t="shared" si="252"/>
        <v>4.4999999999999998E-2</v>
      </c>
      <c r="AJ127" s="128">
        <f t="shared" si="253"/>
        <v>128178.87499999999</v>
      </c>
      <c r="AK127" s="128" t="str">
        <f t="shared" si="254"/>
        <v>tak</v>
      </c>
      <c r="AL127" s="128">
        <f t="shared" si="255"/>
        <v>0</v>
      </c>
      <c r="AM127" s="128">
        <f t="shared" si="361"/>
        <v>128087.88874999998</v>
      </c>
      <c r="AN127" s="128">
        <f t="shared" si="256"/>
        <v>516.18874999998093</v>
      </c>
      <c r="AO127" s="130">
        <f t="shared" si="257"/>
        <v>4.4999999999999998E-2</v>
      </c>
      <c r="AP127" s="128">
        <f t="shared" si="258"/>
        <v>4933.2873260083734</v>
      </c>
      <c r="AQ127" s="128">
        <f t="shared" si="362"/>
        <v>132504.98732600838</v>
      </c>
      <c r="AS127" s="124">
        <f t="shared" si="327"/>
        <v>84</v>
      </c>
      <c r="AT127" s="130">
        <f t="shared" si="328"/>
        <v>4.4999999999999998E-2</v>
      </c>
      <c r="AU127" s="127">
        <f t="shared" si="329"/>
        <v>1269</v>
      </c>
      <c r="AV127" s="128">
        <f t="shared" si="330"/>
        <v>126782.40000000001</v>
      </c>
      <c r="AW127" s="128">
        <f t="shared" si="363"/>
        <v>126900</v>
      </c>
      <c r="AX127" s="128">
        <f t="shared" si="358"/>
        <v>126900</v>
      </c>
      <c r="AY127" s="130">
        <f t="shared" si="259"/>
        <v>4.65E-2</v>
      </c>
      <c r="AZ127" s="128">
        <f t="shared" si="260"/>
        <v>127391.7375</v>
      </c>
      <c r="BA127" s="128" t="str">
        <f t="shared" si="261"/>
        <v>nie</v>
      </c>
      <c r="BB127" s="128">
        <f t="shared" si="262"/>
        <v>888.3</v>
      </c>
      <c r="BC127" s="128">
        <f t="shared" si="158"/>
        <v>126578.784375</v>
      </c>
      <c r="BD127" s="128">
        <f t="shared" si="263"/>
        <v>398.30737500000237</v>
      </c>
      <c r="BE127" s="130">
        <f t="shared" si="264"/>
        <v>4.4999999999999998E-2</v>
      </c>
      <c r="BF127" s="128">
        <f t="shared" si="265"/>
        <v>4888.8914067962678</v>
      </c>
      <c r="BG127" s="128">
        <f t="shared" si="159"/>
        <v>131069.36840679627</v>
      </c>
      <c r="BI127" s="124">
        <f t="shared" si="332"/>
        <v>84</v>
      </c>
      <c r="BJ127" s="130">
        <f t="shared" si="354"/>
        <v>4.3200000000000002E-2</v>
      </c>
      <c r="BK127" s="127">
        <f t="shared" si="333"/>
        <v>1268</v>
      </c>
      <c r="BL127" s="128">
        <f t="shared" si="334"/>
        <v>126673.20000000001</v>
      </c>
      <c r="BM127" s="128">
        <f t="shared" si="349"/>
        <v>126800</v>
      </c>
      <c r="BN127" s="128">
        <f t="shared" si="335"/>
        <v>126800</v>
      </c>
      <c r="BO127" s="130">
        <f t="shared" si="266"/>
        <v>4.9000000000000002E-2</v>
      </c>
      <c r="BP127" s="128">
        <f t="shared" si="267"/>
        <v>133013.19999999998</v>
      </c>
      <c r="BQ127" s="128" t="str">
        <f t="shared" si="268"/>
        <v>nie</v>
      </c>
      <c r="BR127" s="128">
        <f t="shared" si="269"/>
        <v>1268</v>
      </c>
      <c r="BS127" s="128">
        <f t="shared" si="364"/>
        <v>130805.61199999998</v>
      </c>
      <c r="BT127" s="128">
        <f t="shared" si="356"/>
        <v>0</v>
      </c>
      <c r="BU127" s="130">
        <f t="shared" si="270"/>
        <v>4.4999999999999998E-2</v>
      </c>
      <c r="BV127" s="128">
        <f t="shared" si="271"/>
        <v>16.377490431728003</v>
      </c>
      <c r="BW127" s="128">
        <f t="shared" si="365"/>
        <v>130821.9894904317</v>
      </c>
      <c r="BY127" s="130">
        <f t="shared" si="360"/>
        <v>2.9000000000000001E-2</v>
      </c>
      <c r="BZ127" s="127">
        <f t="shared" si="337"/>
        <v>1159</v>
      </c>
      <c r="CA127" s="128">
        <f t="shared" si="338"/>
        <v>115796.40000000001</v>
      </c>
      <c r="CB127" s="128">
        <f t="shared" si="366"/>
        <v>115900</v>
      </c>
      <c r="CC127" s="128">
        <f t="shared" si="359"/>
        <v>115900</v>
      </c>
      <c r="CD127" s="130">
        <f t="shared" si="272"/>
        <v>4.3999999999999997E-2</v>
      </c>
      <c r="CE127" s="128">
        <f t="shared" si="273"/>
        <v>120999.6</v>
      </c>
      <c r="CF127" s="128" t="str">
        <f t="shared" si="274"/>
        <v>nie</v>
      </c>
      <c r="CG127" s="128">
        <f t="shared" si="275"/>
        <v>2318</v>
      </c>
      <c r="CH127" s="128">
        <f t="shared" si="160"/>
        <v>118153.09600000001</v>
      </c>
      <c r="CI127" s="128">
        <f t="shared" si="276"/>
        <v>4130.6760000000049</v>
      </c>
      <c r="CJ127" s="130">
        <f t="shared" si="277"/>
        <v>4.4999999999999998E-2</v>
      </c>
      <c r="CK127" s="128">
        <f t="shared" si="278"/>
        <v>13759.73856396757</v>
      </c>
      <c r="CL127" s="128">
        <f t="shared" si="279"/>
        <v>127782.15856396758</v>
      </c>
      <c r="CN127" s="127">
        <f t="shared" si="340"/>
        <v>1000</v>
      </c>
      <c r="CO127" s="128">
        <f t="shared" si="341"/>
        <v>100000</v>
      </c>
      <c r="CP127" s="128">
        <f t="shared" si="342"/>
        <v>100000</v>
      </c>
      <c r="CQ127" s="128">
        <f t="shared" si="343"/>
        <v>134325.29932778631</v>
      </c>
      <c r="CR127" s="130">
        <f t="shared" si="280"/>
        <v>4.9000000000000002E-2</v>
      </c>
      <c r="CS127" s="128">
        <f t="shared" si="281"/>
        <v>140907.23899484784</v>
      </c>
      <c r="CT127" s="128" t="str">
        <f t="shared" si="282"/>
        <v>nie</v>
      </c>
      <c r="CU127" s="128">
        <f t="shared" si="283"/>
        <v>3000</v>
      </c>
      <c r="CV127" s="128">
        <f t="shared" si="284"/>
        <v>130704.86358582675</v>
      </c>
      <c r="CW127" s="128">
        <f t="shared" si="285"/>
        <v>0</v>
      </c>
      <c r="CX127" s="130">
        <f t="shared" si="286"/>
        <v>4.4999999999999998E-2</v>
      </c>
      <c r="CY127" s="128">
        <f t="shared" si="287"/>
        <v>0</v>
      </c>
      <c r="CZ127" s="128">
        <f t="shared" si="288"/>
        <v>130704.86358582675</v>
      </c>
      <c r="DA127" s="20"/>
      <c r="DB127" s="127">
        <f t="shared" si="350"/>
        <v>1274</v>
      </c>
      <c r="DC127" s="128">
        <f t="shared" si="351"/>
        <v>127400</v>
      </c>
      <c r="DD127" s="128">
        <f t="shared" si="344"/>
        <v>127400</v>
      </c>
      <c r="DE127" s="128">
        <f t="shared" si="345"/>
        <v>127400</v>
      </c>
      <c r="DF127" s="130">
        <f t="shared" si="289"/>
        <v>5.45E-2</v>
      </c>
      <c r="DG127" s="128">
        <f t="shared" si="290"/>
        <v>134343.29999999999</v>
      </c>
      <c r="DH127" s="128" t="str">
        <f t="shared" si="291"/>
        <v>nie</v>
      </c>
      <c r="DI127" s="128">
        <f t="shared" si="292"/>
        <v>2548</v>
      </c>
      <c r="DJ127" s="128">
        <f t="shared" si="355"/>
        <v>130960.19299999998</v>
      </c>
      <c r="DK127" s="128">
        <f t="shared" si="294"/>
        <v>0</v>
      </c>
      <c r="DL127" s="130">
        <f t="shared" si="295"/>
        <v>4.4999999999999998E-2</v>
      </c>
      <c r="DM127" s="128">
        <f t="shared" si="296"/>
        <v>98.344956233310597</v>
      </c>
      <c r="DN127" s="128">
        <f t="shared" si="297"/>
        <v>131058.5379562333</v>
      </c>
      <c r="DP127" s="127">
        <f t="shared" si="352"/>
        <v>1000</v>
      </c>
      <c r="DQ127" s="128">
        <f t="shared" si="353"/>
        <v>100000</v>
      </c>
      <c r="DR127" s="128">
        <f t="shared" si="346"/>
        <v>100000</v>
      </c>
      <c r="DS127" s="128">
        <f t="shared" si="347"/>
        <v>137882.42713117256</v>
      </c>
      <c r="DT127" s="130">
        <f t="shared" si="298"/>
        <v>5.4000000000000006E-2</v>
      </c>
      <c r="DU127" s="128">
        <f t="shared" si="299"/>
        <v>145328.0781962559</v>
      </c>
      <c r="DV127" s="128" t="str">
        <f t="shared" si="300"/>
        <v>nie</v>
      </c>
      <c r="DW127" s="128">
        <f t="shared" si="301"/>
        <v>3000</v>
      </c>
      <c r="DX127" s="128">
        <f t="shared" si="302"/>
        <v>134285.74333896727</v>
      </c>
      <c r="DY127" s="128">
        <f t="shared" si="303"/>
        <v>0</v>
      </c>
      <c r="DZ127" s="130">
        <f t="shared" si="304"/>
        <v>4.4999999999999998E-2</v>
      </c>
      <c r="EA127" s="128">
        <f t="shared" si="305"/>
        <v>0</v>
      </c>
      <c r="EB127" s="128">
        <f t="shared" si="306"/>
        <v>134285.74333896727</v>
      </c>
    </row>
    <row r="128" spans="1:132">
      <c r="A128" s="212"/>
      <c r="B128" s="188">
        <f t="shared" si="307"/>
        <v>84</v>
      </c>
      <c r="C128" s="128">
        <f t="shared" si="308"/>
        <v>132504.98732600838</v>
      </c>
      <c r="D128" s="128">
        <f t="shared" si="309"/>
        <v>131069.36840679627</v>
      </c>
      <c r="E128" s="128">
        <f t="shared" si="310"/>
        <v>130821.9894904317</v>
      </c>
      <c r="F128" s="128">
        <f t="shared" si="311"/>
        <v>127782.15856396758</v>
      </c>
      <c r="G128" s="128">
        <f t="shared" si="312"/>
        <v>130704.86358582675</v>
      </c>
      <c r="H128" s="128">
        <f t="shared" si="313"/>
        <v>131058.5379562333</v>
      </c>
      <c r="I128" s="128">
        <f t="shared" si="314"/>
        <v>134285.74333896727</v>
      </c>
      <c r="J128" s="128">
        <f t="shared" si="315"/>
        <v>129015.6171030008</v>
      </c>
      <c r="K128" s="128">
        <f t="shared" si="316"/>
        <v>122153.98047501416</v>
      </c>
      <c r="M128" s="36"/>
      <c r="N128" s="32">
        <f t="shared" si="317"/>
        <v>84</v>
      </c>
      <c r="O128" s="25">
        <f t="shared" si="318"/>
        <v>0.32504987326008394</v>
      </c>
      <c r="P128" s="25">
        <f t="shared" si="319"/>
        <v>0.31069368406796283</v>
      </c>
      <c r="Q128" s="25">
        <f t="shared" si="320"/>
        <v>0.30821989490431712</v>
      </c>
      <c r="R128" s="25">
        <f t="shared" si="245"/>
        <v>0.27782158563967574</v>
      </c>
      <c r="S128" s="25">
        <f t="shared" si="246"/>
        <v>0.30704863585826758</v>
      </c>
      <c r="T128" s="25">
        <f t="shared" si="247"/>
        <v>0.31058537956233301</v>
      </c>
      <c r="U128" s="25">
        <f t="shared" si="248"/>
        <v>0.34285743338967256</v>
      </c>
      <c r="V128" s="25">
        <f t="shared" si="249"/>
        <v>0.29015617103000801</v>
      </c>
      <c r="W128" s="25">
        <f t="shared" si="250"/>
        <v>0.22153980475014157</v>
      </c>
      <c r="X128" s="36"/>
      <c r="Y128" s="36"/>
      <c r="AA128" s="124">
        <f t="shared" si="321"/>
        <v>85</v>
      </c>
      <c r="AB128" s="128">
        <f t="shared" si="251"/>
        <v>122449.18592782879</v>
      </c>
      <c r="AC128" s="124">
        <f t="shared" si="322"/>
        <v>85</v>
      </c>
      <c r="AD128" s="130">
        <f t="shared" si="323"/>
        <v>4.4999999999999998E-2</v>
      </c>
      <c r="AE128" s="127">
        <f t="shared" si="324"/>
        <v>1331</v>
      </c>
      <c r="AF128" s="128">
        <f t="shared" si="325"/>
        <v>132971.79999999999</v>
      </c>
      <c r="AG128" s="128">
        <f t="shared" si="348"/>
        <v>133100</v>
      </c>
      <c r="AH128" s="128">
        <f t="shared" si="357"/>
        <v>133100</v>
      </c>
      <c r="AI128" s="130">
        <f t="shared" si="252"/>
        <v>4.4999999999999998E-2</v>
      </c>
      <c r="AJ128" s="128">
        <f t="shared" si="253"/>
        <v>133599.125</v>
      </c>
      <c r="AK128" s="128" t="str">
        <f t="shared" si="254"/>
        <v>nie</v>
      </c>
      <c r="AL128" s="128">
        <f t="shared" si="255"/>
        <v>499.125</v>
      </c>
      <c r="AM128" s="128">
        <f t="shared" si="361"/>
        <v>133100</v>
      </c>
      <c r="AN128" s="128">
        <f t="shared" si="256"/>
        <v>404.29125000000005</v>
      </c>
      <c r="AO128" s="130">
        <f t="shared" si="257"/>
        <v>4.4999999999999998E-2</v>
      </c>
      <c r="AP128" s="128">
        <f t="shared" si="258"/>
        <v>437.67968626112389</v>
      </c>
      <c r="AQ128" s="128">
        <f t="shared" si="362"/>
        <v>138048.27218626114</v>
      </c>
      <c r="AS128" s="124">
        <f t="shared" si="327"/>
        <v>85</v>
      </c>
      <c r="AT128" s="130">
        <f t="shared" si="328"/>
        <v>4.4999999999999998E-2</v>
      </c>
      <c r="AU128" s="127">
        <f t="shared" si="329"/>
        <v>1269</v>
      </c>
      <c r="AV128" s="128">
        <f t="shared" si="330"/>
        <v>126782.40000000001</v>
      </c>
      <c r="AW128" s="128">
        <f t="shared" si="363"/>
        <v>126900</v>
      </c>
      <c r="AX128" s="128">
        <f t="shared" si="358"/>
        <v>126900</v>
      </c>
      <c r="AY128" s="130">
        <f t="shared" si="259"/>
        <v>4.65E-2</v>
      </c>
      <c r="AZ128" s="128">
        <f t="shared" si="260"/>
        <v>127391.7375</v>
      </c>
      <c r="BA128" s="128" t="str">
        <f t="shared" si="261"/>
        <v>nie</v>
      </c>
      <c r="BB128" s="128">
        <f t="shared" si="262"/>
        <v>888.3</v>
      </c>
      <c r="BC128" s="128">
        <f t="shared" si="158"/>
        <v>126578.784375</v>
      </c>
      <c r="BD128" s="128">
        <f t="shared" si="263"/>
        <v>398.30737500000237</v>
      </c>
      <c r="BE128" s="130">
        <f t="shared" si="264"/>
        <v>4.4999999999999998E-2</v>
      </c>
      <c r="BF128" s="128">
        <f t="shared" si="265"/>
        <v>5302.0487894444141</v>
      </c>
      <c r="BG128" s="128">
        <f t="shared" si="159"/>
        <v>131482.52578944442</v>
      </c>
      <c r="BI128" s="124">
        <f t="shared" si="332"/>
        <v>85</v>
      </c>
      <c r="BJ128" s="130">
        <f t="shared" si="354"/>
        <v>4.3200000000000002E-2</v>
      </c>
      <c r="BK128" s="127">
        <f t="shared" si="333"/>
        <v>1268</v>
      </c>
      <c r="BL128" s="128">
        <f t="shared" si="334"/>
        <v>126673.20000000001</v>
      </c>
      <c r="BM128" s="128">
        <f t="shared" si="349"/>
        <v>126800</v>
      </c>
      <c r="BN128" s="128">
        <f t="shared" si="335"/>
        <v>133013.19999999998</v>
      </c>
      <c r="BO128" s="130">
        <f t="shared" si="266"/>
        <v>4.9000000000000002E-2</v>
      </c>
      <c r="BP128" s="128">
        <f t="shared" si="267"/>
        <v>133556.33723333332</v>
      </c>
      <c r="BQ128" s="128" t="str">
        <f t="shared" si="268"/>
        <v>nie</v>
      </c>
      <c r="BR128" s="128">
        <f t="shared" si="269"/>
        <v>1268</v>
      </c>
      <c r="BS128" s="128">
        <f t="shared" si="364"/>
        <v>131245.553159</v>
      </c>
      <c r="BT128" s="128">
        <f t="shared" si="356"/>
        <v>0</v>
      </c>
      <c r="BU128" s="130">
        <f t="shared" si="270"/>
        <v>4.4999999999999998E-2</v>
      </c>
      <c r="BV128" s="128">
        <f t="shared" si="271"/>
        <v>16.427237058914375</v>
      </c>
      <c r="BW128" s="128">
        <f t="shared" si="365"/>
        <v>131261.98039605891</v>
      </c>
      <c r="BY128" s="130">
        <f t="shared" si="360"/>
        <v>2.9000000000000001E-2</v>
      </c>
      <c r="BZ128" s="127">
        <f t="shared" si="337"/>
        <v>1159</v>
      </c>
      <c r="CA128" s="128">
        <f t="shared" si="338"/>
        <v>115796.40000000001</v>
      </c>
      <c r="CB128" s="128">
        <f t="shared" si="366"/>
        <v>115900</v>
      </c>
      <c r="CC128" s="128">
        <f t="shared" si="359"/>
        <v>115900</v>
      </c>
      <c r="CD128" s="130">
        <f t="shared" si="272"/>
        <v>4.3999999999999997E-2</v>
      </c>
      <c r="CE128" s="128">
        <f t="shared" si="273"/>
        <v>116324.96666666667</v>
      </c>
      <c r="CF128" s="128" t="str">
        <f t="shared" si="274"/>
        <v>nie</v>
      </c>
      <c r="CG128" s="128">
        <f t="shared" si="275"/>
        <v>2318</v>
      </c>
      <c r="CH128" s="128">
        <f t="shared" si="160"/>
        <v>114366.64300000001</v>
      </c>
      <c r="CI128" s="128">
        <f t="shared" si="276"/>
        <v>0</v>
      </c>
      <c r="CJ128" s="130">
        <f t="shared" si="277"/>
        <v>4.4999999999999998E-2</v>
      </c>
      <c r="CK128" s="128">
        <f t="shared" si="278"/>
        <v>13801.533769855621</v>
      </c>
      <c r="CL128" s="128">
        <f t="shared" si="279"/>
        <v>128168.17676985564</v>
      </c>
      <c r="CN128" s="127">
        <f t="shared" si="340"/>
        <v>1000</v>
      </c>
      <c r="CO128" s="128">
        <f t="shared" si="341"/>
        <v>100000</v>
      </c>
      <c r="CP128" s="128">
        <f t="shared" si="342"/>
        <v>100000</v>
      </c>
      <c r="CQ128" s="128">
        <f t="shared" si="343"/>
        <v>140907.23899484784</v>
      </c>
      <c r="CR128" s="130">
        <f t="shared" si="280"/>
        <v>4.9000000000000002E-2</v>
      </c>
      <c r="CS128" s="128">
        <f t="shared" si="281"/>
        <v>141482.61022074349</v>
      </c>
      <c r="CT128" s="128" t="str">
        <f t="shared" si="282"/>
        <v>nie</v>
      </c>
      <c r="CU128" s="128">
        <f t="shared" si="283"/>
        <v>3000</v>
      </c>
      <c r="CV128" s="128">
        <f t="shared" si="284"/>
        <v>131170.91427880223</v>
      </c>
      <c r="CW128" s="128">
        <f t="shared" si="285"/>
        <v>0</v>
      </c>
      <c r="CX128" s="130">
        <f t="shared" si="286"/>
        <v>4.4999999999999998E-2</v>
      </c>
      <c r="CY128" s="128">
        <f t="shared" si="287"/>
        <v>0</v>
      </c>
      <c r="CZ128" s="128">
        <f t="shared" si="288"/>
        <v>131170.91427880223</v>
      </c>
      <c r="DA128" s="20"/>
      <c r="DB128" s="127">
        <f t="shared" si="350"/>
        <v>1274</v>
      </c>
      <c r="DC128" s="128">
        <f t="shared" si="351"/>
        <v>127400</v>
      </c>
      <c r="DD128" s="128">
        <f t="shared" si="344"/>
        <v>127400</v>
      </c>
      <c r="DE128" s="128">
        <f t="shared" si="345"/>
        <v>134343.29999999999</v>
      </c>
      <c r="DF128" s="130">
        <f t="shared" si="289"/>
        <v>4.9000000000000002E-2</v>
      </c>
      <c r="DG128" s="128">
        <f t="shared" si="290"/>
        <v>134891.868475</v>
      </c>
      <c r="DH128" s="128" t="str">
        <f t="shared" si="291"/>
        <v>nie</v>
      </c>
      <c r="DI128" s="128">
        <f t="shared" si="292"/>
        <v>2548</v>
      </c>
      <c r="DJ128" s="128">
        <f t="shared" si="355"/>
        <v>131404.53346474998</v>
      </c>
      <c r="DK128" s="128">
        <f t="shared" si="294"/>
        <v>0</v>
      </c>
      <c r="DL128" s="130">
        <f t="shared" si="295"/>
        <v>4.4999999999999998E-2</v>
      </c>
      <c r="DM128" s="128">
        <f t="shared" si="296"/>
        <v>98.643679037869276</v>
      </c>
      <c r="DN128" s="128">
        <f t="shared" si="297"/>
        <v>131503.17714378785</v>
      </c>
      <c r="DP128" s="127">
        <f t="shared" si="352"/>
        <v>1000</v>
      </c>
      <c r="DQ128" s="128">
        <f t="shared" si="353"/>
        <v>100000</v>
      </c>
      <c r="DR128" s="128">
        <f t="shared" si="346"/>
        <v>100000</v>
      </c>
      <c r="DS128" s="128">
        <f t="shared" si="347"/>
        <v>145328.0781962559</v>
      </c>
      <c r="DT128" s="130">
        <f t="shared" si="298"/>
        <v>5.4000000000000006E-2</v>
      </c>
      <c r="DU128" s="128">
        <f t="shared" si="299"/>
        <v>145982.05454813904</v>
      </c>
      <c r="DV128" s="128" t="str">
        <f t="shared" si="300"/>
        <v>nie</v>
      </c>
      <c r="DW128" s="128">
        <f t="shared" si="301"/>
        <v>3000</v>
      </c>
      <c r="DX128" s="128">
        <f t="shared" si="302"/>
        <v>134815.46418399262</v>
      </c>
      <c r="DY128" s="128">
        <f t="shared" si="303"/>
        <v>0</v>
      </c>
      <c r="DZ128" s="130">
        <f t="shared" si="304"/>
        <v>4.4999999999999998E-2</v>
      </c>
      <c r="EA128" s="128">
        <f t="shared" si="305"/>
        <v>0</v>
      </c>
      <c r="EB128" s="128">
        <f t="shared" si="306"/>
        <v>134815.46418399262</v>
      </c>
    </row>
    <row r="129" spans="1:132">
      <c r="A129" s="212">
        <f>ROUNDUP(B140/12,0)</f>
        <v>8</v>
      </c>
      <c r="B129" s="188">
        <f t="shared" si="307"/>
        <v>85</v>
      </c>
      <c r="C129" s="128">
        <f t="shared" si="308"/>
        <v>138048.27218626114</v>
      </c>
      <c r="D129" s="128">
        <f t="shared" si="309"/>
        <v>131482.52578944442</v>
      </c>
      <c r="E129" s="128">
        <f t="shared" si="310"/>
        <v>131261.98039605891</v>
      </c>
      <c r="F129" s="128">
        <f t="shared" si="311"/>
        <v>128168.17676985564</v>
      </c>
      <c r="G129" s="128">
        <f t="shared" si="312"/>
        <v>131170.91427880223</v>
      </c>
      <c r="H129" s="128">
        <f t="shared" si="313"/>
        <v>131503.17714378785</v>
      </c>
      <c r="I129" s="128">
        <f t="shared" si="314"/>
        <v>134815.46418399262</v>
      </c>
      <c r="J129" s="128">
        <f t="shared" si="315"/>
        <v>129407.50203995117</v>
      </c>
      <c r="K129" s="128">
        <f t="shared" si="316"/>
        <v>122449.18592782879</v>
      </c>
      <c r="M129" s="36"/>
      <c r="N129" s="32">
        <f t="shared" si="317"/>
        <v>85</v>
      </c>
      <c r="O129" s="25">
        <f t="shared" si="318"/>
        <v>0.38048272186261145</v>
      </c>
      <c r="P129" s="25">
        <f t="shared" si="319"/>
        <v>0.31482525789444415</v>
      </c>
      <c r="Q129" s="25">
        <f t="shared" si="320"/>
        <v>0.31261980396058897</v>
      </c>
      <c r="R129" s="25">
        <f t="shared" si="245"/>
        <v>0.28168176769855635</v>
      </c>
      <c r="S129" s="25">
        <f t="shared" si="246"/>
        <v>0.31170914278802231</v>
      </c>
      <c r="T129" s="25">
        <f t="shared" si="247"/>
        <v>0.31503177143787853</v>
      </c>
      <c r="U129" s="25">
        <f t="shared" si="248"/>
        <v>0.34815464183992617</v>
      </c>
      <c r="V129" s="25">
        <f t="shared" si="249"/>
        <v>0.29407502039951172</v>
      </c>
      <c r="W129" s="25">
        <f t="shared" si="250"/>
        <v>0.22449185927828785</v>
      </c>
      <c r="X129" s="36"/>
      <c r="Y129" s="36"/>
      <c r="AA129" s="124">
        <f t="shared" si="321"/>
        <v>86</v>
      </c>
      <c r="AB129" s="128">
        <f t="shared" si="251"/>
        <v>122744.39138064338</v>
      </c>
      <c r="AC129" s="124">
        <f t="shared" si="322"/>
        <v>86</v>
      </c>
      <c r="AD129" s="130">
        <f t="shared" si="323"/>
        <v>4.4999999999999998E-2</v>
      </c>
      <c r="AE129" s="127">
        <f t="shared" si="324"/>
        <v>1331</v>
      </c>
      <c r="AF129" s="128">
        <f t="shared" si="325"/>
        <v>132971.79999999999</v>
      </c>
      <c r="AG129" s="128">
        <f t="shared" si="348"/>
        <v>133100</v>
      </c>
      <c r="AH129" s="128">
        <f t="shared" si="357"/>
        <v>133100</v>
      </c>
      <c r="AI129" s="130">
        <f t="shared" si="252"/>
        <v>4.4999999999999998E-2</v>
      </c>
      <c r="AJ129" s="128">
        <f t="shared" si="253"/>
        <v>133599.125</v>
      </c>
      <c r="AK129" s="128" t="str">
        <f t="shared" si="254"/>
        <v>nie</v>
      </c>
      <c r="AL129" s="128">
        <f t="shared" si="255"/>
        <v>665.5</v>
      </c>
      <c r="AM129" s="128">
        <f t="shared" si="361"/>
        <v>132965.23624999999</v>
      </c>
      <c r="AN129" s="128">
        <f t="shared" si="256"/>
        <v>404.29125000000005</v>
      </c>
      <c r="AO129" s="130">
        <f t="shared" si="257"/>
        <v>4.4999999999999998E-2</v>
      </c>
      <c r="AP129" s="128">
        <f t="shared" si="258"/>
        <v>843.30038830814215</v>
      </c>
      <c r="AQ129" s="128">
        <f t="shared" si="362"/>
        <v>133404.24538830813</v>
      </c>
      <c r="AS129" s="124">
        <f t="shared" si="327"/>
        <v>86</v>
      </c>
      <c r="AT129" s="130">
        <f t="shared" si="328"/>
        <v>4.4999999999999998E-2</v>
      </c>
      <c r="AU129" s="127">
        <f t="shared" si="329"/>
        <v>1269</v>
      </c>
      <c r="AV129" s="128">
        <f t="shared" si="330"/>
        <v>126782.40000000001</v>
      </c>
      <c r="AW129" s="128">
        <f t="shared" si="363"/>
        <v>126900</v>
      </c>
      <c r="AX129" s="128">
        <f t="shared" si="358"/>
        <v>126900</v>
      </c>
      <c r="AY129" s="130">
        <f t="shared" si="259"/>
        <v>4.65E-2</v>
      </c>
      <c r="AZ129" s="128">
        <f t="shared" si="260"/>
        <v>127391.7375</v>
      </c>
      <c r="BA129" s="128" t="str">
        <f t="shared" si="261"/>
        <v>nie</v>
      </c>
      <c r="BB129" s="128">
        <f t="shared" si="262"/>
        <v>888.3</v>
      </c>
      <c r="BC129" s="128">
        <f t="shared" si="158"/>
        <v>126578.784375</v>
      </c>
      <c r="BD129" s="128">
        <f t="shared" si="263"/>
        <v>398.30737500000237</v>
      </c>
      <c r="BE129" s="130">
        <f t="shared" si="264"/>
        <v>4.4999999999999998E-2</v>
      </c>
      <c r="BF129" s="128">
        <f t="shared" si="265"/>
        <v>5716.4611376423536</v>
      </c>
      <c r="BG129" s="128">
        <f t="shared" si="159"/>
        <v>131896.93813764234</v>
      </c>
      <c r="BI129" s="124">
        <f t="shared" si="332"/>
        <v>86</v>
      </c>
      <c r="BJ129" s="130">
        <f t="shared" si="354"/>
        <v>4.3200000000000002E-2</v>
      </c>
      <c r="BK129" s="127">
        <f t="shared" si="333"/>
        <v>1268</v>
      </c>
      <c r="BL129" s="128">
        <f t="shared" si="334"/>
        <v>126673.20000000001</v>
      </c>
      <c r="BM129" s="128">
        <f t="shared" si="349"/>
        <v>126800</v>
      </c>
      <c r="BN129" s="128">
        <f t="shared" si="335"/>
        <v>133013.19999999998</v>
      </c>
      <c r="BO129" s="130">
        <f t="shared" si="266"/>
        <v>4.9000000000000002E-2</v>
      </c>
      <c r="BP129" s="128">
        <f t="shared" si="267"/>
        <v>134099.47446666664</v>
      </c>
      <c r="BQ129" s="128" t="str">
        <f t="shared" si="268"/>
        <v>nie</v>
      </c>
      <c r="BR129" s="128">
        <f t="shared" si="269"/>
        <v>1268</v>
      </c>
      <c r="BS129" s="128">
        <f t="shared" si="364"/>
        <v>131685.49431799998</v>
      </c>
      <c r="BT129" s="128">
        <f t="shared" si="356"/>
        <v>0</v>
      </c>
      <c r="BU129" s="130">
        <f t="shared" si="270"/>
        <v>4.4999999999999998E-2</v>
      </c>
      <c r="BV129" s="128">
        <f t="shared" si="271"/>
        <v>16.477134791480829</v>
      </c>
      <c r="BW129" s="128">
        <f t="shared" si="365"/>
        <v>131701.97145279148</v>
      </c>
      <c r="BY129" s="130">
        <f t="shared" si="360"/>
        <v>2.9000000000000001E-2</v>
      </c>
      <c r="BZ129" s="127">
        <f t="shared" si="337"/>
        <v>1159</v>
      </c>
      <c r="CA129" s="128">
        <f t="shared" si="338"/>
        <v>115796.40000000001</v>
      </c>
      <c r="CB129" s="128">
        <f t="shared" si="366"/>
        <v>115900</v>
      </c>
      <c r="CC129" s="128">
        <f t="shared" si="359"/>
        <v>115900</v>
      </c>
      <c r="CD129" s="130">
        <f t="shared" si="272"/>
        <v>4.3999999999999997E-2</v>
      </c>
      <c r="CE129" s="128">
        <f t="shared" si="273"/>
        <v>116749.93333333335</v>
      </c>
      <c r="CF129" s="128" t="str">
        <f t="shared" si="274"/>
        <v>nie</v>
      </c>
      <c r="CG129" s="128">
        <f t="shared" si="275"/>
        <v>2318</v>
      </c>
      <c r="CH129" s="128">
        <f t="shared" si="160"/>
        <v>114710.86600000001</v>
      </c>
      <c r="CI129" s="128">
        <f t="shared" si="276"/>
        <v>0</v>
      </c>
      <c r="CJ129" s="130">
        <f t="shared" si="277"/>
        <v>4.4999999999999998E-2</v>
      </c>
      <c r="CK129" s="128">
        <f t="shared" si="278"/>
        <v>13843.455928681558</v>
      </c>
      <c r="CL129" s="128">
        <f t="shared" si="279"/>
        <v>128554.32192868157</v>
      </c>
      <c r="CN129" s="127">
        <f t="shared" si="340"/>
        <v>1000</v>
      </c>
      <c r="CO129" s="128">
        <f t="shared" si="341"/>
        <v>100000</v>
      </c>
      <c r="CP129" s="128">
        <f t="shared" si="342"/>
        <v>100000</v>
      </c>
      <c r="CQ129" s="128">
        <f t="shared" si="343"/>
        <v>140907.23899484784</v>
      </c>
      <c r="CR129" s="130">
        <f t="shared" si="280"/>
        <v>4.9000000000000002E-2</v>
      </c>
      <c r="CS129" s="128">
        <f t="shared" si="281"/>
        <v>142057.98144663908</v>
      </c>
      <c r="CT129" s="128" t="str">
        <f t="shared" si="282"/>
        <v>nie</v>
      </c>
      <c r="CU129" s="128">
        <f t="shared" si="283"/>
        <v>3000</v>
      </c>
      <c r="CV129" s="128">
        <f t="shared" si="284"/>
        <v>131636.96497177766</v>
      </c>
      <c r="CW129" s="128">
        <f t="shared" si="285"/>
        <v>0</v>
      </c>
      <c r="CX129" s="130">
        <f t="shared" si="286"/>
        <v>4.4999999999999998E-2</v>
      </c>
      <c r="CY129" s="128">
        <f t="shared" si="287"/>
        <v>0</v>
      </c>
      <c r="CZ129" s="128">
        <f t="shared" si="288"/>
        <v>131636.96497177766</v>
      </c>
      <c r="DA129" s="20"/>
      <c r="DB129" s="127">
        <f t="shared" si="350"/>
        <v>1274</v>
      </c>
      <c r="DC129" s="128">
        <f t="shared" si="351"/>
        <v>127400</v>
      </c>
      <c r="DD129" s="128">
        <f t="shared" si="344"/>
        <v>127400</v>
      </c>
      <c r="DE129" s="128">
        <f t="shared" si="345"/>
        <v>134343.29999999999</v>
      </c>
      <c r="DF129" s="130">
        <f t="shared" si="289"/>
        <v>4.9000000000000002E-2</v>
      </c>
      <c r="DG129" s="128">
        <f t="shared" si="290"/>
        <v>135440.43694999997</v>
      </c>
      <c r="DH129" s="128" t="str">
        <f t="shared" si="291"/>
        <v>nie</v>
      </c>
      <c r="DI129" s="128">
        <f t="shared" si="292"/>
        <v>2548</v>
      </c>
      <c r="DJ129" s="128">
        <f t="shared" si="355"/>
        <v>131848.87392949997</v>
      </c>
      <c r="DK129" s="128">
        <f t="shared" si="294"/>
        <v>0</v>
      </c>
      <c r="DL129" s="130">
        <f t="shared" si="295"/>
        <v>4.4999999999999998E-2</v>
      </c>
      <c r="DM129" s="128">
        <f t="shared" si="296"/>
        <v>98.943309212946801</v>
      </c>
      <c r="DN129" s="128">
        <f t="shared" si="297"/>
        <v>131947.81723871292</v>
      </c>
      <c r="DP129" s="127">
        <f t="shared" si="352"/>
        <v>1000</v>
      </c>
      <c r="DQ129" s="128">
        <f t="shared" si="353"/>
        <v>100000</v>
      </c>
      <c r="DR129" s="128">
        <f t="shared" si="346"/>
        <v>100000</v>
      </c>
      <c r="DS129" s="128">
        <f t="shared" si="347"/>
        <v>145328.0781962559</v>
      </c>
      <c r="DT129" s="130">
        <f t="shared" si="298"/>
        <v>5.4000000000000006E-2</v>
      </c>
      <c r="DU129" s="128">
        <f t="shared" si="299"/>
        <v>146636.03090002219</v>
      </c>
      <c r="DV129" s="128" t="str">
        <f t="shared" si="300"/>
        <v>nie</v>
      </c>
      <c r="DW129" s="128">
        <f t="shared" si="301"/>
        <v>3000</v>
      </c>
      <c r="DX129" s="128">
        <f t="shared" si="302"/>
        <v>135345.18502901797</v>
      </c>
      <c r="DY129" s="128">
        <f t="shared" si="303"/>
        <v>0</v>
      </c>
      <c r="DZ129" s="130">
        <f t="shared" si="304"/>
        <v>4.4999999999999998E-2</v>
      </c>
      <c r="EA129" s="128">
        <f t="shared" si="305"/>
        <v>0</v>
      </c>
      <c r="EB129" s="128">
        <f t="shared" si="306"/>
        <v>135345.18502901797</v>
      </c>
    </row>
    <row r="130" spans="1:132">
      <c r="A130" s="212"/>
      <c r="B130" s="188">
        <f t="shared" si="307"/>
        <v>86</v>
      </c>
      <c r="C130" s="128">
        <f t="shared" si="308"/>
        <v>133404.24538830813</v>
      </c>
      <c r="D130" s="128">
        <f t="shared" si="309"/>
        <v>131896.93813764234</v>
      </c>
      <c r="E130" s="128">
        <f t="shared" si="310"/>
        <v>131701.97145279148</v>
      </c>
      <c r="F130" s="128">
        <f t="shared" si="311"/>
        <v>128554.32192868157</v>
      </c>
      <c r="G130" s="128">
        <f t="shared" si="312"/>
        <v>131636.96497177766</v>
      </c>
      <c r="H130" s="128">
        <f t="shared" si="313"/>
        <v>131947.81723871292</v>
      </c>
      <c r="I130" s="128">
        <f t="shared" si="314"/>
        <v>135345.18502901797</v>
      </c>
      <c r="J130" s="128">
        <f t="shared" si="315"/>
        <v>129800.57732739752</v>
      </c>
      <c r="K130" s="128">
        <f t="shared" si="316"/>
        <v>122744.39138064338</v>
      </c>
      <c r="M130" s="36"/>
      <c r="N130" s="32">
        <f t="shared" si="317"/>
        <v>86</v>
      </c>
      <c r="O130" s="25">
        <f t="shared" si="318"/>
        <v>0.33404245388308129</v>
      </c>
      <c r="P130" s="25">
        <f t="shared" si="319"/>
        <v>0.31896938137642339</v>
      </c>
      <c r="Q130" s="25">
        <f t="shared" si="320"/>
        <v>0.31701971452791478</v>
      </c>
      <c r="R130" s="25">
        <f t="shared" si="245"/>
        <v>0.2855432192868157</v>
      </c>
      <c r="S130" s="25">
        <f t="shared" si="246"/>
        <v>0.31636964971777659</v>
      </c>
      <c r="T130" s="25">
        <f t="shared" si="247"/>
        <v>0.31947817238712917</v>
      </c>
      <c r="U130" s="25">
        <f t="shared" si="248"/>
        <v>0.35345185029017978</v>
      </c>
      <c r="V130" s="25">
        <f t="shared" si="249"/>
        <v>0.29800577327397515</v>
      </c>
      <c r="W130" s="25">
        <f t="shared" si="250"/>
        <v>0.22744391380643392</v>
      </c>
      <c r="X130" s="36"/>
      <c r="Y130" s="36"/>
      <c r="AA130" s="124">
        <f t="shared" si="321"/>
        <v>87</v>
      </c>
      <c r="AB130" s="128">
        <f t="shared" si="251"/>
        <v>123039.59683345801</v>
      </c>
      <c r="AC130" s="124">
        <f t="shared" si="322"/>
        <v>87</v>
      </c>
      <c r="AD130" s="130">
        <f t="shared" si="323"/>
        <v>4.4999999999999998E-2</v>
      </c>
      <c r="AE130" s="127">
        <f t="shared" si="324"/>
        <v>1331</v>
      </c>
      <c r="AF130" s="128">
        <f t="shared" si="325"/>
        <v>132971.79999999999</v>
      </c>
      <c r="AG130" s="128">
        <f t="shared" si="348"/>
        <v>133100</v>
      </c>
      <c r="AH130" s="128">
        <f t="shared" si="357"/>
        <v>133100</v>
      </c>
      <c r="AI130" s="130">
        <f t="shared" si="252"/>
        <v>4.4999999999999998E-2</v>
      </c>
      <c r="AJ130" s="128">
        <f t="shared" si="253"/>
        <v>133599.125</v>
      </c>
      <c r="AK130" s="128" t="str">
        <f t="shared" si="254"/>
        <v>nie</v>
      </c>
      <c r="AL130" s="128">
        <f t="shared" si="255"/>
        <v>665.5</v>
      </c>
      <c r="AM130" s="128">
        <f t="shared" si="361"/>
        <v>132965.23624999999</v>
      </c>
      <c r="AN130" s="128">
        <f t="shared" si="256"/>
        <v>404.29125000000005</v>
      </c>
      <c r="AO130" s="130">
        <f t="shared" si="257"/>
        <v>4.4999999999999998E-2</v>
      </c>
      <c r="AP130" s="128">
        <f t="shared" si="258"/>
        <v>1250.1531632376282</v>
      </c>
      <c r="AQ130" s="128">
        <f t="shared" si="362"/>
        <v>133811.09816323762</v>
      </c>
      <c r="AS130" s="124">
        <f t="shared" si="327"/>
        <v>87</v>
      </c>
      <c r="AT130" s="130">
        <f t="shared" si="328"/>
        <v>4.4999999999999998E-2</v>
      </c>
      <c r="AU130" s="127">
        <f t="shared" si="329"/>
        <v>1269</v>
      </c>
      <c r="AV130" s="128">
        <f t="shared" si="330"/>
        <v>126782.40000000001</v>
      </c>
      <c r="AW130" s="128">
        <f t="shared" si="363"/>
        <v>126900</v>
      </c>
      <c r="AX130" s="128">
        <f t="shared" si="358"/>
        <v>126900</v>
      </c>
      <c r="AY130" s="130">
        <f t="shared" si="259"/>
        <v>4.65E-2</v>
      </c>
      <c r="AZ130" s="128">
        <f t="shared" si="260"/>
        <v>127391.7375</v>
      </c>
      <c r="BA130" s="128" t="str">
        <f t="shared" si="261"/>
        <v>nie</v>
      </c>
      <c r="BB130" s="128">
        <f t="shared" si="262"/>
        <v>888.3</v>
      </c>
      <c r="BC130" s="128">
        <f t="shared" si="158"/>
        <v>126578.784375</v>
      </c>
      <c r="BD130" s="128">
        <f t="shared" si="263"/>
        <v>398.30737500000237</v>
      </c>
      <c r="BE130" s="130">
        <f t="shared" si="264"/>
        <v>4.4999999999999998E-2</v>
      </c>
      <c r="BF130" s="128">
        <f t="shared" si="265"/>
        <v>6132.1322633479449</v>
      </c>
      <c r="BG130" s="128">
        <f t="shared" si="159"/>
        <v>132312.60926334796</v>
      </c>
      <c r="BI130" s="124">
        <f t="shared" si="332"/>
        <v>87</v>
      </c>
      <c r="BJ130" s="130">
        <f t="shared" si="354"/>
        <v>4.3200000000000002E-2</v>
      </c>
      <c r="BK130" s="127">
        <f t="shared" si="333"/>
        <v>1268</v>
      </c>
      <c r="BL130" s="128">
        <f t="shared" si="334"/>
        <v>126673.20000000001</v>
      </c>
      <c r="BM130" s="128">
        <f t="shared" si="349"/>
        <v>126800</v>
      </c>
      <c r="BN130" s="128">
        <f t="shared" si="335"/>
        <v>133013.19999999998</v>
      </c>
      <c r="BO130" s="130">
        <f t="shared" si="266"/>
        <v>4.9000000000000002E-2</v>
      </c>
      <c r="BP130" s="128">
        <f t="shared" si="267"/>
        <v>134642.61170000001</v>
      </c>
      <c r="BQ130" s="128" t="str">
        <f t="shared" si="268"/>
        <v>nie</v>
      </c>
      <c r="BR130" s="128">
        <f t="shared" si="269"/>
        <v>1268</v>
      </c>
      <c r="BS130" s="128">
        <f t="shared" si="364"/>
        <v>132125.43547700002</v>
      </c>
      <c r="BT130" s="128">
        <f t="shared" si="356"/>
        <v>0</v>
      </c>
      <c r="BU130" s="130">
        <f t="shared" si="270"/>
        <v>4.4999999999999998E-2</v>
      </c>
      <c r="BV130" s="128">
        <f t="shared" si="271"/>
        <v>16.527184088409953</v>
      </c>
      <c r="BW130" s="128">
        <f t="shared" si="365"/>
        <v>132141.96266108844</v>
      </c>
      <c r="BY130" s="130">
        <f t="shared" si="360"/>
        <v>2.9000000000000001E-2</v>
      </c>
      <c r="BZ130" s="127">
        <f t="shared" si="337"/>
        <v>1159</v>
      </c>
      <c r="CA130" s="128">
        <f t="shared" si="338"/>
        <v>115796.40000000001</v>
      </c>
      <c r="CB130" s="128">
        <f t="shared" si="366"/>
        <v>115900</v>
      </c>
      <c r="CC130" s="128">
        <f t="shared" si="359"/>
        <v>115900</v>
      </c>
      <c r="CD130" s="130">
        <f t="shared" si="272"/>
        <v>4.3999999999999997E-2</v>
      </c>
      <c r="CE130" s="128">
        <f t="shared" si="273"/>
        <v>117174.9</v>
      </c>
      <c r="CF130" s="128" t="str">
        <f t="shared" si="274"/>
        <v>nie</v>
      </c>
      <c r="CG130" s="128">
        <f t="shared" si="275"/>
        <v>2318</v>
      </c>
      <c r="CH130" s="128">
        <f t="shared" si="160"/>
        <v>115055.08899999999</v>
      </c>
      <c r="CI130" s="128">
        <f t="shared" si="276"/>
        <v>0</v>
      </c>
      <c r="CJ130" s="130">
        <f t="shared" si="277"/>
        <v>4.4999999999999998E-2</v>
      </c>
      <c r="CK130" s="128">
        <f t="shared" si="278"/>
        <v>13885.505426064929</v>
      </c>
      <c r="CL130" s="128">
        <f t="shared" si="279"/>
        <v>128940.59442606493</v>
      </c>
      <c r="CN130" s="127">
        <f t="shared" si="340"/>
        <v>1000</v>
      </c>
      <c r="CO130" s="128">
        <f t="shared" si="341"/>
        <v>100000</v>
      </c>
      <c r="CP130" s="128">
        <f t="shared" si="342"/>
        <v>100000</v>
      </c>
      <c r="CQ130" s="128">
        <f t="shared" si="343"/>
        <v>140907.23899484784</v>
      </c>
      <c r="CR130" s="130">
        <f t="shared" si="280"/>
        <v>4.9000000000000002E-2</v>
      </c>
      <c r="CS130" s="128">
        <f t="shared" si="281"/>
        <v>142633.35267253473</v>
      </c>
      <c r="CT130" s="128" t="str">
        <f t="shared" si="282"/>
        <v>nie</v>
      </c>
      <c r="CU130" s="128">
        <f t="shared" si="283"/>
        <v>3000</v>
      </c>
      <c r="CV130" s="128">
        <f t="shared" si="284"/>
        <v>132103.01566475313</v>
      </c>
      <c r="CW130" s="128">
        <f t="shared" si="285"/>
        <v>0</v>
      </c>
      <c r="CX130" s="130">
        <f t="shared" si="286"/>
        <v>4.4999999999999998E-2</v>
      </c>
      <c r="CY130" s="128">
        <f t="shared" si="287"/>
        <v>0</v>
      </c>
      <c r="CZ130" s="128">
        <f t="shared" si="288"/>
        <v>132103.01566475313</v>
      </c>
      <c r="DA130" s="20"/>
      <c r="DB130" s="127">
        <f t="shared" si="350"/>
        <v>1274</v>
      </c>
      <c r="DC130" s="128">
        <f t="shared" si="351"/>
        <v>127400</v>
      </c>
      <c r="DD130" s="128">
        <f t="shared" si="344"/>
        <v>127400</v>
      </c>
      <c r="DE130" s="128">
        <f t="shared" si="345"/>
        <v>134343.29999999999</v>
      </c>
      <c r="DF130" s="130">
        <f t="shared" si="289"/>
        <v>4.9000000000000002E-2</v>
      </c>
      <c r="DG130" s="128">
        <f t="shared" si="290"/>
        <v>135989.00542500001</v>
      </c>
      <c r="DH130" s="128" t="str">
        <f t="shared" si="291"/>
        <v>nie</v>
      </c>
      <c r="DI130" s="128">
        <f t="shared" si="292"/>
        <v>2548</v>
      </c>
      <c r="DJ130" s="128">
        <f t="shared" si="355"/>
        <v>132293.21439425001</v>
      </c>
      <c r="DK130" s="128">
        <f t="shared" si="294"/>
        <v>0</v>
      </c>
      <c r="DL130" s="130">
        <f t="shared" si="295"/>
        <v>4.4999999999999998E-2</v>
      </c>
      <c r="DM130" s="128">
        <f t="shared" si="296"/>
        <v>99.243849514681131</v>
      </c>
      <c r="DN130" s="128">
        <f t="shared" si="297"/>
        <v>132392.4582437647</v>
      </c>
      <c r="DP130" s="127">
        <f t="shared" si="352"/>
        <v>1000</v>
      </c>
      <c r="DQ130" s="128">
        <f t="shared" si="353"/>
        <v>100000</v>
      </c>
      <c r="DR130" s="128">
        <f t="shared" si="346"/>
        <v>100000</v>
      </c>
      <c r="DS130" s="128">
        <f t="shared" si="347"/>
        <v>145328.0781962559</v>
      </c>
      <c r="DT130" s="130">
        <f t="shared" si="298"/>
        <v>5.4000000000000006E-2</v>
      </c>
      <c r="DU130" s="128">
        <f t="shared" si="299"/>
        <v>147290.00725190536</v>
      </c>
      <c r="DV130" s="128" t="str">
        <f t="shared" si="300"/>
        <v>nie</v>
      </c>
      <c r="DW130" s="128">
        <f t="shared" si="301"/>
        <v>3000</v>
      </c>
      <c r="DX130" s="128">
        <f t="shared" si="302"/>
        <v>135874.90587404335</v>
      </c>
      <c r="DY130" s="128">
        <f t="shared" si="303"/>
        <v>0</v>
      </c>
      <c r="DZ130" s="130">
        <f t="shared" si="304"/>
        <v>4.4999999999999998E-2</v>
      </c>
      <c r="EA130" s="128">
        <f t="shared" si="305"/>
        <v>0</v>
      </c>
      <c r="EB130" s="128">
        <f t="shared" si="306"/>
        <v>135874.90587404335</v>
      </c>
    </row>
    <row r="131" spans="1:132">
      <c r="A131" s="212"/>
      <c r="B131" s="188">
        <f t="shared" si="307"/>
        <v>87</v>
      </c>
      <c r="C131" s="128">
        <f t="shared" si="308"/>
        <v>133811.09816323762</v>
      </c>
      <c r="D131" s="128">
        <f t="shared" si="309"/>
        <v>132312.60926334796</v>
      </c>
      <c r="E131" s="128">
        <f t="shared" si="310"/>
        <v>132141.96266108844</v>
      </c>
      <c r="F131" s="128">
        <f t="shared" si="311"/>
        <v>128940.59442606493</v>
      </c>
      <c r="G131" s="128">
        <f t="shared" si="312"/>
        <v>132103.01566475313</v>
      </c>
      <c r="H131" s="128">
        <f t="shared" si="313"/>
        <v>132392.4582437647</v>
      </c>
      <c r="I131" s="128">
        <f t="shared" si="314"/>
        <v>135874.90587404335</v>
      </c>
      <c r="J131" s="128">
        <f t="shared" si="315"/>
        <v>130194.84658102949</v>
      </c>
      <c r="K131" s="128">
        <f t="shared" si="316"/>
        <v>123039.59683345801</v>
      </c>
      <c r="M131" s="36"/>
      <c r="N131" s="32">
        <f t="shared" si="317"/>
        <v>87</v>
      </c>
      <c r="O131" s="25">
        <f t="shared" si="318"/>
        <v>0.33811098163237618</v>
      </c>
      <c r="P131" s="25">
        <f t="shared" si="319"/>
        <v>0.32312609263347958</v>
      </c>
      <c r="Q131" s="25">
        <f t="shared" si="320"/>
        <v>0.32141962661088441</v>
      </c>
      <c r="R131" s="25">
        <f t="shared" si="245"/>
        <v>0.28940594426064936</v>
      </c>
      <c r="S131" s="25">
        <f t="shared" si="246"/>
        <v>0.32103015664753132</v>
      </c>
      <c r="T131" s="25">
        <f t="shared" si="247"/>
        <v>0.3239245824376471</v>
      </c>
      <c r="U131" s="25">
        <f t="shared" si="248"/>
        <v>0.35874905874043361</v>
      </c>
      <c r="V131" s="25">
        <f t="shared" si="249"/>
        <v>0.30194846581029489</v>
      </c>
      <c r="W131" s="25">
        <f t="shared" si="250"/>
        <v>0.2303959683345802</v>
      </c>
      <c r="X131" s="36"/>
      <c r="Y131" s="36"/>
      <c r="AA131" s="124">
        <f t="shared" si="321"/>
        <v>88</v>
      </c>
      <c r="AB131" s="128">
        <f t="shared" si="251"/>
        <v>123334.80228627264</v>
      </c>
      <c r="AC131" s="124">
        <f t="shared" si="322"/>
        <v>88</v>
      </c>
      <c r="AD131" s="130">
        <f t="shared" si="323"/>
        <v>4.4999999999999998E-2</v>
      </c>
      <c r="AE131" s="127">
        <f t="shared" si="324"/>
        <v>1331</v>
      </c>
      <c r="AF131" s="128">
        <f t="shared" si="325"/>
        <v>132971.79999999999</v>
      </c>
      <c r="AG131" s="128">
        <f t="shared" si="348"/>
        <v>133100</v>
      </c>
      <c r="AH131" s="128">
        <f t="shared" si="357"/>
        <v>133100</v>
      </c>
      <c r="AI131" s="130">
        <f t="shared" si="252"/>
        <v>4.4999999999999998E-2</v>
      </c>
      <c r="AJ131" s="128">
        <f t="shared" si="253"/>
        <v>133599.125</v>
      </c>
      <c r="AK131" s="128" t="str">
        <f t="shared" si="254"/>
        <v>nie</v>
      </c>
      <c r="AL131" s="128">
        <f t="shared" si="255"/>
        <v>665.5</v>
      </c>
      <c r="AM131" s="128">
        <f t="shared" si="361"/>
        <v>132965.23624999999</v>
      </c>
      <c r="AN131" s="128">
        <f t="shared" si="256"/>
        <v>404.29125000000005</v>
      </c>
      <c r="AO131" s="130">
        <f t="shared" si="257"/>
        <v>4.4999999999999998E-2</v>
      </c>
      <c r="AP131" s="128">
        <f t="shared" si="258"/>
        <v>1658.2417534709625</v>
      </c>
      <c r="AQ131" s="128">
        <f t="shared" si="362"/>
        <v>134219.18675347095</v>
      </c>
      <c r="AS131" s="124">
        <f t="shared" si="327"/>
        <v>88</v>
      </c>
      <c r="AT131" s="130">
        <f t="shared" si="328"/>
        <v>4.4999999999999998E-2</v>
      </c>
      <c r="AU131" s="127">
        <f t="shared" si="329"/>
        <v>1269</v>
      </c>
      <c r="AV131" s="128">
        <f t="shared" si="330"/>
        <v>126782.40000000001</v>
      </c>
      <c r="AW131" s="128">
        <f t="shared" si="363"/>
        <v>126900</v>
      </c>
      <c r="AX131" s="128">
        <f t="shared" si="358"/>
        <v>126900</v>
      </c>
      <c r="AY131" s="130">
        <f t="shared" si="259"/>
        <v>4.65E-2</v>
      </c>
      <c r="AZ131" s="128">
        <f t="shared" si="260"/>
        <v>127391.7375</v>
      </c>
      <c r="BA131" s="128" t="str">
        <f t="shared" si="261"/>
        <v>nie</v>
      </c>
      <c r="BB131" s="128">
        <f t="shared" si="262"/>
        <v>888.3</v>
      </c>
      <c r="BC131" s="128">
        <f t="shared" si="158"/>
        <v>126578.784375</v>
      </c>
      <c r="BD131" s="128">
        <f t="shared" si="263"/>
        <v>398.30737500000237</v>
      </c>
      <c r="BE131" s="130">
        <f t="shared" si="264"/>
        <v>4.4999999999999998E-2</v>
      </c>
      <c r="BF131" s="128">
        <f t="shared" si="265"/>
        <v>6549.0659900978662</v>
      </c>
      <c r="BG131" s="128">
        <f t="shared" si="159"/>
        <v>132729.54299009786</v>
      </c>
      <c r="BI131" s="124">
        <f t="shared" si="332"/>
        <v>88</v>
      </c>
      <c r="BJ131" s="130">
        <f t="shared" si="354"/>
        <v>4.3200000000000002E-2</v>
      </c>
      <c r="BK131" s="127">
        <f t="shared" si="333"/>
        <v>1268</v>
      </c>
      <c r="BL131" s="128">
        <f t="shared" si="334"/>
        <v>126673.20000000001</v>
      </c>
      <c r="BM131" s="128">
        <f t="shared" si="349"/>
        <v>126800</v>
      </c>
      <c r="BN131" s="128">
        <f t="shared" si="335"/>
        <v>133013.19999999998</v>
      </c>
      <c r="BO131" s="130">
        <f t="shared" si="266"/>
        <v>4.9000000000000002E-2</v>
      </c>
      <c r="BP131" s="128">
        <f t="shared" si="267"/>
        <v>135185.74893333332</v>
      </c>
      <c r="BQ131" s="128" t="str">
        <f t="shared" si="268"/>
        <v>nie</v>
      </c>
      <c r="BR131" s="128">
        <f t="shared" si="269"/>
        <v>1268</v>
      </c>
      <c r="BS131" s="128">
        <f t="shared" si="364"/>
        <v>132565.376636</v>
      </c>
      <c r="BT131" s="128">
        <f t="shared" si="356"/>
        <v>0</v>
      </c>
      <c r="BU131" s="130">
        <f t="shared" si="270"/>
        <v>4.4999999999999998E-2</v>
      </c>
      <c r="BV131" s="128">
        <f t="shared" si="271"/>
        <v>16.577385410078499</v>
      </c>
      <c r="BW131" s="128">
        <f t="shared" si="365"/>
        <v>132581.95402141009</v>
      </c>
      <c r="BY131" s="130">
        <f t="shared" si="360"/>
        <v>2.9000000000000001E-2</v>
      </c>
      <c r="BZ131" s="127">
        <f t="shared" si="337"/>
        <v>1159</v>
      </c>
      <c r="CA131" s="128">
        <f t="shared" si="338"/>
        <v>115796.40000000001</v>
      </c>
      <c r="CB131" s="128">
        <f t="shared" si="366"/>
        <v>115900</v>
      </c>
      <c r="CC131" s="128">
        <f t="shared" si="359"/>
        <v>115900</v>
      </c>
      <c r="CD131" s="130">
        <f t="shared" si="272"/>
        <v>4.3999999999999997E-2</v>
      </c>
      <c r="CE131" s="128">
        <f t="shared" si="273"/>
        <v>117599.86666666665</v>
      </c>
      <c r="CF131" s="128" t="str">
        <f t="shared" si="274"/>
        <v>nie</v>
      </c>
      <c r="CG131" s="128">
        <f t="shared" si="275"/>
        <v>2318</v>
      </c>
      <c r="CH131" s="128">
        <f t="shared" si="160"/>
        <v>115399.31199999999</v>
      </c>
      <c r="CI131" s="128">
        <f t="shared" si="276"/>
        <v>0</v>
      </c>
      <c r="CJ131" s="130">
        <f t="shared" si="277"/>
        <v>4.4999999999999998E-2</v>
      </c>
      <c r="CK131" s="128">
        <f t="shared" si="278"/>
        <v>13927.682648796601</v>
      </c>
      <c r="CL131" s="128">
        <f t="shared" si="279"/>
        <v>129326.99464879659</v>
      </c>
      <c r="CN131" s="127">
        <f t="shared" si="340"/>
        <v>1000</v>
      </c>
      <c r="CO131" s="128">
        <f t="shared" si="341"/>
        <v>100000</v>
      </c>
      <c r="CP131" s="128">
        <f t="shared" si="342"/>
        <v>100000</v>
      </c>
      <c r="CQ131" s="128">
        <f t="shared" si="343"/>
        <v>140907.23899484784</v>
      </c>
      <c r="CR131" s="130">
        <f t="shared" si="280"/>
        <v>4.9000000000000002E-2</v>
      </c>
      <c r="CS131" s="128">
        <f t="shared" si="281"/>
        <v>143208.72389843035</v>
      </c>
      <c r="CT131" s="128" t="str">
        <f t="shared" si="282"/>
        <v>nie</v>
      </c>
      <c r="CU131" s="128">
        <f t="shared" si="283"/>
        <v>3000</v>
      </c>
      <c r="CV131" s="128">
        <f t="shared" si="284"/>
        <v>132569.06635772859</v>
      </c>
      <c r="CW131" s="128">
        <f t="shared" si="285"/>
        <v>0</v>
      </c>
      <c r="CX131" s="130">
        <f t="shared" si="286"/>
        <v>4.4999999999999998E-2</v>
      </c>
      <c r="CY131" s="128">
        <f t="shared" si="287"/>
        <v>0</v>
      </c>
      <c r="CZ131" s="128">
        <f t="shared" si="288"/>
        <v>132569.06635772859</v>
      </c>
      <c r="DA131" s="20"/>
      <c r="DB131" s="127">
        <f t="shared" si="350"/>
        <v>1274</v>
      </c>
      <c r="DC131" s="128">
        <f t="shared" si="351"/>
        <v>127400</v>
      </c>
      <c r="DD131" s="128">
        <f t="shared" si="344"/>
        <v>127400</v>
      </c>
      <c r="DE131" s="128">
        <f t="shared" si="345"/>
        <v>134343.29999999999</v>
      </c>
      <c r="DF131" s="130">
        <f t="shared" si="289"/>
        <v>4.9000000000000002E-2</v>
      </c>
      <c r="DG131" s="128">
        <f t="shared" si="290"/>
        <v>136537.57389999999</v>
      </c>
      <c r="DH131" s="128" t="str">
        <f t="shared" si="291"/>
        <v>nie</v>
      </c>
      <c r="DI131" s="128">
        <f t="shared" si="292"/>
        <v>2548</v>
      </c>
      <c r="DJ131" s="128">
        <f t="shared" si="355"/>
        <v>132737.554859</v>
      </c>
      <c r="DK131" s="128">
        <f t="shared" si="294"/>
        <v>0</v>
      </c>
      <c r="DL131" s="130">
        <f t="shared" si="295"/>
        <v>4.4999999999999998E-2</v>
      </c>
      <c r="DM131" s="128">
        <f t="shared" si="296"/>
        <v>99.545302707581982</v>
      </c>
      <c r="DN131" s="128">
        <f t="shared" si="297"/>
        <v>132837.10016170758</v>
      </c>
      <c r="DP131" s="127">
        <f t="shared" si="352"/>
        <v>1000</v>
      </c>
      <c r="DQ131" s="128">
        <f t="shared" si="353"/>
        <v>100000</v>
      </c>
      <c r="DR131" s="128">
        <f t="shared" si="346"/>
        <v>100000</v>
      </c>
      <c r="DS131" s="128">
        <f t="shared" si="347"/>
        <v>145328.0781962559</v>
      </c>
      <c r="DT131" s="130">
        <f t="shared" si="298"/>
        <v>5.4000000000000006E-2</v>
      </c>
      <c r="DU131" s="128">
        <f t="shared" si="299"/>
        <v>147943.98360378851</v>
      </c>
      <c r="DV131" s="128" t="str">
        <f t="shared" si="300"/>
        <v>nie</v>
      </c>
      <c r="DW131" s="128">
        <f t="shared" si="301"/>
        <v>3000</v>
      </c>
      <c r="DX131" s="128">
        <f t="shared" si="302"/>
        <v>136404.62671906871</v>
      </c>
      <c r="DY131" s="128">
        <f t="shared" si="303"/>
        <v>0</v>
      </c>
      <c r="DZ131" s="130">
        <f t="shared" si="304"/>
        <v>4.4999999999999998E-2</v>
      </c>
      <c r="EA131" s="128">
        <f t="shared" si="305"/>
        <v>0</v>
      </c>
      <c r="EB131" s="128">
        <f t="shared" si="306"/>
        <v>136404.62671906871</v>
      </c>
    </row>
    <row r="132" spans="1:132">
      <c r="A132" s="212"/>
      <c r="B132" s="188">
        <f t="shared" si="307"/>
        <v>88</v>
      </c>
      <c r="C132" s="128">
        <f t="shared" si="308"/>
        <v>134219.18675347095</v>
      </c>
      <c r="D132" s="128">
        <f t="shared" si="309"/>
        <v>132729.54299009786</v>
      </c>
      <c r="E132" s="128">
        <f t="shared" si="310"/>
        <v>132581.95402141009</v>
      </c>
      <c r="F132" s="128">
        <f t="shared" si="311"/>
        <v>129326.99464879659</v>
      </c>
      <c r="G132" s="128">
        <f t="shared" si="312"/>
        <v>132569.06635772859</v>
      </c>
      <c r="H132" s="128">
        <f t="shared" si="313"/>
        <v>132837.10016170758</v>
      </c>
      <c r="I132" s="128">
        <f t="shared" si="314"/>
        <v>136404.62671906871</v>
      </c>
      <c r="J132" s="128">
        <f t="shared" si="315"/>
        <v>130590.31342751937</v>
      </c>
      <c r="K132" s="128">
        <f t="shared" si="316"/>
        <v>123334.80228627264</v>
      </c>
      <c r="M132" s="36"/>
      <c r="N132" s="32">
        <f t="shared" si="317"/>
        <v>88</v>
      </c>
      <c r="O132" s="25">
        <f t="shared" si="318"/>
        <v>0.34219186753470954</v>
      </c>
      <c r="P132" s="25">
        <f t="shared" si="319"/>
        <v>0.32729542990097871</v>
      </c>
      <c r="Q132" s="25">
        <f t="shared" si="320"/>
        <v>0.32581954021410087</v>
      </c>
      <c r="R132" s="25">
        <f t="shared" si="245"/>
        <v>0.293269946487966</v>
      </c>
      <c r="S132" s="25">
        <f t="shared" si="246"/>
        <v>0.32569066357728582</v>
      </c>
      <c r="T132" s="25">
        <f t="shared" si="247"/>
        <v>0.32837100161707578</v>
      </c>
      <c r="U132" s="25">
        <f t="shared" si="248"/>
        <v>0.364046267190687</v>
      </c>
      <c r="V132" s="25">
        <f t="shared" si="249"/>
        <v>0.30590313427519367</v>
      </c>
      <c r="W132" s="25">
        <f t="shared" si="250"/>
        <v>0.23334802286272627</v>
      </c>
      <c r="X132" s="36"/>
      <c r="Y132" s="36"/>
      <c r="AA132" s="124">
        <f t="shared" si="321"/>
        <v>89</v>
      </c>
      <c r="AB132" s="128">
        <f t="shared" si="251"/>
        <v>123630.00773908726</v>
      </c>
      <c r="AC132" s="124">
        <f t="shared" si="322"/>
        <v>89</v>
      </c>
      <c r="AD132" s="130">
        <f t="shared" si="323"/>
        <v>4.4999999999999998E-2</v>
      </c>
      <c r="AE132" s="127">
        <f t="shared" si="324"/>
        <v>1331</v>
      </c>
      <c r="AF132" s="128">
        <f t="shared" si="325"/>
        <v>132971.79999999999</v>
      </c>
      <c r="AG132" s="128">
        <f t="shared" si="348"/>
        <v>133100</v>
      </c>
      <c r="AH132" s="128">
        <f t="shared" si="357"/>
        <v>133100</v>
      </c>
      <c r="AI132" s="130">
        <f t="shared" si="252"/>
        <v>4.4999999999999998E-2</v>
      </c>
      <c r="AJ132" s="128">
        <f t="shared" si="253"/>
        <v>133599.125</v>
      </c>
      <c r="AK132" s="128" t="str">
        <f t="shared" si="254"/>
        <v>nie</v>
      </c>
      <c r="AL132" s="128">
        <f t="shared" si="255"/>
        <v>665.5</v>
      </c>
      <c r="AM132" s="128">
        <f t="shared" si="361"/>
        <v>132965.23624999999</v>
      </c>
      <c r="AN132" s="128">
        <f t="shared" si="256"/>
        <v>404.29125000000005</v>
      </c>
      <c r="AO132" s="130">
        <f t="shared" si="257"/>
        <v>4.4999999999999998E-2</v>
      </c>
      <c r="AP132" s="128">
        <f t="shared" si="258"/>
        <v>2067.5699127971307</v>
      </c>
      <c r="AQ132" s="128">
        <f t="shared" si="362"/>
        <v>134628.51491279711</v>
      </c>
      <c r="AS132" s="124">
        <f t="shared" si="327"/>
        <v>89</v>
      </c>
      <c r="AT132" s="130">
        <f t="shared" si="328"/>
        <v>4.4999999999999998E-2</v>
      </c>
      <c r="AU132" s="127">
        <f t="shared" si="329"/>
        <v>1269</v>
      </c>
      <c r="AV132" s="128">
        <f t="shared" si="330"/>
        <v>126782.40000000001</v>
      </c>
      <c r="AW132" s="128">
        <f t="shared" si="363"/>
        <v>126900</v>
      </c>
      <c r="AX132" s="128">
        <f t="shared" si="358"/>
        <v>126900</v>
      </c>
      <c r="AY132" s="130">
        <f t="shared" si="259"/>
        <v>4.65E-2</v>
      </c>
      <c r="AZ132" s="128">
        <f t="shared" si="260"/>
        <v>127391.7375</v>
      </c>
      <c r="BA132" s="128" t="str">
        <f t="shared" si="261"/>
        <v>nie</v>
      </c>
      <c r="BB132" s="128">
        <f t="shared" si="262"/>
        <v>888.3</v>
      </c>
      <c r="BC132" s="128">
        <f t="shared" ref="BC132:BC187" si="367">AZ132-BB132
-(AZ132-AW132-BB132)*podatek_Belki</f>
        <v>126578.784375</v>
      </c>
      <c r="BD132" s="128">
        <f t="shared" si="263"/>
        <v>398.30737500000237</v>
      </c>
      <c r="BE132" s="130">
        <f t="shared" si="264"/>
        <v>4.4999999999999998E-2</v>
      </c>
      <c r="BF132" s="128">
        <f t="shared" si="265"/>
        <v>6967.2661530427904</v>
      </c>
      <c r="BG132" s="128">
        <f t="shared" ref="BG132:BG187" si="368">BF131*(1+BE132/12*(1-podatek_Belki))+BC132</f>
        <v>133147.7431530428</v>
      </c>
      <c r="BI132" s="124">
        <f t="shared" si="332"/>
        <v>89</v>
      </c>
      <c r="BJ132" s="130">
        <f t="shared" si="354"/>
        <v>4.3200000000000002E-2</v>
      </c>
      <c r="BK132" s="127">
        <f t="shared" si="333"/>
        <v>1268</v>
      </c>
      <c r="BL132" s="128">
        <f t="shared" si="334"/>
        <v>126673.20000000001</v>
      </c>
      <c r="BM132" s="128">
        <f t="shared" si="349"/>
        <v>126800</v>
      </c>
      <c r="BN132" s="128">
        <f t="shared" si="335"/>
        <v>133013.19999999998</v>
      </c>
      <c r="BO132" s="130">
        <f t="shared" si="266"/>
        <v>4.9000000000000002E-2</v>
      </c>
      <c r="BP132" s="128">
        <f t="shared" si="267"/>
        <v>135728.88616666666</v>
      </c>
      <c r="BQ132" s="128" t="str">
        <f t="shared" si="268"/>
        <v>nie</v>
      </c>
      <c r="BR132" s="128">
        <f t="shared" si="269"/>
        <v>1268</v>
      </c>
      <c r="BS132" s="128">
        <f t="shared" si="364"/>
        <v>133005.31779500001</v>
      </c>
      <c r="BT132" s="128">
        <f t="shared" si="356"/>
        <v>0</v>
      </c>
      <c r="BU132" s="130">
        <f t="shared" si="270"/>
        <v>4.4999999999999998E-2</v>
      </c>
      <c r="BV132" s="128">
        <f t="shared" si="271"/>
        <v>16.627739218261613</v>
      </c>
      <c r="BW132" s="128">
        <f t="shared" si="365"/>
        <v>133021.94553421828</v>
      </c>
      <c r="BY132" s="130">
        <f t="shared" si="360"/>
        <v>2.9000000000000001E-2</v>
      </c>
      <c r="BZ132" s="127">
        <f t="shared" si="337"/>
        <v>1159</v>
      </c>
      <c r="CA132" s="128">
        <f t="shared" si="338"/>
        <v>115796.40000000001</v>
      </c>
      <c r="CB132" s="128">
        <f t="shared" si="366"/>
        <v>115900</v>
      </c>
      <c r="CC132" s="128">
        <f t="shared" si="359"/>
        <v>115900</v>
      </c>
      <c r="CD132" s="130">
        <f t="shared" si="272"/>
        <v>4.3999999999999997E-2</v>
      </c>
      <c r="CE132" s="128">
        <f t="shared" si="273"/>
        <v>118024.83333333333</v>
      </c>
      <c r="CF132" s="128" t="str">
        <f t="shared" si="274"/>
        <v>nie</v>
      </c>
      <c r="CG132" s="128">
        <f t="shared" si="275"/>
        <v>2318</v>
      </c>
      <c r="CH132" s="128">
        <f t="shared" ref="CH132:CH187" si="369">CE132-CG132
-(CE132-CB132-CG132)*podatek_Belki</f>
        <v>115743.53499999999</v>
      </c>
      <c r="CI132" s="128">
        <f t="shared" si="276"/>
        <v>0</v>
      </c>
      <c r="CJ132" s="130">
        <f t="shared" si="277"/>
        <v>4.4999999999999998E-2</v>
      </c>
      <c r="CK132" s="128">
        <f t="shared" si="278"/>
        <v>13969.987984842321</v>
      </c>
      <c r="CL132" s="128">
        <f t="shared" si="279"/>
        <v>129713.5229848423</v>
      </c>
      <c r="CN132" s="127">
        <f t="shared" si="340"/>
        <v>1000</v>
      </c>
      <c r="CO132" s="128">
        <f t="shared" si="341"/>
        <v>100000</v>
      </c>
      <c r="CP132" s="128">
        <f t="shared" si="342"/>
        <v>100000</v>
      </c>
      <c r="CQ132" s="128">
        <f t="shared" si="343"/>
        <v>140907.23899484784</v>
      </c>
      <c r="CR132" s="130">
        <f t="shared" si="280"/>
        <v>4.9000000000000002E-2</v>
      </c>
      <c r="CS132" s="128">
        <f t="shared" si="281"/>
        <v>143784.09512432601</v>
      </c>
      <c r="CT132" s="128" t="str">
        <f t="shared" si="282"/>
        <v>nie</v>
      </c>
      <c r="CU132" s="128">
        <f t="shared" si="283"/>
        <v>3000</v>
      </c>
      <c r="CV132" s="128">
        <f t="shared" si="284"/>
        <v>133035.11705070405</v>
      </c>
      <c r="CW132" s="128">
        <f t="shared" si="285"/>
        <v>0</v>
      </c>
      <c r="CX132" s="130">
        <f t="shared" si="286"/>
        <v>4.4999999999999998E-2</v>
      </c>
      <c r="CY132" s="128">
        <f t="shared" si="287"/>
        <v>0</v>
      </c>
      <c r="CZ132" s="128">
        <f t="shared" si="288"/>
        <v>133035.11705070405</v>
      </c>
      <c r="DA132" s="20"/>
      <c r="DB132" s="127">
        <f t="shared" si="350"/>
        <v>1274</v>
      </c>
      <c r="DC132" s="128">
        <f t="shared" si="351"/>
        <v>127400</v>
      </c>
      <c r="DD132" s="128">
        <f t="shared" si="344"/>
        <v>127400</v>
      </c>
      <c r="DE132" s="128">
        <f t="shared" si="345"/>
        <v>134343.29999999999</v>
      </c>
      <c r="DF132" s="130">
        <f t="shared" si="289"/>
        <v>4.9000000000000002E-2</v>
      </c>
      <c r="DG132" s="128">
        <f t="shared" si="290"/>
        <v>137086.142375</v>
      </c>
      <c r="DH132" s="128" t="str">
        <f t="shared" si="291"/>
        <v>nie</v>
      </c>
      <c r="DI132" s="128">
        <f t="shared" si="292"/>
        <v>2548</v>
      </c>
      <c r="DJ132" s="128">
        <f t="shared" si="355"/>
        <v>133181.89532375001</v>
      </c>
      <c r="DK132" s="128">
        <f t="shared" si="294"/>
        <v>0</v>
      </c>
      <c r="DL132" s="130">
        <f t="shared" si="295"/>
        <v>4.4999999999999998E-2</v>
      </c>
      <c r="DM132" s="128">
        <f t="shared" si="296"/>
        <v>99.847671564556265</v>
      </c>
      <c r="DN132" s="128">
        <f t="shared" si="297"/>
        <v>133281.74299531456</v>
      </c>
      <c r="DP132" s="127">
        <f t="shared" si="352"/>
        <v>1000</v>
      </c>
      <c r="DQ132" s="128">
        <f t="shared" si="353"/>
        <v>100000</v>
      </c>
      <c r="DR132" s="128">
        <f t="shared" si="346"/>
        <v>100000</v>
      </c>
      <c r="DS132" s="128">
        <f t="shared" si="347"/>
        <v>145328.0781962559</v>
      </c>
      <c r="DT132" s="130">
        <f t="shared" si="298"/>
        <v>5.4000000000000006E-2</v>
      </c>
      <c r="DU132" s="128">
        <f t="shared" si="299"/>
        <v>148597.95995567166</v>
      </c>
      <c r="DV132" s="128" t="str">
        <f t="shared" si="300"/>
        <v>nie</v>
      </c>
      <c r="DW132" s="128">
        <f t="shared" si="301"/>
        <v>3000</v>
      </c>
      <c r="DX132" s="128">
        <f t="shared" si="302"/>
        <v>136934.34756409403</v>
      </c>
      <c r="DY132" s="128">
        <f t="shared" si="303"/>
        <v>0</v>
      </c>
      <c r="DZ132" s="130">
        <f t="shared" si="304"/>
        <v>4.4999999999999998E-2</v>
      </c>
      <c r="EA132" s="128">
        <f t="shared" si="305"/>
        <v>0</v>
      </c>
      <c r="EB132" s="128">
        <f t="shared" si="306"/>
        <v>136934.34756409403</v>
      </c>
    </row>
    <row r="133" spans="1:132">
      <c r="A133" s="212"/>
      <c r="B133" s="188">
        <f t="shared" si="307"/>
        <v>89</v>
      </c>
      <c r="C133" s="128">
        <f t="shared" si="308"/>
        <v>134628.51491279711</v>
      </c>
      <c r="D133" s="128">
        <f t="shared" si="309"/>
        <v>133147.7431530428</v>
      </c>
      <c r="E133" s="128">
        <f t="shared" si="310"/>
        <v>133021.94553421828</v>
      </c>
      <c r="F133" s="128">
        <f t="shared" si="311"/>
        <v>129713.5229848423</v>
      </c>
      <c r="G133" s="128">
        <f t="shared" si="312"/>
        <v>133035.11705070405</v>
      </c>
      <c r="H133" s="128">
        <f t="shared" si="313"/>
        <v>133281.74299531456</v>
      </c>
      <c r="I133" s="128">
        <f t="shared" si="314"/>
        <v>136934.34756409403</v>
      </c>
      <c r="J133" s="128">
        <f t="shared" si="315"/>
        <v>130986.98150455547</v>
      </c>
      <c r="K133" s="128">
        <f t="shared" si="316"/>
        <v>123630.00773908726</v>
      </c>
      <c r="M133" s="36"/>
      <c r="N133" s="32">
        <f t="shared" si="317"/>
        <v>89</v>
      </c>
      <c r="O133" s="25">
        <f t="shared" si="318"/>
        <v>0.34628514912797104</v>
      </c>
      <c r="P133" s="25">
        <f t="shared" si="319"/>
        <v>0.33147743153042808</v>
      </c>
      <c r="Q133" s="25">
        <f t="shared" si="320"/>
        <v>0.33021945534218267</v>
      </c>
      <c r="R133" s="25">
        <f t="shared" si="245"/>
        <v>0.29713522984842311</v>
      </c>
      <c r="S133" s="25">
        <f t="shared" si="246"/>
        <v>0.33035117050704055</v>
      </c>
      <c r="T133" s="25">
        <f t="shared" si="247"/>
        <v>0.33281742995314567</v>
      </c>
      <c r="U133" s="25">
        <f t="shared" si="248"/>
        <v>0.36934347564094039</v>
      </c>
      <c r="V133" s="25">
        <f t="shared" si="249"/>
        <v>0.30986981504555478</v>
      </c>
      <c r="W133" s="25">
        <f t="shared" si="250"/>
        <v>0.23630007739087255</v>
      </c>
      <c r="X133" s="36"/>
      <c r="Y133" s="36"/>
      <c r="AA133" s="124">
        <f t="shared" si="321"/>
        <v>90</v>
      </c>
      <c r="AB133" s="128">
        <f t="shared" si="251"/>
        <v>123925.21319190186</v>
      </c>
      <c r="AC133" s="124">
        <f t="shared" si="322"/>
        <v>90</v>
      </c>
      <c r="AD133" s="130">
        <f t="shared" si="323"/>
        <v>4.4999999999999998E-2</v>
      </c>
      <c r="AE133" s="127">
        <f t="shared" si="324"/>
        <v>1331</v>
      </c>
      <c r="AF133" s="128">
        <f t="shared" si="325"/>
        <v>132971.79999999999</v>
      </c>
      <c r="AG133" s="128">
        <f t="shared" si="348"/>
        <v>133100</v>
      </c>
      <c r="AH133" s="128">
        <f t="shared" si="357"/>
        <v>133100</v>
      </c>
      <c r="AI133" s="130">
        <f t="shared" si="252"/>
        <v>4.4999999999999998E-2</v>
      </c>
      <c r="AJ133" s="128">
        <f t="shared" si="253"/>
        <v>133599.125</v>
      </c>
      <c r="AK133" s="128" t="str">
        <f t="shared" si="254"/>
        <v>nie</v>
      </c>
      <c r="AL133" s="128">
        <f t="shared" si="255"/>
        <v>665.5</v>
      </c>
      <c r="AM133" s="128">
        <f t="shared" si="361"/>
        <v>132965.23624999999</v>
      </c>
      <c r="AN133" s="128">
        <f t="shared" si="256"/>
        <v>404.29125000000005</v>
      </c>
      <c r="AO133" s="130">
        <f t="shared" si="257"/>
        <v>4.4999999999999998E-2</v>
      </c>
      <c r="AP133" s="128">
        <f t="shared" si="258"/>
        <v>2478.1414064072524</v>
      </c>
      <c r="AQ133" s="128">
        <f t="shared" si="362"/>
        <v>135039.08640640724</v>
      </c>
      <c r="AS133" s="124">
        <f t="shared" si="327"/>
        <v>90</v>
      </c>
      <c r="AT133" s="130">
        <f t="shared" si="328"/>
        <v>4.4999999999999998E-2</v>
      </c>
      <c r="AU133" s="127">
        <f t="shared" si="329"/>
        <v>1269</v>
      </c>
      <c r="AV133" s="128">
        <f t="shared" si="330"/>
        <v>126782.40000000001</v>
      </c>
      <c r="AW133" s="128">
        <f t="shared" si="363"/>
        <v>126900</v>
      </c>
      <c r="AX133" s="128">
        <f t="shared" si="358"/>
        <v>126900</v>
      </c>
      <c r="AY133" s="130">
        <f t="shared" si="259"/>
        <v>4.65E-2</v>
      </c>
      <c r="AZ133" s="128">
        <f t="shared" si="260"/>
        <v>127391.7375</v>
      </c>
      <c r="BA133" s="128" t="str">
        <f t="shared" si="261"/>
        <v>nie</v>
      </c>
      <c r="BB133" s="128">
        <f t="shared" si="262"/>
        <v>888.3</v>
      </c>
      <c r="BC133" s="128">
        <f t="shared" si="367"/>
        <v>126578.784375</v>
      </c>
      <c r="BD133" s="128">
        <f t="shared" si="263"/>
        <v>398.30737500000237</v>
      </c>
      <c r="BE133" s="130">
        <f t="shared" si="264"/>
        <v>4.4999999999999998E-2</v>
      </c>
      <c r="BF133" s="128">
        <f t="shared" si="265"/>
        <v>7386.7365989826603</v>
      </c>
      <c r="BG133" s="128">
        <f t="shared" si="368"/>
        <v>133567.21359898266</v>
      </c>
      <c r="BI133" s="124">
        <f t="shared" si="332"/>
        <v>90</v>
      </c>
      <c r="BJ133" s="130">
        <f t="shared" si="354"/>
        <v>4.3200000000000002E-2</v>
      </c>
      <c r="BK133" s="127">
        <f t="shared" si="333"/>
        <v>1268</v>
      </c>
      <c r="BL133" s="128">
        <f t="shared" si="334"/>
        <v>126673.20000000001</v>
      </c>
      <c r="BM133" s="128">
        <f t="shared" si="349"/>
        <v>126800</v>
      </c>
      <c r="BN133" s="128">
        <f t="shared" si="335"/>
        <v>133013.19999999998</v>
      </c>
      <c r="BO133" s="130">
        <f t="shared" si="266"/>
        <v>4.9000000000000002E-2</v>
      </c>
      <c r="BP133" s="128">
        <f t="shared" si="267"/>
        <v>136272.02339999998</v>
      </c>
      <c r="BQ133" s="128" t="str">
        <f t="shared" si="268"/>
        <v>nie</v>
      </c>
      <c r="BR133" s="128">
        <f t="shared" si="269"/>
        <v>1268</v>
      </c>
      <c r="BS133" s="128">
        <f t="shared" si="364"/>
        <v>133445.25895399999</v>
      </c>
      <c r="BT133" s="128">
        <f t="shared" si="356"/>
        <v>0</v>
      </c>
      <c r="BU133" s="130">
        <f t="shared" si="270"/>
        <v>4.4999999999999998E-2</v>
      </c>
      <c r="BV133" s="128">
        <f t="shared" si="271"/>
        <v>16.678245976137084</v>
      </c>
      <c r="BW133" s="128">
        <f t="shared" si="365"/>
        <v>133461.93719997612</v>
      </c>
      <c r="BY133" s="130">
        <f t="shared" si="360"/>
        <v>2.9000000000000001E-2</v>
      </c>
      <c r="BZ133" s="127">
        <f t="shared" si="337"/>
        <v>1159</v>
      </c>
      <c r="CA133" s="128">
        <f t="shared" si="338"/>
        <v>115796.40000000001</v>
      </c>
      <c r="CB133" s="128">
        <f t="shared" si="366"/>
        <v>115900</v>
      </c>
      <c r="CC133" s="128">
        <f t="shared" si="359"/>
        <v>115900</v>
      </c>
      <c r="CD133" s="130">
        <f t="shared" si="272"/>
        <v>4.3999999999999997E-2</v>
      </c>
      <c r="CE133" s="128">
        <f t="shared" si="273"/>
        <v>118449.8</v>
      </c>
      <c r="CF133" s="128" t="str">
        <f t="shared" si="274"/>
        <v>nie</v>
      </c>
      <c r="CG133" s="128">
        <f t="shared" si="275"/>
        <v>2318</v>
      </c>
      <c r="CH133" s="128">
        <f t="shared" si="369"/>
        <v>116087.758</v>
      </c>
      <c r="CI133" s="128">
        <f t="shared" si="276"/>
        <v>0</v>
      </c>
      <c r="CJ133" s="130">
        <f t="shared" si="277"/>
        <v>4.4999999999999998E-2</v>
      </c>
      <c r="CK133" s="128">
        <f t="shared" si="278"/>
        <v>14012.42182334628</v>
      </c>
      <c r="CL133" s="128">
        <f t="shared" si="279"/>
        <v>130100.17982334628</v>
      </c>
      <c r="CN133" s="127">
        <f t="shared" si="340"/>
        <v>1000</v>
      </c>
      <c r="CO133" s="128">
        <f t="shared" si="341"/>
        <v>100000</v>
      </c>
      <c r="CP133" s="128">
        <f t="shared" si="342"/>
        <v>100000</v>
      </c>
      <c r="CQ133" s="128">
        <f t="shared" si="343"/>
        <v>140907.23899484784</v>
      </c>
      <c r="CR133" s="130">
        <f t="shared" si="280"/>
        <v>4.9000000000000002E-2</v>
      </c>
      <c r="CS133" s="128">
        <f t="shared" si="281"/>
        <v>144359.4663502216</v>
      </c>
      <c r="CT133" s="128" t="str">
        <f t="shared" si="282"/>
        <v>nie</v>
      </c>
      <c r="CU133" s="128">
        <f t="shared" si="283"/>
        <v>3000</v>
      </c>
      <c r="CV133" s="128">
        <f t="shared" si="284"/>
        <v>133501.16774367949</v>
      </c>
      <c r="CW133" s="128">
        <f t="shared" si="285"/>
        <v>0</v>
      </c>
      <c r="CX133" s="130">
        <f t="shared" si="286"/>
        <v>4.4999999999999998E-2</v>
      </c>
      <c r="CY133" s="128">
        <f t="shared" si="287"/>
        <v>0</v>
      </c>
      <c r="CZ133" s="128">
        <f t="shared" si="288"/>
        <v>133501.16774367949</v>
      </c>
      <c r="DA133" s="20"/>
      <c r="DB133" s="127">
        <f t="shared" si="350"/>
        <v>1274</v>
      </c>
      <c r="DC133" s="128">
        <f t="shared" si="351"/>
        <v>127400</v>
      </c>
      <c r="DD133" s="128">
        <f t="shared" si="344"/>
        <v>127400</v>
      </c>
      <c r="DE133" s="128">
        <f t="shared" si="345"/>
        <v>134343.29999999999</v>
      </c>
      <c r="DF133" s="130">
        <f t="shared" si="289"/>
        <v>4.9000000000000002E-2</v>
      </c>
      <c r="DG133" s="128">
        <f t="shared" si="290"/>
        <v>137634.71084999997</v>
      </c>
      <c r="DH133" s="128" t="str">
        <f t="shared" si="291"/>
        <v>nie</v>
      </c>
      <c r="DI133" s="128">
        <f t="shared" si="292"/>
        <v>2548</v>
      </c>
      <c r="DJ133" s="128">
        <f t="shared" si="355"/>
        <v>133626.23578849997</v>
      </c>
      <c r="DK133" s="128">
        <f t="shared" si="294"/>
        <v>0</v>
      </c>
      <c r="DL133" s="130">
        <f t="shared" si="295"/>
        <v>4.4999999999999998E-2</v>
      </c>
      <c r="DM133" s="128">
        <f t="shared" si="296"/>
        <v>100.15095886693361</v>
      </c>
      <c r="DN133" s="128">
        <f t="shared" si="297"/>
        <v>133726.38674736689</v>
      </c>
      <c r="DP133" s="127">
        <f t="shared" si="352"/>
        <v>1000</v>
      </c>
      <c r="DQ133" s="128">
        <f t="shared" si="353"/>
        <v>100000</v>
      </c>
      <c r="DR133" s="128">
        <f t="shared" si="346"/>
        <v>100000</v>
      </c>
      <c r="DS133" s="128">
        <f t="shared" si="347"/>
        <v>145328.0781962559</v>
      </c>
      <c r="DT133" s="130">
        <f t="shared" si="298"/>
        <v>5.4000000000000006E-2</v>
      </c>
      <c r="DU133" s="128">
        <f t="shared" si="299"/>
        <v>149251.9363075548</v>
      </c>
      <c r="DV133" s="128" t="str">
        <f t="shared" si="300"/>
        <v>nie</v>
      </c>
      <c r="DW133" s="128">
        <f t="shared" si="301"/>
        <v>3000</v>
      </c>
      <c r="DX133" s="128">
        <f t="shared" si="302"/>
        <v>137464.06840911938</v>
      </c>
      <c r="DY133" s="128">
        <f t="shared" si="303"/>
        <v>0</v>
      </c>
      <c r="DZ133" s="130">
        <f t="shared" si="304"/>
        <v>4.4999999999999998E-2</v>
      </c>
      <c r="EA133" s="128">
        <f t="shared" si="305"/>
        <v>0</v>
      </c>
      <c r="EB133" s="128">
        <f t="shared" si="306"/>
        <v>137464.06840911938</v>
      </c>
    </row>
    <row r="134" spans="1:132">
      <c r="A134" s="212"/>
      <c r="B134" s="188">
        <f t="shared" si="307"/>
        <v>90</v>
      </c>
      <c r="C134" s="128">
        <f t="shared" si="308"/>
        <v>135039.08640640724</v>
      </c>
      <c r="D134" s="128">
        <f t="shared" si="309"/>
        <v>133567.21359898266</v>
      </c>
      <c r="E134" s="128">
        <f t="shared" si="310"/>
        <v>133461.93719997612</v>
      </c>
      <c r="F134" s="128">
        <f t="shared" si="311"/>
        <v>130100.17982334628</v>
      </c>
      <c r="G134" s="128">
        <f t="shared" si="312"/>
        <v>133501.16774367949</v>
      </c>
      <c r="H134" s="128">
        <f t="shared" si="313"/>
        <v>133726.38674736689</v>
      </c>
      <c r="I134" s="128">
        <f t="shared" si="314"/>
        <v>137464.06840911938</v>
      </c>
      <c r="J134" s="128">
        <f t="shared" si="315"/>
        <v>131384.85446087556</v>
      </c>
      <c r="K134" s="128">
        <f t="shared" si="316"/>
        <v>123925.21319190186</v>
      </c>
      <c r="M134" s="36"/>
      <c r="N134" s="32">
        <f t="shared" si="317"/>
        <v>90</v>
      </c>
      <c r="O134" s="25">
        <f t="shared" si="318"/>
        <v>0.35039086406407227</v>
      </c>
      <c r="P134" s="25">
        <f t="shared" si="319"/>
        <v>0.3356721359898267</v>
      </c>
      <c r="Q134" s="25">
        <f t="shared" si="320"/>
        <v>0.33461937199976122</v>
      </c>
      <c r="R134" s="25">
        <f t="shared" si="245"/>
        <v>0.30100179823346274</v>
      </c>
      <c r="S134" s="25">
        <f t="shared" si="246"/>
        <v>0.33501167743679483</v>
      </c>
      <c r="T134" s="25">
        <f t="shared" si="247"/>
        <v>0.33726386747366899</v>
      </c>
      <c r="U134" s="25">
        <f t="shared" si="248"/>
        <v>0.37464068409119378</v>
      </c>
      <c r="V134" s="25">
        <f t="shared" si="249"/>
        <v>0.31384854460875555</v>
      </c>
      <c r="W134" s="25">
        <f t="shared" si="250"/>
        <v>0.23925213191901862</v>
      </c>
      <c r="X134" s="36"/>
      <c r="Y134" s="36"/>
      <c r="AA134" s="124">
        <f t="shared" si="321"/>
        <v>91</v>
      </c>
      <c r="AB134" s="128">
        <f t="shared" si="251"/>
        <v>124220.41864471648</v>
      </c>
      <c r="AC134" s="124">
        <f t="shared" si="322"/>
        <v>91</v>
      </c>
      <c r="AD134" s="130">
        <f t="shared" si="323"/>
        <v>4.4999999999999998E-2</v>
      </c>
      <c r="AE134" s="127">
        <f t="shared" si="324"/>
        <v>1331</v>
      </c>
      <c r="AF134" s="128">
        <f t="shared" si="325"/>
        <v>132971.79999999999</v>
      </c>
      <c r="AG134" s="128">
        <f t="shared" si="348"/>
        <v>133100</v>
      </c>
      <c r="AH134" s="128">
        <f t="shared" si="357"/>
        <v>133100</v>
      </c>
      <c r="AI134" s="130">
        <f t="shared" si="252"/>
        <v>4.4999999999999998E-2</v>
      </c>
      <c r="AJ134" s="128">
        <f t="shared" si="253"/>
        <v>133599.125</v>
      </c>
      <c r="AK134" s="128" t="str">
        <f t="shared" si="254"/>
        <v>nie</v>
      </c>
      <c r="AL134" s="128">
        <f t="shared" si="255"/>
        <v>665.5</v>
      </c>
      <c r="AM134" s="128">
        <f t="shared" si="361"/>
        <v>132965.23624999999</v>
      </c>
      <c r="AN134" s="128">
        <f t="shared" si="256"/>
        <v>404.29125000000005</v>
      </c>
      <c r="AO134" s="130">
        <f t="shared" si="257"/>
        <v>4.4999999999999998E-2</v>
      </c>
      <c r="AP134" s="128">
        <f t="shared" si="258"/>
        <v>2889.9600109292146</v>
      </c>
      <c r="AQ134" s="128">
        <f t="shared" si="362"/>
        <v>135450.90501092921</v>
      </c>
      <c r="AS134" s="124">
        <f t="shared" si="327"/>
        <v>91</v>
      </c>
      <c r="AT134" s="130">
        <f t="shared" si="328"/>
        <v>4.4999999999999998E-2</v>
      </c>
      <c r="AU134" s="127">
        <f t="shared" si="329"/>
        <v>1269</v>
      </c>
      <c r="AV134" s="128">
        <f t="shared" si="330"/>
        <v>126782.40000000001</v>
      </c>
      <c r="AW134" s="128">
        <f t="shared" si="363"/>
        <v>126900</v>
      </c>
      <c r="AX134" s="128">
        <f t="shared" si="358"/>
        <v>126900</v>
      </c>
      <c r="AY134" s="130">
        <f t="shared" si="259"/>
        <v>4.65E-2</v>
      </c>
      <c r="AZ134" s="128">
        <f t="shared" si="260"/>
        <v>127391.7375</v>
      </c>
      <c r="BA134" s="128" t="str">
        <f t="shared" si="261"/>
        <v>nie</v>
      </c>
      <c r="BB134" s="128">
        <f t="shared" si="262"/>
        <v>888.3</v>
      </c>
      <c r="BC134" s="128">
        <f t="shared" si="367"/>
        <v>126578.784375</v>
      </c>
      <c r="BD134" s="128">
        <f t="shared" si="263"/>
        <v>398.30737500000237</v>
      </c>
      <c r="BE134" s="130">
        <f t="shared" si="264"/>
        <v>4.4999999999999998E-2</v>
      </c>
      <c r="BF134" s="128">
        <f t="shared" si="265"/>
        <v>7807.4811864020721</v>
      </c>
      <c r="BG134" s="128">
        <f t="shared" si="368"/>
        <v>133987.95818640207</v>
      </c>
      <c r="BI134" s="124">
        <f t="shared" si="332"/>
        <v>91</v>
      </c>
      <c r="BJ134" s="130">
        <f t="shared" si="354"/>
        <v>4.3200000000000002E-2</v>
      </c>
      <c r="BK134" s="127">
        <f t="shared" si="333"/>
        <v>1268</v>
      </c>
      <c r="BL134" s="128">
        <f t="shared" si="334"/>
        <v>126673.20000000001</v>
      </c>
      <c r="BM134" s="128">
        <f t="shared" si="349"/>
        <v>126800</v>
      </c>
      <c r="BN134" s="128">
        <f t="shared" si="335"/>
        <v>133013.19999999998</v>
      </c>
      <c r="BO134" s="130">
        <f t="shared" si="266"/>
        <v>4.9000000000000002E-2</v>
      </c>
      <c r="BP134" s="128">
        <f t="shared" si="267"/>
        <v>136815.16063333332</v>
      </c>
      <c r="BQ134" s="128" t="str">
        <f t="shared" si="268"/>
        <v>nie</v>
      </c>
      <c r="BR134" s="128">
        <f t="shared" si="269"/>
        <v>1268</v>
      </c>
      <c r="BS134" s="128">
        <f t="shared" si="364"/>
        <v>133885.200113</v>
      </c>
      <c r="BT134" s="128">
        <f t="shared" si="356"/>
        <v>0</v>
      </c>
      <c r="BU134" s="130">
        <f t="shared" si="270"/>
        <v>4.4999999999999998E-2</v>
      </c>
      <c r="BV134" s="128">
        <f t="shared" si="271"/>
        <v>16.7289061482896</v>
      </c>
      <c r="BW134" s="128">
        <f t="shared" si="365"/>
        <v>133901.92901914829</v>
      </c>
      <c r="BY134" s="130">
        <f t="shared" si="360"/>
        <v>2.9000000000000001E-2</v>
      </c>
      <c r="BZ134" s="127">
        <f t="shared" si="337"/>
        <v>1159</v>
      </c>
      <c r="CA134" s="128">
        <f t="shared" si="338"/>
        <v>115796.40000000001</v>
      </c>
      <c r="CB134" s="128">
        <f t="shared" si="366"/>
        <v>115900</v>
      </c>
      <c r="CC134" s="128">
        <f t="shared" si="359"/>
        <v>115900</v>
      </c>
      <c r="CD134" s="130">
        <f t="shared" si="272"/>
        <v>4.3999999999999997E-2</v>
      </c>
      <c r="CE134" s="128">
        <f t="shared" si="273"/>
        <v>118874.76666666668</v>
      </c>
      <c r="CF134" s="128" t="str">
        <f t="shared" si="274"/>
        <v>nie</v>
      </c>
      <c r="CG134" s="128">
        <f t="shared" si="275"/>
        <v>2318</v>
      </c>
      <c r="CH134" s="128">
        <f t="shared" si="369"/>
        <v>116431.98100000001</v>
      </c>
      <c r="CI134" s="128">
        <f t="shared" si="276"/>
        <v>0</v>
      </c>
      <c r="CJ134" s="130">
        <f t="shared" si="277"/>
        <v>4.4999999999999998E-2</v>
      </c>
      <c r="CK134" s="128">
        <f t="shared" si="278"/>
        <v>14054.984554634695</v>
      </c>
      <c r="CL134" s="128">
        <f t="shared" si="279"/>
        <v>130486.96555463471</v>
      </c>
      <c r="CN134" s="127">
        <f t="shared" si="340"/>
        <v>1000</v>
      </c>
      <c r="CO134" s="128">
        <f t="shared" si="341"/>
        <v>100000</v>
      </c>
      <c r="CP134" s="128">
        <f t="shared" si="342"/>
        <v>100000</v>
      </c>
      <c r="CQ134" s="128">
        <f t="shared" si="343"/>
        <v>140907.23899484784</v>
      </c>
      <c r="CR134" s="130">
        <f t="shared" si="280"/>
        <v>4.9000000000000002E-2</v>
      </c>
      <c r="CS134" s="128">
        <f t="shared" si="281"/>
        <v>144934.83757611725</v>
      </c>
      <c r="CT134" s="128" t="str">
        <f t="shared" si="282"/>
        <v>nie</v>
      </c>
      <c r="CU134" s="128">
        <f t="shared" si="283"/>
        <v>3000</v>
      </c>
      <c r="CV134" s="128">
        <f t="shared" si="284"/>
        <v>133967.21843665498</v>
      </c>
      <c r="CW134" s="128">
        <f t="shared" si="285"/>
        <v>0</v>
      </c>
      <c r="CX134" s="130">
        <f t="shared" si="286"/>
        <v>4.4999999999999998E-2</v>
      </c>
      <c r="CY134" s="128">
        <f t="shared" si="287"/>
        <v>0</v>
      </c>
      <c r="CZ134" s="128">
        <f t="shared" si="288"/>
        <v>133967.21843665498</v>
      </c>
      <c r="DA134" s="20"/>
      <c r="DB134" s="127">
        <f t="shared" si="350"/>
        <v>1274</v>
      </c>
      <c r="DC134" s="128">
        <f t="shared" si="351"/>
        <v>127400</v>
      </c>
      <c r="DD134" s="128">
        <f t="shared" si="344"/>
        <v>127400</v>
      </c>
      <c r="DE134" s="128">
        <f t="shared" si="345"/>
        <v>134343.29999999999</v>
      </c>
      <c r="DF134" s="130">
        <f t="shared" si="289"/>
        <v>4.9000000000000002E-2</v>
      </c>
      <c r="DG134" s="128">
        <f t="shared" si="290"/>
        <v>138183.27932500001</v>
      </c>
      <c r="DH134" s="128" t="str">
        <f t="shared" si="291"/>
        <v>nie</v>
      </c>
      <c r="DI134" s="128">
        <f t="shared" si="292"/>
        <v>2548</v>
      </c>
      <c r="DJ134" s="128">
        <f t="shared" si="355"/>
        <v>134070.57625325001</v>
      </c>
      <c r="DK134" s="128">
        <f t="shared" si="294"/>
        <v>0</v>
      </c>
      <c r="DL134" s="130">
        <f t="shared" si="295"/>
        <v>4.4999999999999998E-2</v>
      </c>
      <c r="DM134" s="128">
        <f t="shared" si="296"/>
        <v>100.45516740449192</v>
      </c>
      <c r="DN134" s="128">
        <f t="shared" si="297"/>
        <v>134171.0314206545</v>
      </c>
      <c r="DP134" s="127">
        <f t="shared" si="352"/>
        <v>1000</v>
      </c>
      <c r="DQ134" s="128">
        <f t="shared" si="353"/>
        <v>100000</v>
      </c>
      <c r="DR134" s="128">
        <f t="shared" si="346"/>
        <v>100000</v>
      </c>
      <c r="DS134" s="128">
        <f t="shared" si="347"/>
        <v>145328.0781962559</v>
      </c>
      <c r="DT134" s="130">
        <f t="shared" si="298"/>
        <v>5.4000000000000006E-2</v>
      </c>
      <c r="DU134" s="128">
        <f t="shared" si="299"/>
        <v>149905.91265943798</v>
      </c>
      <c r="DV134" s="128" t="str">
        <f t="shared" si="300"/>
        <v>nie</v>
      </c>
      <c r="DW134" s="128">
        <f t="shared" si="301"/>
        <v>3000</v>
      </c>
      <c r="DX134" s="128">
        <f t="shared" si="302"/>
        <v>137993.78925414477</v>
      </c>
      <c r="DY134" s="128">
        <f t="shared" si="303"/>
        <v>0</v>
      </c>
      <c r="DZ134" s="130">
        <f t="shared" si="304"/>
        <v>4.4999999999999998E-2</v>
      </c>
      <c r="EA134" s="128">
        <f t="shared" si="305"/>
        <v>0</v>
      </c>
      <c r="EB134" s="128">
        <f t="shared" si="306"/>
        <v>137993.78925414477</v>
      </c>
    </row>
    <row r="135" spans="1:132">
      <c r="A135" s="212"/>
      <c r="B135" s="188">
        <f t="shared" si="307"/>
        <v>91</v>
      </c>
      <c r="C135" s="128">
        <f t="shared" si="308"/>
        <v>135450.90501092921</v>
      </c>
      <c r="D135" s="128">
        <f t="shared" si="309"/>
        <v>133987.95818640207</v>
      </c>
      <c r="E135" s="128">
        <f t="shared" si="310"/>
        <v>133901.92901914829</v>
      </c>
      <c r="F135" s="128">
        <f t="shared" si="311"/>
        <v>130486.96555463471</v>
      </c>
      <c r="G135" s="128">
        <f t="shared" si="312"/>
        <v>133967.21843665498</v>
      </c>
      <c r="H135" s="128">
        <f t="shared" si="313"/>
        <v>134171.0314206545</v>
      </c>
      <c r="I135" s="128">
        <f t="shared" si="314"/>
        <v>137993.78925414477</v>
      </c>
      <c r="J135" s="128">
        <f t="shared" si="315"/>
        <v>131783.93595630047</v>
      </c>
      <c r="K135" s="128">
        <f t="shared" si="316"/>
        <v>124220.41864471648</v>
      </c>
      <c r="M135" s="36"/>
      <c r="N135" s="32">
        <f t="shared" si="317"/>
        <v>91</v>
      </c>
      <c r="O135" s="25">
        <f t="shared" si="318"/>
        <v>0.35450905010929223</v>
      </c>
      <c r="P135" s="25">
        <f t="shared" si="319"/>
        <v>0.33987958186402079</v>
      </c>
      <c r="Q135" s="25">
        <f t="shared" si="320"/>
        <v>0.3390192901914828</v>
      </c>
      <c r="R135" s="25">
        <f t="shared" si="245"/>
        <v>0.30486965554634704</v>
      </c>
      <c r="S135" s="25">
        <f t="shared" si="246"/>
        <v>0.33967218436654978</v>
      </c>
      <c r="T135" s="25">
        <f t="shared" si="247"/>
        <v>0.34171031420654496</v>
      </c>
      <c r="U135" s="25">
        <f t="shared" si="248"/>
        <v>0.37993789254144761</v>
      </c>
      <c r="V135" s="25">
        <f t="shared" si="249"/>
        <v>0.31783935956300469</v>
      </c>
      <c r="W135" s="25">
        <f t="shared" si="250"/>
        <v>0.2422041864471649</v>
      </c>
      <c r="X135" s="36"/>
      <c r="Y135" s="36"/>
      <c r="AA135" s="124">
        <f t="shared" si="321"/>
        <v>92</v>
      </c>
      <c r="AB135" s="128">
        <f t="shared" si="251"/>
        <v>124515.62409753111</v>
      </c>
      <c r="AC135" s="124">
        <f t="shared" si="322"/>
        <v>92</v>
      </c>
      <c r="AD135" s="130">
        <f t="shared" si="323"/>
        <v>4.4999999999999998E-2</v>
      </c>
      <c r="AE135" s="127">
        <f t="shared" si="324"/>
        <v>1331</v>
      </c>
      <c r="AF135" s="128">
        <f t="shared" si="325"/>
        <v>132971.79999999999</v>
      </c>
      <c r="AG135" s="128">
        <f t="shared" si="348"/>
        <v>133100</v>
      </c>
      <c r="AH135" s="128">
        <f t="shared" si="357"/>
        <v>133100</v>
      </c>
      <c r="AI135" s="130">
        <f t="shared" si="252"/>
        <v>4.4999999999999998E-2</v>
      </c>
      <c r="AJ135" s="128">
        <f t="shared" si="253"/>
        <v>133599.125</v>
      </c>
      <c r="AK135" s="128" t="str">
        <f t="shared" si="254"/>
        <v>nie</v>
      </c>
      <c r="AL135" s="128">
        <f t="shared" si="255"/>
        <v>665.5</v>
      </c>
      <c r="AM135" s="128">
        <f t="shared" si="361"/>
        <v>132965.23624999999</v>
      </c>
      <c r="AN135" s="128">
        <f t="shared" si="256"/>
        <v>404.29125000000005</v>
      </c>
      <c r="AO135" s="130">
        <f t="shared" si="257"/>
        <v>4.4999999999999998E-2</v>
      </c>
      <c r="AP135" s="128">
        <f t="shared" si="258"/>
        <v>3303.0295144624124</v>
      </c>
      <c r="AQ135" s="128">
        <f t="shared" si="362"/>
        <v>135863.9745144624</v>
      </c>
      <c r="AS135" s="124">
        <f t="shared" si="327"/>
        <v>92</v>
      </c>
      <c r="AT135" s="130">
        <f t="shared" si="328"/>
        <v>4.4999999999999998E-2</v>
      </c>
      <c r="AU135" s="127">
        <f t="shared" si="329"/>
        <v>1269</v>
      </c>
      <c r="AV135" s="128">
        <f t="shared" si="330"/>
        <v>126782.40000000001</v>
      </c>
      <c r="AW135" s="128">
        <f t="shared" si="363"/>
        <v>126900</v>
      </c>
      <c r="AX135" s="128">
        <f t="shared" si="358"/>
        <v>126900</v>
      </c>
      <c r="AY135" s="130">
        <f t="shared" si="259"/>
        <v>4.65E-2</v>
      </c>
      <c r="AZ135" s="128">
        <f t="shared" si="260"/>
        <v>127391.7375</v>
      </c>
      <c r="BA135" s="128" t="str">
        <f t="shared" si="261"/>
        <v>nie</v>
      </c>
      <c r="BB135" s="128">
        <f t="shared" si="262"/>
        <v>888.3</v>
      </c>
      <c r="BC135" s="128">
        <f t="shared" si="367"/>
        <v>126578.784375</v>
      </c>
      <c r="BD135" s="128">
        <f t="shared" si="263"/>
        <v>398.30737500000237</v>
      </c>
      <c r="BE135" s="130">
        <f t="shared" si="264"/>
        <v>4.4999999999999998E-2</v>
      </c>
      <c r="BF135" s="128">
        <f t="shared" si="265"/>
        <v>8229.5037855057708</v>
      </c>
      <c r="BG135" s="128">
        <f t="shared" si="368"/>
        <v>134409.98078550576</v>
      </c>
      <c r="BI135" s="124">
        <f t="shared" si="332"/>
        <v>92</v>
      </c>
      <c r="BJ135" s="130">
        <f t="shared" si="354"/>
        <v>4.3200000000000002E-2</v>
      </c>
      <c r="BK135" s="127">
        <f t="shared" si="333"/>
        <v>1268</v>
      </c>
      <c r="BL135" s="128">
        <f t="shared" si="334"/>
        <v>126673.20000000001</v>
      </c>
      <c r="BM135" s="128">
        <f t="shared" si="349"/>
        <v>126800</v>
      </c>
      <c r="BN135" s="128">
        <f t="shared" si="335"/>
        <v>133013.19999999998</v>
      </c>
      <c r="BO135" s="130">
        <f t="shared" si="266"/>
        <v>4.9000000000000002E-2</v>
      </c>
      <c r="BP135" s="128">
        <f t="shared" si="267"/>
        <v>137358.29786666663</v>
      </c>
      <c r="BQ135" s="128" t="str">
        <f t="shared" si="268"/>
        <v>nie</v>
      </c>
      <c r="BR135" s="128">
        <f t="shared" si="269"/>
        <v>1268</v>
      </c>
      <c r="BS135" s="128">
        <f t="shared" si="364"/>
        <v>134325.14127199998</v>
      </c>
      <c r="BT135" s="128">
        <f t="shared" si="356"/>
        <v>0</v>
      </c>
      <c r="BU135" s="130">
        <f t="shared" si="270"/>
        <v>4.4999999999999998E-2</v>
      </c>
      <c r="BV135" s="128">
        <f t="shared" si="271"/>
        <v>16.77972020071503</v>
      </c>
      <c r="BW135" s="128">
        <f t="shared" si="365"/>
        <v>134341.9209922007</v>
      </c>
      <c r="BY135" s="130">
        <f t="shared" si="360"/>
        <v>2.9000000000000001E-2</v>
      </c>
      <c r="BZ135" s="127">
        <f t="shared" si="337"/>
        <v>1159</v>
      </c>
      <c r="CA135" s="128">
        <f t="shared" si="338"/>
        <v>115796.40000000001</v>
      </c>
      <c r="CB135" s="128">
        <f t="shared" si="366"/>
        <v>115900</v>
      </c>
      <c r="CC135" s="128">
        <f t="shared" si="359"/>
        <v>115900</v>
      </c>
      <c r="CD135" s="130">
        <f t="shared" si="272"/>
        <v>4.3999999999999997E-2</v>
      </c>
      <c r="CE135" s="128">
        <f t="shared" si="273"/>
        <v>119299.73333333335</v>
      </c>
      <c r="CF135" s="128" t="str">
        <f t="shared" si="274"/>
        <v>nie</v>
      </c>
      <c r="CG135" s="128">
        <f t="shared" si="275"/>
        <v>2318</v>
      </c>
      <c r="CH135" s="128">
        <f t="shared" si="369"/>
        <v>116776.20400000001</v>
      </c>
      <c r="CI135" s="128">
        <f t="shared" si="276"/>
        <v>0</v>
      </c>
      <c r="CJ135" s="130">
        <f t="shared" si="277"/>
        <v>4.4999999999999998E-2</v>
      </c>
      <c r="CK135" s="128">
        <f t="shared" si="278"/>
        <v>14097.676570219399</v>
      </c>
      <c r="CL135" s="128">
        <f t="shared" si="279"/>
        <v>130873.88057021941</v>
      </c>
      <c r="CN135" s="127">
        <f t="shared" si="340"/>
        <v>1000</v>
      </c>
      <c r="CO135" s="128">
        <f t="shared" si="341"/>
        <v>100000</v>
      </c>
      <c r="CP135" s="128">
        <f t="shared" si="342"/>
        <v>100000</v>
      </c>
      <c r="CQ135" s="128">
        <f t="shared" si="343"/>
        <v>140907.23899484784</v>
      </c>
      <c r="CR135" s="130">
        <f t="shared" si="280"/>
        <v>4.9000000000000002E-2</v>
      </c>
      <c r="CS135" s="128">
        <f t="shared" si="281"/>
        <v>145510.20880201287</v>
      </c>
      <c r="CT135" s="128" t="str">
        <f t="shared" si="282"/>
        <v>nie</v>
      </c>
      <c r="CU135" s="128">
        <f t="shared" si="283"/>
        <v>3000</v>
      </c>
      <c r="CV135" s="128">
        <f t="shared" si="284"/>
        <v>134433.26912963044</v>
      </c>
      <c r="CW135" s="128">
        <f t="shared" si="285"/>
        <v>0</v>
      </c>
      <c r="CX135" s="130">
        <f t="shared" si="286"/>
        <v>4.4999999999999998E-2</v>
      </c>
      <c r="CY135" s="128">
        <f t="shared" si="287"/>
        <v>0</v>
      </c>
      <c r="CZ135" s="128">
        <f t="shared" si="288"/>
        <v>134433.26912963044</v>
      </c>
      <c r="DA135" s="20"/>
      <c r="DB135" s="127">
        <f t="shared" si="350"/>
        <v>1274</v>
      </c>
      <c r="DC135" s="128">
        <f t="shared" si="351"/>
        <v>127400</v>
      </c>
      <c r="DD135" s="128">
        <f t="shared" si="344"/>
        <v>127400</v>
      </c>
      <c r="DE135" s="128">
        <f t="shared" si="345"/>
        <v>134343.29999999999</v>
      </c>
      <c r="DF135" s="130">
        <f t="shared" si="289"/>
        <v>4.9000000000000002E-2</v>
      </c>
      <c r="DG135" s="128">
        <f t="shared" si="290"/>
        <v>138731.84779999999</v>
      </c>
      <c r="DH135" s="128" t="str">
        <f t="shared" si="291"/>
        <v>nie</v>
      </c>
      <c r="DI135" s="128">
        <f t="shared" si="292"/>
        <v>2548</v>
      </c>
      <c r="DJ135" s="128">
        <f t="shared" si="355"/>
        <v>134514.91671799999</v>
      </c>
      <c r="DK135" s="128">
        <f t="shared" si="294"/>
        <v>0</v>
      </c>
      <c r="DL135" s="130">
        <f t="shared" si="295"/>
        <v>4.4999999999999998E-2</v>
      </c>
      <c r="DM135" s="128">
        <f t="shared" si="296"/>
        <v>100.76029997548306</v>
      </c>
      <c r="DN135" s="128">
        <f t="shared" si="297"/>
        <v>134615.67701797548</v>
      </c>
      <c r="DP135" s="127">
        <f t="shared" si="352"/>
        <v>1000</v>
      </c>
      <c r="DQ135" s="128">
        <f t="shared" si="353"/>
        <v>100000</v>
      </c>
      <c r="DR135" s="128">
        <f t="shared" si="346"/>
        <v>100000</v>
      </c>
      <c r="DS135" s="128">
        <f t="shared" si="347"/>
        <v>145328.0781962559</v>
      </c>
      <c r="DT135" s="130">
        <f t="shared" si="298"/>
        <v>5.4000000000000006E-2</v>
      </c>
      <c r="DU135" s="128">
        <f t="shared" si="299"/>
        <v>150559.88901132112</v>
      </c>
      <c r="DV135" s="128" t="str">
        <f t="shared" si="300"/>
        <v>nie</v>
      </c>
      <c r="DW135" s="128">
        <f t="shared" si="301"/>
        <v>3000</v>
      </c>
      <c r="DX135" s="128">
        <f t="shared" si="302"/>
        <v>138523.51009917012</v>
      </c>
      <c r="DY135" s="128">
        <f t="shared" si="303"/>
        <v>0</v>
      </c>
      <c r="DZ135" s="130">
        <f t="shared" si="304"/>
        <v>4.4999999999999998E-2</v>
      </c>
      <c r="EA135" s="128">
        <f t="shared" si="305"/>
        <v>0</v>
      </c>
      <c r="EB135" s="128">
        <f t="shared" si="306"/>
        <v>138523.51009917012</v>
      </c>
    </row>
    <row r="136" spans="1:132">
      <c r="A136" s="212"/>
      <c r="B136" s="188">
        <f t="shared" si="307"/>
        <v>92</v>
      </c>
      <c r="C136" s="128">
        <f t="shared" si="308"/>
        <v>135863.9745144624</v>
      </c>
      <c r="D136" s="128">
        <f t="shared" si="309"/>
        <v>134409.98078550576</v>
      </c>
      <c r="E136" s="128">
        <f t="shared" si="310"/>
        <v>134341.9209922007</v>
      </c>
      <c r="F136" s="128">
        <f t="shared" si="311"/>
        <v>130873.88057021941</v>
      </c>
      <c r="G136" s="128">
        <f t="shared" si="312"/>
        <v>134433.26912963044</v>
      </c>
      <c r="H136" s="128">
        <f t="shared" si="313"/>
        <v>134615.67701797548</v>
      </c>
      <c r="I136" s="128">
        <f t="shared" si="314"/>
        <v>138523.51009917012</v>
      </c>
      <c r="J136" s="128">
        <f t="shared" si="315"/>
        <v>132184.22966176775</v>
      </c>
      <c r="K136" s="128">
        <f t="shared" si="316"/>
        <v>124515.62409753111</v>
      </c>
      <c r="M136" s="36"/>
      <c r="N136" s="32">
        <f t="shared" si="317"/>
        <v>92</v>
      </c>
      <c r="O136" s="25">
        <f t="shared" si="318"/>
        <v>0.35863974514462393</v>
      </c>
      <c r="P136" s="25">
        <f t="shared" si="319"/>
        <v>0.34409980785505767</v>
      </c>
      <c r="Q136" s="25">
        <f t="shared" si="320"/>
        <v>0.34341920992200703</v>
      </c>
      <c r="R136" s="25">
        <f t="shared" si="245"/>
        <v>0.30873880570219403</v>
      </c>
      <c r="S136" s="25">
        <f t="shared" si="246"/>
        <v>0.34433269129630451</v>
      </c>
      <c r="T136" s="25">
        <f t="shared" si="247"/>
        <v>0.34615677017975477</v>
      </c>
      <c r="U136" s="25">
        <f t="shared" si="248"/>
        <v>0.38523510099170122</v>
      </c>
      <c r="V136" s="25">
        <f t="shared" si="249"/>
        <v>0.32184229661767749</v>
      </c>
      <c r="W136" s="25">
        <f t="shared" si="250"/>
        <v>0.24515624097531119</v>
      </c>
      <c r="X136" s="36"/>
      <c r="Y136" s="36"/>
      <c r="AA136" s="124">
        <f t="shared" si="321"/>
        <v>93</v>
      </c>
      <c r="AB136" s="128">
        <f t="shared" si="251"/>
        <v>124810.82955034572</v>
      </c>
      <c r="AC136" s="124">
        <f t="shared" si="322"/>
        <v>93</v>
      </c>
      <c r="AD136" s="130">
        <f t="shared" si="323"/>
        <v>4.4999999999999998E-2</v>
      </c>
      <c r="AE136" s="127">
        <f t="shared" si="324"/>
        <v>1331</v>
      </c>
      <c r="AF136" s="128">
        <f t="shared" si="325"/>
        <v>132971.79999999999</v>
      </c>
      <c r="AG136" s="128">
        <f t="shared" si="348"/>
        <v>133100</v>
      </c>
      <c r="AH136" s="128">
        <f t="shared" si="357"/>
        <v>133100</v>
      </c>
      <c r="AI136" s="130">
        <f t="shared" si="252"/>
        <v>4.4999999999999998E-2</v>
      </c>
      <c r="AJ136" s="128">
        <f t="shared" si="253"/>
        <v>133599.125</v>
      </c>
      <c r="AK136" s="128" t="str">
        <f t="shared" si="254"/>
        <v>nie</v>
      </c>
      <c r="AL136" s="128">
        <f t="shared" si="255"/>
        <v>665.5</v>
      </c>
      <c r="AM136" s="128">
        <f t="shared" si="361"/>
        <v>132965.23624999999</v>
      </c>
      <c r="AN136" s="128">
        <f t="shared" si="256"/>
        <v>404.29125000000005</v>
      </c>
      <c r="AO136" s="130">
        <f t="shared" si="257"/>
        <v>4.4999999999999998E-2</v>
      </c>
      <c r="AP136" s="128">
        <f t="shared" si="258"/>
        <v>3717.3537166125925</v>
      </c>
      <c r="AQ136" s="128">
        <f t="shared" si="362"/>
        <v>136278.29871661257</v>
      </c>
      <c r="AS136" s="124">
        <f t="shared" si="327"/>
        <v>93</v>
      </c>
      <c r="AT136" s="130">
        <f t="shared" si="328"/>
        <v>4.4999999999999998E-2</v>
      </c>
      <c r="AU136" s="127">
        <f t="shared" si="329"/>
        <v>1269</v>
      </c>
      <c r="AV136" s="128">
        <f t="shared" si="330"/>
        <v>126782.40000000001</v>
      </c>
      <c r="AW136" s="128">
        <f t="shared" si="363"/>
        <v>126900</v>
      </c>
      <c r="AX136" s="128">
        <f t="shared" si="358"/>
        <v>126900</v>
      </c>
      <c r="AY136" s="130">
        <f t="shared" si="259"/>
        <v>4.65E-2</v>
      </c>
      <c r="AZ136" s="128">
        <f t="shared" si="260"/>
        <v>127391.7375</v>
      </c>
      <c r="BA136" s="128" t="str">
        <f t="shared" si="261"/>
        <v>nie</v>
      </c>
      <c r="BB136" s="128">
        <f t="shared" si="262"/>
        <v>888.3</v>
      </c>
      <c r="BC136" s="128">
        <f t="shared" si="367"/>
        <v>126578.784375</v>
      </c>
      <c r="BD136" s="128">
        <f t="shared" si="263"/>
        <v>398.30737500000237</v>
      </c>
      <c r="BE136" s="130">
        <f t="shared" si="264"/>
        <v>4.4999999999999998E-2</v>
      </c>
      <c r="BF136" s="128">
        <f t="shared" si="265"/>
        <v>8652.808278254246</v>
      </c>
      <c r="BG136" s="128">
        <f t="shared" si="368"/>
        <v>134833.28527825425</v>
      </c>
      <c r="BI136" s="124">
        <f t="shared" si="332"/>
        <v>93</v>
      </c>
      <c r="BJ136" s="130">
        <f t="shared" si="354"/>
        <v>4.3200000000000002E-2</v>
      </c>
      <c r="BK136" s="127">
        <f t="shared" si="333"/>
        <v>1268</v>
      </c>
      <c r="BL136" s="128">
        <f t="shared" si="334"/>
        <v>126673.20000000001</v>
      </c>
      <c r="BM136" s="128">
        <f t="shared" si="349"/>
        <v>126800</v>
      </c>
      <c r="BN136" s="128">
        <f t="shared" si="335"/>
        <v>133013.19999999998</v>
      </c>
      <c r="BO136" s="130">
        <f t="shared" si="266"/>
        <v>4.9000000000000002E-2</v>
      </c>
      <c r="BP136" s="128">
        <f t="shared" si="267"/>
        <v>137901.4351</v>
      </c>
      <c r="BQ136" s="128" t="str">
        <f t="shared" si="268"/>
        <v>nie</v>
      </c>
      <c r="BR136" s="128">
        <f t="shared" si="269"/>
        <v>1268</v>
      </c>
      <c r="BS136" s="128">
        <f t="shared" si="364"/>
        <v>134765.08243099999</v>
      </c>
      <c r="BT136" s="128">
        <f t="shared" si="356"/>
        <v>0</v>
      </c>
      <c r="BU136" s="130">
        <f t="shared" si="270"/>
        <v>4.4999999999999998E-2</v>
      </c>
      <c r="BV136" s="128">
        <f t="shared" si="271"/>
        <v>16.830688600824701</v>
      </c>
      <c r="BW136" s="128">
        <f t="shared" si="365"/>
        <v>134781.91311960082</v>
      </c>
      <c r="BY136" s="130">
        <f t="shared" si="360"/>
        <v>2.9000000000000001E-2</v>
      </c>
      <c r="BZ136" s="127">
        <f t="shared" si="337"/>
        <v>1159</v>
      </c>
      <c r="CA136" s="128">
        <f t="shared" si="338"/>
        <v>115796.40000000001</v>
      </c>
      <c r="CB136" s="128">
        <f t="shared" si="366"/>
        <v>115900</v>
      </c>
      <c r="CC136" s="128">
        <f t="shared" si="359"/>
        <v>115900</v>
      </c>
      <c r="CD136" s="130">
        <f t="shared" si="272"/>
        <v>4.3999999999999997E-2</v>
      </c>
      <c r="CE136" s="128">
        <f t="shared" si="273"/>
        <v>119724.7</v>
      </c>
      <c r="CF136" s="128" t="str">
        <f t="shared" si="274"/>
        <v>nie</v>
      </c>
      <c r="CG136" s="128">
        <f t="shared" si="275"/>
        <v>2318</v>
      </c>
      <c r="CH136" s="128">
        <f t="shared" si="369"/>
        <v>117120.427</v>
      </c>
      <c r="CI136" s="128">
        <f t="shared" si="276"/>
        <v>0</v>
      </c>
      <c r="CJ136" s="130">
        <f t="shared" si="277"/>
        <v>4.4999999999999998E-2</v>
      </c>
      <c r="CK136" s="128">
        <f t="shared" si="278"/>
        <v>14140.49826280144</v>
      </c>
      <c r="CL136" s="128">
        <f t="shared" si="279"/>
        <v>131260.92526280144</v>
      </c>
      <c r="CN136" s="127">
        <f t="shared" si="340"/>
        <v>1000</v>
      </c>
      <c r="CO136" s="128">
        <f t="shared" si="341"/>
        <v>100000</v>
      </c>
      <c r="CP136" s="128">
        <f t="shared" si="342"/>
        <v>100000</v>
      </c>
      <c r="CQ136" s="128">
        <f t="shared" si="343"/>
        <v>140907.23899484784</v>
      </c>
      <c r="CR136" s="130">
        <f t="shared" si="280"/>
        <v>4.9000000000000002E-2</v>
      </c>
      <c r="CS136" s="128">
        <f t="shared" si="281"/>
        <v>146085.58002790849</v>
      </c>
      <c r="CT136" s="128" t="str">
        <f t="shared" si="282"/>
        <v>nie</v>
      </c>
      <c r="CU136" s="128">
        <f t="shared" si="283"/>
        <v>3000</v>
      </c>
      <c r="CV136" s="128">
        <f t="shared" si="284"/>
        <v>134899.31982260587</v>
      </c>
      <c r="CW136" s="128">
        <f t="shared" si="285"/>
        <v>0</v>
      </c>
      <c r="CX136" s="130">
        <f t="shared" si="286"/>
        <v>4.4999999999999998E-2</v>
      </c>
      <c r="CY136" s="128">
        <f t="shared" si="287"/>
        <v>0</v>
      </c>
      <c r="CZ136" s="128">
        <f t="shared" si="288"/>
        <v>134899.31982260587</v>
      </c>
      <c r="DA136" s="20"/>
      <c r="DB136" s="127">
        <f t="shared" si="350"/>
        <v>1274</v>
      </c>
      <c r="DC136" s="128">
        <f t="shared" si="351"/>
        <v>127400</v>
      </c>
      <c r="DD136" s="128">
        <f t="shared" si="344"/>
        <v>127400</v>
      </c>
      <c r="DE136" s="128">
        <f t="shared" si="345"/>
        <v>134343.29999999999</v>
      </c>
      <c r="DF136" s="130">
        <f t="shared" si="289"/>
        <v>4.9000000000000002E-2</v>
      </c>
      <c r="DG136" s="128">
        <f t="shared" si="290"/>
        <v>139280.416275</v>
      </c>
      <c r="DH136" s="128" t="str">
        <f t="shared" si="291"/>
        <v>nie</v>
      </c>
      <c r="DI136" s="128">
        <f t="shared" si="292"/>
        <v>2548</v>
      </c>
      <c r="DJ136" s="128">
        <f t="shared" si="355"/>
        <v>134959.25718275001</v>
      </c>
      <c r="DK136" s="128">
        <f t="shared" si="294"/>
        <v>0</v>
      </c>
      <c r="DL136" s="130">
        <f t="shared" si="295"/>
        <v>4.4999999999999998E-2</v>
      </c>
      <c r="DM136" s="128">
        <f t="shared" si="296"/>
        <v>101.0663593866586</v>
      </c>
      <c r="DN136" s="128">
        <f t="shared" si="297"/>
        <v>135060.32354213667</v>
      </c>
      <c r="DP136" s="127">
        <f t="shared" si="352"/>
        <v>1000</v>
      </c>
      <c r="DQ136" s="128">
        <f t="shared" si="353"/>
        <v>100000</v>
      </c>
      <c r="DR136" s="128">
        <f t="shared" si="346"/>
        <v>100000</v>
      </c>
      <c r="DS136" s="128">
        <f t="shared" si="347"/>
        <v>145328.0781962559</v>
      </c>
      <c r="DT136" s="130">
        <f t="shared" si="298"/>
        <v>5.4000000000000006E-2</v>
      </c>
      <c r="DU136" s="128">
        <f t="shared" si="299"/>
        <v>151213.86536320427</v>
      </c>
      <c r="DV136" s="128" t="str">
        <f t="shared" si="300"/>
        <v>nie</v>
      </c>
      <c r="DW136" s="128">
        <f t="shared" si="301"/>
        <v>3000</v>
      </c>
      <c r="DX136" s="128">
        <f t="shared" si="302"/>
        <v>139053.23094419547</v>
      </c>
      <c r="DY136" s="128">
        <f t="shared" si="303"/>
        <v>0</v>
      </c>
      <c r="DZ136" s="130">
        <f t="shared" si="304"/>
        <v>4.4999999999999998E-2</v>
      </c>
      <c r="EA136" s="128">
        <f t="shared" si="305"/>
        <v>0</v>
      </c>
      <c r="EB136" s="128">
        <f t="shared" si="306"/>
        <v>139053.23094419547</v>
      </c>
    </row>
    <row r="137" spans="1:132">
      <c r="A137" s="212"/>
      <c r="B137" s="188">
        <f t="shared" si="307"/>
        <v>93</v>
      </c>
      <c r="C137" s="128">
        <f t="shared" si="308"/>
        <v>136278.29871661257</v>
      </c>
      <c r="D137" s="128">
        <f t="shared" si="309"/>
        <v>134833.28527825425</v>
      </c>
      <c r="E137" s="128">
        <f t="shared" si="310"/>
        <v>134781.91311960082</v>
      </c>
      <c r="F137" s="128">
        <f t="shared" si="311"/>
        <v>131260.92526280144</v>
      </c>
      <c r="G137" s="128">
        <f t="shared" si="312"/>
        <v>134899.31982260587</v>
      </c>
      <c r="H137" s="128">
        <f t="shared" si="313"/>
        <v>135060.32354213667</v>
      </c>
      <c r="I137" s="128">
        <f t="shared" si="314"/>
        <v>139053.23094419547</v>
      </c>
      <c r="J137" s="128">
        <f t="shared" si="315"/>
        <v>132585.73925936536</v>
      </c>
      <c r="K137" s="128">
        <f t="shared" si="316"/>
        <v>124810.82955034572</v>
      </c>
      <c r="M137" s="36"/>
      <c r="N137" s="32">
        <f t="shared" si="317"/>
        <v>93</v>
      </c>
      <c r="O137" s="25">
        <f t="shared" si="318"/>
        <v>0.36278298716612567</v>
      </c>
      <c r="P137" s="25">
        <f t="shared" si="319"/>
        <v>0.34833285278254245</v>
      </c>
      <c r="Q137" s="25">
        <f t="shared" si="320"/>
        <v>0.34781913119600816</v>
      </c>
      <c r="R137" s="25">
        <f t="shared" si="245"/>
        <v>0.31260925262801442</v>
      </c>
      <c r="S137" s="25">
        <f t="shared" si="246"/>
        <v>0.34899319822605879</v>
      </c>
      <c r="T137" s="25">
        <f t="shared" si="247"/>
        <v>0.35060323542136662</v>
      </c>
      <c r="U137" s="25">
        <f t="shared" si="248"/>
        <v>0.39053230944195461</v>
      </c>
      <c r="V137" s="25">
        <f t="shared" si="249"/>
        <v>0.32585739259365365</v>
      </c>
      <c r="W137" s="25">
        <f t="shared" si="250"/>
        <v>0.24810829550345725</v>
      </c>
      <c r="X137" s="36"/>
      <c r="Y137" s="36"/>
      <c r="AA137" s="124">
        <f t="shared" si="321"/>
        <v>94</v>
      </c>
      <c r="AB137" s="128">
        <f t="shared" si="251"/>
        <v>125106.03500316034</v>
      </c>
      <c r="AC137" s="124">
        <f t="shared" si="322"/>
        <v>94</v>
      </c>
      <c r="AD137" s="130">
        <f t="shared" si="323"/>
        <v>4.4999999999999998E-2</v>
      </c>
      <c r="AE137" s="127">
        <f t="shared" si="324"/>
        <v>1331</v>
      </c>
      <c r="AF137" s="128">
        <f t="shared" si="325"/>
        <v>132971.79999999999</v>
      </c>
      <c r="AG137" s="128">
        <f t="shared" si="348"/>
        <v>133100</v>
      </c>
      <c r="AH137" s="128">
        <f t="shared" si="357"/>
        <v>133100</v>
      </c>
      <c r="AI137" s="130">
        <f t="shared" si="252"/>
        <v>4.4999999999999998E-2</v>
      </c>
      <c r="AJ137" s="128">
        <f t="shared" si="253"/>
        <v>133599.125</v>
      </c>
      <c r="AK137" s="128" t="str">
        <f t="shared" si="254"/>
        <v>nie</v>
      </c>
      <c r="AL137" s="128">
        <f t="shared" si="255"/>
        <v>665.5</v>
      </c>
      <c r="AM137" s="128">
        <f t="shared" si="361"/>
        <v>132965.23624999999</v>
      </c>
      <c r="AN137" s="128">
        <f t="shared" si="256"/>
        <v>404.29125000000005</v>
      </c>
      <c r="AO137" s="130">
        <f t="shared" si="257"/>
        <v>4.4999999999999998E-2</v>
      </c>
      <c r="AP137" s="128">
        <f t="shared" si="258"/>
        <v>4132.936428526803</v>
      </c>
      <c r="AQ137" s="128">
        <f t="shared" si="362"/>
        <v>136693.8814285268</v>
      </c>
      <c r="AS137" s="124">
        <f t="shared" si="327"/>
        <v>94</v>
      </c>
      <c r="AT137" s="130">
        <f t="shared" si="328"/>
        <v>4.4999999999999998E-2</v>
      </c>
      <c r="AU137" s="127">
        <f t="shared" si="329"/>
        <v>1269</v>
      </c>
      <c r="AV137" s="128">
        <f t="shared" si="330"/>
        <v>126782.40000000001</v>
      </c>
      <c r="AW137" s="128">
        <f t="shared" si="363"/>
        <v>126900</v>
      </c>
      <c r="AX137" s="128">
        <f t="shared" si="358"/>
        <v>126900</v>
      </c>
      <c r="AY137" s="130">
        <f t="shared" si="259"/>
        <v>4.65E-2</v>
      </c>
      <c r="AZ137" s="128">
        <f t="shared" si="260"/>
        <v>127391.7375</v>
      </c>
      <c r="BA137" s="128" t="str">
        <f t="shared" si="261"/>
        <v>nie</v>
      </c>
      <c r="BB137" s="128">
        <f t="shared" si="262"/>
        <v>888.3</v>
      </c>
      <c r="BC137" s="128">
        <f t="shared" si="367"/>
        <v>126578.784375</v>
      </c>
      <c r="BD137" s="128">
        <f t="shared" si="263"/>
        <v>398.30737500000237</v>
      </c>
      <c r="BE137" s="130">
        <f t="shared" si="264"/>
        <v>4.4999999999999998E-2</v>
      </c>
      <c r="BF137" s="128">
        <f t="shared" si="265"/>
        <v>9077.3985583994454</v>
      </c>
      <c r="BG137" s="128">
        <f t="shared" si="368"/>
        <v>135257.87555839945</v>
      </c>
      <c r="BI137" s="124">
        <f t="shared" si="332"/>
        <v>94</v>
      </c>
      <c r="BJ137" s="130">
        <f t="shared" si="354"/>
        <v>4.3200000000000002E-2</v>
      </c>
      <c r="BK137" s="127">
        <f t="shared" si="333"/>
        <v>1268</v>
      </c>
      <c r="BL137" s="128">
        <f t="shared" si="334"/>
        <v>126673.20000000001</v>
      </c>
      <c r="BM137" s="128">
        <f t="shared" si="349"/>
        <v>126800</v>
      </c>
      <c r="BN137" s="128">
        <f t="shared" si="335"/>
        <v>133013.19999999998</v>
      </c>
      <c r="BO137" s="130">
        <f t="shared" si="266"/>
        <v>4.9000000000000002E-2</v>
      </c>
      <c r="BP137" s="128">
        <f t="shared" si="267"/>
        <v>138444.57233333332</v>
      </c>
      <c r="BQ137" s="128" t="str">
        <f t="shared" si="268"/>
        <v>nie</v>
      </c>
      <c r="BR137" s="128">
        <f t="shared" si="269"/>
        <v>1268</v>
      </c>
      <c r="BS137" s="128">
        <f t="shared" si="364"/>
        <v>135205.02359</v>
      </c>
      <c r="BT137" s="128">
        <f t="shared" si="356"/>
        <v>0</v>
      </c>
      <c r="BU137" s="130">
        <f t="shared" si="270"/>
        <v>4.4999999999999998E-2</v>
      </c>
      <c r="BV137" s="128">
        <f t="shared" si="271"/>
        <v>16.881811817449705</v>
      </c>
      <c r="BW137" s="128">
        <f t="shared" si="365"/>
        <v>135221.90540181744</v>
      </c>
      <c r="BY137" s="130">
        <f t="shared" si="360"/>
        <v>2.9000000000000001E-2</v>
      </c>
      <c r="BZ137" s="127">
        <f t="shared" si="337"/>
        <v>1159</v>
      </c>
      <c r="CA137" s="128">
        <f t="shared" si="338"/>
        <v>115796.40000000001</v>
      </c>
      <c r="CB137" s="128">
        <f t="shared" si="366"/>
        <v>115900</v>
      </c>
      <c r="CC137" s="128">
        <f t="shared" si="359"/>
        <v>115900</v>
      </c>
      <c r="CD137" s="130">
        <f t="shared" si="272"/>
        <v>4.3999999999999997E-2</v>
      </c>
      <c r="CE137" s="128">
        <f t="shared" si="273"/>
        <v>120149.66666666666</v>
      </c>
      <c r="CF137" s="128" t="str">
        <f t="shared" si="274"/>
        <v>nie</v>
      </c>
      <c r="CG137" s="128">
        <f t="shared" si="275"/>
        <v>2318</v>
      </c>
      <c r="CH137" s="128">
        <f t="shared" si="369"/>
        <v>117464.65</v>
      </c>
      <c r="CI137" s="128">
        <f t="shared" si="276"/>
        <v>0</v>
      </c>
      <c r="CJ137" s="130">
        <f t="shared" si="277"/>
        <v>4.4999999999999998E-2</v>
      </c>
      <c r="CK137" s="128">
        <f t="shared" si="278"/>
        <v>14183.450026274701</v>
      </c>
      <c r="CL137" s="128">
        <f t="shared" si="279"/>
        <v>131648.10002627468</v>
      </c>
      <c r="CN137" s="127">
        <f t="shared" si="340"/>
        <v>1000</v>
      </c>
      <c r="CO137" s="128">
        <f t="shared" si="341"/>
        <v>100000</v>
      </c>
      <c r="CP137" s="128">
        <f t="shared" si="342"/>
        <v>100000</v>
      </c>
      <c r="CQ137" s="128">
        <f t="shared" si="343"/>
        <v>140907.23899484784</v>
      </c>
      <c r="CR137" s="130">
        <f t="shared" si="280"/>
        <v>4.9000000000000002E-2</v>
      </c>
      <c r="CS137" s="128">
        <f t="shared" si="281"/>
        <v>146660.95125380412</v>
      </c>
      <c r="CT137" s="128" t="str">
        <f t="shared" si="282"/>
        <v>nie</v>
      </c>
      <c r="CU137" s="128">
        <f t="shared" si="283"/>
        <v>3000</v>
      </c>
      <c r="CV137" s="128">
        <f t="shared" si="284"/>
        <v>135365.37051558134</v>
      </c>
      <c r="CW137" s="128">
        <f t="shared" si="285"/>
        <v>0</v>
      </c>
      <c r="CX137" s="130">
        <f t="shared" si="286"/>
        <v>4.4999999999999998E-2</v>
      </c>
      <c r="CY137" s="128">
        <f t="shared" si="287"/>
        <v>0</v>
      </c>
      <c r="CZ137" s="128">
        <f t="shared" si="288"/>
        <v>135365.37051558134</v>
      </c>
      <c r="DA137" s="20"/>
      <c r="DB137" s="127">
        <f t="shared" si="350"/>
        <v>1274</v>
      </c>
      <c r="DC137" s="128">
        <f t="shared" si="351"/>
        <v>127400</v>
      </c>
      <c r="DD137" s="128">
        <f t="shared" si="344"/>
        <v>127400</v>
      </c>
      <c r="DE137" s="128">
        <f t="shared" si="345"/>
        <v>134343.29999999999</v>
      </c>
      <c r="DF137" s="130">
        <f t="shared" si="289"/>
        <v>4.9000000000000002E-2</v>
      </c>
      <c r="DG137" s="128">
        <f t="shared" si="290"/>
        <v>139828.98474999997</v>
      </c>
      <c r="DH137" s="128" t="str">
        <f t="shared" si="291"/>
        <v>nie</v>
      </c>
      <c r="DI137" s="128">
        <f t="shared" si="292"/>
        <v>2548</v>
      </c>
      <c r="DJ137" s="128">
        <f t="shared" si="355"/>
        <v>135403.59764749999</v>
      </c>
      <c r="DK137" s="128">
        <f t="shared" si="294"/>
        <v>0</v>
      </c>
      <c r="DL137" s="130">
        <f t="shared" si="295"/>
        <v>4.4999999999999998E-2</v>
      </c>
      <c r="DM137" s="128">
        <f t="shared" si="296"/>
        <v>101.37334845329558</v>
      </c>
      <c r="DN137" s="128">
        <f t="shared" si="297"/>
        <v>135504.97099595328</v>
      </c>
      <c r="DP137" s="127">
        <f t="shared" si="352"/>
        <v>1000</v>
      </c>
      <c r="DQ137" s="128">
        <f t="shared" si="353"/>
        <v>100000</v>
      </c>
      <c r="DR137" s="128">
        <f t="shared" si="346"/>
        <v>100000</v>
      </c>
      <c r="DS137" s="128">
        <f t="shared" si="347"/>
        <v>145328.0781962559</v>
      </c>
      <c r="DT137" s="130">
        <f t="shared" si="298"/>
        <v>5.4000000000000006E-2</v>
      </c>
      <c r="DU137" s="128">
        <f t="shared" si="299"/>
        <v>151867.84171508742</v>
      </c>
      <c r="DV137" s="128" t="str">
        <f t="shared" si="300"/>
        <v>nie</v>
      </c>
      <c r="DW137" s="128">
        <f t="shared" si="301"/>
        <v>3000</v>
      </c>
      <c r="DX137" s="128">
        <f t="shared" si="302"/>
        <v>139582.9517892208</v>
      </c>
      <c r="DY137" s="128">
        <f t="shared" si="303"/>
        <v>0</v>
      </c>
      <c r="DZ137" s="130">
        <f t="shared" si="304"/>
        <v>4.4999999999999998E-2</v>
      </c>
      <c r="EA137" s="128">
        <f t="shared" si="305"/>
        <v>0</v>
      </c>
      <c r="EB137" s="128">
        <f t="shared" si="306"/>
        <v>139582.9517892208</v>
      </c>
    </row>
    <row r="138" spans="1:132">
      <c r="A138" s="212"/>
      <c r="B138" s="188">
        <f t="shared" si="307"/>
        <v>94</v>
      </c>
      <c r="C138" s="128">
        <f t="shared" si="308"/>
        <v>136693.8814285268</v>
      </c>
      <c r="D138" s="128">
        <f t="shared" si="309"/>
        <v>135257.87555839945</v>
      </c>
      <c r="E138" s="128">
        <f t="shared" si="310"/>
        <v>135221.90540181744</v>
      </c>
      <c r="F138" s="128">
        <f t="shared" si="311"/>
        <v>131648.10002627468</v>
      </c>
      <c r="G138" s="128">
        <f t="shared" si="312"/>
        <v>135365.37051558134</v>
      </c>
      <c r="H138" s="128">
        <f t="shared" si="313"/>
        <v>135504.97099595328</v>
      </c>
      <c r="I138" s="128">
        <f t="shared" si="314"/>
        <v>139582.9517892208</v>
      </c>
      <c r="J138" s="128">
        <f t="shared" si="315"/>
        <v>132988.4684423657</v>
      </c>
      <c r="K138" s="128">
        <f t="shared" si="316"/>
        <v>125106.03500316034</v>
      </c>
      <c r="M138" s="36"/>
      <c r="N138" s="32">
        <f t="shared" si="317"/>
        <v>94</v>
      </c>
      <c r="O138" s="25">
        <f t="shared" si="318"/>
        <v>0.36693881428526809</v>
      </c>
      <c r="P138" s="25">
        <f t="shared" si="319"/>
        <v>0.35257875558399454</v>
      </c>
      <c r="Q138" s="25">
        <f t="shared" si="320"/>
        <v>0.35221905401817444</v>
      </c>
      <c r="R138" s="25">
        <f t="shared" si="245"/>
        <v>0.31648100026274673</v>
      </c>
      <c r="S138" s="25">
        <f t="shared" si="246"/>
        <v>0.35365370515581329</v>
      </c>
      <c r="T138" s="25">
        <f t="shared" si="247"/>
        <v>0.35504970995953267</v>
      </c>
      <c r="U138" s="25">
        <f t="shared" si="248"/>
        <v>0.39582951789220799</v>
      </c>
      <c r="V138" s="25">
        <f t="shared" si="249"/>
        <v>0.32988468442365693</v>
      </c>
      <c r="W138" s="25">
        <f t="shared" si="250"/>
        <v>0.25106035003160354</v>
      </c>
      <c r="X138" s="36"/>
      <c r="Y138" s="36"/>
      <c r="AA138" s="124">
        <f t="shared" si="321"/>
        <v>95</v>
      </c>
      <c r="AB138" s="128">
        <f t="shared" si="251"/>
        <v>125401.24045597497</v>
      </c>
      <c r="AC138" s="124">
        <f t="shared" si="322"/>
        <v>95</v>
      </c>
      <c r="AD138" s="130">
        <f t="shared" si="323"/>
        <v>4.4999999999999998E-2</v>
      </c>
      <c r="AE138" s="127">
        <f t="shared" si="324"/>
        <v>1331</v>
      </c>
      <c r="AF138" s="128">
        <f t="shared" si="325"/>
        <v>132971.79999999999</v>
      </c>
      <c r="AG138" s="128">
        <f t="shared" si="348"/>
        <v>133100</v>
      </c>
      <c r="AH138" s="128">
        <f t="shared" si="357"/>
        <v>133100</v>
      </c>
      <c r="AI138" s="130">
        <f t="shared" si="252"/>
        <v>4.4999999999999998E-2</v>
      </c>
      <c r="AJ138" s="128">
        <f t="shared" si="253"/>
        <v>133599.125</v>
      </c>
      <c r="AK138" s="128" t="str">
        <f t="shared" si="254"/>
        <v>nie</v>
      </c>
      <c r="AL138" s="128">
        <f t="shared" si="255"/>
        <v>665.5</v>
      </c>
      <c r="AM138" s="128">
        <f t="shared" si="361"/>
        <v>132965.23624999999</v>
      </c>
      <c r="AN138" s="128">
        <f t="shared" si="256"/>
        <v>404.29125000000005</v>
      </c>
      <c r="AO138" s="130">
        <f t="shared" si="257"/>
        <v>4.4999999999999998E-2</v>
      </c>
      <c r="AP138" s="128">
        <f t="shared" si="258"/>
        <v>4549.7814729284537</v>
      </c>
      <c r="AQ138" s="128">
        <f t="shared" si="362"/>
        <v>137110.72647292845</v>
      </c>
      <c r="AS138" s="124">
        <f t="shared" si="327"/>
        <v>95</v>
      </c>
      <c r="AT138" s="130">
        <f t="shared" si="328"/>
        <v>4.4999999999999998E-2</v>
      </c>
      <c r="AU138" s="127">
        <f t="shared" si="329"/>
        <v>1269</v>
      </c>
      <c r="AV138" s="128">
        <f t="shared" si="330"/>
        <v>126782.40000000001</v>
      </c>
      <c r="AW138" s="128">
        <f t="shared" si="363"/>
        <v>126900</v>
      </c>
      <c r="AX138" s="128">
        <f t="shared" si="358"/>
        <v>126900</v>
      </c>
      <c r="AY138" s="130">
        <f t="shared" si="259"/>
        <v>4.65E-2</v>
      </c>
      <c r="AZ138" s="128">
        <f t="shared" si="260"/>
        <v>127391.7375</v>
      </c>
      <c r="BA138" s="128" t="str">
        <f t="shared" si="261"/>
        <v>nie</v>
      </c>
      <c r="BB138" s="128">
        <f t="shared" si="262"/>
        <v>888.3</v>
      </c>
      <c r="BC138" s="128">
        <f t="shared" si="367"/>
        <v>126578.784375</v>
      </c>
      <c r="BD138" s="128">
        <f t="shared" si="263"/>
        <v>398.30737500000237</v>
      </c>
      <c r="BE138" s="130">
        <f t="shared" si="264"/>
        <v>4.4999999999999998E-2</v>
      </c>
      <c r="BF138" s="128">
        <f t="shared" si="265"/>
        <v>9503.2785315205856</v>
      </c>
      <c r="BG138" s="128">
        <f t="shared" si="368"/>
        <v>135683.75553152058</v>
      </c>
      <c r="BI138" s="124">
        <f t="shared" si="332"/>
        <v>95</v>
      </c>
      <c r="BJ138" s="130">
        <f t="shared" si="354"/>
        <v>4.3200000000000002E-2</v>
      </c>
      <c r="BK138" s="127">
        <f t="shared" si="333"/>
        <v>1268</v>
      </c>
      <c r="BL138" s="128">
        <f t="shared" si="334"/>
        <v>126673.20000000001</v>
      </c>
      <c r="BM138" s="128">
        <f t="shared" si="349"/>
        <v>126800</v>
      </c>
      <c r="BN138" s="128">
        <f t="shared" si="335"/>
        <v>133013.19999999998</v>
      </c>
      <c r="BO138" s="130">
        <f t="shared" si="266"/>
        <v>4.9000000000000002E-2</v>
      </c>
      <c r="BP138" s="128">
        <f t="shared" si="267"/>
        <v>138987.70956666666</v>
      </c>
      <c r="BQ138" s="128" t="str">
        <f t="shared" si="268"/>
        <v>nie</v>
      </c>
      <c r="BR138" s="128">
        <f t="shared" si="269"/>
        <v>1268</v>
      </c>
      <c r="BS138" s="128">
        <f t="shared" si="364"/>
        <v>135644.96474900001</v>
      </c>
      <c r="BT138" s="128">
        <f t="shared" si="356"/>
        <v>0</v>
      </c>
      <c r="BU138" s="130">
        <f t="shared" si="270"/>
        <v>4.4999999999999998E-2</v>
      </c>
      <c r="BV138" s="128">
        <f t="shared" si="271"/>
        <v>16.93309032084521</v>
      </c>
      <c r="BW138" s="128">
        <f t="shared" si="365"/>
        <v>135661.89783932085</v>
      </c>
      <c r="BY138" s="130">
        <f t="shared" si="360"/>
        <v>2.9000000000000001E-2</v>
      </c>
      <c r="BZ138" s="127">
        <f t="shared" si="337"/>
        <v>1159</v>
      </c>
      <c r="CA138" s="128">
        <f t="shared" si="338"/>
        <v>115796.40000000001</v>
      </c>
      <c r="CB138" s="128">
        <f t="shared" si="366"/>
        <v>115900</v>
      </c>
      <c r="CC138" s="128">
        <f t="shared" si="359"/>
        <v>115900</v>
      </c>
      <c r="CD138" s="130">
        <f t="shared" si="272"/>
        <v>4.3999999999999997E-2</v>
      </c>
      <c r="CE138" s="128">
        <f t="shared" si="273"/>
        <v>120574.63333333333</v>
      </c>
      <c r="CF138" s="128" t="str">
        <f t="shared" si="274"/>
        <v>nie</v>
      </c>
      <c r="CG138" s="128">
        <f t="shared" si="275"/>
        <v>2318</v>
      </c>
      <c r="CH138" s="128">
        <f t="shared" si="369"/>
        <v>117808.87299999999</v>
      </c>
      <c r="CI138" s="128">
        <f t="shared" si="276"/>
        <v>0</v>
      </c>
      <c r="CJ138" s="130">
        <f t="shared" si="277"/>
        <v>4.4999999999999998E-2</v>
      </c>
      <c r="CK138" s="128">
        <f t="shared" si="278"/>
        <v>14226.532255729511</v>
      </c>
      <c r="CL138" s="128">
        <f t="shared" si="279"/>
        <v>132035.40525572951</v>
      </c>
      <c r="CN138" s="127">
        <f t="shared" si="340"/>
        <v>1000</v>
      </c>
      <c r="CO138" s="128">
        <f t="shared" si="341"/>
        <v>100000</v>
      </c>
      <c r="CP138" s="128">
        <f t="shared" si="342"/>
        <v>100000</v>
      </c>
      <c r="CQ138" s="128">
        <f t="shared" si="343"/>
        <v>140907.23899484784</v>
      </c>
      <c r="CR138" s="130">
        <f t="shared" si="280"/>
        <v>4.9000000000000002E-2</v>
      </c>
      <c r="CS138" s="128">
        <f t="shared" si="281"/>
        <v>147236.32247969977</v>
      </c>
      <c r="CT138" s="128" t="str">
        <f t="shared" si="282"/>
        <v>nie</v>
      </c>
      <c r="CU138" s="128">
        <f t="shared" si="283"/>
        <v>3000</v>
      </c>
      <c r="CV138" s="128">
        <f t="shared" si="284"/>
        <v>135831.4212085568</v>
      </c>
      <c r="CW138" s="128">
        <f t="shared" si="285"/>
        <v>0</v>
      </c>
      <c r="CX138" s="130">
        <f t="shared" si="286"/>
        <v>4.4999999999999998E-2</v>
      </c>
      <c r="CY138" s="128">
        <f t="shared" si="287"/>
        <v>0</v>
      </c>
      <c r="CZ138" s="128">
        <f t="shared" si="288"/>
        <v>135831.4212085568</v>
      </c>
      <c r="DA138" s="20"/>
      <c r="DB138" s="127">
        <f t="shared" si="350"/>
        <v>1274</v>
      </c>
      <c r="DC138" s="128">
        <f t="shared" si="351"/>
        <v>127400</v>
      </c>
      <c r="DD138" s="128">
        <f t="shared" si="344"/>
        <v>127400</v>
      </c>
      <c r="DE138" s="128">
        <f t="shared" si="345"/>
        <v>134343.29999999999</v>
      </c>
      <c r="DF138" s="130">
        <f t="shared" si="289"/>
        <v>4.9000000000000002E-2</v>
      </c>
      <c r="DG138" s="128">
        <f t="shared" si="290"/>
        <v>140377.55322499998</v>
      </c>
      <c r="DH138" s="128" t="str">
        <f t="shared" si="291"/>
        <v>nie</v>
      </c>
      <c r="DI138" s="128">
        <f t="shared" si="292"/>
        <v>2548</v>
      </c>
      <c r="DJ138" s="128">
        <f t="shared" si="355"/>
        <v>135847.93811224998</v>
      </c>
      <c r="DK138" s="128">
        <f t="shared" si="294"/>
        <v>0</v>
      </c>
      <c r="DL138" s="130">
        <f t="shared" si="295"/>
        <v>4.4999999999999998E-2</v>
      </c>
      <c r="DM138" s="128">
        <f t="shared" si="296"/>
        <v>101.68126999922247</v>
      </c>
      <c r="DN138" s="128">
        <f t="shared" si="297"/>
        <v>135949.61938224919</v>
      </c>
      <c r="DP138" s="127">
        <f t="shared" si="352"/>
        <v>1000</v>
      </c>
      <c r="DQ138" s="128">
        <f t="shared" si="353"/>
        <v>100000</v>
      </c>
      <c r="DR138" s="128">
        <f t="shared" si="346"/>
        <v>100000</v>
      </c>
      <c r="DS138" s="128">
        <f t="shared" si="347"/>
        <v>145328.0781962559</v>
      </c>
      <c r="DT138" s="130">
        <f t="shared" si="298"/>
        <v>5.4000000000000006E-2</v>
      </c>
      <c r="DU138" s="128">
        <f t="shared" si="299"/>
        <v>152521.81806697059</v>
      </c>
      <c r="DV138" s="128" t="str">
        <f t="shared" si="300"/>
        <v>nie</v>
      </c>
      <c r="DW138" s="128">
        <f t="shared" si="301"/>
        <v>3000</v>
      </c>
      <c r="DX138" s="128">
        <f t="shared" si="302"/>
        <v>140112.67263424618</v>
      </c>
      <c r="DY138" s="128">
        <f t="shared" si="303"/>
        <v>0</v>
      </c>
      <c r="DZ138" s="130">
        <f t="shared" si="304"/>
        <v>4.4999999999999998E-2</v>
      </c>
      <c r="EA138" s="128">
        <f t="shared" si="305"/>
        <v>0</v>
      </c>
      <c r="EB138" s="128">
        <f t="shared" si="306"/>
        <v>140112.67263424618</v>
      </c>
    </row>
    <row r="139" spans="1:132" ht="14.25" customHeight="1">
      <c r="A139" s="212"/>
      <c r="B139" s="188">
        <f t="shared" si="307"/>
        <v>95</v>
      </c>
      <c r="C139" s="128">
        <f t="shared" si="308"/>
        <v>137110.72647292845</v>
      </c>
      <c r="D139" s="128">
        <f t="shared" si="309"/>
        <v>135683.75553152058</v>
      </c>
      <c r="E139" s="128">
        <f t="shared" si="310"/>
        <v>135661.89783932085</v>
      </c>
      <c r="F139" s="128">
        <f t="shared" si="311"/>
        <v>132035.40525572951</v>
      </c>
      <c r="G139" s="128">
        <f t="shared" si="312"/>
        <v>135831.4212085568</v>
      </c>
      <c r="H139" s="128">
        <f t="shared" si="313"/>
        <v>135949.61938224919</v>
      </c>
      <c r="I139" s="128">
        <f t="shared" si="314"/>
        <v>140112.67263424618</v>
      </c>
      <c r="J139" s="128">
        <f t="shared" si="315"/>
        <v>133392.4209152594</v>
      </c>
      <c r="K139" s="128">
        <f t="shared" si="316"/>
        <v>125401.24045597497</v>
      </c>
      <c r="M139" s="36"/>
      <c r="N139" s="32">
        <f t="shared" si="317"/>
        <v>95</v>
      </c>
      <c r="O139" s="25">
        <f t="shared" si="318"/>
        <v>0.37110726472928457</v>
      </c>
      <c r="P139" s="25">
        <f t="shared" si="319"/>
        <v>0.35683755531520589</v>
      </c>
      <c r="Q139" s="25">
        <f t="shared" si="320"/>
        <v>0.35661897839320855</v>
      </c>
      <c r="R139" s="25">
        <f t="shared" si="245"/>
        <v>0.32035405255729499</v>
      </c>
      <c r="S139" s="25">
        <f t="shared" si="246"/>
        <v>0.35831421208556802</v>
      </c>
      <c r="T139" s="25">
        <f t="shared" si="247"/>
        <v>0.35949619382249187</v>
      </c>
      <c r="U139" s="25">
        <f t="shared" si="248"/>
        <v>0.40112672634246183</v>
      </c>
      <c r="V139" s="25">
        <f t="shared" si="249"/>
        <v>0.33392420915259402</v>
      </c>
      <c r="W139" s="25">
        <f t="shared" si="250"/>
        <v>0.2540124045597496</v>
      </c>
      <c r="X139" s="36"/>
      <c r="Y139" s="36"/>
      <c r="AA139" s="124">
        <f t="shared" si="321"/>
        <v>96</v>
      </c>
      <c r="AB139" s="128">
        <f t="shared" si="251"/>
        <v>125696.44590878957</v>
      </c>
      <c r="AC139" s="124">
        <f t="shared" si="322"/>
        <v>96</v>
      </c>
      <c r="AD139" s="130">
        <f t="shared" si="323"/>
        <v>4.4999999999999998E-2</v>
      </c>
      <c r="AE139" s="127">
        <f t="shared" si="324"/>
        <v>1331</v>
      </c>
      <c r="AF139" s="128">
        <f t="shared" si="325"/>
        <v>132971.79999999999</v>
      </c>
      <c r="AG139" s="128">
        <f t="shared" si="348"/>
        <v>133100</v>
      </c>
      <c r="AH139" s="128">
        <f t="shared" si="357"/>
        <v>133100</v>
      </c>
      <c r="AI139" s="130">
        <f t="shared" si="252"/>
        <v>4.4999999999999998E-2</v>
      </c>
      <c r="AJ139" s="128">
        <f t="shared" si="253"/>
        <v>133599.125</v>
      </c>
      <c r="AK139" s="128" t="str">
        <f t="shared" si="254"/>
        <v>tak</v>
      </c>
      <c r="AL139" s="128">
        <f t="shared" si="255"/>
        <v>0</v>
      </c>
      <c r="AM139" s="128">
        <f t="shared" si="361"/>
        <v>133504.29125000001</v>
      </c>
      <c r="AN139" s="128">
        <f t="shared" si="256"/>
        <v>537.99124999999242</v>
      </c>
      <c r="AO139" s="130">
        <f t="shared" si="257"/>
        <v>4.4999999999999998E-2</v>
      </c>
      <c r="AP139" s="128">
        <f t="shared" si="258"/>
        <v>5101.592684152467</v>
      </c>
      <c r="AQ139" s="128">
        <f t="shared" si="362"/>
        <v>138067.8926841525</v>
      </c>
      <c r="AS139" s="124">
        <f t="shared" si="327"/>
        <v>96</v>
      </c>
      <c r="AT139" s="130">
        <f t="shared" si="328"/>
        <v>4.4999999999999998E-2</v>
      </c>
      <c r="AU139" s="127">
        <f t="shared" si="329"/>
        <v>1269</v>
      </c>
      <c r="AV139" s="128">
        <f t="shared" si="330"/>
        <v>126782.40000000001</v>
      </c>
      <c r="AW139" s="128">
        <f t="shared" si="363"/>
        <v>126900</v>
      </c>
      <c r="AX139" s="128">
        <f t="shared" si="358"/>
        <v>126900</v>
      </c>
      <c r="AY139" s="130">
        <f t="shared" si="259"/>
        <v>4.65E-2</v>
      </c>
      <c r="AZ139" s="128">
        <f t="shared" si="260"/>
        <v>127391.7375</v>
      </c>
      <c r="BA139" s="128" t="str">
        <f t="shared" si="261"/>
        <v>tak</v>
      </c>
      <c r="BB139" s="128">
        <f t="shared" si="262"/>
        <v>0</v>
      </c>
      <c r="BC139" s="128">
        <f t="shared" si="367"/>
        <v>127298.307375</v>
      </c>
      <c r="BD139" s="128">
        <f t="shared" si="263"/>
        <v>525.80737499999509</v>
      </c>
      <c r="BE139" s="130">
        <f t="shared" si="264"/>
        <v>4.4999999999999998E-2</v>
      </c>
      <c r="BF139" s="128">
        <f t="shared" si="265"/>
        <v>10057.952115060074</v>
      </c>
      <c r="BG139" s="128">
        <f t="shared" si="368"/>
        <v>136830.45211506009</v>
      </c>
      <c r="BI139" s="124">
        <f t="shared" si="332"/>
        <v>96</v>
      </c>
      <c r="BJ139" s="130">
        <f t="shared" si="354"/>
        <v>4.3200000000000002E-2</v>
      </c>
      <c r="BK139" s="127">
        <f t="shared" si="333"/>
        <v>1268</v>
      </c>
      <c r="BL139" s="128">
        <f t="shared" si="334"/>
        <v>126673.20000000001</v>
      </c>
      <c r="BM139" s="128">
        <f t="shared" si="349"/>
        <v>126800</v>
      </c>
      <c r="BN139" s="128">
        <f t="shared" si="335"/>
        <v>133013.19999999998</v>
      </c>
      <c r="BO139" s="130">
        <f t="shared" si="266"/>
        <v>4.9000000000000002E-2</v>
      </c>
      <c r="BP139" s="128">
        <f t="shared" si="267"/>
        <v>139530.84679999997</v>
      </c>
      <c r="BQ139" s="128" t="str">
        <f t="shared" si="268"/>
        <v>nie</v>
      </c>
      <c r="BR139" s="128">
        <f t="shared" si="269"/>
        <v>1268</v>
      </c>
      <c r="BS139" s="128">
        <f t="shared" si="364"/>
        <v>136084.90590799999</v>
      </c>
      <c r="BT139" s="128">
        <f t="shared" si="356"/>
        <v>0</v>
      </c>
      <c r="BU139" s="130">
        <f t="shared" si="270"/>
        <v>4.4999999999999998E-2</v>
      </c>
      <c r="BV139" s="128">
        <f t="shared" si="271"/>
        <v>16.984524582694778</v>
      </c>
      <c r="BW139" s="128">
        <f t="shared" si="365"/>
        <v>136101.89043258267</v>
      </c>
      <c r="BY139" s="130">
        <f t="shared" si="360"/>
        <v>2.9000000000000001E-2</v>
      </c>
      <c r="BZ139" s="127">
        <f t="shared" si="337"/>
        <v>1159</v>
      </c>
      <c r="CA139" s="128">
        <f t="shared" si="338"/>
        <v>115796.40000000001</v>
      </c>
      <c r="CB139" s="128">
        <f t="shared" si="366"/>
        <v>115900</v>
      </c>
      <c r="CC139" s="128">
        <f t="shared" si="359"/>
        <v>115900</v>
      </c>
      <c r="CD139" s="130">
        <f t="shared" si="272"/>
        <v>4.3999999999999997E-2</v>
      </c>
      <c r="CE139" s="128">
        <f t="shared" si="273"/>
        <v>120999.6</v>
      </c>
      <c r="CF139" s="128" t="str">
        <f t="shared" si="274"/>
        <v>tak</v>
      </c>
      <c r="CG139" s="128">
        <f t="shared" si="275"/>
        <v>0</v>
      </c>
      <c r="CH139" s="128">
        <f t="shared" si="369"/>
        <v>120030.67600000001</v>
      </c>
      <c r="CI139" s="128">
        <f t="shared" si="276"/>
        <v>50.775999999998021</v>
      </c>
      <c r="CJ139" s="130">
        <f t="shared" si="277"/>
        <v>4.4999999999999998E-2</v>
      </c>
      <c r="CK139" s="128">
        <f t="shared" si="278"/>
        <v>14320.521347456288</v>
      </c>
      <c r="CL139" s="128">
        <f t="shared" si="279"/>
        <v>134300.42134745629</v>
      </c>
      <c r="CN139" s="127">
        <f t="shared" si="340"/>
        <v>1000</v>
      </c>
      <c r="CO139" s="128">
        <f t="shared" si="341"/>
        <v>100000</v>
      </c>
      <c r="CP139" s="128">
        <f t="shared" si="342"/>
        <v>100000</v>
      </c>
      <c r="CQ139" s="128">
        <f t="shared" si="343"/>
        <v>140907.23899484784</v>
      </c>
      <c r="CR139" s="130">
        <f t="shared" si="280"/>
        <v>4.9000000000000002E-2</v>
      </c>
      <c r="CS139" s="128">
        <f t="shared" si="281"/>
        <v>147811.69370559536</v>
      </c>
      <c r="CT139" s="128" t="str">
        <f t="shared" si="282"/>
        <v>nie</v>
      </c>
      <c r="CU139" s="128">
        <f t="shared" si="283"/>
        <v>3000</v>
      </c>
      <c r="CV139" s="128">
        <f t="shared" si="284"/>
        <v>136297.47190153223</v>
      </c>
      <c r="CW139" s="128">
        <f t="shared" si="285"/>
        <v>0</v>
      </c>
      <c r="CX139" s="130">
        <f t="shared" si="286"/>
        <v>4.4999999999999998E-2</v>
      </c>
      <c r="CY139" s="128">
        <f t="shared" si="287"/>
        <v>0</v>
      </c>
      <c r="CZ139" s="128">
        <f t="shared" si="288"/>
        <v>136297.47190153223</v>
      </c>
      <c r="DA139" s="20"/>
      <c r="DB139" s="127">
        <f t="shared" si="350"/>
        <v>1274</v>
      </c>
      <c r="DC139" s="128">
        <f t="shared" si="351"/>
        <v>127400</v>
      </c>
      <c r="DD139" s="128">
        <f t="shared" si="344"/>
        <v>127400</v>
      </c>
      <c r="DE139" s="128">
        <f t="shared" si="345"/>
        <v>134343.29999999999</v>
      </c>
      <c r="DF139" s="130">
        <f t="shared" si="289"/>
        <v>4.9000000000000002E-2</v>
      </c>
      <c r="DG139" s="128">
        <f t="shared" si="290"/>
        <v>140926.12169999999</v>
      </c>
      <c r="DH139" s="128" t="str">
        <f t="shared" si="291"/>
        <v>nie</v>
      </c>
      <c r="DI139" s="128">
        <f t="shared" si="292"/>
        <v>2548</v>
      </c>
      <c r="DJ139" s="128">
        <f t="shared" si="355"/>
        <v>136292.27857699999</v>
      </c>
      <c r="DK139" s="128">
        <f t="shared" si="294"/>
        <v>0</v>
      </c>
      <c r="DL139" s="130">
        <f t="shared" si="295"/>
        <v>4.4999999999999998E-2</v>
      </c>
      <c r="DM139" s="128">
        <f t="shared" si="296"/>
        <v>101.99012685684511</v>
      </c>
      <c r="DN139" s="128">
        <f t="shared" si="297"/>
        <v>136394.26870385683</v>
      </c>
      <c r="DP139" s="127">
        <f t="shared" si="352"/>
        <v>1000</v>
      </c>
      <c r="DQ139" s="128">
        <f t="shared" si="353"/>
        <v>100000</v>
      </c>
      <c r="DR139" s="128">
        <f t="shared" si="346"/>
        <v>100000</v>
      </c>
      <c r="DS139" s="128">
        <f t="shared" si="347"/>
        <v>145328.0781962559</v>
      </c>
      <c r="DT139" s="130">
        <f t="shared" si="298"/>
        <v>5.4000000000000006E-2</v>
      </c>
      <c r="DU139" s="128">
        <f t="shared" si="299"/>
        <v>153175.79441885374</v>
      </c>
      <c r="DV139" s="128" t="str">
        <f t="shared" si="300"/>
        <v>nie</v>
      </c>
      <c r="DW139" s="128">
        <f t="shared" si="301"/>
        <v>3000</v>
      </c>
      <c r="DX139" s="128">
        <f t="shared" si="302"/>
        <v>140642.39347927153</v>
      </c>
      <c r="DY139" s="128">
        <f t="shared" si="303"/>
        <v>0</v>
      </c>
      <c r="DZ139" s="130">
        <f t="shared" si="304"/>
        <v>4.4999999999999998E-2</v>
      </c>
      <c r="EA139" s="128">
        <f t="shared" si="305"/>
        <v>0</v>
      </c>
      <c r="EB139" s="128">
        <f t="shared" si="306"/>
        <v>140642.39347927153</v>
      </c>
    </row>
    <row r="140" spans="1:132">
      <c r="A140" s="212"/>
      <c r="B140" s="188">
        <f t="shared" si="307"/>
        <v>96</v>
      </c>
      <c r="C140" s="128">
        <f t="shared" si="308"/>
        <v>138067.8926841525</v>
      </c>
      <c r="D140" s="128">
        <f t="shared" si="309"/>
        <v>136830.45211506009</v>
      </c>
      <c r="E140" s="128">
        <f t="shared" si="310"/>
        <v>136101.89043258267</v>
      </c>
      <c r="F140" s="128">
        <f t="shared" si="311"/>
        <v>134300.42134745629</v>
      </c>
      <c r="G140" s="128">
        <f t="shared" si="312"/>
        <v>136297.47190153223</v>
      </c>
      <c r="H140" s="128">
        <f t="shared" si="313"/>
        <v>136394.26870385683</v>
      </c>
      <c r="I140" s="128">
        <f t="shared" si="314"/>
        <v>140642.39347927153</v>
      </c>
      <c r="J140" s="128">
        <f t="shared" si="315"/>
        <v>133797.6003937895</v>
      </c>
      <c r="K140" s="128">
        <f t="shared" si="316"/>
        <v>125696.44590878957</v>
      </c>
      <c r="M140" s="36"/>
      <c r="N140" s="32">
        <f t="shared" si="317"/>
        <v>96</v>
      </c>
      <c r="O140" s="25">
        <f t="shared" si="318"/>
        <v>0.38067892684152493</v>
      </c>
      <c r="P140" s="25">
        <f t="shared" si="319"/>
        <v>0.36830452115060086</v>
      </c>
      <c r="Q140" s="25">
        <f t="shared" si="320"/>
        <v>0.36101890432582673</v>
      </c>
      <c r="R140" s="25">
        <f t="shared" ref="R140:R171" si="370">F140/zakup_domyslny_wartosc-1</f>
        <v>0.34300421347456278</v>
      </c>
      <c r="S140" s="25">
        <f t="shared" ref="S140:S171" si="371">G140/zakup_domyslny_wartosc-1</f>
        <v>0.3629747190153223</v>
      </c>
      <c r="T140" s="25">
        <f t="shared" ref="T140:T171" si="372">H140/zakup_domyslny_wartosc-1</f>
        <v>0.36394268703856825</v>
      </c>
      <c r="U140" s="25">
        <f t="shared" ref="U140:U171" si="373">I140/zakup_domyslny_wartosc-1</f>
        <v>0.40642393479271521</v>
      </c>
      <c r="V140" s="25">
        <f t="shared" ref="V140:V171" si="374">J140/zakup_domyslny_wartosc-1</f>
        <v>0.33797600393789495</v>
      </c>
      <c r="W140" s="25">
        <f t="shared" ref="W140:W171" si="375">K140/zakup_domyslny_wartosc-1</f>
        <v>0.25696445908789567</v>
      </c>
      <c r="X140" s="36"/>
      <c r="Y140" s="36"/>
      <c r="AA140" s="124">
        <f t="shared" si="321"/>
        <v>97</v>
      </c>
      <c r="AB140" s="128">
        <f t="shared" ref="AB140:AB171" si="376">zakup_domyslny_wartosc*IFERROR((INDEX(scenariusz_I_inflacja_skumulowana,MATCH(ROUNDDOWN(AA140/12,0),scenariusz_I_rok,0))+1),1)
*(1+MOD(AA140,12)*INDEX(scenariusz_I_inflacja,MATCH(ROUNDUP(AA140/12,0),scenariusz_I_rok,0))/12)</f>
        <v>126000.21231973582</v>
      </c>
      <c r="AC140" s="124">
        <f t="shared" si="322"/>
        <v>97</v>
      </c>
      <c r="AD140" s="130">
        <f t="shared" si="323"/>
        <v>4.4999999999999998E-2</v>
      </c>
      <c r="AE140" s="127">
        <f t="shared" si="324"/>
        <v>1387</v>
      </c>
      <c r="AF140" s="128">
        <f t="shared" si="325"/>
        <v>138566.39999999999</v>
      </c>
      <c r="AG140" s="128">
        <f t="shared" si="348"/>
        <v>138700</v>
      </c>
      <c r="AH140" s="128">
        <f t="shared" si="357"/>
        <v>138700</v>
      </c>
      <c r="AI140" s="130">
        <f t="shared" ref="AI140:AI171" si="377">IF(AND(MOD($AA140,zapadalnosc_ROR)&lt;=zmiana_oprocentowania_co_ile_mc_ROR,MOD($AA140,zapadalnosc_ROR)&lt;&gt;0),proc_I_okres_ROR,(marza_ROR+AD140))</f>
        <v>4.4999999999999998E-2</v>
      </c>
      <c r="AJ140" s="128">
        <f t="shared" ref="AJ140:AJ171" si="378">AH140*(1+AI140*IF(MOD($AA140,wyplata_odsetek_ROR)&lt;&gt;0,MOD($AA140,wyplata_odsetek_ROR),wyplata_odsetek_ROR)/12)</f>
        <v>139220.125</v>
      </c>
      <c r="AK140" s="128" t="str">
        <f t="shared" ref="AK140:AK171" si="379">IF(MOD($AA140,zapadalnosc_ROR)=0,"tak","nie")</f>
        <v>nie</v>
      </c>
      <c r="AL140" s="128">
        <f t="shared" ref="AL140:AL171" si="380">IF(MOD($AA140,zapadalnosc_ROR)=0,0,
IF(AND(MOD($AA140,zapadalnosc_ROR)&lt;zapadalnosc_ROR,MOD($AA140,zapadalnosc_ROR)&lt;=koszt_wczesniejszy_wykup_ochrona_ROR),
MIN(AJ140-AG140,AE140*koszt_wczesniejszy_wykup_ROR),AE140*koszt_wczesniejszy_wykup_ROR))</f>
        <v>520.125</v>
      </c>
      <c r="AM140" s="128">
        <f t="shared" si="361"/>
        <v>138700</v>
      </c>
      <c r="AN140" s="128">
        <f t="shared" ref="AN140:AN171" si="381">IF(MOD($AA140,wyplata_odsetek_ROR)=0, (AJ140-AG140)*(1-podatek_Belki),0)
+IF(AK140="tak",ROUNDDOWN(AJ140/zamiana_ROR,0)*(100-zamiana_ROR),0)</f>
        <v>421.30125000000004</v>
      </c>
      <c r="AO140" s="130">
        <f t="shared" ref="AO140:AO171" si="382">INDEX(scenariusz_I_konto,MATCH(ROUNDUP($AA140/12,0),scenariusz_I_rok,0))</f>
        <v>4.4999999999999998E-2</v>
      </c>
      <c r="AP140" s="128">
        <f t="shared" ref="AP140:AP171" si="383">(AP139-IF(AK139="tak",ROUNDDOWN(AP139/100,0)*100,0))*
(1+AO140/12*(1-podatek_Belki))+AN140</f>
        <v>422.89877193058015</v>
      </c>
      <c r="AQ140" s="128">
        <f t="shared" si="362"/>
        <v>143817.08877193058</v>
      </c>
      <c r="AS140" s="124">
        <f t="shared" si="327"/>
        <v>97</v>
      </c>
      <c r="AT140" s="130">
        <f t="shared" si="328"/>
        <v>4.4999999999999998E-2</v>
      </c>
      <c r="AU140" s="127">
        <f t="shared" si="329"/>
        <v>1374</v>
      </c>
      <c r="AV140" s="128">
        <f t="shared" si="330"/>
        <v>137272.6</v>
      </c>
      <c r="AW140" s="128">
        <f t="shared" si="363"/>
        <v>137400</v>
      </c>
      <c r="AX140" s="128">
        <f t="shared" si="358"/>
        <v>137400</v>
      </c>
      <c r="AY140" s="130">
        <f t="shared" ref="AY140:AY171" si="384">IF(AND(MOD($AA140,zapadalnosc_DOR)&lt;=zmiana_oprocentowania_co_ile_mc_DOR,MOD($AA140,zapadalnosc_DOR)&lt;&gt;0),proc_I_okres_DOR,(marza_DOR+AT140))</f>
        <v>4.65E-2</v>
      </c>
      <c r="AZ140" s="128">
        <f t="shared" ref="AZ140:AZ171" si="385">AX140*(1+AY140*IF(MOD($AA140,wyplata_odsetek_DOR)&lt;&gt;0,MOD($AA140,wyplata_odsetek_DOR),wyplata_odsetek_DOR)/12)</f>
        <v>137932.42500000002</v>
      </c>
      <c r="BA140" s="128" t="str">
        <f t="shared" ref="BA140:BA171" si="386">IF(MOD($AA140,zapadalnosc_DOR)=0,"tak","nie")</f>
        <v>nie</v>
      </c>
      <c r="BB140" s="128">
        <f t="shared" ref="BB140:BB171" si="387">IF(MOD($AA140,zapadalnosc_DOR)=0,0,
IF(AND(MOD($AA140,zapadalnosc_DOR)&lt;zapadalnosc_DOR,MOD($AA140,zapadalnosc_DOR)&lt;=koszt_wczesniejszy_wykup_ochrona_DOR),
MIN(AZ140-AW140,AU140*koszt_wczesniejszy_wykup_DOR),AU140*koszt_wczesniejszy_wykup_DOR))</f>
        <v>532.42500000001746</v>
      </c>
      <c r="BC140" s="128">
        <f t="shared" si="367"/>
        <v>137400</v>
      </c>
      <c r="BD140" s="128">
        <f t="shared" ref="BD140:BD171" si="388">IF(MOD($AA140,wyplata_odsetek_DOR)=0, (AZ140-AW140)*(1-podatek_Belki),0)
+IF(BA140="tak",ROUNDDOWN(AZ140/zamiana_DOR,0)*(100-zamiana_DOR),0)</f>
        <v>431.26425000001416</v>
      </c>
      <c r="BE140" s="130">
        <f t="shared" si="264"/>
        <v>4.4999999999999998E-2</v>
      </c>
      <c r="BF140" s="128">
        <f t="shared" ref="BF140:BF171" si="389">(BF139-IF(BA139="tak",ROUNDDOWN(BF139/100,0)*100,0))*
(1+BE140/12*(1-podatek_Belki))+BD140</f>
        <v>489.39239460958311</v>
      </c>
      <c r="BG140" s="128">
        <f t="shared" si="368"/>
        <v>147488.50314460957</v>
      </c>
      <c r="BI140" s="124">
        <f t="shared" si="332"/>
        <v>97</v>
      </c>
      <c r="BJ140" s="130">
        <f t="shared" si="354"/>
        <v>4.3200000000000002E-2</v>
      </c>
      <c r="BK140" s="127">
        <f t="shared" si="333"/>
        <v>1268</v>
      </c>
      <c r="BL140" s="128">
        <f t="shared" si="334"/>
        <v>126673.20000000001</v>
      </c>
      <c r="BM140" s="128">
        <f t="shared" si="349"/>
        <v>126800</v>
      </c>
      <c r="BN140" s="128">
        <f t="shared" si="335"/>
        <v>139530.84679999997</v>
      </c>
      <c r="BO140" s="130">
        <f t="shared" ref="BO140:BO171" si="390">IF(AND(MOD($AA140,zapadalnosc_TOS)&lt;=12,MOD($AA140,zapadalnosc_TOS)&lt;&gt;0),proc_I_okres_TOS,(marza_TOS+proc_I_okres_TOS))</f>
        <v>4.9000000000000002E-2</v>
      </c>
      <c r="BP140" s="128">
        <f t="shared" ref="BP140:BP171" si="391">BN140*(1+BO140*IF(MOD($AA140,12)&lt;&gt;0,MOD($AA140,12),12)/12)</f>
        <v>140100.59775776666</v>
      </c>
      <c r="BQ140" s="128" t="str">
        <f t="shared" ref="BQ140:BQ171" si="392">IF(MOD($AA140,zapadalnosc_TOS)=0,"tak","nie")</f>
        <v>nie</v>
      </c>
      <c r="BR140" s="128">
        <f t="shared" ref="BR140:BR171" si="393">IF(MOD($AA140,zapadalnosc_TOS)=0,0,
IF(AND(MOD($AA140,zapadalnosc_TOS)&lt;zapadalnosc_TOS,MOD($AA140,zapadalnosc_TOS)&lt;=koszt_wczesniejszy_wykup_ochrona_TOS),
MIN(BP140-BM140,BK140*koszt_wczesniejszy_wykup_TOS),BK140*koszt_wczesniejszy_wykup_TOS))</f>
        <v>1268</v>
      </c>
      <c r="BS140" s="128">
        <f t="shared" si="364"/>
        <v>136546.40418379099</v>
      </c>
      <c r="BT140" s="128">
        <f>IF(AND(BQ140="tak",BL141&lt;&gt;""),
 BS140-BL141,
0)</f>
        <v>0</v>
      </c>
      <c r="BU140" s="130">
        <f t="shared" ref="BU140:BU171" si="394">INDEX(scenariusz_I_konto,MATCH(ROUNDUP($AA140/12,0),scenariusz_I_rok,0))</f>
        <v>4.4999999999999998E-2</v>
      </c>
      <c r="BV140" s="128">
        <f t="shared" si="271"/>
        <v>17.036115076114715</v>
      </c>
      <c r="BW140" s="128">
        <f t="shared" si="365"/>
        <v>136563.44029886709</v>
      </c>
      <c r="BY140" s="130">
        <f t="shared" si="360"/>
        <v>2.9000000000000001E-2</v>
      </c>
      <c r="BZ140" s="127">
        <f t="shared" si="337"/>
        <v>1344</v>
      </c>
      <c r="CA140" s="128">
        <f t="shared" si="338"/>
        <v>134279.90000000002</v>
      </c>
      <c r="CB140" s="128">
        <f t="shared" si="366"/>
        <v>134400</v>
      </c>
      <c r="CC140" s="128">
        <f t="shared" si="359"/>
        <v>134400</v>
      </c>
      <c r="CD140" s="130">
        <f t="shared" ref="CD140:CD171" si="395">IF(AND(MOD($AA140,zapadalnosc_COI)&lt;=zmiana_oprocentowania_co_ile_mc_COI,MOD($AA140,zapadalnosc_COI)&lt;&gt;0),proc_I_okres_COI,(marza_COI+BY140))</f>
        <v>5.2499999999999998E-2</v>
      </c>
      <c r="CE140" s="128">
        <f t="shared" ref="CE140:CE171" si="396">CC140*(1+CD140*IF(MOD($AA140,wyplata_odsetek_COI)&lt;&gt;0,MOD($AA140,wyplata_odsetek_COI),wyplata_odsetek_COI)/12)</f>
        <v>134988</v>
      </c>
      <c r="CF140" s="128" t="str">
        <f t="shared" ref="CF140:CF171" si="397">IF(MOD($AA140,zapadalnosc_COI)=0,"tak","nie")</f>
        <v>nie</v>
      </c>
      <c r="CG140" s="128">
        <f t="shared" ref="CG140:CG171" si="398">IF(MOD($AA140,zapadalnosc_COI)=0,0,
IF(AND(MOD($AA140,zapadalnosc_COI)&lt;zapadalnosc_COI,MOD($AA140,zapadalnosc_COI)&lt;=koszt_wczesniejszy_wykup_ochrona_COI),
MIN(CE140-CB140,BZ140*koszt_wczesniejszy_wykup_COI),BZ140*koszt_wczesniejszy_wykup_COI))</f>
        <v>588</v>
      </c>
      <c r="CH140" s="128">
        <f t="shared" si="369"/>
        <v>134400</v>
      </c>
      <c r="CI140" s="128">
        <f t="shared" ref="CI140:CI171" si="399" xml:space="preserve"> IF(CF140="tak",
CH140-ROUNDDOWN(CH140/zamiana_COI,0)*zamiana_COI,
IF(MOD($AA140,wyplata_odsetek_COI)=0, (CE140-CB140)*(1-podatek_Belki),0))</f>
        <v>0</v>
      </c>
      <c r="CJ140" s="130">
        <f t="shared" si="277"/>
        <v>4.4999999999999998E-2</v>
      </c>
      <c r="CK140" s="128">
        <f t="shared" ref="CK140:CK171" si="400">(CK139-IF(CF139="tak",ROUNDDOWN(CK139/100,0)*100,0))*
(1+CJ140/12*(1-podatek_Belki))+CI140</f>
        <v>20.583681049186389</v>
      </c>
      <c r="CL140" s="128">
        <f t="shared" ref="CL140:CL171" si="401">(CK139-IF(MOD($AA139,zapadalnosc_COI)=0,ROUNDDOWN(CK139/100,0)*100,0))*(1+CJ140/12*(1-podatek_Belki))+CH140</f>
        <v>134420.58368104917</v>
      </c>
      <c r="CN140" s="127">
        <f t="shared" si="340"/>
        <v>1000</v>
      </c>
      <c r="CO140" s="128">
        <f t="shared" si="341"/>
        <v>100000</v>
      </c>
      <c r="CP140" s="128">
        <f t="shared" si="342"/>
        <v>100000</v>
      </c>
      <c r="CQ140" s="128">
        <f t="shared" si="343"/>
        <v>147811.69370559536</v>
      </c>
      <c r="CR140" s="130">
        <f t="shared" ref="CR140:CR171" si="402">IF(AND(MOD($AA140,zapadalnosc_EDO)&lt;=12,MOD($AA140,zapadalnosc_EDO)&lt;&gt;0),proc_I_okres_EDO,(marza_EDO+$BY140))</f>
        <v>4.9000000000000002E-2</v>
      </c>
      <c r="CS140" s="128">
        <f t="shared" ref="CS140:CS171" si="403">CQ140*(1+CR140*IF(MOD($AA140,12)&lt;&gt;0,MOD($AA140,12),12)/12)</f>
        <v>148415.25812155989</v>
      </c>
      <c r="CT140" s="128" t="str">
        <f t="shared" ref="CT140:CT171" si="404">IF(MOD($AA140,zapadalnosc_EDO)=0,"tak","nie")</f>
        <v>nie</v>
      </c>
      <c r="CU140" s="128">
        <f t="shared" ref="CU140:CU171" si="405">IF(AND(MOD($AA140,zapadalnosc_EDO)&lt;zapadalnosc_EDO,MOD($AA140,zapadalnosc_EDO)&lt;&gt;0),MIN(CS140-CP140,CN140*koszt_wczesniejszy_wykup_EDO),0)</f>
        <v>3000</v>
      </c>
      <c r="CV140" s="128">
        <f t="shared" ref="CV140:CV171" si="406">CS140-CU140
-(CS140-CP140-CU140)*podatek_Belki</f>
        <v>136786.35907846352</v>
      </c>
      <c r="CW140" s="128">
        <f t="shared" si="285"/>
        <v>0</v>
      </c>
      <c r="CX140" s="130">
        <f t="shared" ref="CX140:CX171" si="407">INDEX(scenariusz_I_konto,MATCH(ROUNDUP($AA140/12,0),scenariusz_I_rok,0))</f>
        <v>4.4999999999999998E-2</v>
      </c>
      <c r="CY140" s="128">
        <f t="shared" ref="CY140:CY171" si="408">CY139*(1+CX140/12*(1-podatek_Belki))+CW140</f>
        <v>0</v>
      </c>
      <c r="CZ140" s="128">
        <f t="shared" ref="CZ140:CZ171" si="409">CY139*(1+CX140/12*(1-podatek_Belki))+CV140</f>
        <v>136786.35907846352</v>
      </c>
      <c r="DA140" s="20"/>
      <c r="DB140" s="127">
        <f t="shared" si="350"/>
        <v>1274</v>
      </c>
      <c r="DC140" s="128">
        <f t="shared" si="351"/>
        <v>127400</v>
      </c>
      <c r="DD140" s="128">
        <f t="shared" si="344"/>
        <v>127400</v>
      </c>
      <c r="DE140" s="128">
        <f t="shared" si="345"/>
        <v>140926.12169999999</v>
      </c>
      <c r="DF140" s="130">
        <f t="shared" ref="DF140:DF171" si="410">IF(AND(MOD($AA140,zapadalnosc_ROS)&lt;=12,MOD($AA140,zapadalnosc_ROS)&lt;&gt;0),proc_I_okres_ROS,(marza_ROS+$BY140))</f>
        <v>4.9000000000000002E-2</v>
      </c>
      <c r="DG140" s="128">
        <f t="shared" ref="DG140:DG171" si="411">DE140*(1+DF140*IF(MOD($AA140,12)&lt;&gt;0,MOD($AA140,12),12)/12)</f>
        <v>141501.570030275</v>
      </c>
      <c r="DH140" s="128" t="str">
        <f t="shared" ref="DH140:DH171" si="412">IF(MOD($AA140,zapadalnosc_ROS)=0,"tak","nie")</f>
        <v>nie</v>
      </c>
      <c r="DI140" s="128">
        <f t="shared" ref="DI140:DI171" si="413">IF(AND(MOD($AA140,zapadalnosc_ROS)&lt;zapadalnosc_ROS,MOD($AA140,zapadalnosc_ROS)&lt;&gt;0),MIN(DG140-DD140,DB140*koszt_wczesniejszy_wykup_ROS),0)</f>
        <v>2548</v>
      </c>
      <c r="DJ140" s="128">
        <f t="shared" si="355"/>
        <v>136758.39172452275</v>
      </c>
      <c r="DK140" s="128">
        <f t="shared" si="294"/>
        <v>0</v>
      </c>
      <c r="DL140" s="130">
        <f t="shared" ref="DL140:DL171" si="414">INDEX(scenariusz_I_konto,MATCH(ROUNDUP($AA140/12,0),scenariusz_I_rok,0))</f>
        <v>4.4999999999999998E-2</v>
      </c>
      <c r="DM140" s="128">
        <f t="shared" ref="DM140:DM171" si="415">DM139*(1+DL140/12*(1-podatek_Belki))+DK140</f>
        <v>102.29992186717278</v>
      </c>
      <c r="DN140" s="128">
        <f t="shared" ref="DN140:DN171" si="416">DM139*(1+DL140/12*(1-podatek_Belki))+DJ140</f>
        <v>136860.69164638993</v>
      </c>
      <c r="DP140" s="127">
        <f t="shared" si="352"/>
        <v>1000</v>
      </c>
      <c r="DQ140" s="128">
        <f t="shared" si="353"/>
        <v>100000</v>
      </c>
      <c r="DR140" s="128">
        <f t="shared" si="346"/>
        <v>100000</v>
      </c>
      <c r="DS140" s="128">
        <f t="shared" si="347"/>
        <v>153175.79441885374</v>
      </c>
      <c r="DT140" s="130">
        <f t="shared" ref="DT140:DT171" si="417">IF(AND(MOD($AA140,zapadalnosc_ROD)&lt;=12,MOD($AA140,zapadalnosc_ROD)&lt;&gt;0),proc_I_okres_ROD,(marza_ROD+$BY140))</f>
        <v>5.4000000000000006E-2</v>
      </c>
      <c r="DU140" s="128">
        <f t="shared" ref="DU140:DU171" si="418">DS140*(1+DT140*IF(MOD($AA140,12)&lt;&gt;0,MOD($AA140,12),12)/12)</f>
        <v>153865.08549373856</v>
      </c>
      <c r="DV140" s="128" t="str">
        <f t="shared" ref="DV140:DV171" si="419">IF(MOD($AA140,zapadalnosc_ROD)=0,"tak","nie")</f>
        <v>nie</v>
      </c>
      <c r="DW140" s="128">
        <f t="shared" ref="DW140:DW171" si="420">IF(AND(MOD($AA140,zapadalnosc_ROD)&lt;zapadalnosc_ROD,MOD($AA140,zapadalnosc_ROD)&lt;&gt;0),MIN(DU140-DR140,DP140*koszt_wczesniejszy_wykup_ROD),0)</f>
        <v>3000</v>
      </c>
      <c r="DX140" s="128">
        <f t="shared" si="302"/>
        <v>141200.71924992822</v>
      </c>
      <c r="DY140" s="128">
        <f t="shared" si="303"/>
        <v>0</v>
      </c>
      <c r="DZ140" s="130">
        <f t="shared" ref="DZ140:DZ171" si="421">INDEX(scenariusz_I_konto,MATCH(ROUNDUP($AA140/12,0),scenariusz_I_rok,0))</f>
        <v>4.4999999999999998E-2</v>
      </c>
      <c r="EA140" s="128">
        <f t="shared" ref="EA140:EA171" si="422">EA139*(1+DZ140/12*(1-podatek_Belki))+DY140</f>
        <v>0</v>
      </c>
      <c r="EB140" s="128">
        <f t="shared" ref="EB140:EB171" si="423">EA139*(1+DZ140/12*(1-podatek_Belki))+DX140</f>
        <v>141200.71924992822</v>
      </c>
    </row>
    <row r="141" spans="1:132">
      <c r="A141" s="212">
        <f>ROUNDUP(B152/12,0)</f>
        <v>9</v>
      </c>
      <c r="B141" s="188">
        <f t="shared" ref="B141:B172" si="424">AA140</f>
        <v>97</v>
      </c>
      <c r="C141" s="128">
        <f t="shared" ref="C141:C172" si="425">AQ140</f>
        <v>143817.08877193058</v>
      </c>
      <c r="D141" s="128">
        <f t="shared" ref="D141:D172" si="426">BG140</f>
        <v>147488.50314460957</v>
      </c>
      <c r="E141" s="128">
        <f t="shared" ref="E141:E172" si="427">BW140</f>
        <v>136563.44029886709</v>
      </c>
      <c r="F141" s="128">
        <f t="shared" ref="F141:F172" si="428">CL140</f>
        <v>134420.58368104917</v>
      </c>
      <c r="G141" s="128">
        <f t="shared" ref="G141:G172" si="429">CZ140</f>
        <v>136786.35907846352</v>
      </c>
      <c r="H141" s="128">
        <f t="shared" ref="H141:H172" si="430">DN140</f>
        <v>136860.69164638993</v>
      </c>
      <c r="I141" s="128">
        <f t="shared" ref="I141:I172" si="431">EB140</f>
        <v>141200.71924992822</v>
      </c>
      <c r="J141" s="128">
        <f t="shared" ref="J141:J172" si="432">FV(INDEX(scenariusz_I_konto,MATCH(ROUNDUP(B141/12,0),scenariusz_I_rok,0))/12*(1-podatek_Belki),1,0,-J140,1)</f>
        <v>134204.01060498564</v>
      </c>
      <c r="K141" s="128">
        <f t="shared" ref="K141:K172" si="433">AB140</f>
        <v>126000.21231973582</v>
      </c>
      <c r="M141" s="36"/>
      <c r="N141" s="32">
        <f t="shared" ref="N141:N172" si="434">B141</f>
        <v>97</v>
      </c>
      <c r="O141" s="25">
        <f t="shared" si="318"/>
        <v>0.43817088771930579</v>
      </c>
      <c r="P141" s="25">
        <f t="shared" si="319"/>
        <v>0.47488503144609573</v>
      </c>
      <c r="Q141" s="25">
        <f t="shared" si="320"/>
        <v>0.36563440298867089</v>
      </c>
      <c r="R141" s="25">
        <f t="shared" si="370"/>
        <v>0.34420583681049166</v>
      </c>
      <c r="S141" s="25">
        <f t="shared" si="371"/>
        <v>0.36786359078463526</v>
      </c>
      <c r="T141" s="25">
        <f t="shared" si="372"/>
        <v>0.3686069164638992</v>
      </c>
      <c r="U141" s="25">
        <f t="shared" si="373"/>
        <v>0.4120071924992823</v>
      </c>
      <c r="V141" s="25">
        <f t="shared" si="374"/>
        <v>0.34204010604985635</v>
      </c>
      <c r="W141" s="25">
        <f t="shared" si="375"/>
        <v>0.26000212319735816</v>
      </c>
      <c r="X141" s="36"/>
      <c r="Y141" s="36"/>
      <c r="AA141" s="124">
        <f t="shared" si="321"/>
        <v>98</v>
      </c>
      <c r="AB141" s="128">
        <f t="shared" si="376"/>
        <v>126303.97873068204</v>
      </c>
      <c r="AC141" s="124">
        <f t="shared" si="322"/>
        <v>98</v>
      </c>
      <c r="AD141" s="130">
        <f t="shared" ref="AD141:AD172" si="435">MAX(INDEX(scenariusz_I_stopa_NBP,MATCH(ROUNDUP(AC141/12,0),scenariusz_I_rok,0)),0)</f>
        <v>4.4999999999999998E-2</v>
      </c>
      <c r="AE141" s="127">
        <f t="shared" ref="AE141:AE172" si="436">IF(AK140="tak",
ROUNDDOWN(AM140/zamiana_ROR,0)+ROUNDDOWN(AP140/100,0),
AE140)</f>
        <v>1387</v>
      </c>
      <c r="AF141" s="128">
        <f t="shared" ref="AF141:AF172" si="437">IF(AK140="tak",
ROUNDDOWN(AM140/zamiana_ROR,0)*zamiana_ROR+ROUNDDOWN(AP140/100,0)*100,
AF140)</f>
        <v>138566.39999999999</v>
      </c>
      <c r="AG141" s="128">
        <f t="shared" si="348"/>
        <v>138700</v>
      </c>
      <c r="AH141" s="128">
        <f t="shared" si="357"/>
        <v>138700</v>
      </c>
      <c r="AI141" s="130">
        <f t="shared" si="377"/>
        <v>4.4999999999999998E-2</v>
      </c>
      <c r="AJ141" s="128">
        <f t="shared" si="378"/>
        <v>139220.125</v>
      </c>
      <c r="AK141" s="128" t="str">
        <f t="shared" si="379"/>
        <v>nie</v>
      </c>
      <c r="AL141" s="128">
        <f t="shared" si="380"/>
        <v>693.5</v>
      </c>
      <c r="AM141" s="128">
        <f t="shared" si="361"/>
        <v>138559.56625</v>
      </c>
      <c r="AN141" s="128">
        <f t="shared" si="381"/>
        <v>421.30125000000004</v>
      </c>
      <c r="AO141" s="130">
        <f t="shared" si="382"/>
        <v>4.4999999999999998E-2</v>
      </c>
      <c r="AP141" s="128">
        <f t="shared" si="383"/>
        <v>845.48457695031937</v>
      </c>
      <c r="AQ141" s="128">
        <f t="shared" si="362"/>
        <v>138983.74957695033</v>
      </c>
      <c r="AS141" s="124">
        <f t="shared" si="327"/>
        <v>98</v>
      </c>
      <c r="AT141" s="130">
        <f t="shared" si="328"/>
        <v>4.4999999999999998E-2</v>
      </c>
      <c r="AU141" s="127">
        <f t="shared" ref="AU141:AU172" si="438">IF(BA140="tak",
ROUNDDOWN(BC140/zamiana_DOR,0)+ROUNDDOWN(BF140/100,0),
AU140)</f>
        <v>1374</v>
      </c>
      <c r="AV141" s="128">
        <f t="shared" ref="AV141:AV172" si="439">IF(BA140="tak",
ROUNDDOWN(BC140/zamiana_DOR,0)*zamiana_DOR+ROUNDDOWN(BF140/100,0)*100,
AV140)</f>
        <v>137272.6</v>
      </c>
      <c r="AW141" s="128">
        <f t="shared" si="363"/>
        <v>137400</v>
      </c>
      <c r="AX141" s="128">
        <f t="shared" si="358"/>
        <v>137400</v>
      </c>
      <c r="AY141" s="130">
        <f t="shared" si="384"/>
        <v>4.65E-2</v>
      </c>
      <c r="AZ141" s="128">
        <f t="shared" si="385"/>
        <v>137932.42500000002</v>
      </c>
      <c r="BA141" s="128" t="str">
        <f t="shared" si="386"/>
        <v>nie</v>
      </c>
      <c r="BB141" s="128">
        <f t="shared" si="387"/>
        <v>961.8</v>
      </c>
      <c r="BC141" s="128">
        <f t="shared" si="367"/>
        <v>137052.20625000002</v>
      </c>
      <c r="BD141" s="128">
        <f t="shared" si="388"/>
        <v>431.26425000001416</v>
      </c>
      <c r="BE141" s="130">
        <f t="shared" si="264"/>
        <v>4.4999999999999998E-2</v>
      </c>
      <c r="BF141" s="128">
        <f t="shared" si="389"/>
        <v>922.14317400822392</v>
      </c>
      <c r="BG141" s="128">
        <f t="shared" si="368"/>
        <v>137543.08517400821</v>
      </c>
      <c r="BI141" s="124">
        <f t="shared" si="332"/>
        <v>98</v>
      </c>
      <c r="BJ141" s="130">
        <f t="shared" si="354"/>
        <v>4.3200000000000002E-2</v>
      </c>
      <c r="BK141" s="127">
        <f t="shared" ref="BK141:BK172" si="440">IF(BQ140="tak",
ROUNDDOWN(BS140/zamiana_TOS,0),
BK140)</f>
        <v>1268</v>
      </c>
      <c r="BL141" s="128">
        <f t="shared" ref="BL141:BL172" si="441">IF(BQ140="tak",
BK141*zamiana_TOS,
BL140)</f>
        <v>126673.20000000001</v>
      </c>
      <c r="BM141" s="128">
        <f t="shared" si="349"/>
        <v>126800</v>
      </c>
      <c r="BN141" s="128">
        <f t="shared" ref="BN141:BN172" si="442">IF(BQ140="tak",
 BM141,
IF(MOD($AA141,kapitalizacja_odsetek_mc_ROS)&lt;&gt;1,BN140,BP140))</f>
        <v>139530.84679999997</v>
      </c>
      <c r="BO141" s="130">
        <f t="shared" si="390"/>
        <v>4.9000000000000002E-2</v>
      </c>
      <c r="BP141" s="128">
        <f t="shared" si="391"/>
        <v>140670.3487155333</v>
      </c>
      <c r="BQ141" s="128" t="str">
        <f t="shared" si="392"/>
        <v>nie</v>
      </c>
      <c r="BR141" s="128">
        <f t="shared" si="393"/>
        <v>1268</v>
      </c>
      <c r="BS141" s="128">
        <f t="shared" si="364"/>
        <v>137007.90245958196</v>
      </c>
      <c r="BT141" s="128">
        <f t="shared" ref="BT141:BT165" si="443">IF(AND(BQ141="tak",BL142&lt;&gt;""),
 BS141-BL142,
0)</f>
        <v>0</v>
      </c>
      <c r="BU141" s="130">
        <f t="shared" si="394"/>
        <v>4.4999999999999998E-2</v>
      </c>
      <c r="BV141" s="128">
        <f t="shared" si="271"/>
        <v>17.087862275658413</v>
      </c>
      <c r="BW141" s="128">
        <f t="shared" si="365"/>
        <v>137024.99032185762</v>
      </c>
      <c r="BY141" s="130">
        <f t="shared" si="360"/>
        <v>2.9000000000000001E-2</v>
      </c>
      <c r="BZ141" s="127">
        <f t="shared" ref="BZ141:BZ172" si="444">IF(CF140="tak",
ROUNDDOWN(CH140/zamiana_COI,0)+ROUNDDOWN(CK140/100,0),
BZ140)</f>
        <v>1344</v>
      </c>
      <c r="CA141" s="128">
        <f t="shared" ref="CA141:CA172" si="445">IF(CF140="tak",
ROUNDDOWN(CH140/zamiana_COI,0)*zamiana_COI+ROUNDDOWN(CK140/100,0)*100,
CA140)</f>
        <v>134279.90000000002</v>
      </c>
      <c r="CB141" s="128">
        <f t="shared" si="366"/>
        <v>134400</v>
      </c>
      <c r="CC141" s="128">
        <f t="shared" si="359"/>
        <v>134400</v>
      </c>
      <c r="CD141" s="130">
        <f t="shared" si="395"/>
        <v>5.2499999999999998E-2</v>
      </c>
      <c r="CE141" s="128">
        <f t="shared" si="396"/>
        <v>135576</v>
      </c>
      <c r="CF141" s="128" t="str">
        <f t="shared" si="397"/>
        <v>nie</v>
      </c>
      <c r="CG141" s="128">
        <f t="shared" si="398"/>
        <v>1176</v>
      </c>
      <c r="CH141" s="128">
        <f t="shared" si="369"/>
        <v>134400</v>
      </c>
      <c r="CI141" s="128">
        <f t="shared" si="399"/>
        <v>0</v>
      </c>
      <c r="CJ141" s="130">
        <f t="shared" si="277"/>
        <v>4.4999999999999998E-2</v>
      </c>
      <c r="CK141" s="128">
        <f t="shared" si="400"/>
        <v>20.646203980373294</v>
      </c>
      <c r="CL141" s="128">
        <f t="shared" si="401"/>
        <v>134420.64620398037</v>
      </c>
      <c r="CN141" s="127">
        <f t="shared" ref="CN141:CN172" si="446">IF(CT140="tak",
ROUNDDOWN(CV140/zamiana_EDO,0),
CN140)</f>
        <v>1000</v>
      </c>
      <c r="CO141" s="128">
        <f t="shared" ref="CO141:CO172" si="447">IF(CT140="tak",
CN141*zamiana_EDO,
CO140)</f>
        <v>100000</v>
      </c>
      <c r="CP141" s="128">
        <f t="shared" si="342"/>
        <v>100000</v>
      </c>
      <c r="CQ141" s="128">
        <f t="shared" ref="CQ141:CQ172" si="448">IF(CT140="tak",
 CP141,
IF(MOD($AA141,kapitalizacja_odsetek_mc_EDO)&lt;&gt;1,CQ140,CS140))</f>
        <v>147811.69370559536</v>
      </c>
      <c r="CR141" s="130">
        <f t="shared" si="402"/>
        <v>4.9000000000000002E-2</v>
      </c>
      <c r="CS141" s="128">
        <f t="shared" si="403"/>
        <v>149018.82253752439</v>
      </c>
      <c r="CT141" s="128" t="str">
        <f t="shared" si="404"/>
        <v>nie</v>
      </c>
      <c r="CU141" s="128">
        <f t="shared" si="405"/>
        <v>3000</v>
      </c>
      <c r="CV141" s="128">
        <f t="shared" si="406"/>
        <v>137275.24625539477</v>
      </c>
      <c r="CW141" s="128">
        <f t="shared" si="285"/>
        <v>0</v>
      </c>
      <c r="CX141" s="130">
        <f t="shared" si="407"/>
        <v>4.4999999999999998E-2</v>
      </c>
      <c r="CY141" s="128">
        <f t="shared" si="408"/>
        <v>0</v>
      </c>
      <c r="CZ141" s="128">
        <f t="shared" si="409"/>
        <v>137275.24625539477</v>
      </c>
      <c r="DA141" s="20"/>
      <c r="DB141" s="127">
        <f t="shared" si="350"/>
        <v>1274</v>
      </c>
      <c r="DC141" s="128">
        <f t="shared" si="351"/>
        <v>127400</v>
      </c>
      <c r="DD141" s="128">
        <f t="shared" si="344"/>
        <v>127400</v>
      </c>
      <c r="DE141" s="128">
        <f t="shared" ref="DE141:DE172" si="449">IF(DH140="tak",
 DD141,
IF(MOD($AA141,kapitalizacja_odsetek_mc_ROS)&lt;&gt;1,DE140,DG140))</f>
        <v>140926.12169999999</v>
      </c>
      <c r="DF141" s="130">
        <f t="shared" si="410"/>
        <v>4.9000000000000002E-2</v>
      </c>
      <c r="DG141" s="128">
        <f t="shared" si="411"/>
        <v>142077.01836054999</v>
      </c>
      <c r="DH141" s="128" t="str">
        <f t="shared" si="412"/>
        <v>nie</v>
      </c>
      <c r="DI141" s="128">
        <f t="shared" si="413"/>
        <v>2548</v>
      </c>
      <c r="DJ141" s="128">
        <f t="shared" si="355"/>
        <v>137224.50487204548</v>
      </c>
      <c r="DK141" s="128">
        <f t="shared" si="294"/>
        <v>0</v>
      </c>
      <c r="DL141" s="130">
        <f t="shared" si="414"/>
        <v>4.4999999999999998E-2</v>
      </c>
      <c r="DM141" s="128">
        <f t="shared" si="415"/>
        <v>102.61065787984433</v>
      </c>
      <c r="DN141" s="128">
        <f t="shared" si="416"/>
        <v>137327.11552992533</v>
      </c>
      <c r="DP141" s="127">
        <f t="shared" si="352"/>
        <v>1000</v>
      </c>
      <c r="DQ141" s="128">
        <f t="shared" si="353"/>
        <v>100000</v>
      </c>
      <c r="DR141" s="128">
        <f t="shared" si="346"/>
        <v>100000</v>
      </c>
      <c r="DS141" s="128">
        <f t="shared" ref="DS141:DS172" si="450">IF(DV140="tak",
 DR141,
IF(MOD($AA141,kapitalizacja_odsetek_mc_ROD)&lt;&gt;1,DS140,DU140))</f>
        <v>153175.79441885374</v>
      </c>
      <c r="DT141" s="130">
        <f t="shared" si="417"/>
        <v>5.4000000000000006E-2</v>
      </c>
      <c r="DU141" s="128">
        <f t="shared" si="418"/>
        <v>154554.37656862341</v>
      </c>
      <c r="DV141" s="128" t="str">
        <f t="shared" si="419"/>
        <v>nie</v>
      </c>
      <c r="DW141" s="128">
        <f t="shared" si="420"/>
        <v>3000</v>
      </c>
      <c r="DX141" s="128">
        <f t="shared" si="302"/>
        <v>141759.04502058495</v>
      </c>
      <c r="DY141" s="128">
        <f t="shared" si="303"/>
        <v>0</v>
      </c>
      <c r="DZ141" s="130">
        <f t="shared" si="421"/>
        <v>4.4999999999999998E-2</v>
      </c>
      <c r="EA141" s="128">
        <f t="shared" si="422"/>
        <v>0</v>
      </c>
      <c r="EB141" s="128">
        <f t="shared" si="423"/>
        <v>141759.04502058495</v>
      </c>
    </row>
    <row r="142" spans="1:132">
      <c r="A142" s="212"/>
      <c r="B142" s="188">
        <f t="shared" si="424"/>
        <v>98</v>
      </c>
      <c r="C142" s="128">
        <f t="shared" si="425"/>
        <v>138983.74957695033</v>
      </c>
      <c r="D142" s="128">
        <f t="shared" si="426"/>
        <v>137543.08517400821</v>
      </c>
      <c r="E142" s="128">
        <f t="shared" si="427"/>
        <v>137024.99032185762</v>
      </c>
      <c r="F142" s="128">
        <f t="shared" si="428"/>
        <v>134420.64620398037</v>
      </c>
      <c r="G142" s="128">
        <f t="shared" si="429"/>
        <v>137275.24625539477</v>
      </c>
      <c r="H142" s="128">
        <f t="shared" si="430"/>
        <v>137327.11552992533</v>
      </c>
      <c r="I142" s="128">
        <f t="shared" si="431"/>
        <v>141759.04502058495</v>
      </c>
      <c r="J142" s="128">
        <f t="shared" si="432"/>
        <v>134611.65528719829</v>
      </c>
      <c r="K142" s="128">
        <f t="shared" si="433"/>
        <v>126303.97873068204</v>
      </c>
      <c r="M142" s="36"/>
      <c r="N142" s="32">
        <f t="shared" si="434"/>
        <v>98</v>
      </c>
      <c r="O142" s="25">
        <f t="shared" si="318"/>
        <v>0.38983749576950322</v>
      </c>
      <c r="P142" s="25">
        <f t="shared" si="319"/>
        <v>0.37543085174008217</v>
      </c>
      <c r="Q142" s="25">
        <f t="shared" si="320"/>
        <v>0.3702499032185762</v>
      </c>
      <c r="R142" s="25">
        <f t="shared" si="370"/>
        <v>0.34420646203980376</v>
      </c>
      <c r="S142" s="25">
        <f t="shared" si="371"/>
        <v>0.37275246255394778</v>
      </c>
      <c r="T142" s="25">
        <f t="shared" si="372"/>
        <v>0.37327115529925337</v>
      </c>
      <c r="U142" s="25">
        <f t="shared" si="373"/>
        <v>0.4175904502058494</v>
      </c>
      <c r="V142" s="25">
        <f t="shared" si="374"/>
        <v>0.34611655287198295</v>
      </c>
      <c r="W142" s="25">
        <f t="shared" si="375"/>
        <v>0.26303978730682043</v>
      </c>
      <c r="X142" s="36"/>
      <c r="Y142" s="36"/>
      <c r="AA142" s="124">
        <f t="shared" si="321"/>
        <v>99</v>
      </c>
      <c r="AB142" s="128">
        <f t="shared" si="376"/>
        <v>126607.74514162829</v>
      </c>
      <c r="AC142" s="124">
        <f t="shared" si="322"/>
        <v>99</v>
      </c>
      <c r="AD142" s="130">
        <f t="shared" si="435"/>
        <v>4.4999999999999998E-2</v>
      </c>
      <c r="AE142" s="127">
        <f t="shared" si="436"/>
        <v>1387</v>
      </c>
      <c r="AF142" s="128">
        <f t="shared" si="437"/>
        <v>138566.39999999999</v>
      </c>
      <c r="AG142" s="128">
        <f t="shared" si="348"/>
        <v>138700</v>
      </c>
      <c r="AH142" s="128">
        <f t="shared" si="357"/>
        <v>138700</v>
      </c>
      <c r="AI142" s="130">
        <f t="shared" si="377"/>
        <v>4.4999999999999998E-2</v>
      </c>
      <c r="AJ142" s="128">
        <f t="shared" si="378"/>
        <v>139220.125</v>
      </c>
      <c r="AK142" s="128" t="str">
        <f t="shared" si="379"/>
        <v>nie</v>
      </c>
      <c r="AL142" s="128">
        <f t="shared" si="380"/>
        <v>693.5</v>
      </c>
      <c r="AM142" s="128">
        <f t="shared" si="361"/>
        <v>138559.56625</v>
      </c>
      <c r="AN142" s="128">
        <f t="shared" si="381"/>
        <v>421.30125000000004</v>
      </c>
      <c r="AO142" s="130">
        <f t="shared" si="382"/>
        <v>4.4999999999999998E-2</v>
      </c>
      <c r="AP142" s="128">
        <f t="shared" si="383"/>
        <v>1269.353986352806</v>
      </c>
      <c r="AQ142" s="128">
        <f t="shared" si="362"/>
        <v>139407.61898635281</v>
      </c>
      <c r="AS142" s="124">
        <f t="shared" si="327"/>
        <v>99</v>
      </c>
      <c r="AT142" s="130">
        <f t="shared" si="328"/>
        <v>4.4999999999999998E-2</v>
      </c>
      <c r="AU142" s="127">
        <f t="shared" si="438"/>
        <v>1374</v>
      </c>
      <c r="AV142" s="128">
        <f t="shared" si="439"/>
        <v>137272.6</v>
      </c>
      <c r="AW142" s="128">
        <f t="shared" si="363"/>
        <v>137400</v>
      </c>
      <c r="AX142" s="128">
        <f t="shared" si="358"/>
        <v>137400</v>
      </c>
      <c r="AY142" s="130">
        <f t="shared" si="384"/>
        <v>4.65E-2</v>
      </c>
      <c r="AZ142" s="128">
        <f t="shared" si="385"/>
        <v>137932.42500000002</v>
      </c>
      <c r="BA142" s="128" t="str">
        <f t="shared" si="386"/>
        <v>nie</v>
      </c>
      <c r="BB142" s="128">
        <f t="shared" si="387"/>
        <v>961.8</v>
      </c>
      <c r="BC142" s="128">
        <f t="shared" si="367"/>
        <v>137052.20625000002</v>
      </c>
      <c r="BD142" s="128">
        <f t="shared" si="388"/>
        <v>431.26425000001416</v>
      </c>
      <c r="BE142" s="130">
        <f t="shared" si="264"/>
        <v>4.4999999999999998E-2</v>
      </c>
      <c r="BF142" s="128">
        <f t="shared" si="389"/>
        <v>1356.2084338992881</v>
      </c>
      <c r="BG142" s="128">
        <f t="shared" si="368"/>
        <v>137977.15043389928</v>
      </c>
      <c r="BI142" s="124">
        <f t="shared" si="332"/>
        <v>99</v>
      </c>
      <c r="BJ142" s="130">
        <f t="shared" si="354"/>
        <v>4.3200000000000002E-2</v>
      </c>
      <c r="BK142" s="127">
        <f t="shared" si="440"/>
        <v>1268</v>
      </c>
      <c r="BL142" s="128">
        <f t="shared" si="441"/>
        <v>126673.20000000001</v>
      </c>
      <c r="BM142" s="128">
        <f t="shared" si="349"/>
        <v>126800</v>
      </c>
      <c r="BN142" s="128">
        <f t="shared" si="442"/>
        <v>139530.84679999997</v>
      </c>
      <c r="BO142" s="130">
        <f t="shared" si="390"/>
        <v>4.9000000000000002E-2</v>
      </c>
      <c r="BP142" s="128">
        <f t="shared" si="391"/>
        <v>141240.09967329999</v>
      </c>
      <c r="BQ142" s="128" t="str">
        <f t="shared" si="392"/>
        <v>nie</v>
      </c>
      <c r="BR142" s="128">
        <f t="shared" si="393"/>
        <v>1268</v>
      </c>
      <c r="BS142" s="128">
        <f t="shared" si="364"/>
        <v>137469.400735373</v>
      </c>
      <c r="BT142" s="128">
        <f t="shared" si="443"/>
        <v>0</v>
      </c>
      <c r="BU142" s="130">
        <f t="shared" si="394"/>
        <v>4.4999999999999998E-2</v>
      </c>
      <c r="BV142" s="128">
        <f t="shared" si="271"/>
        <v>17.139766657320727</v>
      </c>
      <c r="BW142" s="128">
        <f t="shared" si="365"/>
        <v>137486.54050203032</v>
      </c>
      <c r="BY142" s="130">
        <f t="shared" si="360"/>
        <v>2.9000000000000001E-2</v>
      </c>
      <c r="BZ142" s="127">
        <f t="shared" si="444"/>
        <v>1344</v>
      </c>
      <c r="CA142" s="128">
        <f t="shared" si="445"/>
        <v>134279.90000000002</v>
      </c>
      <c r="CB142" s="128">
        <f t="shared" si="366"/>
        <v>134400</v>
      </c>
      <c r="CC142" s="128">
        <f t="shared" si="359"/>
        <v>134400</v>
      </c>
      <c r="CD142" s="130">
        <f t="shared" si="395"/>
        <v>5.2499999999999998E-2</v>
      </c>
      <c r="CE142" s="128">
        <f t="shared" si="396"/>
        <v>136164</v>
      </c>
      <c r="CF142" s="128" t="str">
        <f t="shared" si="397"/>
        <v>nie</v>
      </c>
      <c r="CG142" s="128">
        <f t="shared" si="398"/>
        <v>1764</v>
      </c>
      <c r="CH142" s="128">
        <f t="shared" si="369"/>
        <v>134400</v>
      </c>
      <c r="CI142" s="128">
        <f t="shared" si="399"/>
        <v>0</v>
      </c>
      <c r="CJ142" s="130">
        <f t="shared" si="277"/>
        <v>4.4999999999999998E-2</v>
      </c>
      <c r="CK142" s="128">
        <f t="shared" si="400"/>
        <v>20.708916824963676</v>
      </c>
      <c r="CL142" s="128">
        <f t="shared" si="401"/>
        <v>134420.70891682495</v>
      </c>
      <c r="CN142" s="127">
        <f t="shared" si="446"/>
        <v>1000</v>
      </c>
      <c r="CO142" s="128">
        <f t="shared" si="447"/>
        <v>100000</v>
      </c>
      <c r="CP142" s="128">
        <f t="shared" si="342"/>
        <v>100000</v>
      </c>
      <c r="CQ142" s="128">
        <f t="shared" si="448"/>
        <v>147811.69370559536</v>
      </c>
      <c r="CR142" s="130">
        <f t="shared" si="402"/>
        <v>4.9000000000000002E-2</v>
      </c>
      <c r="CS142" s="128">
        <f t="shared" si="403"/>
        <v>149622.38695348892</v>
      </c>
      <c r="CT142" s="128" t="str">
        <f t="shared" si="404"/>
        <v>nie</v>
      </c>
      <c r="CU142" s="128">
        <f t="shared" si="405"/>
        <v>3000</v>
      </c>
      <c r="CV142" s="128">
        <f t="shared" si="406"/>
        <v>137764.13343232602</v>
      </c>
      <c r="CW142" s="128">
        <f t="shared" si="285"/>
        <v>0</v>
      </c>
      <c r="CX142" s="130">
        <f t="shared" si="407"/>
        <v>4.4999999999999998E-2</v>
      </c>
      <c r="CY142" s="128">
        <f t="shared" si="408"/>
        <v>0</v>
      </c>
      <c r="CZ142" s="128">
        <f t="shared" si="409"/>
        <v>137764.13343232602</v>
      </c>
      <c r="DA142" s="20"/>
      <c r="DB142" s="127">
        <f t="shared" si="350"/>
        <v>1274</v>
      </c>
      <c r="DC142" s="128">
        <f t="shared" si="351"/>
        <v>127400</v>
      </c>
      <c r="DD142" s="128">
        <f t="shared" si="344"/>
        <v>127400</v>
      </c>
      <c r="DE142" s="128">
        <f t="shared" si="449"/>
        <v>140926.12169999999</v>
      </c>
      <c r="DF142" s="130">
        <f t="shared" si="410"/>
        <v>4.9000000000000002E-2</v>
      </c>
      <c r="DG142" s="128">
        <f t="shared" si="411"/>
        <v>142652.46669082501</v>
      </c>
      <c r="DH142" s="128" t="str">
        <f t="shared" si="412"/>
        <v>nie</v>
      </c>
      <c r="DI142" s="128">
        <f t="shared" si="413"/>
        <v>2548</v>
      </c>
      <c r="DJ142" s="128">
        <f t="shared" si="355"/>
        <v>137690.61801956827</v>
      </c>
      <c r="DK142" s="128">
        <f t="shared" si="294"/>
        <v>0</v>
      </c>
      <c r="DL142" s="130">
        <f t="shared" si="414"/>
        <v>4.4999999999999998E-2</v>
      </c>
      <c r="DM142" s="128">
        <f t="shared" si="415"/>
        <v>102.92233775315435</v>
      </c>
      <c r="DN142" s="128">
        <f t="shared" si="416"/>
        <v>137793.54035732141</v>
      </c>
      <c r="DP142" s="127">
        <f t="shared" si="352"/>
        <v>1000</v>
      </c>
      <c r="DQ142" s="128">
        <f t="shared" si="353"/>
        <v>100000</v>
      </c>
      <c r="DR142" s="128">
        <f t="shared" si="346"/>
        <v>100000</v>
      </c>
      <c r="DS142" s="128">
        <f t="shared" si="450"/>
        <v>153175.79441885374</v>
      </c>
      <c r="DT142" s="130">
        <f t="shared" si="417"/>
        <v>5.4000000000000006E-2</v>
      </c>
      <c r="DU142" s="128">
        <f t="shared" si="418"/>
        <v>155243.66764350826</v>
      </c>
      <c r="DV142" s="128" t="str">
        <f t="shared" si="419"/>
        <v>nie</v>
      </c>
      <c r="DW142" s="128">
        <f t="shared" si="420"/>
        <v>3000</v>
      </c>
      <c r="DX142" s="128">
        <f t="shared" si="302"/>
        <v>142317.3707912417</v>
      </c>
      <c r="DY142" s="128">
        <f t="shared" si="303"/>
        <v>0</v>
      </c>
      <c r="DZ142" s="130">
        <f t="shared" si="421"/>
        <v>4.4999999999999998E-2</v>
      </c>
      <c r="EA142" s="128">
        <f t="shared" si="422"/>
        <v>0</v>
      </c>
      <c r="EB142" s="128">
        <f t="shared" si="423"/>
        <v>142317.3707912417</v>
      </c>
    </row>
    <row r="143" spans="1:132">
      <c r="A143" s="212"/>
      <c r="B143" s="188">
        <f t="shared" si="424"/>
        <v>99</v>
      </c>
      <c r="C143" s="128">
        <f t="shared" si="425"/>
        <v>139407.61898635281</v>
      </c>
      <c r="D143" s="128">
        <f t="shared" si="426"/>
        <v>137977.15043389928</v>
      </c>
      <c r="E143" s="128">
        <f t="shared" si="427"/>
        <v>137486.54050203032</v>
      </c>
      <c r="F143" s="128">
        <f t="shared" si="428"/>
        <v>134420.70891682495</v>
      </c>
      <c r="G143" s="128">
        <f t="shared" si="429"/>
        <v>137764.13343232602</v>
      </c>
      <c r="H143" s="128">
        <f t="shared" si="430"/>
        <v>137793.54035732141</v>
      </c>
      <c r="I143" s="128">
        <f t="shared" si="431"/>
        <v>142317.3707912417</v>
      </c>
      <c r="J143" s="128">
        <f t="shared" si="432"/>
        <v>135020.53819013314</v>
      </c>
      <c r="K143" s="128">
        <f t="shared" si="433"/>
        <v>126607.74514162829</v>
      </c>
      <c r="M143" s="36"/>
      <c r="N143" s="32">
        <f t="shared" si="434"/>
        <v>99</v>
      </c>
      <c r="O143" s="25">
        <f t="shared" si="318"/>
        <v>0.3940761898635281</v>
      </c>
      <c r="P143" s="25">
        <f t="shared" si="319"/>
        <v>0.37977150433899287</v>
      </c>
      <c r="Q143" s="25">
        <f t="shared" si="320"/>
        <v>0.37486540502030308</v>
      </c>
      <c r="R143" s="25">
        <f t="shared" si="370"/>
        <v>0.3442070891682496</v>
      </c>
      <c r="S143" s="25">
        <f t="shared" si="371"/>
        <v>0.3776413343232603</v>
      </c>
      <c r="T143" s="25">
        <f t="shared" si="372"/>
        <v>0.37793540357321409</v>
      </c>
      <c r="U143" s="25">
        <f t="shared" si="373"/>
        <v>0.42317370791241693</v>
      </c>
      <c r="V143" s="25">
        <f t="shared" si="374"/>
        <v>0.35020538190133133</v>
      </c>
      <c r="W143" s="25">
        <f t="shared" si="375"/>
        <v>0.26607745141628292</v>
      </c>
      <c r="X143" s="36"/>
      <c r="Y143" s="36"/>
      <c r="AA143" s="124">
        <f t="shared" si="321"/>
        <v>100</v>
      </c>
      <c r="AB143" s="128">
        <f t="shared" si="376"/>
        <v>126911.51155257454</v>
      </c>
      <c r="AC143" s="124">
        <f t="shared" si="322"/>
        <v>100</v>
      </c>
      <c r="AD143" s="130">
        <f t="shared" si="435"/>
        <v>4.4999999999999998E-2</v>
      </c>
      <c r="AE143" s="127">
        <f t="shared" si="436"/>
        <v>1387</v>
      </c>
      <c r="AF143" s="128">
        <f t="shared" si="437"/>
        <v>138566.39999999999</v>
      </c>
      <c r="AG143" s="128">
        <f t="shared" si="348"/>
        <v>138700</v>
      </c>
      <c r="AH143" s="128">
        <f t="shared" si="357"/>
        <v>138700</v>
      </c>
      <c r="AI143" s="130">
        <f t="shared" si="377"/>
        <v>4.4999999999999998E-2</v>
      </c>
      <c r="AJ143" s="128">
        <f t="shared" si="378"/>
        <v>139220.125</v>
      </c>
      <c r="AK143" s="128" t="str">
        <f t="shared" si="379"/>
        <v>nie</v>
      </c>
      <c r="AL143" s="128">
        <f t="shared" si="380"/>
        <v>693.5</v>
      </c>
      <c r="AM143" s="128">
        <f t="shared" si="361"/>
        <v>138559.56625</v>
      </c>
      <c r="AN143" s="128">
        <f t="shared" si="381"/>
        <v>421.30125000000004</v>
      </c>
      <c r="AO143" s="130">
        <f t="shared" si="382"/>
        <v>4.4999999999999998E-2</v>
      </c>
      <c r="AP143" s="128">
        <f t="shared" si="383"/>
        <v>1694.5108990863528</v>
      </c>
      <c r="AQ143" s="128">
        <f t="shared" si="362"/>
        <v>139832.77589908635</v>
      </c>
      <c r="AS143" s="124">
        <f t="shared" si="327"/>
        <v>100</v>
      </c>
      <c r="AT143" s="130">
        <f t="shared" si="328"/>
        <v>4.4999999999999998E-2</v>
      </c>
      <c r="AU143" s="127">
        <f t="shared" si="438"/>
        <v>1374</v>
      </c>
      <c r="AV143" s="128">
        <f t="shared" si="439"/>
        <v>137272.6</v>
      </c>
      <c r="AW143" s="128">
        <f t="shared" si="363"/>
        <v>137400</v>
      </c>
      <c r="AX143" s="128">
        <f t="shared" si="358"/>
        <v>137400</v>
      </c>
      <c r="AY143" s="130">
        <f t="shared" si="384"/>
        <v>4.65E-2</v>
      </c>
      <c r="AZ143" s="128">
        <f t="shared" si="385"/>
        <v>137932.42500000002</v>
      </c>
      <c r="BA143" s="128" t="str">
        <f t="shared" si="386"/>
        <v>nie</v>
      </c>
      <c r="BB143" s="128">
        <f t="shared" si="387"/>
        <v>961.8</v>
      </c>
      <c r="BC143" s="128">
        <f t="shared" si="367"/>
        <v>137052.20625000002</v>
      </c>
      <c r="BD143" s="128">
        <f t="shared" si="388"/>
        <v>431.26425000001416</v>
      </c>
      <c r="BE143" s="130">
        <f t="shared" si="264"/>
        <v>4.4999999999999998E-2</v>
      </c>
      <c r="BF143" s="128">
        <f t="shared" si="389"/>
        <v>1791.5921670172715</v>
      </c>
      <c r="BG143" s="128">
        <f t="shared" si="368"/>
        <v>138412.53416701726</v>
      </c>
      <c r="BI143" s="124">
        <f t="shared" si="332"/>
        <v>100</v>
      </c>
      <c r="BJ143" s="130">
        <f t="shared" si="354"/>
        <v>4.3200000000000002E-2</v>
      </c>
      <c r="BK143" s="127">
        <f t="shared" si="440"/>
        <v>1268</v>
      </c>
      <c r="BL143" s="128">
        <f t="shared" si="441"/>
        <v>126673.20000000001</v>
      </c>
      <c r="BM143" s="128">
        <f t="shared" si="349"/>
        <v>126800</v>
      </c>
      <c r="BN143" s="128">
        <f t="shared" si="442"/>
        <v>139530.84679999997</v>
      </c>
      <c r="BO143" s="130">
        <f t="shared" si="390"/>
        <v>4.9000000000000002E-2</v>
      </c>
      <c r="BP143" s="128">
        <f t="shared" si="391"/>
        <v>141809.85063106663</v>
      </c>
      <c r="BQ143" s="128" t="str">
        <f t="shared" si="392"/>
        <v>nie</v>
      </c>
      <c r="BR143" s="128">
        <f t="shared" si="393"/>
        <v>1268</v>
      </c>
      <c r="BS143" s="128">
        <f t="shared" si="364"/>
        <v>137930.89901116397</v>
      </c>
      <c r="BT143" s="128">
        <f t="shared" si="443"/>
        <v>0</v>
      </c>
      <c r="BU143" s="130">
        <f t="shared" si="394"/>
        <v>4.4999999999999998E-2</v>
      </c>
      <c r="BV143" s="128">
        <f t="shared" si="271"/>
        <v>17.191828698542338</v>
      </c>
      <c r="BW143" s="128">
        <f t="shared" si="365"/>
        <v>137948.0908398625</v>
      </c>
      <c r="BY143" s="130">
        <f t="shared" si="360"/>
        <v>2.9000000000000001E-2</v>
      </c>
      <c r="BZ143" s="127">
        <f t="shared" si="444"/>
        <v>1344</v>
      </c>
      <c r="CA143" s="128">
        <f t="shared" si="445"/>
        <v>134279.90000000002</v>
      </c>
      <c r="CB143" s="128">
        <f t="shared" si="366"/>
        <v>134400</v>
      </c>
      <c r="CC143" s="128">
        <f t="shared" si="359"/>
        <v>134400</v>
      </c>
      <c r="CD143" s="130">
        <f t="shared" si="395"/>
        <v>5.2499999999999998E-2</v>
      </c>
      <c r="CE143" s="128">
        <f t="shared" si="396"/>
        <v>136752</v>
      </c>
      <c r="CF143" s="128" t="str">
        <f t="shared" si="397"/>
        <v>nie</v>
      </c>
      <c r="CG143" s="128">
        <f t="shared" si="398"/>
        <v>2352</v>
      </c>
      <c r="CH143" s="128">
        <f t="shared" si="369"/>
        <v>134400</v>
      </c>
      <c r="CI143" s="128">
        <f t="shared" si="399"/>
        <v>0</v>
      </c>
      <c r="CJ143" s="130">
        <f t="shared" si="277"/>
        <v>4.4999999999999998E-2</v>
      </c>
      <c r="CK143" s="128">
        <f t="shared" si="400"/>
        <v>20.771820159819505</v>
      </c>
      <c r="CL143" s="128">
        <f t="shared" si="401"/>
        <v>134420.77182015983</v>
      </c>
      <c r="CN143" s="127">
        <f t="shared" si="446"/>
        <v>1000</v>
      </c>
      <c r="CO143" s="128">
        <f t="shared" si="447"/>
        <v>100000</v>
      </c>
      <c r="CP143" s="128">
        <f t="shared" si="342"/>
        <v>100000</v>
      </c>
      <c r="CQ143" s="128">
        <f t="shared" si="448"/>
        <v>147811.69370559536</v>
      </c>
      <c r="CR143" s="130">
        <f t="shared" si="402"/>
        <v>4.9000000000000002E-2</v>
      </c>
      <c r="CS143" s="128">
        <f t="shared" si="403"/>
        <v>150225.95136945343</v>
      </c>
      <c r="CT143" s="128" t="str">
        <f t="shared" si="404"/>
        <v>nie</v>
      </c>
      <c r="CU143" s="128">
        <f t="shared" si="405"/>
        <v>3000</v>
      </c>
      <c r="CV143" s="128">
        <f t="shared" si="406"/>
        <v>138253.02060925728</v>
      </c>
      <c r="CW143" s="128">
        <f t="shared" si="285"/>
        <v>0</v>
      </c>
      <c r="CX143" s="130">
        <f t="shared" si="407"/>
        <v>4.4999999999999998E-2</v>
      </c>
      <c r="CY143" s="128">
        <f t="shared" si="408"/>
        <v>0</v>
      </c>
      <c r="CZ143" s="128">
        <f t="shared" si="409"/>
        <v>138253.02060925728</v>
      </c>
      <c r="DA143" s="20"/>
      <c r="DB143" s="127">
        <f t="shared" si="350"/>
        <v>1274</v>
      </c>
      <c r="DC143" s="128">
        <f t="shared" si="351"/>
        <v>127400</v>
      </c>
      <c r="DD143" s="128">
        <f t="shared" si="344"/>
        <v>127400</v>
      </c>
      <c r="DE143" s="128">
        <f t="shared" si="449"/>
        <v>140926.12169999999</v>
      </c>
      <c r="DF143" s="130">
        <f t="shared" si="410"/>
        <v>4.9000000000000002E-2</v>
      </c>
      <c r="DG143" s="128">
        <f t="shared" si="411"/>
        <v>143227.91502109999</v>
      </c>
      <c r="DH143" s="128" t="str">
        <f t="shared" si="412"/>
        <v>nie</v>
      </c>
      <c r="DI143" s="128">
        <f t="shared" si="413"/>
        <v>2548</v>
      </c>
      <c r="DJ143" s="128">
        <f t="shared" si="355"/>
        <v>138156.731167091</v>
      </c>
      <c r="DK143" s="128">
        <f t="shared" si="294"/>
        <v>0</v>
      </c>
      <c r="DL143" s="130">
        <f t="shared" si="414"/>
        <v>4.4999999999999998E-2</v>
      </c>
      <c r="DM143" s="128">
        <f t="shared" si="415"/>
        <v>103.23496435407957</v>
      </c>
      <c r="DN143" s="128">
        <f t="shared" si="416"/>
        <v>138259.96613144508</v>
      </c>
      <c r="DP143" s="127">
        <f t="shared" si="352"/>
        <v>1000</v>
      </c>
      <c r="DQ143" s="128">
        <f t="shared" si="353"/>
        <v>100000</v>
      </c>
      <c r="DR143" s="128">
        <f t="shared" si="346"/>
        <v>100000</v>
      </c>
      <c r="DS143" s="128">
        <f t="shared" si="450"/>
        <v>153175.79441885374</v>
      </c>
      <c r="DT143" s="130">
        <f t="shared" si="417"/>
        <v>5.4000000000000006E-2</v>
      </c>
      <c r="DU143" s="128">
        <f t="shared" si="418"/>
        <v>155932.95871839311</v>
      </c>
      <c r="DV143" s="128" t="str">
        <f t="shared" si="419"/>
        <v>nie</v>
      </c>
      <c r="DW143" s="128">
        <f t="shared" si="420"/>
        <v>3000</v>
      </c>
      <c r="DX143" s="128">
        <f t="shared" si="302"/>
        <v>142875.69656189842</v>
      </c>
      <c r="DY143" s="128">
        <f t="shared" si="303"/>
        <v>0</v>
      </c>
      <c r="DZ143" s="130">
        <f t="shared" si="421"/>
        <v>4.4999999999999998E-2</v>
      </c>
      <c r="EA143" s="128">
        <f t="shared" si="422"/>
        <v>0</v>
      </c>
      <c r="EB143" s="128">
        <f t="shared" si="423"/>
        <v>142875.69656189842</v>
      </c>
    </row>
    <row r="144" spans="1:132">
      <c r="A144" s="212"/>
      <c r="B144" s="188">
        <f t="shared" si="424"/>
        <v>100</v>
      </c>
      <c r="C144" s="128">
        <f t="shared" si="425"/>
        <v>139832.77589908635</v>
      </c>
      <c r="D144" s="128">
        <f t="shared" si="426"/>
        <v>138412.53416701726</v>
      </c>
      <c r="E144" s="128">
        <f t="shared" si="427"/>
        <v>137948.0908398625</v>
      </c>
      <c r="F144" s="128">
        <f t="shared" si="428"/>
        <v>134420.77182015983</v>
      </c>
      <c r="G144" s="128">
        <f t="shared" si="429"/>
        <v>138253.02060925728</v>
      </c>
      <c r="H144" s="128">
        <f t="shared" si="430"/>
        <v>138259.96613144508</v>
      </c>
      <c r="I144" s="128">
        <f t="shared" si="431"/>
        <v>142875.69656189842</v>
      </c>
      <c r="J144" s="128">
        <f t="shared" si="432"/>
        <v>135430.66307488567</v>
      </c>
      <c r="K144" s="128">
        <f t="shared" si="433"/>
        <v>126911.51155257454</v>
      </c>
      <c r="M144" s="36"/>
      <c r="N144" s="32">
        <f t="shared" si="434"/>
        <v>100</v>
      </c>
      <c r="O144" s="25">
        <f t="shared" si="318"/>
        <v>0.39832775899086359</v>
      </c>
      <c r="P144" s="25">
        <f t="shared" si="319"/>
        <v>0.38412534167017265</v>
      </c>
      <c r="Q144" s="25">
        <f t="shared" si="320"/>
        <v>0.37948090839862503</v>
      </c>
      <c r="R144" s="25">
        <f t="shared" si="370"/>
        <v>0.34420771820159834</v>
      </c>
      <c r="S144" s="25">
        <f t="shared" si="371"/>
        <v>0.38253020609257282</v>
      </c>
      <c r="T144" s="25">
        <f t="shared" si="372"/>
        <v>0.38259966131445089</v>
      </c>
      <c r="U144" s="25">
        <f t="shared" si="373"/>
        <v>0.42875696561898424</v>
      </c>
      <c r="V144" s="25">
        <f t="shared" si="374"/>
        <v>0.35430663074885671</v>
      </c>
      <c r="W144" s="25">
        <f t="shared" si="375"/>
        <v>0.26911511552574541</v>
      </c>
      <c r="X144" s="36"/>
      <c r="Y144" s="36"/>
      <c r="AA144" s="124">
        <f t="shared" si="321"/>
        <v>101</v>
      </c>
      <c r="AB144" s="128">
        <f t="shared" si="376"/>
        <v>127215.27796352078</v>
      </c>
      <c r="AC144" s="124">
        <f t="shared" si="322"/>
        <v>101</v>
      </c>
      <c r="AD144" s="130">
        <f t="shared" si="435"/>
        <v>4.4999999999999998E-2</v>
      </c>
      <c r="AE144" s="127">
        <f t="shared" si="436"/>
        <v>1387</v>
      </c>
      <c r="AF144" s="128">
        <f t="shared" si="437"/>
        <v>138566.39999999999</v>
      </c>
      <c r="AG144" s="128">
        <f t="shared" si="348"/>
        <v>138700</v>
      </c>
      <c r="AH144" s="128">
        <f t="shared" si="357"/>
        <v>138700</v>
      </c>
      <c r="AI144" s="130">
        <f t="shared" si="377"/>
        <v>4.4999999999999998E-2</v>
      </c>
      <c r="AJ144" s="128">
        <f t="shared" si="378"/>
        <v>139220.125</v>
      </c>
      <c r="AK144" s="128" t="str">
        <f t="shared" si="379"/>
        <v>nie</v>
      </c>
      <c r="AL144" s="128">
        <f t="shared" si="380"/>
        <v>693.5</v>
      </c>
      <c r="AM144" s="128">
        <f t="shared" si="361"/>
        <v>138559.56625</v>
      </c>
      <c r="AN144" s="128">
        <f t="shared" si="381"/>
        <v>421.30125000000004</v>
      </c>
      <c r="AO144" s="130">
        <f t="shared" si="382"/>
        <v>4.4999999999999998E-2</v>
      </c>
      <c r="AP144" s="128">
        <f t="shared" si="383"/>
        <v>2120.9592259423275</v>
      </c>
      <c r="AQ144" s="128">
        <f t="shared" si="362"/>
        <v>140259.22422594234</v>
      </c>
      <c r="AS144" s="124">
        <f t="shared" si="327"/>
        <v>101</v>
      </c>
      <c r="AT144" s="130">
        <f t="shared" si="328"/>
        <v>4.4999999999999998E-2</v>
      </c>
      <c r="AU144" s="127">
        <f t="shared" si="438"/>
        <v>1374</v>
      </c>
      <c r="AV144" s="128">
        <f t="shared" si="439"/>
        <v>137272.6</v>
      </c>
      <c r="AW144" s="128">
        <f t="shared" si="363"/>
        <v>137400</v>
      </c>
      <c r="AX144" s="128">
        <f t="shared" si="358"/>
        <v>137400</v>
      </c>
      <c r="AY144" s="130">
        <f t="shared" si="384"/>
        <v>4.65E-2</v>
      </c>
      <c r="AZ144" s="128">
        <f t="shared" si="385"/>
        <v>137932.42500000002</v>
      </c>
      <c r="BA144" s="128" t="str">
        <f t="shared" si="386"/>
        <v>nie</v>
      </c>
      <c r="BB144" s="128">
        <f t="shared" si="387"/>
        <v>961.8</v>
      </c>
      <c r="BC144" s="128">
        <f t="shared" si="367"/>
        <v>137052.20625000002</v>
      </c>
      <c r="BD144" s="128">
        <f t="shared" si="388"/>
        <v>431.26425000001416</v>
      </c>
      <c r="BE144" s="130">
        <f t="shared" si="264"/>
        <v>4.4999999999999998E-2</v>
      </c>
      <c r="BF144" s="128">
        <f t="shared" si="389"/>
        <v>2228.2983782246006</v>
      </c>
      <c r="BG144" s="128">
        <f t="shared" si="368"/>
        <v>138849.24037822461</v>
      </c>
      <c r="BI144" s="124">
        <f t="shared" si="332"/>
        <v>101</v>
      </c>
      <c r="BJ144" s="130">
        <f t="shared" si="354"/>
        <v>4.3200000000000002E-2</v>
      </c>
      <c r="BK144" s="127">
        <f t="shared" si="440"/>
        <v>1268</v>
      </c>
      <c r="BL144" s="128">
        <f t="shared" si="441"/>
        <v>126673.20000000001</v>
      </c>
      <c r="BM144" s="128">
        <f t="shared" si="349"/>
        <v>126800</v>
      </c>
      <c r="BN144" s="128">
        <f t="shared" si="442"/>
        <v>139530.84679999997</v>
      </c>
      <c r="BO144" s="130">
        <f t="shared" si="390"/>
        <v>4.9000000000000002E-2</v>
      </c>
      <c r="BP144" s="128">
        <f t="shared" si="391"/>
        <v>142379.60158883332</v>
      </c>
      <c r="BQ144" s="128" t="str">
        <f t="shared" si="392"/>
        <v>nie</v>
      </c>
      <c r="BR144" s="128">
        <f t="shared" si="393"/>
        <v>1268</v>
      </c>
      <c r="BS144" s="128">
        <f t="shared" si="364"/>
        <v>138392.39728695498</v>
      </c>
      <c r="BT144" s="128">
        <f t="shared" si="443"/>
        <v>0</v>
      </c>
      <c r="BU144" s="130">
        <f t="shared" si="394"/>
        <v>4.4999999999999998E-2</v>
      </c>
      <c r="BV144" s="128">
        <f t="shared" si="271"/>
        <v>17.244048878214162</v>
      </c>
      <c r="BW144" s="128">
        <f t="shared" si="365"/>
        <v>138409.64133583318</v>
      </c>
      <c r="BY144" s="130">
        <f t="shared" si="360"/>
        <v>2.9000000000000001E-2</v>
      </c>
      <c r="BZ144" s="127">
        <f t="shared" si="444"/>
        <v>1344</v>
      </c>
      <c r="CA144" s="128">
        <f t="shared" si="445"/>
        <v>134279.90000000002</v>
      </c>
      <c r="CB144" s="128">
        <f t="shared" si="366"/>
        <v>134400</v>
      </c>
      <c r="CC144" s="128">
        <f t="shared" si="359"/>
        <v>134400</v>
      </c>
      <c r="CD144" s="130">
        <f t="shared" si="395"/>
        <v>5.2499999999999998E-2</v>
      </c>
      <c r="CE144" s="128">
        <f t="shared" si="396"/>
        <v>137340</v>
      </c>
      <c r="CF144" s="128" t="str">
        <f t="shared" si="397"/>
        <v>nie</v>
      </c>
      <c r="CG144" s="128">
        <f t="shared" si="398"/>
        <v>2688</v>
      </c>
      <c r="CH144" s="128">
        <f t="shared" si="369"/>
        <v>134604.12</v>
      </c>
      <c r="CI144" s="128">
        <f t="shared" si="399"/>
        <v>0</v>
      </c>
      <c r="CJ144" s="130">
        <f t="shared" si="277"/>
        <v>4.4999999999999998E-2</v>
      </c>
      <c r="CK144" s="128">
        <f t="shared" si="400"/>
        <v>20.834914563554957</v>
      </c>
      <c r="CL144" s="128">
        <f t="shared" si="401"/>
        <v>134624.95491456354</v>
      </c>
      <c r="CN144" s="127">
        <f t="shared" si="446"/>
        <v>1000</v>
      </c>
      <c r="CO144" s="128">
        <f t="shared" si="447"/>
        <v>100000</v>
      </c>
      <c r="CP144" s="128">
        <f t="shared" si="342"/>
        <v>100000</v>
      </c>
      <c r="CQ144" s="128">
        <f t="shared" si="448"/>
        <v>147811.69370559536</v>
      </c>
      <c r="CR144" s="130">
        <f t="shared" si="402"/>
        <v>4.9000000000000002E-2</v>
      </c>
      <c r="CS144" s="128">
        <f t="shared" si="403"/>
        <v>150829.51578541796</v>
      </c>
      <c r="CT144" s="128" t="str">
        <f t="shared" si="404"/>
        <v>nie</v>
      </c>
      <c r="CU144" s="128">
        <f t="shared" si="405"/>
        <v>3000</v>
      </c>
      <c r="CV144" s="128">
        <f t="shared" si="406"/>
        <v>138741.90778618853</v>
      </c>
      <c r="CW144" s="128">
        <f t="shared" si="285"/>
        <v>0</v>
      </c>
      <c r="CX144" s="130">
        <f t="shared" si="407"/>
        <v>4.4999999999999998E-2</v>
      </c>
      <c r="CY144" s="128">
        <f t="shared" si="408"/>
        <v>0</v>
      </c>
      <c r="CZ144" s="128">
        <f t="shared" si="409"/>
        <v>138741.90778618853</v>
      </c>
      <c r="DA144" s="20"/>
      <c r="DB144" s="127">
        <f t="shared" si="350"/>
        <v>1274</v>
      </c>
      <c r="DC144" s="128">
        <f t="shared" si="351"/>
        <v>127400</v>
      </c>
      <c r="DD144" s="128">
        <f t="shared" si="344"/>
        <v>127400</v>
      </c>
      <c r="DE144" s="128">
        <f t="shared" si="449"/>
        <v>140926.12169999999</v>
      </c>
      <c r="DF144" s="130">
        <f t="shared" si="410"/>
        <v>4.9000000000000002E-2</v>
      </c>
      <c r="DG144" s="128">
        <f t="shared" si="411"/>
        <v>143803.36335137501</v>
      </c>
      <c r="DH144" s="128" t="str">
        <f t="shared" si="412"/>
        <v>nie</v>
      </c>
      <c r="DI144" s="128">
        <f t="shared" si="413"/>
        <v>2548</v>
      </c>
      <c r="DJ144" s="128">
        <f t="shared" si="355"/>
        <v>138622.84431461376</v>
      </c>
      <c r="DK144" s="128">
        <f t="shared" si="294"/>
        <v>0</v>
      </c>
      <c r="DL144" s="130">
        <f t="shared" si="414"/>
        <v>4.4999999999999998E-2</v>
      </c>
      <c r="DM144" s="128">
        <f t="shared" si="415"/>
        <v>103.54854055830508</v>
      </c>
      <c r="DN144" s="128">
        <f t="shared" si="416"/>
        <v>138726.39285517207</v>
      </c>
      <c r="DP144" s="127">
        <f t="shared" si="352"/>
        <v>1000</v>
      </c>
      <c r="DQ144" s="128">
        <f t="shared" si="353"/>
        <v>100000</v>
      </c>
      <c r="DR144" s="128">
        <f t="shared" si="346"/>
        <v>100000</v>
      </c>
      <c r="DS144" s="128">
        <f t="shared" si="450"/>
        <v>153175.79441885374</v>
      </c>
      <c r="DT144" s="130">
        <f t="shared" si="417"/>
        <v>5.4000000000000006E-2</v>
      </c>
      <c r="DU144" s="128">
        <f t="shared" si="418"/>
        <v>156622.24979327794</v>
      </c>
      <c r="DV144" s="128" t="str">
        <f t="shared" si="419"/>
        <v>nie</v>
      </c>
      <c r="DW144" s="128">
        <f t="shared" si="420"/>
        <v>3000</v>
      </c>
      <c r="DX144" s="128">
        <f t="shared" si="302"/>
        <v>143434.02233255512</v>
      </c>
      <c r="DY144" s="128">
        <f t="shared" si="303"/>
        <v>0</v>
      </c>
      <c r="DZ144" s="130">
        <f t="shared" si="421"/>
        <v>4.4999999999999998E-2</v>
      </c>
      <c r="EA144" s="128">
        <f t="shared" si="422"/>
        <v>0</v>
      </c>
      <c r="EB144" s="128">
        <f t="shared" si="423"/>
        <v>143434.02233255512</v>
      </c>
    </row>
    <row r="145" spans="1:132">
      <c r="A145" s="212"/>
      <c r="B145" s="188">
        <f t="shared" si="424"/>
        <v>101</v>
      </c>
      <c r="C145" s="128">
        <f t="shared" si="425"/>
        <v>140259.22422594234</v>
      </c>
      <c r="D145" s="128">
        <f t="shared" si="426"/>
        <v>138849.24037822461</v>
      </c>
      <c r="E145" s="128">
        <f t="shared" si="427"/>
        <v>138409.64133583318</v>
      </c>
      <c r="F145" s="128">
        <f t="shared" si="428"/>
        <v>134624.95491456354</v>
      </c>
      <c r="G145" s="128">
        <f t="shared" si="429"/>
        <v>138741.90778618853</v>
      </c>
      <c r="H145" s="128">
        <f t="shared" si="430"/>
        <v>138726.39285517207</v>
      </c>
      <c r="I145" s="128">
        <f t="shared" si="431"/>
        <v>143434.02233255512</v>
      </c>
      <c r="J145" s="128">
        <f t="shared" si="432"/>
        <v>135842.03371397563</v>
      </c>
      <c r="K145" s="128">
        <f t="shared" si="433"/>
        <v>127215.27796352078</v>
      </c>
      <c r="M145" s="36"/>
      <c r="N145" s="32">
        <f t="shared" si="434"/>
        <v>101</v>
      </c>
      <c r="O145" s="25">
        <f t="shared" si="318"/>
        <v>0.40259224225942347</v>
      </c>
      <c r="P145" s="25">
        <f t="shared" si="319"/>
        <v>0.38849240378224614</v>
      </c>
      <c r="Q145" s="25">
        <f t="shared" si="320"/>
        <v>0.38409641335833178</v>
      </c>
      <c r="R145" s="25">
        <f t="shared" si="370"/>
        <v>0.34624954914563544</v>
      </c>
      <c r="S145" s="25">
        <f t="shared" si="371"/>
        <v>0.38741907786188534</v>
      </c>
      <c r="T145" s="25">
        <f t="shared" si="372"/>
        <v>0.38726392855172076</v>
      </c>
      <c r="U145" s="25">
        <f t="shared" si="373"/>
        <v>0.43434022332555111</v>
      </c>
      <c r="V145" s="25">
        <f t="shared" si="374"/>
        <v>0.3584203371397563</v>
      </c>
      <c r="W145" s="25">
        <f t="shared" si="375"/>
        <v>0.2721527796352079</v>
      </c>
      <c r="X145" s="36"/>
      <c r="Y145" s="36"/>
      <c r="AA145" s="124">
        <f t="shared" si="321"/>
        <v>102</v>
      </c>
      <c r="AB145" s="128">
        <f t="shared" si="376"/>
        <v>127519.044374467</v>
      </c>
      <c r="AC145" s="124">
        <f t="shared" si="322"/>
        <v>102</v>
      </c>
      <c r="AD145" s="130">
        <f t="shared" si="435"/>
        <v>4.4999999999999998E-2</v>
      </c>
      <c r="AE145" s="127">
        <f t="shared" si="436"/>
        <v>1387</v>
      </c>
      <c r="AF145" s="128">
        <f t="shared" si="437"/>
        <v>138566.39999999999</v>
      </c>
      <c r="AG145" s="128">
        <f t="shared" si="348"/>
        <v>138700</v>
      </c>
      <c r="AH145" s="128">
        <f t="shared" si="357"/>
        <v>138700</v>
      </c>
      <c r="AI145" s="130">
        <f t="shared" si="377"/>
        <v>4.4999999999999998E-2</v>
      </c>
      <c r="AJ145" s="128">
        <f t="shared" si="378"/>
        <v>139220.125</v>
      </c>
      <c r="AK145" s="128" t="str">
        <f t="shared" si="379"/>
        <v>nie</v>
      </c>
      <c r="AL145" s="128">
        <f t="shared" si="380"/>
        <v>693.5</v>
      </c>
      <c r="AM145" s="128">
        <f t="shared" si="361"/>
        <v>138559.56625</v>
      </c>
      <c r="AN145" s="128">
        <f t="shared" si="381"/>
        <v>421.30125000000004</v>
      </c>
      <c r="AO145" s="130">
        <f t="shared" si="382"/>
        <v>4.4999999999999998E-2</v>
      </c>
      <c r="AP145" s="128">
        <f t="shared" si="383"/>
        <v>2548.7028895911276</v>
      </c>
      <c r="AQ145" s="128">
        <f t="shared" si="362"/>
        <v>140686.96788959112</v>
      </c>
      <c r="AS145" s="124">
        <f t="shared" si="327"/>
        <v>102</v>
      </c>
      <c r="AT145" s="130">
        <f t="shared" si="328"/>
        <v>4.4999999999999998E-2</v>
      </c>
      <c r="AU145" s="127">
        <f t="shared" si="438"/>
        <v>1374</v>
      </c>
      <c r="AV145" s="128">
        <f t="shared" si="439"/>
        <v>137272.6</v>
      </c>
      <c r="AW145" s="128">
        <f t="shared" si="363"/>
        <v>137400</v>
      </c>
      <c r="AX145" s="128">
        <f t="shared" si="358"/>
        <v>137400</v>
      </c>
      <c r="AY145" s="130">
        <f t="shared" si="384"/>
        <v>4.65E-2</v>
      </c>
      <c r="AZ145" s="128">
        <f t="shared" si="385"/>
        <v>137932.42500000002</v>
      </c>
      <c r="BA145" s="128" t="str">
        <f t="shared" si="386"/>
        <v>nie</v>
      </c>
      <c r="BB145" s="128">
        <f t="shared" si="387"/>
        <v>961.8</v>
      </c>
      <c r="BC145" s="128">
        <f t="shared" si="367"/>
        <v>137052.20625000002</v>
      </c>
      <c r="BD145" s="128">
        <f t="shared" si="388"/>
        <v>431.26425000001416</v>
      </c>
      <c r="BE145" s="130">
        <f t="shared" si="264"/>
        <v>4.4999999999999998E-2</v>
      </c>
      <c r="BF145" s="128">
        <f t="shared" si="389"/>
        <v>2666.3310845484721</v>
      </c>
      <c r="BG145" s="128">
        <f t="shared" si="368"/>
        <v>139287.27308454848</v>
      </c>
      <c r="BI145" s="124">
        <f t="shared" si="332"/>
        <v>102</v>
      </c>
      <c r="BJ145" s="130">
        <f t="shared" si="354"/>
        <v>4.3200000000000002E-2</v>
      </c>
      <c r="BK145" s="127">
        <f t="shared" si="440"/>
        <v>1268</v>
      </c>
      <c r="BL145" s="128">
        <f t="shared" si="441"/>
        <v>126673.20000000001</v>
      </c>
      <c r="BM145" s="128">
        <f t="shared" si="349"/>
        <v>126800</v>
      </c>
      <c r="BN145" s="128">
        <f t="shared" si="442"/>
        <v>139530.84679999997</v>
      </c>
      <c r="BO145" s="130">
        <f t="shared" si="390"/>
        <v>4.9000000000000002E-2</v>
      </c>
      <c r="BP145" s="128">
        <f t="shared" si="391"/>
        <v>142949.35254659996</v>
      </c>
      <c r="BQ145" s="128" t="str">
        <f t="shared" si="392"/>
        <v>nie</v>
      </c>
      <c r="BR145" s="128">
        <f t="shared" si="393"/>
        <v>1268</v>
      </c>
      <c r="BS145" s="128">
        <f t="shared" si="364"/>
        <v>138853.89556274595</v>
      </c>
      <c r="BT145" s="128">
        <f t="shared" si="443"/>
        <v>0</v>
      </c>
      <c r="BU145" s="130">
        <f t="shared" si="394"/>
        <v>4.4999999999999998E-2</v>
      </c>
      <c r="BV145" s="128">
        <f t="shared" si="271"/>
        <v>17.296427676681738</v>
      </c>
      <c r="BW145" s="128">
        <f t="shared" si="365"/>
        <v>138871.19199042264</v>
      </c>
      <c r="BY145" s="130">
        <f t="shared" si="360"/>
        <v>2.9000000000000001E-2</v>
      </c>
      <c r="BZ145" s="127">
        <f t="shared" si="444"/>
        <v>1344</v>
      </c>
      <c r="CA145" s="128">
        <f t="shared" si="445"/>
        <v>134279.90000000002</v>
      </c>
      <c r="CB145" s="128">
        <f t="shared" si="366"/>
        <v>134400</v>
      </c>
      <c r="CC145" s="128">
        <f t="shared" si="359"/>
        <v>134400</v>
      </c>
      <c r="CD145" s="130">
        <f t="shared" si="395"/>
        <v>5.2499999999999998E-2</v>
      </c>
      <c r="CE145" s="128">
        <f t="shared" si="396"/>
        <v>137928</v>
      </c>
      <c r="CF145" s="128" t="str">
        <f t="shared" si="397"/>
        <v>nie</v>
      </c>
      <c r="CG145" s="128">
        <f t="shared" si="398"/>
        <v>2688</v>
      </c>
      <c r="CH145" s="128">
        <f t="shared" si="369"/>
        <v>135080.4</v>
      </c>
      <c r="CI145" s="128">
        <f t="shared" si="399"/>
        <v>0</v>
      </c>
      <c r="CJ145" s="130">
        <f t="shared" si="277"/>
        <v>4.4999999999999998E-2</v>
      </c>
      <c r="CK145" s="128">
        <f t="shared" si="400"/>
        <v>20.898200616541757</v>
      </c>
      <c r="CL145" s="128">
        <f t="shared" si="401"/>
        <v>135101.29820061653</v>
      </c>
      <c r="CN145" s="127">
        <f t="shared" si="446"/>
        <v>1000</v>
      </c>
      <c r="CO145" s="128">
        <f t="shared" si="447"/>
        <v>100000</v>
      </c>
      <c r="CP145" s="128">
        <f t="shared" si="342"/>
        <v>100000</v>
      </c>
      <c r="CQ145" s="128">
        <f t="shared" si="448"/>
        <v>147811.69370559536</v>
      </c>
      <c r="CR145" s="130">
        <f t="shared" si="402"/>
        <v>4.9000000000000002E-2</v>
      </c>
      <c r="CS145" s="128">
        <f t="shared" si="403"/>
        <v>151433.08020138243</v>
      </c>
      <c r="CT145" s="128" t="str">
        <f t="shared" si="404"/>
        <v>nie</v>
      </c>
      <c r="CU145" s="128">
        <f t="shared" si="405"/>
        <v>3000</v>
      </c>
      <c r="CV145" s="128">
        <f t="shared" si="406"/>
        <v>139230.79496311976</v>
      </c>
      <c r="CW145" s="128">
        <f t="shared" si="285"/>
        <v>0</v>
      </c>
      <c r="CX145" s="130">
        <f t="shared" si="407"/>
        <v>4.4999999999999998E-2</v>
      </c>
      <c r="CY145" s="128">
        <f t="shared" si="408"/>
        <v>0</v>
      </c>
      <c r="CZ145" s="128">
        <f t="shared" si="409"/>
        <v>139230.79496311976</v>
      </c>
      <c r="DA145" s="20"/>
      <c r="DB145" s="127">
        <f t="shared" si="350"/>
        <v>1274</v>
      </c>
      <c r="DC145" s="128">
        <f t="shared" si="351"/>
        <v>127400</v>
      </c>
      <c r="DD145" s="128">
        <f t="shared" si="344"/>
        <v>127400</v>
      </c>
      <c r="DE145" s="128">
        <f t="shared" si="449"/>
        <v>140926.12169999999</v>
      </c>
      <c r="DF145" s="130">
        <f t="shared" si="410"/>
        <v>4.9000000000000002E-2</v>
      </c>
      <c r="DG145" s="128">
        <f t="shared" si="411"/>
        <v>144378.81168165</v>
      </c>
      <c r="DH145" s="128" t="str">
        <f t="shared" si="412"/>
        <v>nie</v>
      </c>
      <c r="DI145" s="128">
        <f t="shared" si="413"/>
        <v>2548</v>
      </c>
      <c r="DJ145" s="128">
        <f t="shared" si="355"/>
        <v>139088.95746213649</v>
      </c>
      <c r="DK145" s="128">
        <f t="shared" si="294"/>
        <v>0</v>
      </c>
      <c r="DL145" s="130">
        <f t="shared" si="414"/>
        <v>4.4999999999999998E-2</v>
      </c>
      <c r="DM145" s="128">
        <f t="shared" si="415"/>
        <v>103.86306925025093</v>
      </c>
      <c r="DN145" s="128">
        <f t="shared" si="416"/>
        <v>139192.82053138674</v>
      </c>
      <c r="DP145" s="127">
        <f t="shared" si="352"/>
        <v>1000</v>
      </c>
      <c r="DQ145" s="128">
        <f t="shared" si="353"/>
        <v>100000</v>
      </c>
      <c r="DR145" s="128">
        <f t="shared" si="346"/>
        <v>100000</v>
      </c>
      <c r="DS145" s="128">
        <f t="shared" si="450"/>
        <v>153175.79441885374</v>
      </c>
      <c r="DT145" s="130">
        <f t="shared" si="417"/>
        <v>5.4000000000000006E-2</v>
      </c>
      <c r="DU145" s="128">
        <f t="shared" si="418"/>
        <v>157311.54086816279</v>
      </c>
      <c r="DV145" s="128" t="str">
        <f t="shared" si="419"/>
        <v>nie</v>
      </c>
      <c r="DW145" s="128">
        <f t="shared" si="420"/>
        <v>3000</v>
      </c>
      <c r="DX145" s="128">
        <f t="shared" si="302"/>
        <v>143992.34810321184</v>
      </c>
      <c r="DY145" s="128">
        <f t="shared" si="303"/>
        <v>0</v>
      </c>
      <c r="DZ145" s="130">
        <f t="shared" si="421"/>
        <v>4.4999999999999998E-2</v>
      </c>
      <c r="EA145" s="128">
        <f t="shared" si="422"/>
        <v>0</v>
      </c>
      <c r="EB145" s="128">
        <f t="shared" si="423"/>
        <v>143992.34810321184</v>
      </c>
    </row>
    <row r="146" spans="1:132">
      <c r="A146" s="212"/>
      <c r="B146" s="188">
        <f t="shared" si="424"/>
        <v>102</v>
      </c>
      <c r="C146" s="128">
        <f t="shared" si="425"/>
        <v>140686.96788959112</v>
      </c>
      <c r="D146" s="128">
        <f t="shared" si="426"/>
        <v>139287.27308454848</v>
      </c>
      <c r="E146" s="128">
        <f t="shared" si="427"/>
        <v>138871.19199042264</v>
      </c>
      <c r="F146" s="128">
        <f t="shared" si="428"/>
        <v>135101.29820061653</v>
      </c>
      <c r="G146" s="128">
        <f t="shared" si="429"/>
        <v>139230.79496311976</v>
      </c>
      <c r="H146" s="128">
        <f t="shared" si="430"/>
        <v>139192.82053138674</v>
      </c>
      <c r="I146" s="128">
        <f t="shared" si="431"/>
        <v>143992.34810321184</v>
      </c>
      <c r="J146" s="128">
        <f t="shared" si="432"/>
        <v>136254.65389138184</v>
      </c>
      <c r="K146" s="128">
        <f t="shared" si="433"/>
        <v>127519.044374467</v>
      </c>
      <c r="M146" s="36"/>
      <c r="N146" s="32">
        <f t="shared" si="434"/>
        <v>102</v>
      </c>
      <c r="O146" s="25">
        <f t="shared" si="318"/>
        <v>0.40686967889591119</v>
      </c>
      <c r="P146" s="25">
        <f t="shared" si="319"/>
        <v>0.39287273084548469</v>
      </c>
      <c r="Q146" s="25">
        <f t="shared" si="320"/>
        <v>0.38871191990422638</v>
      </c>
      <c r="R146" s="25">
        <f t="shared" si="370"/>
        <v>0.35101298200616515</v>
      </c>
      <c r="S146" s="25">
        <f t="shared" si="371"/>
        <v>0.39230794963119764</v>
      </c>
      <c r="T146" s="25">
        <f t="shared" si="372"/>
        <v>0.39192820531386729</v>
      </c>
      <c r="U146" s="25">
        <f t="shared" si="373"/>
        <v>0.43992348103211842</v>
      </c>
      <c r="V146" s="25">
        <f t="shared" si="374"/>
        <v>0.36254653891381827</v>
      </c>
      <c r="W146" s="25">
        <f t="shared" si="375"/>
        <v>0.27519044374466994</v>
      </c>
      <c r="X146" s="36"/>
      <c r="Y146" s="36"/>
      <c r="AA146" s="124">
        <f t="shared" si="321"/>
        <v>103</v>
      </c>
      <c r="AB146" s="128">
        <f t="shared" si="376"/>
        <v>127822.81078541325</v>
      </c>
      <c r="AC146" s="124">
        <f t="shared" si="322"/>
        <v>103</v>
      </c>
      <c r="AD146" s="130">
        <f t="shared" si="435"/>
        <v>4.4999999999999998E-2</v>
      </c>
      <c r="AE146" s="127">
        <f t="shared" si="436"/>
        <v>1387</v>
      </c>
      <c r="AF146" s="128">
        <f t="shared" si="437"/>
        <v>138566.39999999999</v>
      </c>
      <c r="AG146" s="128">
        <f t="shared" si="348"/>
        <v>138700</v>
      </c>
      <c r="AH146" s="128">
        <f t="shared" si="357"/>
        <v>138700</v>
      </c>
      <c r="AI146" s="130">
        <f t="shared" si="377"/>
        <v>4.4999999999999998E-2</v>
      </c>
      <c r="AJ146" s="128">
        <f t="shared" si="378"/>
        <v>139220.125</v>
      </c>
      <c r="AK146" s="128" t="str">
        <f t="shared" si="379"/>
        <v>nie</v>
      </c>
      <c r="AL146" s="128">
        <f t="shared" si="380"/>
        <v>693.5</v>
      </c>
      <c r="AM146" s="128">
        <f t="shared" si="361"/>
        <v>138559.56625</v>
      </c>
      <c r="AN146" s="128">
        <f t="shared" si="381"/>
        <v>421.30125000000004</v>
      </c>
      <c r="AO146" s="130">
        <f t="shared" si="382"/>
        <v>4.4999999999999998E-2</v>
      </c>
      <c r="AP146" s="128">
        <f t="shared" si="383"/>
        <v>2977.7458246182605</v>
      </c>
      <c r="AQ146" s="128">
        <f t="shared" si="362"/>
        <v>141116.01082461825</v>
      </c>
      <c r="AS146" s="124">
        <f t="shared" si="327"/>
        <v>103</v>
      </c>
      <c r="AT146" s="130">
        <f t="shared" si="328"/>
        <v>4.4999999999999998E-2</v>
      </c>
      <c r="AU146" s="127">
        <f t="shared" si="438"/>
        <v>1374</v>
      </c>
      <c r="AV146" s="128">
        <f t="shared" si="439"/>
        <v>137272.6</v>
      </c>
      <c r="AW146" s="128">
        <f t="shared" si="363"/>
        <v>137400</v>
      </c>
      <c r="AX146" s="128">
        <f t="shared" si="358"/>
        <v>137400</v>
      </c>
      <c r="AY146" s="130">
        <f t="shared" si="384"/>
        <v>4.65E-2</v>
      </c>
      <c r="AZ146" s="128">
        <f t="shared" si="385"/>
        <v>137932.42500000002</v>
      </c>
      <c r="BA146" s="128" t="str">
        <f t="shared" si="386"/>
        <v>nie</v>
      </c>
      <c r="BB146" s="128">
        <f t="shared" si="387"/>
        <v>961.8</v>
      </c>
      <c r="BC146" s="128">
        <f t="shared" si="367"/>
        <v>137052.20625000002</v>
      </c>
      <c r="BD146" s="128">
        <f t="shared" si="388"/>
        <v>431.26425000001416</v>
      </c>
      <c r="BE146" s="130">
        <f t="shared" si="264"/>
        <v>4.4999999999999998E-2</v>
      </c>
      <c r="BF146" s="128">
        <f t="shared" si="389"/>
        <v>3105.6943152178023</v>
      </c>
      <c r="BG146" s="128">
        <f t="shared" si="368"/>
        <v>139726.63631521779</v>
      </c>
      <c r="BI146" s="124">
        <f t="shared" si="332"/>
        <v>103</v>
      </c>
      <c r="BJ146" s="130">
        <f t="shared" ref="BJ146:BJ177" si="451">MAX(INDEX(scenariusz_I_WIBOR6M,MATCH(ROUNDUP(BI146/12,0),scenariusz_I_rok,0)),0)</f>
        <v>4.3200000000000002E-2</v>
      </c>
      <c r="BK146" s="127">
        <f t="shared" si="440"/>
        <v>1268</v>
      </c>
      <c r="BL146" s="128">
        <f t="shared" si="441"/>
        <v>126673.20000000001</v>
      </c>
      <c r="BM146" s="128">
        <f t="shared" si="349"/>
        <v>126800</v>
      </c>
      <c r="BN146" s="128">
        <f t="shared" si="442"/>
        <v>139530.84679999997</v>
      </c>
      <c r="BO146" s="130">
        <f t="shared" si="390"/>
        <v>4.9000000000000002E-2</v>
      </c>
      <c r="BP146" s="128">
        <f t="shared" si="391"/>
        <v>143519.10350436665</v>
      </c>
      <c r="BQ146" s="128" t="str">
        <f t="shared" si="392"/>
        <v>nie</v>
      </c>
      <c r="BR146" s="128">
        <f t="shared" si="393"/>
        <v>1268</v>
      </c>
      <c r="BS146" s="128">
        <f t="shared" si="364"/>
        <v>139315.39383853698</v>
      </c>
      <c r="BT146" s="128">
        <f t="shared" si="443"/>
        <v>0</v>
      </c>
      <c r="BU146" s="130">
        <f t="shared" si="394"/>
        <v>4.4999999999999998E-2</v>
      </c>
      <c r="BV146" s="128">
        <f t="shared" si="271"/>
        <v>17.348965575749659</v>
      </c>
      <c r="BW146" s="128">
        <f t="shared" si="365"/>
        <v>139332.74280411273</v>
      </c>
      <c r="BY146" s="130">
        <f t="shared" si="360"/>
        <v>2.9000000000000001E-2</v>
      </c>
      <c r="BZ146" s="127">
        <f t="shared" si="444"/>
        <v>1344</v>
      </c>
      <c r="CA146" s="128">
        <f t="shared" si="445"/>
        <v>134279.90000000002</v>
      </c>
      <c r="CB146" s="128">
        <f t="shared" si="366"/>
        <v>134400</v>
      </c>
      <c r="CC146" s="128">
        <f t="shared" si="359"/>
        <v>134400</v>
      </c>
      <c r="CD146" s="130">
        <f t="shared" si="395"/>
        <v>5.2499999999999998E-2</v>
      </c>
      <c r="CE146" s="128">
        <f t="shared" si="396"/>
        <v>138516</v>
      </c>
      <c r="CF146" s="128" t="str">
        <f t="shared" si="397"/>
        <v>nie</v>
      </c>
      <c r="CG146" s="128">
        <f t="shared" si="398"/>
        <v>2688</v>
      </c>
      <c r="CH146" s="128">
        <f t="shared" si="369"/>
        <v>135556.68</v>
      </c>
      <c r="CI146" s="128">
        <f t="shared" si="399"/>
        <v>0</v>
      </c>
      <c r="CJ146" s="130">
        <f t="shared" si="277"/>
        <v>4.4999999999999998E-2</v>
      </c>
      <c r="CK146" s="128">
        <f t="shared" si="400"/>
        <v>20.961678900914503</v>
      </c>
      <c r="CL146" s="128">
        <f t="shared" si="401"/>
        <v>135577.64167890089</v>
      </c>
      <c r="CN146" s="127">
        <f t="shared" si="446"/>
        <v>1000</v>
      </c>
      <c r="CO146" s="128">
        <f t="shared" si="447"/>
        <v>100000</v>
      </c>
      <c r="CP146" s="128">
        <f t="shared" si="342"/>
        <v>100000</v>
      </c>
      <c r="CQ146" s="128">
        <f t="shared" si="448"/>
        <v>147811.69370559536</v>
      </c>
      <c r="CR146" s="130">
        <f t="shared" si="402"/>
        <v>4.9000000000000002E-2</v>
      </c>
      <c r="CS146" s="128">
        <f t="shared" si="403"/>
        <v>152036.64461734696</v>
      </c>
      <c r="CT146" s="128" t="str">
        <f t="shared" si="404"/>
        <v>nie</v>
      </c>
      <c r="CU146" s="128">
        <f t="shared" si="405"/>
        <v>3000</v>
      </c>
      <c r="CV146" s="128">
        <f t="shared" si="406"/>
        <v>139719.68214005104</v>
      </c>
      <c r="CW146" s="128">
        <f t="shared" si="285"/>
        <v>0</v>
      </c>
      <c r="CX146" s="130">
        <f t="shared" si="407"/>
        <v>4.4999999999999998E-2</v>
      </c>
      <c r="CY146" s="128">
        <f t="shared" si="408"/>
        <v>0</v>
      </c>
      <c r="CZ146" s="128">
        <f t="shared" si="409"/>
        <v>139719.68214005104</v>
      </c>
      <c r="DA146" s="20"/>
      <c r="DB146" s="127">
        <f t="shared" si="350"/>
        <v>1274</v>
      </c>
      <c r="DC146" s="128">
        <f t="shared" si="351"/>
        <v>127400</v>
      </c>
      <c r="DD146" s="128">
        <f t="shared" si="344"/>
        <v>127400</v>
      </c>
      <c r="DE146" s="128">
        <f t="shared" si="449"/>
        <v>140926.12169999999</v>
      </c>
      <c r="DF146" s="130">
        <f t="shared" si="410"/>
        <v>4.9000000000000002E-2</v>
      </c>
      <c r="DG146" s="128">
        <f t="shared" si="411"/>
        <v>144954.26001192501</v>
      </c>
      <c r="DH146" s="128" t="str">
        <f t="shared" si="412"/>
        <v>nie</v>
      </c>
      <c r="DI146" s="128">
        <f t="shared" si="413"/>
        <v>2548</v>
      </c>
      <c r="DJ146" s="128">
        <f t="shared" si="355"/>
        <v>139555.07060965925</v>
      </c>
      <c r="DK146" s="128">
        <f t="shared" si="294"/>
        <v>0</v>
      </c>
      <c r="DL146" s="130">
        <f t="shared" si="414"/>
        <v>4.4999999999999998E-2</v>
      </c>
      <c r="DM146" s="128">
        <f t="shared" si="415"/>
        <v>104.17855332309857</v>
      </c>
      <c r="DN146" s="128">
        <f t="shared" si="416"/>
        <v>139659.24916298233</v>
      </c>
      <c r="DP146" s="127">
        <f t="shared" si="352"/>
        <v>1000</v>
      </c>
      <c r="DQ146" s="128">
        <f t="shared" si="353"/>
        <v>100000</v>
      </c>
      <c r="DR146" s="128">
        <f t="shared" si="346"/>
        <v>100000</v>
      </c>
      <c r="DS146" s="128">
        <f t="shared" si="450"/>
        <v>153175.79441885374</v>
      </c>
      <c r="DT146" s="130">
        <f t="shared" si="417"/>
        <v>5.4000000000000006E-2</v>
      </c>
      <c r="DU146" s="128">
        <f t="shared" si="418"/>
        <v>158000.83194304764</v>
      </c>
      <c r="DV146" s="128" t="str">
        <f t="shared" si="419"/>
        <v>nie</v>
      </c>
      <c r="DW146" s="128">
        <f t="shared" si="420"/>
        <v>3000</v>
      </c>
      <c r="DX146" s="128">
        <f t="shared" si="302"/>
        <v>144550.6738738686</v>
      </c>
      <c r="DY146" s="128">
        <f t="shared" si="303"/>
        <v>0</v>
      </c>
      <c r="DZ146" s="130">
        <f t="shared" si="421"/>
        <v>4.4999999999999998E-2</v>
      </c>
      <c r="EA146" s="128">
        <f t="shared" si="422"/>
        <v>0</v>
      </c>
      <c r="EB146" s="128">
        <f t="shared" si="423"/>
        <v>144550.6738738686</v>
      </c>
    </row>
    <row r="147" spans="1:132">
      <c r="A147" s="212"/>
      <c r="B147" s="188">
        <f t="shared" si="424"/>
        <v>103</v>
      </c>
      <c r="C147" s="128">
        <f t="shared" si="425"/>
        <v>141116.01082461825</v>
      </c>
      <c r="D147" s="128">
        <f t="shared" si="426"/>
        <v>139726.63631521779</v>
      </c>
      <c r="E147" s="128">
        <f t="shared" si="427"/>
        <v>139332.74280411273</v>
      </c>
      <c r="F147" s="128">
        <f t="shared" si="428"/>
        <v>135577.64167890089</v>
      </c>
      <c r="G147" s="128">
        <f t="shared" si="429"/>
        <v>139719.68214005104</v>
      </c>
      <c r="H147" s="128">
        <f t="shared" si="430"/>
        <v>139659.24916298233</v>
      </c>
      <c r="I147" s="128">
        <f t="shared" si="431"/>
        <v>144550.6738738686</v>
      </c>
      <c r="J147" s="128">
        <f t="shared" si="432"/>
        <v>136668.5274025769</v>
      </c>
      <c r="K147" s="128">
        <f t="shared" si="433"/>
        <v>127822.81078541325</v>
      </c>
      <c r="M147" s="36"/>
      <c r="N147" s="32">
        <f t="shared" si="434"/>
        <v>103</v>
      </c>
      <c r="O147" s="25">
        <f t="shared" si="318"/>
        <v>0.41116010824618243</v>
      </c>
      <c r="P147" s="25">
        <f t="shared" si="319"/>
        <v>0.397266363152178</v>
      </c>
      <c r="Q147" s="25">
        <f t="shared" si="320"/>
        <v>0.39332742804112719</v>
      </c>
      <c r="R147" s="25">
        <f t="shared" si="370"/>
        <v>0.35577641678900895</v>
      </c>
      <c r="S147" s="25">
        <f t="shared" si="371"/>
        <v>0.39719682140051038</v>
      </c>
      <c r="T147" s="25">
        <f t="shared" si="372"/>
        <v>0.39659249162982335</v>
      </c>
      <c r="U147" s="25">
        <f t="shared" si="373"/>
        <v>0.44550673873868596</v>
      </c>
      <c r="V147" s="25">
        <f t="shared" si="374"/>
        <v>0.36668527402576911</v>
      </c>
      <c r="W147" s="25">
        <f t="shared" si="375"/>
        <v>0.27822810785413243</v>
      </c>
      <c r="X147" s="36"/>
      <c r="Y147" s="36"/>
      <c r="AA147" s="124">
        <f t="shared" si="321"/>
        <v>104</v>
      </c>
      <c r="AB147" s="128">
        <f t="shared" si="376"/>
        <v>128126.5771963595</v>
      </c>
      <c r="AC147" s="124">
        <f t="shared" si="322"/>
        <v>104</v>
      </c>
      <c r="AD147" s="130">
        <f t="shared" si="435"/>
        <v>4.4999999999999998E-2</v>
      </c>
      <c r="AE147" s="127">
        <f t="shared" si="436"/>
        <v>1387</v>
      </c>
      <c r="AF147" s="128">
        <f t="shared" si="437"/>
        <v>138566.39999999999</v>
      </c>
      <c r="AG147" s="128">
        <f t="shared" si="348"/>
        <v>138700</v>
      </c>
      <c r="AH147" s="128">
        <f t="shared" si="357"/>
        <v>138700</v>
      </c>
      <c r="AI147" s="130">
        <f t="shared" si="377"/>
        <v>4.4999999999999998E-2</v>
      </c>
      <c r="AJ147" s="128">
        <f t="shared" si="378"/>
        <v>139220.125</v>
      </c>
      <c r="AK147" s="128" t="str">
        <f t="shared" si="379"/>
        <v>nie</v>
      </c>
      <c r="AL147" s="128">
        <f t="shared" si="380"/>
        <v>693.5</v>
      </c>
      <c r="AM147" s="128">
        <f t="shared" si="361"/>
        <v>138559.56625</v>
      </c>
      <c r="AN147" s="128">
        <f t="shared" si="381"/>
        <v>421.30125000000004</v>
      </c>
      <c r="AO147" s="130">
        <f t="shared" si="382"/>
        <v>4.4999999999999998E-2</v>
      </c>
      <c r="AP147" s="128">
        <f t="shared" si="383"/>
        <v>3408.0919775605385</v>
      </c>
      <c r="AQ147" s="128">
        <f t="shared" si="362"/>
        <v>141546.35697756053</v>
      </c>
      <c r="AS147" s="124">
        <f t="shared" si="327"/>
        <v>104</v>
      </c>
      <c r="AT147" s="130">
        <f t="shared" si="328"/>
        <v>4.4999999999999998E-2</v>
      </c>
      <c r="AU147" s="127">
        <f t="shared" si="438"/>
        <v>1374</v>
      </c>
      <c r="AV147" s="128">
        <f t="shared" si="439"/>
        <v>137272.6</v>
      </c>
      <c r="AW147" s="128">
        <f t="shared" si="363"/>
        <v>137400</v>
      </c>
      <c r="AX147" s="128">
        <f t="shared" si="358"/>
        <v>137400</v>
      </c>
      <c r="AY147" s="130">
        <f t="shared" si="384"/>
        <v>4.65E-2</v>
      </c>
      <c r="AZ147" s="128">
        <f t="shared" si="385"/>
        <v>137932.42500000002</v>
      </c>
      <c r="BA147" s="128" t="str">
        <f t="shared" si="386"/>
        <v>nie</v>
      </c>
      <c r="BB147" s="128">
        <f t="shared" si="387"/>
        <v>961.8</v>
      </c>
      <c r="BC147" s="128">
        <f t="shared" si="367"/>
        <v>137052.20625000002</v>
      </c>
      <c r="BD147" s="128">
        <f t="shared" si="388"/>
        <v>431.26425000001416</v>
      </c>
      <c r="BE147" s="130">
        <f t="shared" si="264"/>
        <v>4.4999999999999998E-2</v>
      </c>
      <c r="BF147" s="128">
        <f t="shared" si="389"/>
        <v>3546.3921117002906</v>
      </c>
      <c r="BG147" s="128">
        <f t="shared" si="368"/>
        <v>140167.3341117003</v>
      </c>
      <c r="BI147" s="124">
        <f t="shared" si="332"/>
        <v>104</v>
      </c>
      <c r="BJ147" s="130">
        <f t="shared" si="451"/>
        <v>4.3200000000000002E-2</v>
      </c>
      <c r="BK147" s="127">
        <f t="shared" si="440"/>
        <v>1268</v>
      </c>
      <c r="BL147" s="128">
        <f t="shared" si="441"/>
        <v>126673.20000000001</v>
      </c>
      <c r="BM147" s="128">
        <f t="shared" si="349"/>
        <v>126800</v>
      </c>
      <c r="BN147" s="128">
        <f t="shared" si="442"/>
        <v>139530.84679999997</v>
      </c>
      <c r="BO147" s="130">
        <f t="shared" si="390"/>
        <v>4.9000000000000002E-2</v>
      </c>
      <c r="BP147" s="128">
        <f t="shared" si="391"/>
        <v>144088.85446213328</v>
      </c>
      <c r="BQ147" s="128" t="str">
        <f t="shared" si="392"/>
        <v>nie</v>
      </c>
      <c r="BR147" s="128">
        <f t="shared" si="393"/>
        <v>1268</v>
      </c>
      <c r="BS147" s="128">
        <f t="shared" si="364"/>
        <v>139776.89211432796</v>
      </c>
      <c r="BT147" s="128">
        <f t="shared" si="443"/>
        <v>0</v>
      </c>
      <c r="BU147" s="130">
        <f t="shared" si="394"/>
        <v>4.4999999999999998E-2</v>
      </c>
      <c r="BV147" s="128">
        <f t="shared" si="271"/>
        <v>17.401663058686001</v>
      </c>
      <c r="BW147" s="128">
        <f t="shared" si="365"/>
        <v>139794.29377738666</v>
      </c>
      <c r="BY147" s="130">
        <f t="shared" si="360"/>
        <v>2.9000000000000001E-2</v>
      </c>
      <c r="BZ147" s="127">
        <f t="shared" si="444"/>
        <v>1344</v>
      </c>
      <c r="CA147" s="128">
        <f t="shared" si="445"/>
        <v>134279.90000000002</v>
      </c>
      <c r="CB147" s="128">
        <f t="shared" si="366"/>
        <v>134400</v>
      </c>
      <c r="CC147" s="128">
        <f t="shared" si="359"/>
        <v>134400</v>
      </c>
      <c r="CD147" s="130">
        <f t="shared" si="395"/>
        <v>5.2499999999999998E-2</v>
      </c>
      <c r="CE147" s="128">
        <f t="shared" si="396"/>
        <v>139104</v>
      </c>
      <c r="CF147" s="128" t="str">
        <f t="shared" si="397"/>
        <v>nie</v>
      </c>
      <c r="CG147" s="128">
        <f t="shared" si="398"/>
        <v>2688</v>
      </c>
      <c r="CH147" s="128">
        <f t="shared" si="369"/>
        <v>136032.95999999999</v>
      </c>
      <c r="CI147" s="128">
        <f t="shared" si="399"/>
        <v>0</v>
      </c>
      <c r="CJ147" s="130">
        <f t="shared" si="277"/>
        <v>4.4999999999999998E-2</v>
      </c>
      <c r="CK147" s="128">
        <f t="shared" si="400"/>
        <v>21.025350000576033</v>
      </c>
      <c r="CL147" s="128">
        <f t="shared" si="401"/>
        <v>136053.98535000056</v>
      </c>
      <c r="CN147" s="127">
        <f t="shared" si="446"/>
        <v>1000</v>
      </c>
      <c r="CO147" s="128">
        <f t="shared" si="447"/>
        <v>100000</v>
      </c>
      <c r="CP147" s="128">
        <f t="shared" si="342"/>
        <v>100000</v>
      </c>
      <c r="CQ147" s="128">
        <f t="shared" si="448"/>
        <v>147811.69370559536</v>
      </c>
      <c r="CR147" s="130">
        <f t="shared" si="402"/>
        <v>4.9000000000000002E-2</v>
      </c>
      <c r="CS147" s="128">
        <f t="shared" si="403"/>
        <v>152640.20903331146</v>
      </c>
      <c r="CT147" s="128" t="str">
        <f t="shared" si="404"/>
        <v>nie</v>
      </c>
      <c r="CU147" s="128">
        <f t="shared" si="405"/>
        <v>3000</v>
      </c>
      <c r="CV147" s="128">
        <f t="shared" si="406"/>
        <v>140208.56931698229</v>
      </c>
      <c r="CW147" s="128">
        <f t="shared" si="285"/>
        <v>0</v>
      </c>
      <c r="CX147" s="130">
        <f t="shared" si="407"/>
        <v>4.4999999999999998E-2</v>
      </c>
      <c r="CY147" s="128">
        <f t="shared" si="408"/>
        <v>0</v>
      </c>
      <c r="CZ147" s="128">
        <f t="shared" si="409"/>
        <v>140208.56931698229</v>
      </c>
      <c r="DA147" s="20"/>
      <c r="DB147" s="127">
        <f t="shared" si="350"/>
        <v>1274</v>
      </c>
      <c r="DC147" s="128">
        <f t="shared" si="351"/>
        <v>127400</v>
      </c>
      <c r="DD147" s="128">
        <f t="shared" si="344"/>
        <v>127400</v>
      </c>
      <c r="DE147" s="128">
        <f t="shared" si="449"/>
        <v>140926.12169999999</v>
      </c>
      <c r="DF147" s="130">
        <f t="shared" si="410"/>
        <v>4.9000000000000002E-2</v>
      </c>
      <c r="DG147" s="128">
        <f t="shared" si="411"/>
        <v>145529.70834219997</v>
      </c>
      <c r="DH147" s="128" t="str">
        <f t="shared" si="412"/>
        <v>nie</v>
      </c>
      <c r="DI147" s="128">
        <f t="shared" si="413"/>
        <v>2548</v>
      </c>
      <c r="DJ147" s="128">
        <f t="shared" si="355"/>
        <v>140021.18375718198</v>
      </c>
      <c r="DK147" s="128">
        <f t="shared" si="294"/>
        <v>0</v>
      </c>
      <c r="DL147" s="130">
        <f t="shared" si="414"/>
        <v>4.4999999999999998E-2</v>
      </c>
      <c r="DM147" s="128">
        <f t="shared" si="415"/>
        <v>104.49499567881749</v>
      </c>
      <c r="DN147" s="128">
        <f t="shared" si="416"/>
        <v>140125.67875286078</v>
      </c>
      <c r="DP147" s="127">
        <f t="shared" si="352"/>
        <v>1000</v>
      </c>
      <c r="DQ147" s="128">
        <f t="shared" si="353"/>
        <v>100000</v>
      </c>
      <c r="DR147" s="128">
        <f t="shared" si="346"/>
        <v>100000</v>
      </c>
      <c r="DS147" s="128">
        <f t="shared" si="450"/>
        <v>153175.79441885374</v>
      </c>
      <c r="DT147" s="130">
        <f t="shared" si="417"/>
        <v>5.4000000000000006E-2</v>
      </c>
      <c r="DU147" s="128">
        <f t="shared" si="418"/>
        <v>158690.12301793246</v>
      </c>
      <c r="DV147" s="128" t="str">
        <f t="shared" si="419"/>
        <v>nie</v>
      </c>
      <c r="DW147" s="128">
        <f t="shared" si="420"/>
        <v>3000</v>
      </c>
      <c r="DX147" s="128">
        <f t="shared" si="302"/>
        <v>145108.99964452529</v>
      </c>
      <c r="DY147" s="128">
        <f t="shared" si="303"/>
        <v>0</v>
      </c>
      <c r="DZ147" s="130">
        <f t="shared" si="421"/>
        <v>4.4999999999999998E-2</v>
      </c>
      <c r="EA147" s="128">
        <f t="shared" si="422"/>
        <v>0</v>
      </c>
      <c r="EB147" s="128">
        <f t="shared" si="423"/>
        <v>145108.99964452529</v>
      </c>
    </row>
    <row r="148" spans="1:132">
      <c r="A148" s="212"/>
      <c r="B148" s="188">
        <f t="shared" si="424"/>
        <v>104</v>
      </c>
      <c r="C148" s="128">
        <f t="shared" si="425"/>
        <v>141546.35697756053</v>
      </c>
      <c r="D148" s="128">
        <f t="shared" si="426"/>
        <v>140167.3341117003</v>
      </c>
      <c r="E148" s="128">
        <f t="shared" si="427"/>
        <v>139794.29377738666</v>
      </c>
      <c r="F148" s="128">
        <f t="shared" si="428"/>
        <v>136053.98535000056</v>
      </c>
      <c r="G148" s="128">
        <f t="shared" si="429"/>
        <v>140208.56931698229</v>
      </c>
      <c r="H148" s="128">
        <f t="shared" si="430"/>
        <v>140125.67875286078</v>
      </c>
      <c r="I148" s="128">
        <f t="shared" si="431"/>
        <v>145108.99964452529</v>
      </c>
      <c r="J148" s="128">
        <f t="shared" si="432"/>
        <v>137083.65805456223</v>
      </c>
      <c r="K148" s="128">
        <f t="shared" si="433"/>
        <v>128126.5771963595</v>
      </c>
      <c r="M148" s="36"/>
      <c r="N148" s="32">
        <f t="shared" si="434"/>
        <v>104</v>
      </c>
      <c r="O148" s="25">
        <f t="shared" si="318"/>
        <v>0.41546356977560528</v>
      </c>
      <c r="P148" s="25">
        <f t="shared" si="319"/>
        <v>0.40167334111700304</v>
      </c>
      <c r="Q148" s="25">
        <f t="shared" si="320"/>
        <v>0.39794293777386658</v>
      </c>
      <c r="R148" s="25">
        <f t="shared" si="370"/>
        <v>0.3605398535000055</v>
      </c>
      <c r="S148" s="25">
        <f t="shared" si="371"/>
        <v>0.4020856931698229</v>
      </c>
      <c r="T148" s="25">
        <f t="shared" si="372"/>
        <v>0.40125678752860772</v>
      </c>
      <c r="U148" s="25">
        <f t="shared" si="373"/>
        <v>0.45108999644525283</v>
      </c>
      <c r="V148" s="25">
        <f t="shared" si="374"/>
        <v>0.37083658054562219</v>
      </c>
      <c r="W148" s="25">
        <f t="shared" si="375"/>
        <v>0.28126577196359492</v>
      </c>
      <c r="X148" s="36"/>
      <c r="Y148" s="36"/>
      <c r="AA148" s="124">
        <f t="shared" si="321"/>
        <v>105</v>
      </c>
      <c r="AB148" s="128">
        <f t="shared" si="376"/>
        <v>128430.34360730574</v>
      </c>
      <c r="AC148" s="124">
        <f t="shared" si="322"/>
        <v>105</v>
      </c>
      <c r="AD148" s="130">
        <f t="shared" si="435"/>
        <v>4.4999999999999998E-2</v>
      </c>
      <c r="AE148" s="127">
        <f t="shared" si="436"/>
        <v>1387</v>
      </c>
      <c r="AF148" s="128">
        <f t="shared" si="437"/>
        <v>138566.39999999999</v>
      </c>
      <c r="AG148" s="128">
        <f t="shared" si="348"/>
        <v>138700</v>
      </c>
      <c r="AH148" s="128">
        <f t="shared" si="357"/>
        <v>138700</v>
      </c>
      <c r="AI148" s="130">
        <f t="shared" si="377"/>
        <v>4.4999999999999998E-2</v>
      </c>
      <c r="AJ148" s="128">
        <f t="shared" si="378"/>
        <v>139220.125</v>
      </c>
      <c r="AK148" s="128" t="str">
        <f t="shared" si="379"/>
        <v>nie</v>
      </c>
      <c r="AL148" s="128">
        <f t="shared" si="380"/>
        <v>693.5</v>
      </c>
      <c r="AM148" s="128">
        <f t="shared" si="361"/>
        <v>138559.56625</v>
      </c>
      <c r="AN148" s="128">
        <f t="shared" si="381"/>
        <v>421.30125000000004</v>
      </c>
      <c r="AO148" s="130">
        <f t="shared" si="382"/>
        <v>4.4999999999999998E-2</v>
      </c>
      <c r="AP148" s="128">
        <f t="shared" si="383"/>
        <v>3839.7453069423786</v>
      </c>
      <c r="AQ148" s="128">
        <f t="shared" si="362"/>
        <v>141978.01030694239</v>
      </c>
      <c r="AS148" s="124">
        <f t="shared" si="327"/>
        <v>105</v>
      </c>
      <c r="AT148" s="130">
        <f t="shared" si="328"/>
        <v>4.4999999999999998E-2</v>
      </c>
      <c r="AU148" s="127">
        <f t="shared" si="438"/>
        <v>1374</v>
      </c>
      <c r="AV148" s="128">
        <f t="shared" si="439"/>
        <v>137272.6</v>
      </c>
      <c r="AW148" s="128">
        <f t="shared" si="363"/>
        <v>137400</v>
      </c>
      <c r="AX148" s="128">
        <f t="shared" si="358"/>
        <v>137400</v>
      </c>
      <c r="AY148" s="130">
        <f t="shared" si="384"/>
        <v>4.65E-2</v>
      </c>
      <c r="AZ148" s="128">
        <f t="shared" si="385"/>
        <v>137932.42500000002</v>
      </c>
      <c r="BA148" s="128" t="str">
        <f t="shared" si="386"/>
        <v>nie</v>
      </c>
      <c r="BB148" s="128">
        <f t="shared" si="387"/>
        <v>961.8</v>
      </c>
      <c r="BC148" s="128">
        <f t="shared" si="367"/>
        <v>137052.20625000002</v>
      </c>
      <c r="BD148" s="128">
        <f t="shared" si="388"/>
        <v>431.26425000001416</v>
      </c>
      <c r="BE148" s="130">
        <f t="shared" si="264"/>
        <v>4.4999999999999998E-2</v>
      </c>
      <c r="BF148" s="128">
        <f t="shared" si="389"/>
        <v>3988.4285277395948</v>
      </c>
      <c r="BG148" s="128">
        <f t="shared" si="368"/>
        <v>140609.37052773961</v>
      </c>
      <c r="BI148" s="124">
        <f t="shared" si="332"/>
        <v>105</v>
      </c>
      <c r="BJ148" s="130">
        <f t="shared" si="451"/>
        <v>4.3200000000000002E-2</v>
      </c>
      <c r="BK148" s="127">
        <f t="shared" si="440"/>
        <v>1268</v>
      </c>
      <c r="BL148" s="128">
        <f t="shared" si="441"/>
        <v>126673.20000000001</v>
      </c>
      <c r="BM148" s="128">
        <f t="shared" si="349"/>
        <v>126800</v>
      </c>
      <c r="BN148" s="128">
        <f t="shared" si="442"/>
        <v>139530.84679999997</v>
      </c>
      <c r="BO148" s="130">
        <f t="shared" si="390"/>
        <v>4.9000000000000002E-2</v>
      </c>
      <c r="BP148" s="128">
        <f t="shared" si="391"/>
        <v>144658.60541989998</v>
      </c>
      <c r="BQ148" s="128" t="str">
        <f t="shared" si="392"/>
        <v>nie</v>
      </c>
      <c r="BR148" s="128">
        <f t="shared" si="393"/>
        <v>1268</v>
      </c>
      <c r="BS148" s="128">
        <f t="shared" si="364"/>
        <v>140238.39039011899</v>
      </c>
      <c r="BT148" s="128">
        <f t="shared" si="443"/>
        <v>0</v>
      </c>
      <c r="BU148" s="130">
        <f t="shared" si="394"/>
        <v>4.4999999999999998E-2</v>
      </c>
      <c r="BV148" s="128">
        <f t="shared" si="271"/>
        <v>17.454520610226758</v>
      </c>
      <c r="BW148" s="128">
        <f t="shared" si="365"/>
        <v>140255.84491072921</v>
      </c>
      <c r="BY148" s="130">
        <f t="shared" si="360"/>
        <v>2.9000000000000001E-2</v>
      </c>
      <c r="BZ148" s="127">
        <f t="shared" si="444"/>
        <v>1344</v>
      </c>
      <c r="CA148" s="128">
        <f t="shared" si="445"/>
        <v>134279.90000000002</v>
      </c>
      <c r="CB148" s="128">
        <f t="shared" si="366"/>
        <v>134400</v>
      </c>
      <c r="CC148" s="128">
        <f t="shared" si="359"/>
        <v>134400</v>
      </c>
      <c r="CD148" s="130">
        <f t="shared" si="395"/>
        <v>5.2499999999999998E-2</v>
      </c>
      <c r="CE148" s="128">
        <f t="shared" si="396"/>
        <v>139692</v>
      </c>
      <c r="CF148" s="128" t="str">
        <f t="shared" si="397"/>
        <v>nie</v>
      </c>
      <c r="CG148" s="128">
        <f t="shared" si="398"/>
        <v>2688</v>
      </c>
      <c r="CH148" s="128">
        <f t="shared" si="369"/>
        <v>136509.24</v>
      </c>
      <c r="CI148" s="128">
        <f t="shared" si="399"/>
        <v>0</v>
      </c>
      <c r="CJ148" s="130">
        <f t="shared" si="277"/>
        <v>4.4999999999999998E-2</v>
      </c>
      <c r="CK148" s="128">
        <f t="shared" si="400"/>
        <v>21.089214501202783</v>
      </c>
      <c r="CL148" s="128">
        <f t="shared" si="401"/>
        <v>136530.32921450119</v>
      </c>
      <c r="CN148" s="127">
        <f t="shared" si="446"/>
        <v>1000</v>
      </c>
      <c r="CO148" s="128">
        <f t="shared" si="447"/>
        <v>100000</v>
      </c>
      <c r="CP148" s="128">
        <f t="shared" si="342"/>
        <v>100000</v>
      </c>
      <c r="CQ148" s="128">
        <f t="shared" si="448"/>
        <v>147811.69370559536</v>
      </c>
      <c r="CR148" s="130">
        <f t="shared" si="402"/>
        <v>4.9000000000000002E-2</v>
      </c>
      <c r="CS148" s="128">
        <f t="shared" si="403"/>
        <v>153243.77344927599</v>
      </c>
      <c r="CT148" s="128" t="str">
        <f t="shared" si="404"/>
        <v>nie</v>
      </c>
      <c r="CU148" s="128">
        <f t="shared" si="405"/>
        <v>3000</v>
      </c>
      <c r="CV148" s="128">
        <f t="shared" si="406"/>
        <v>140697.45649391355</v>
      </c>
      <c r="CW148" s="128">
        <f t="shared" si="285"/>
        <v>0</v>
      </c>
      <c r="CX148" s="130">
        <f t="shared" si="407"/>
        <v>4.4999999999999998E-2</v>
      </c>
      <c r="CY148" s="128">
        <f t="shared" si="408"/>
        <v>0</v>
      </c>
      <c r="CZ148" s="128">
        <f t="shared" si="409"/>
        <v>140697.45649391355</v>
      </c>
      <c r="DA148" s="20"/>
      <c r="DB148" s="127">
        <f t="shared" si="350"/>
        <v>1274</v>
      </c>
      <c r="DC148" s="128">
        <f t="shared" si="351"/>
        <v>127400</v>
      </c>
      <c r="DD148" s="128">
        <f t="shared" si="344"/>
        <v>127400</v>
      </c>
      <c r="DE148" s="128">
        <f t="shared" si="449"/>
        <v>140926.12169999999</v>
      </c>
      <c r="DF148" s="130">
        <f t="shared" si="410"/>
        <v>4.9000000000000002E-2</v>
      </c>
      <c r="DG148" s="128">
        <f t="shared" si="411"/>
        <v>146105.15667247499</v>
      </c>
      <c r="DH148" s="128" t="str">
        <f t="shared" si="412"/>
        <v>nie</v>
      </c>
      <c r="DI148" s="128">
        <f t="shared" si="413"/>
        <v>2548</v>
      </c>
      <c r="DJ148" s="128">
        <f t="shared" si="355"/>
        <v>140487.29690470474</v>
      </c>
      <c r="DK148" s="128">
        <f t="shared" si="294"/>
        <v>0</v>
      </c>
      <c r="DL148" s="130">
        <f t="shared" si="414"/>
        <v>4.4999999999999998E-2</v>
      </c>
      <c r="DM148" s="128">
        <f t="shared" si="415"/>
        <v>104.81239922819189</v>
      </c>
      <c r="DN148" s="128">
        <f t="shared" si="416"/>
        <v>140592.10930393293</v>
      </c>
      <c r="DP148" s="127">
        <f t="shared" si="352"/>
        <v>1000</v>
      </c>
      <c r="DQ148" s="128">
        <f t="shared" si="353"/>
        <v>100000</v>
      </c>
      <c r="DR148" s="128">
        <f t="shared" si="346"/>
        <v>100000</v>
      </c>
      <c r="DS148" s="128">
        <f t="shared" si="450"/>
        <v>153175.79441885374</v>
      </c>
      <c r="DT148" s="130">
        <f t="shared" si="417"/>
        <v>5.4000000000000006E-2</v>
      </c>
      <c r="DU148" s="128">
        <f t="shared" si="418"/>
        <v>159379.41409281731</v>
      </c>
      <c r="DV148" s="128" t="str">
        <f t="shared" si="419"/>
        <v>nie</v>
      </c>
      <c r="DW148" s="128">
        <f t="shared" si="420"/>
        <v>3000</v>
      </c>
      <c r="DX148" s="128">
        <f t="shared" si="302"/>
        <v>145667.32541518201</v>
      </c>
      <c r="DY148" s="128">
        <f t="shared" si="303"/>
        <v>0</v>
      </c>
      <c r="DZ148" s="130">
        <f t="shared" si="421"/>
        <v>4.4999999999999998E-2</v>
      </c>
      <c r="EA148" s="128">
        <f t="shared" si="422"/>
        <v>0</v>
      </c>
      <c r="EB148" s="128">
        <f t="shared" si="423"/>
        <v>145667.32541518201</v>
      </c>
    </row>
    <row r="149" spans="1:132">
      <c r="A149" s="212"/>
      <c r="B149" s="188">
        <f t="shared" si="424"/>
        <v>105</v>
      </c>
      <c r="C149" s="128">
        <f t="shared" si="425"/>
        <v>141978.01030694239</v>
      </c>
      <c r="D149" s="128">
        <f t="shared" si="426"/>
        <v>140609.37052773961</v>
      </c>
      <c r="E149" s="128">
        <f t="shared" si="427"/>
        <v>140255.84491072921</v>
      </c>
      <c r="F149" s="128">
        <f t="shared" si="428"/>
        <v>136530.32921450119</v>
      </c>
      <c r="G149" s="128">
        <f t="shared" si="429"/>
        <v>140697.45649391355</v>
      </c>
      <c r="H149" s="128">
        <f t="shared" si="430"/>
        <v>140592.10930393293</v>
      </c>
      <c r="I149" s="128">
        <f t="shared" si="431"/>
        <v>145667.32541518201</v>
      </c>
      <c r="J149" s="128">
        <f t="shared" si="432"/>
        <v>137500.04966590297</v>
      </c>
      <c r="K149" s="128">
        <f t="shared" si="433"/>
        <v>128430.34360730574</v>
      </c>
      <c r="M149" s="36"/>
      <c r="N149" s="32">
        <f t="shared" si="434"/>
        <v>105</v>
      </c>
      <c r="O149" s="25">
        <f t="shared" si="318"/>
        <v>0.41978010306942393</v>
      </c>
      <c r="P149" s="25">
        <f t="shared" si="319"/>
        <v>0.40609370527739608</v>
      </c>
      <c r="Q149" s="25">
        <f t="shared" si="320"/>
        <v>0.40255844910729222</v>
      </c>
      <c r="R149" s="25">
        <f t="shared" si="370"/>
        <v>0.36530329214501189</v>
      </c>
      <c r="S149" s="25">
        <f t="shared" si="371"/>
        <v>0.40697456493913542</v>
      </c>
      <c r="T149" s="25">
        <f t="shared" si="372"/>
        <v>0.40592109303932933</v>
      </c>
      <c r="U149" s="25">
        <f t="shared" si="373"/>
        <v>0.45667325415182014</v>
      </c>
      <c r="V149" s="25">
        <f t="shared" si="374"/>
        <v>0.37500049665902968</v>
      </c>
      <c r="W149" s="25">
        <f t="shared" si="375"/>
        <v>0.28430343607305741</v>
      </c>
      <c r="X149" s="36"/>
      <c r="Y149" s="36"/>
      <c r="AA149" s="124">
        <f t="shared" si="321"/>
        <v>106</v>
      </c>
      <c r="AB149" s="128">
        <f t="shared" si="376"/>
        <v>128734.11001825199</v>
      </c>
      <c r="AC149" s="124">
        <f t="shared" si="322"/>
        <v>106</v>
      </c>
      <c r="AD149" s="130">
        <f t="shared" si="435"/>
        <v>4.4999999999999998E-2</v>
      </c>
      <c r="AE149" s="127">
        <f t="shared" si="436"/>
        <v>1387</v>
      </c>
      <c r="AF149" s="128">
        <f t="shared" si="437"/>
        <v>138566.39999999999</v>
      </c>
      <c r="AG149" s="128">
        <f t="shared" si="348"/>
        <v>138700</v>
      </c>
      <c r="AH149" s="128">
        <f t="shared" si="357"/>
        <v>138700</v>
      </c>
      <c r="AI149" s="130">
        <f t="shared" si="377"/>
        <v>4.4999999999999998E-2</v>
      </c>
      <c r="AJ149" s="128">
        <f t="shared" si="378"/>
        <v>139220.125</v>
      </c>
      <c r="AK149" s="128" t="str">
        <f t="shared" si="379"/>
        <v>nie</v>
      </c>
      <c r="AL149" s="128">
        <f t="shared" si="380"/>
        <v>693.5</v>
      </c>
      <c r="AM149" s="128">
        <f t="shared" si="361"/>
        <v>138559.56625</v>
      </c>
      <c r="AN149" s="128">
        <f t="shared" si="381"/>
        <v>421.30125000000004</v>
      </c>
      <c r="AO149" s="130">
        <f t="shared" si="382"/>
        <v>4.4999999999999998E-2</v>
      </c>
      <c r="AP149" s="128">
        <f t="shared" si="383"/>
        <v>4272.7097833122161</v>
      </c>
      <c r="AQ149" s="128">
        <f t="shared" si="362"/>
        <v>142410.97478331221</v>
      </c>
      <c r="AS149" s="124">
        <f t="shared" si="327"/>
        <v>106</v>
      </c>
      <c r="AT149" s="130">
        <f t="shared" si="328"/>
        <v>4.4999999999999998E-2</v>
      </c>
      <c r="AU149" s="127">
        <f t="shared" si="438"/>
        <v>1374</v>
      </c>
      <c r="AV149" s="128">
        <f t="shared" si="439"/>
        <v>137272.6</v>
      </c>
      <c r="AW149" s="128">
        <f t="shared" si="363"/>
        <v>137400</v>
      </c>
      <c r="AX149" s="128">
        <f t="shared" si="358"/>
        <v>137400</v>
      </c>
      <c r="AY149" s="130">
        <f t="shared" si="384"/>
        <v>4.65E-2</v>
      </c>
      <c r="AZ149" s="128">
        <f t="shared" si="385"/>
        <v>137932.42500000002</v>
      </c>
      <c r="BA149" s="128" t="str">
        <f t="shared" si="386"/>
        <v>nie</v>
      </c>
      <c r="BB149" s="128">
        <f t="shared" si="387"/>
        <v>961.8</v>
      </c>
      <c r="BC149" s="128">
        <f t="shared" si="367"/>
        <v>137052.20625000002</v>
      </c>
      <c r="BD149" s="128">
        <f t="shared" si="388"/>
        <v>431.26425000001416</v>
      </c>
      <c r="BE149" s="130">
        <f t="shared" si="264"/>
        <v>4.4999999999999998E-2</v>
      </c>
      <c r="BF149" s="128">
        <f t="shared" si="389"/>
        <v>4431.8076293926179</v>
      </c>
      <c r="BG149" s="128">
        <f t="shared" si="368"/>
        <v>141052.74962939261</v>
      </c>
      <c r="BI149" s="124">
        <f t="shared" si="332"/>
        <v>106</v>
      </c>
      <c r="BJ149" s="130">
        <f t="shared" si="451"/>
        <v>4.3200000000000002E-2</v>
      </c>
      <c r="BK149" s="127">
        <f t="shared" si="440"/>
        <v>1268</v>
      </c>
      <c r="BL149" s="128">
        <f t="shared" si="441"/>
        <v>126673.20000000001</v>
      </c>
      <c r="BM149" s="128">
        <f t="shared" si="349"/>
        <v>126800</v>
      </c>
      <c r="BN149" s="128">
        <f t="shared" si="442"/>
        <v>139530.84679999997</v>
      </c>
      <c r="BO149" s="130">
        <f t="shared" si="390"/>
        <v>4.9000000000000002E-2</v>
      </c>
      <c r="BP149" s="128">
        <f t="shared" si="391"/>
        <v>145228.35637766664</v>
      </c>
      <c r="BQ149" s="128" t="str">
        <f t="shared" si="392"/>
        <v>nie</v>
      </c>
      <c r="BR149" s="128">
        <f t="shared" si="393"/>
        <v>1268</v>
      </c>
      <c r="BS149" s="128">
        <f t="shared" si="364"/>
        <v>140699.88866590997</v>
      </c>
      <c r="BT149" s="128">
        <f t="shared" si="443"/>
        <v>0</v>
      </c>
      <c r="BU149" s="130">
        <f t="shared" si="394"/>
        <v>4.4999999999999998E-2</v>
      </c>
      <c r="BV149" s="128">
        <f t="shared" si="271"/>
        <v>17.507538716580324</v>
      </c>
      <c r="BW149" s="128">
        <f t="shared" si="365"/>
        <v>140717.39620462654</v>
      </c>
      <c r="BY149" s="130">
        <f t="shared" si="360"/>
        <v>2.9000000000000001E-2</v>
      </c>
      <c r="BZ149" s="127">
        <f t="shared" si="444"/>
        <v>1344</v>
      </c>
      <c r="CA149" s="128">
        <f t="shared" si="445"/>
        <v>134279.90000000002</v>
      </c>
      <c r="CB149" s="128">
        <f t="shared" si="366"/>
        <v>134400</v>
      </c>
      <c r="CC149" s="128">
        <f t="shared" si="359"/>
        <v>134400</v>
      </c>
      <c r="CD149" s="130">
        <f t="shared" si="395"/>
        <v>5.2499999999999998E-2</v>
      </c>
      <c r="CE149" s="128">
        <f t="shared" si="396"/>
        <v>140280</v>
      </c>
      <c r="CF149" s="128" t="str">
        <f t="shared" si="397"/>
        <v>nie</v>
      </c>
      <c r="CG149" s="128">
        <f t="shared" si="398"/>
        <v>2688</v>
      </c>
      <c r="CH149" s="128">
        <f t="shared" si="369"/>
        <v>136985.51999999999</v>
      </c>
      <c r="CI149" s="128">
        <f t="shared" si="399"/>
        <v>0</v>
      </c>
      <c r="CJ149" s="130">
        <f t="shared" si="277"/>
        <v>4.4999999999999998E-2</v>
      </c>
      <c r="CK149" s="128">
        <f t="shared" si="400"/>
        <v>21.153272990250187</v>
      </c>
      <c r="CL149" s="128">
        <f t="shared" si="401"/>
        <v>137006.67327299024</v>
      </c>
      <c r="CN149" s="127">
        <f t="shared" si="446"/>
        <v>1000</v>
      </c>
      <c r="CO149" s="128">
        <f t="shared" si="447"/>
        <v>100000</v>
      </c>
      <c r="CP149" s="128">
        <f t="shared" si="342"/>
        <v>100000</v>
      </c>
      <c r="CQ149" s="128">
        <f t="shared" si="448"/>
        <v>147811.69370559536</v>
      </c>
      <c r="CR149" s="130">
        <f t="shared" si="402"/>
        <v>4.9000000000000002E-2</v>
      </c>
      <c r="CS149" s="128">
        <f t="shared" si="403"/>
        <v>153847.33786524049</v>
      </c>
      <c r="CT149" s="128" t="str">
        <f t="shared" si="404"/>
        <v>nie</v>
      </c>
      <c r="CU149" s="128">
        <f t="shared" si="405"/>
        <v>3000</v>
      </c>
      <c r="CV149" s="128">
        <f t="shared" si="406"/>
        <v>141186.3436708448</v>
      </c>
      <c r="CW149" s="128">
        <f t="shared" si="285"/>
        <v>0</v>
      </c>
      <c r="CX149" s="130">
        <f t="shared" si="407"/>
        <v>4.4999999999999998E-2</v>
      </c>
      <c r="CY149" s="128">
        <f t="shared" si="408"/>
        <v>0</v>
      </c>
      <c r="CZ149" s="128">
        <f t="shared" si="409"/>
        <v>141186.3436708448</v>
      </c>
      <c r="DA149" s="20"/>
      <c r="DB149" s="127">
        <f t="shared" si="350"/>
        <v>1274</v>
      </c>
      <c r="DC149" s="128">
        <f t="shared" si="351"/>
        <v>127400</v>
      </c>
      <c r="DD149" s="128">
        <f t="shared" si="344"/>
        <v>127400</v>
      </c>
      <c r="DE149" s="128">
        <f t="shared" si="449"/>
        <v>140926.12169999999</v>
      </c>
      <c r="DF149" s="130">
        <f t="shared" si="410"/>
        <v>4.9000000000000002E-2</v>
      </c>
      <c r="DG149" s="128">
        <f t="shared" si="411"/>
        <v>146680.60500274997</v>
      </c>
      <c r="DH149" s="128" t="str">
        <f t="shared" si="412"/>
        <v>nie</v>
      </c>
      <c r="DI149" s="128">
        <f t="shared" si="413"/>
        <v>2548</v>
      </c>
      <c r="DJ149" s="128">
        <f t="shared" si="355"/>
        <v>140953.41005222747</v>
      </c>
      <c r="DK149" s="128">
        <f t="shared" si="294"/>
        <v>0</v>
      </c>
      <c r="DL149" s="130">
        <f t="shared" si="414"/>
        <v>4.4999999999999998E-2</v>
      </c>
      <c r="DM149" s="128">
        <f t="shared" si="415"/>
        <v>105.13076689084753</v>
      </c>
      <c r="DN149" s="128">
        <f t="shared" si="416"/>
        <v>141058.54081911832</v>
      </c>
      <c r="DP149" s="127">
        <f t="shared" si="352"/>
        <v>1000</v>
      </c>
      <c r="DQ149" s="128">
        <f t="shared" si="353"/>
        <v>100000</v>
      </c>
      <c r="DR149" s="128">
        <f t="shared" si="346"/>
        <v>100000</v>
      </c>
      <c r="DS149" s="128">
        <f t="shared" si="450"/>
        <v>153175.79441885374</v>
      </c>
      <c r="DT149" s="130">
        <f t="shared" si="417"/>
        <v>5.4000000000000006E-2</v>
      </c>
      <c r="DU149" s="128">
        <f t="shared" si="418"/>
        <v>160068.70516770214</v>
      </c>
      <c r="DV149" s="128" t="str">
        <f t="shared" si="419"/>
        <v>nie</v>
      </c>
      <c r="DW149" s="128">
        <f t="shared" si="420"/>
        <v>3000</v>
      </c>
      <c r="DX149" s="128">
        <f t="shared" si="302"/>
        <v>146225.65118583874</v>
      </c>
      <c r="DY149" s="128">
        <f t="shared" si="303"/>
        <v>0</v>
      </c>
      <c r="DZ149" s="130">
        <f t="shared" si="421"/>
        <v>4.4999999999999998E-2</v>
      </c>
      <c r="EA149" s="128">
        <f t="shared" si="422"/>
        <v>0</v>
      </c>
      <c r="EB149" s="128">
        <f t="shared" si="423"/>
        <v>146225.65118583874</v>
      </c>
    </row>
    <row r="150" spans="1:132">
      <c r="A150" s="212"/>
      <c r="B150" s="188">
        <f t="shared" si="424"/>
        <v>106</v>
      </c>
      <c r="C150" s="128">
        <f t="shared" si="425"/>
        <v>142410.97478331221</v>
      </c>
      <c r="D150" s="128">
        <f t="shared" si="426"/>
        <v>141052.74962939261</v>
      </c>
      <c r="E150" s="128">
        <f t="shared" si="427"/>
        <v>140717.39620462654</v>
      </c>
      <c r="F150" s="128">
        <f t="shared" si="428"/>
        <v>137006.67327299024</v>
      </c>
      <c r="G150" s="128">
        <f t="shared" si="429"/>
        <v>141186.3436708448</v>
      </c>
      <c r="H150" s="128">
        <f t="shared" si="430"/>
        <v>141058.54081911832</v>
      </c>
      <c r="I150" s="128">
        <f t="shared" si="431"/>
        <v>146225.65118583874</v>
      </c>
      <c r="J150" s="128">
        <f t="shared" si="432"/>
        <v>137917.70606676314</v>
      </c>
      <c r="K150" s="128">
        <f t="shared" si="433"/>
        <v>128734.11001825199</v>
      </c>
      <c r="M150" s="36"/>
      <c r="N150" s="32">
        <f t="shared" si="434"/>
        <v>106</v>
      </c>
      <c r="O150" s="25">
        <f t="shared" si="318"/>
        <v>0.42410974783312216</v>
      </c>
      <c r="P150" s="25">
        <f t="shared" si="319"/>
        <v>0.41052749629392604</v>
      </c>
      <c r="Q150" s="25">
        <f t="shared" si="320"/>
        <v>0.40717396204626533</v>
      </c>
      <c r="R150" s="25">
        <f t="shared" si="370"/>
        <v>0.37006673272990254</v>
      </c>
      <c r="S150" s="25">
        <f t="shared" si="371"/>
        <v>0.41186343670844794</v>
      </c>
      <c r="T150" s="25">
        <f t="shared" si="372"/>
        <v>0.41058540819118328</v>
      </c>
      <c r="U150" s="25">
        <f t="shared" si="373"/>
        <v>0.46225651185838745</v>
      </c>
      <c r="V150" s="25">
        <f t="shared" si="374"/>
        <v>0.37917706066763146</v>
      </c>
      <c r="W150" s="25">
        <f t="shared" si="375"/>
        <v>0.2873411001825199</v>
      </c>
      <c r="X150" s="36"/>
      <c r="Y150" s="36"/>
      <c r="AA150" s="124">
        <f t="shared" si="321"/>
        <v>107</v>
      </c>
      <c r="AB150" s="128">
        <f t="shared" si="376"/>
        <v>129037.87642919824</v>
      </c>
      <c r="AC150" s="124">
        <f t="shared" si="322"/>
        <v>107</v>
      </c>
      <c r="AD150" s="130">
        <f t="shared" si="435"/>
        <v>4.4999999999999998E-2</v>
      </c>
      <c r="AE150" s="127">
        <f t="shared" si="436"/>
        <v>1387</v>
      </c>
      <c r="AF150" s="128">
        <f t="shared" si="437"/>
        <v>138566.39999999999</v>
      </c>
      <c r="AG150" s="128">
        <f t="shared" si="348"/>
        <v>138700</v>
      </c>
      <c r="AH150" s="128">
        <f t="shared" si="357"/>
        <v>138700</v>
      </c>
      <c r="AI150" s="130">
        <f t="shared" si="377"/>
        <v>4.4999999999999998E-2</v>
      </c>
      <c r="AJ150" s="128">
        <f t="shared" si="378"/>
        <v>139220.125</v>
      </c>
      <c r="AK150" s="128" t="str">
        <f t="shared" si="379"/>
        <v>nie</v>
      </c>
      <c r="AL150" s="128">
        <f t="shared" si="380"/>
        <v>693.5</v>
      </c>
      <c r="AM150" s="128">
        <f t="shared" si="361"/>
        <v>138559.56625</v>
      </c>
      <c r="AN150" s="128">
        <f t="shared" si="381"/>
        <v>421.30125000000004</v>
      </c>
      <c r="AO150" s="130">
        <f t="shared" si="382"/>
        <v>4.4999999999999998E-2</v>
      </c>
      <c r="AP150" s="128">
        <f t="shared" si="383"/>
        <v>4706.9893892790278</v>
      </c>
      <c r="AQ150" s="128">
        <f t="shared" si="362"/>
        <v>142845.25438927903</v>
      </c>
      <c r="AS150" s="124">
        <f t="shared" si="327"/>
        <v>107</v>
      </c>
      <c r="AT150" s="130">
        <f t="shared" si="328"/>
        <v>4.4999999999999998E-2</v>
      </c>
      <c r="AU150" s="127">
        <f t="shared" si="438"/>
        <v>1374</v>
      </c>
      <c r="AV150" s="128">
        <f t="shared" si="439"/>
        <v>137272.6</v>
      </c>
      <c r="AW150" s="128">
        <f t="shared" si="363"/>
        <v>137400</v>
      </c>
      <c r="AX150" s="128">
        <f t="shared" si="358"/>
        <v>137400</v>
      </c>
      <c r="AY150" s="130">
        <f t="shared" si="384"/>
        <v>4.65E-2</v>
      </c>
      <c r="AZ150" s="128">
        <f t="shared" si="385"/>
        <v>137932.42500000002</v>
      </c>
      <c r="BA150" s="128" t="str">
        <f t="shared" si="386"/>
        <v>nie</v>
      </c>
      <c r="BB150" s="128">
        <f t="shared" si="387"/>
        <v>961.8</v>
      </c>
      <c r="BC150" s="128">
        <f t="shared" si="367"/>
        <v>137052.20625000002</v>
      </c>
      <c r="BD150" s="128">
        <f t="shared" si="388"/>
        <v>431.26425000001416</v>
      </c>
      <c r="BE150" s="130">
        <f t="shared" si="264"/>
        <v>4.4999999999999998E-2</v>
      </c>
      <c r="BF150" s="128">
        <f t="shared" si="389"/>
        <v>4876.5334950669121</v>
      </c>
      <c r="BG150" s="128">
        <f t="shared" si="368"/>
        <v>141497.4754950669</v>
      </c>
      <c r="BI150" s="124">
        <f t="shared" si="332"/>
        <v>107</v>
      </c>
      <c r="BJ150" s="130">
        <f t="shared" si="451"/>
        <v>4.3200000000000002E-2</v>
      </c>
      <c r="BK150" s="127">
        <f t="shared" si="440"/>
        <v>1268</v>
      </c>
      <c r="BL150" s="128">
        <f t="shared" si="441"/>
        <v>126673.20000000001</v>
      </c>
      <c r="BM150" s="128">
        <f t="shared" si="349"/>
        <v>126800</v>
      </c>
      <c r="BN150" s="128">
        <f t="shared" si="442"/>
        <v>139530.84679999997</v>
      </c>
      <c r="BO150" s="130">
        <f t="shared" si="390"/>
        <v>4.9000000000000002E-2</v>
      </c>
      <c r="BP150" s="128">
        <f t="shared" si="391"/>
        <v>145798.10733543331</v>
      </c>
      <c r="BQ150" s="128" t="str">
        <f t="shared" si="392"/>
        <v>nie</v>
      </c>
      <c r="BR150" s="128">
        <f t="shared" si="393"/>
        <v>1268</v>
      </c>
      <c r="BS150" s="128">
        <f t="shared" si="364"/>
        <v>141161.38694170097</v>
      </c>
      <c r="BT150" s="128">
        <f t="shared" si="443"/>
        <v>0</v>
      </c>
      <c r="BU150" s="130">
        <f t="shared" si="394"/>
        <v>4.4999999999999998E-2</v>
      </c>
      <c r="BV150" s="128">
        <f t="shared" si="271"/>
        <v>17.560717865431936</v>
      </c>
      <c r="BW150" s="128">
        <f t="shared" si="365"/>
        <v>141178.94765956642</v>
      </c>
      <c r="BY150" s="130">
        <f t="shared" si="360"/>
        <v>2.9000000000000001E-2</v>
      </c>
      <c r="BZ150" s="127">
        <f t="shared" si="444"/>
        <v>1344</v>
      </c>
      <c r="CA150" s="128">
        <f t="shared" si="445"/>
        <v>134279.90000000002</v>
      </c>
      <c r="CB150" s="128">
        <f t="shared" si="366"/>
        <v>134400</v>
      </c>
      <c r="CC150" s="128">
        <f t="shared" si="359"/>
        <v>134400</v>
      </c>
      <c r="CD150" s="130">
        <f t="shared" si="395"/>
        <v>5.2499999999999998E-2</v>
      </c>
      <c r="CE150" s="128">
        <f t="shared" si="396"/>
        <v>140868</v>
      </c>
      <c r="CF150" s="128" t="str">
        <f t="shared" si="397"/>
        <v>nie</v>
      </c>
      <c r="CG150" s="128">
        <f t="shared" si="398"/>
        <v>2688</v>
      </c>
      <c r="CH150" s="128">
        <f t="shared" si="369"/>
        <v>137461.79999999999</v>
      </c>
      <c r="CI150" s="128">
        <f t="shared" si="399"/>
        <v>0</v>
      </c>
      <c r="CJ150" s="130">
        <f t="shared" si="277"/>
        <v>4.4999999999999998E-2</v>
      </c>
      <c r="CK150" s="128">
        <f t="shared" si="400"/>
        <v>21.217526056958071</v>
      </c>
      <c r="CL150" s="128">
        <f t="shared" si="401"/>
        <v>137483.01752605694</v>
      </c>
      <c r="CN150" s="127">
        <f t="shared" si="446"/>
        <v>1000</v>
      </c>
      <c r="CO150" s="128">
        <f t="shared" si="447"/>
        <v>100000</v>
      </c>
      <c r="CP150" s="128">
        <f t="shared" si="342"/>
        <v>100000</v>
      </c>
      <c r="CQ150" s="128">
        <f t="shared" si="448"/>
        <v>147811.69370559536</v>
      </c>
      <c r="CR150" s="130">
        <f t="shared" si="402"/>
        <v>4.9000000000000002E-2</v>
      </c>
      <c r="CS150" s="128">
        <f t="shared" si="403"/>
        <v>154450.90228120502</v>
      </c>
      <c r="CT150" s="128" t="str">
        <f t="shared" si="404"/>
        <v>nie</v>
      </c>
      <c r="CU150" s="128">
        <f t="shared" si="405"/>
        <v>3000</v>
      </c>
      <c r="CV150" s="128">
        <f t="shared" si="406"/>
        <v>141675.23084777608</v>
      </c>
      <c r="CW150" s="128">
        <f t="shared" si="285"/>
        <v>0</v>
      </c>
      <c r="CX150" s="130">
        <f t="shared" si="407"/>
        <v>4.4999999999999998E-2</v>
      </c>
      <c r="CY150" s="128">
        <f t="shared" si="408"/>
        <v>0</v>
      </c>
      <c r="CZ150" s="128">
        <f t="shared" si="409"/>
        <v>141675.23084777608</v>
      </c>
      <c r="DA150" s="20"/>
      <c r="DB150" s="127">
        <f t="shared" si="350"/>
        <v>1274</v>
      </c>
      <c r="DC150" s="128">
        <f t="shared" si="351"/>
        <v>127400</v>
      </c>
      <c r="DD150" s="128">
        <f t="shared" si="344"/>
        <v>127400</v>
      </c>
      <c r="DE150" s="128">
        <f t="shared" si="449"/>
        <v>140926.12169999999</v>
      </c>
      <c r="DF150" s="130">
        <f t="shared" si="410"/>
        <v>4.9000000000000002E-2</v>
      </c>
      <c r="DG150" s="128">
        <f t="shared" si="411"/>
        <v>147256.05333302499</v>
      </c>
      <c r="DH150" s="128" t="str">
        <f t="shared" si="412"/>
        <v>nie</v>
      </c>
      <c r="DI150" s="128">
        <f t="shared" si="413"/>
        <v>2548</v>
      </c>
      <c r="DJ150" s="128">
        <f t="shared" si="355"/>
        <v>141419.52319975023</v>
      </c>
      <c r="DK150" s="128">
        <f t="shared" si="294"/>
        <v>0</v>
      </c>
      <c r="DL150" s="130">
        <f t="shared" si="414"/>
        <v>4.4999999999999998E-2</v>
      </c>
      <c r="DM150" s="128">
        <f t="shared" si="415"/>
        <v>105.45010159527848</v>
      </c>
      <c r="DN150" s="128">
        <f t="shared" si="416"/>
        <v>141524.97330134551</v>
      </c>
      <c r="DP150" s="127">
        <f t="shared" si="352"/>
        <v>1000</v>
      </c>
      <c r="DQ150" s="128">
        <f t="shared" si="353"/>
        <v>100000</v>
      </c>
      <c r="DR150" s="128">
        <f t="shared" si="346"/>
        <v>100000</v>
      </c>
      <c r="DS150" s="128">
        <f t="shared" si="450"/>
        <v>153175.79441885374</v>
      </c>
      <c r="DT150" s="130">
        <f t="shared" si="417"/>
        <v>5.4000000000000006E-2</v>
      </c>
      <c r="DU150" s="128">
        <f t="shared" si="418"/>
        <v>160757.99624258702</v>
      </c>
      <c r="DV150" s="128" t="str">
        <f t="shared" si="419"/>
        <v>nie</v>
      </c>
      <c r="DW150" s="128">
        <f t="shared" si="420"/>
        <v>3000</v>
      </c>
      <c r="DX150" s="128">
        <f t="shared" si="302"/>
        <v>146783.97695649549</v>
      </c>
      <c r="DY150" s="128">
        <f t="shared" si="303"/>
        <v>0</v>
      </c>
      <c r="DZ150" s="130">
        <f t="shared" si="421"/>
        <v>4.4999999999999998E-2</v>
      </c>
      <c r="EA150" s="128">
        <f t="shared" si="422"/>
        <v>0</v>
      </c>
      <c r="EB150" s="128">
        <f t="shared" si="423"/>
        <v>146783.97695649549</v>
      </c>
    </row>
    <row r="151" spans="1:132" ht="14.25" customHeight="1">
      <c r="A151" s="212"/>
      <c r="B151" s="188">
        <f t="shared" si="424"/>
        <v>107</v>
      </c>
      <c r="C151" s="128">
        <f t="shared" si="425"/>
        <v>142845.25438927903</v>
      </c>
      <c r="D151" s="128">
        <f t="shared" si="426"/>
        <v>141497.4754950669</v>
      </c>
      <c r="E151" s="128">
        <f t="shared" si="427"/>
        <v>141178.94765956642</v>
      </c>
      <c r="F151" s="128">
        <f t="shared" si="428"/>
        <v>137483.01752605694</v>
      </c>
      <c r="G151" s="128">
        <f t="shared" si="429"/>
        <v>141675.23084777608</v>
      </c>
      <c r="H151" s="128">
        <f t="shared" si="430"/>
        <v>141524.97330134551</v>
      </c>
      <c r="I151" s="128">
        <f t="shared" si="431"/>
        <v>146783.97695649549</v>
      </c>
      <c r="J151" s="128">
        <f t="shared" si="432"/>
        <v>138336.63109894094</v>
      </c>
      <c r="K151" s="128">
        <f t="shared" si="433"/>
        <v>129037.87642919824</v>
      </c>
      <c r="M151" s="36"/>
      <c r="N151" s="32">
        <f t="shared" si="434"/>
        <v>107</v>
      </c>
      <c r="O151" s="25">
        <f t="shared" si="318"/>
        <v>0.42845254389279019</v>
      </c>
      <c r="P151" s="25">
        <f t="shared" si="319"/>
        <v>0.41497475495066904</v>
      </c>
      <c r="Q151" s="25">
        <f t="shared" si="320"/>
        <v>0.41178947659566423</v>
      </c>
      <c r="R151" s="25">
        <f t="shared" si="370"/>
        <v>0.37483017526056939</v>
      </c>
      <c r="S151" s="25">
        <f t="shared" si="371"/>
        <v>0.4167523084777609</v>
      </c>
      <c r="T151" s="25">
        <f t="shared" si="372"/>
        <v>0.41524973301345502</v>
      </c>
      <c r="U151" s="25">
        <f t="shared" si="373"/>
        <v>0.46783976956495499</v>
      </c>
      <c r="V151" s="25">
        <f t="shared" si="374"/>
        <v>0.38336631098940943</v>
      </c>
      <c r="W151" s="25">
        <f t="shared" si="375"/>
        <v>0.29037876429198239</v>
      </c>
      <c r="X151" s="36"/>
      <c r="Y151" s="36"/>
      <c r="AA151" s="124">
        <f t="shared" si="321"/>
        <v>108</v>
      </c>
      <c r="AB151" s="128">
        <f t="shared" si="376"/>
        <v>129341.64284014444</v>
      </c>
      <c r="AC151" s="124">
        <f t="shared" si="322"/>
        <v>108</v>
      </c>
      <c r="AD151" s="130">
        <f t="shared" si="435"/>
        <v>4.4999999999999998E-2</v>
      </c>
      <c r="AE151" s="127">
        <f t="shared" si="436"/>
        <v>1387</v>
      </c>
      <c r="AF151" s="128">
        <f t="shared" si="437"/>
        <v>138566.39999999999</v>
      </c>
      <c r="AG151" s="128">
        <f t="shared" si="348"/>
        <v>138700</v>
      </c>
      <c r="AH151" s="128">
        <f t="shared" si="357"/>
        <v>138700</v>
      </c>
      <c r="AI151" s="130">
        <f t="shared" si="377"/>
        <v>4.4999999999999998E-2</v>
      </c>
      <c r="AJ151" s="128">
        <f t="shared" si="378"/>
        <v>139220.125</v>
      </c>
      <c r="AK151" s="128" t="str">
        <f t="shared" si="379"/>
        <v>tak</v>
      </c>
      <c r="AL151" s="128">
        <f t="shared" si="380"/>
        <v>0</v>
      </c>
      <c r="AM151" s="128">
        <f t="shared" si="361"/>
        <v>139121.30124999999</v>
      </c>
      <c r="AN151" s="128">
        <f t="shared" si="381"/>
        <v>560.60124999999209</v>
      </c>
      <c r="AO151" s="130">
        <f t="shared" si="382"/>
        <v>4.4999999999999998E-2</v>
      </c>
      <c r="AP151" s="128">
        <f t="shared" si="383"/>
        <v>5281.8881195489557</v>
      </c>
      <c r="AQ151" s="128">
        <f t="shared" si="362"/>
        <v>143842.58811954895</v>
      </c>
      <c r="AS151" s="124">
        <f t="shared" si="327"/>
        <v>108</v>
      </c>
      <c r="AT151" s="130">
        <f t="shared" si="328"/>
        <v>4.4999999999999998E-2</v>
      </c>
      <c r="AU151" s="127">
        <f t="shared" si="438"/>
        <v>1374</v>
      </c>
      <c r="AV151" s="128">
        <f t="shared" si="439"/>
        <v>137272.6</v>
      </c>
      <c r="AW151" s="128">
        <f t="shared" si="363"/>
        <v>137400</v>
      </c>
      <c r="AX151" s="128">
        <f t="shared" si="358"/>
        <v>137400</v>
      </c>
      <c r="AY151" s="130">
        <f t="shared" si="384"/>
        <v>4.65E-2</v>
      </c>
      <c r="AZ151" s="128">
        <f t="shared" si="385"/>
        <v>137932.42500000002</v>
      </c>
      <c r="BA151" s="128" t="str">
        <f t="shared" si="386"/>
        <v>nie</v>
      </c>
      <c r="BB151" s="128">
        <f t="shared" si="387"/>
        <v>961.8</v>
      </c>
      <c r="BC151" s="128">
        <f t="shared" si="367"/>
        <v>137052.20625000002</v>
      </c>
      <c r="BD151" s="128">
        <f t="shared" si="388"/>
        <v>431.26425000001416</v>
      </c>
      <c r="BE151" s="130">
        <f t="shared" si="264"/>
        <v>4.4999999999999998E-2</v>
      </c>
      <c r="BF151" s="128">
        <f t="shared" si="389"/>
        <v>5322.6102155581921</v>
      </c>
      <c r="BG151" s="128">
        <f t="shared" si="368"/>
        <v>141943.55221555819</v>
      </c>
      <c r="BI151" s="124">
        <f t="shared" si="332"/>
        <v>108</v>
      </c>
      <c r="BJ151" s="130">
        <f t="shared" si="451"/>
        <v>4.3200000000000002E-2</v>
      </c>
      <c r="BK151" s="127">
        <f t="shared" si="440"/>
        <v>1268</v>
      </c>
      <c r="BL151" s="128">
        <f t="shared" si="441"/>
        <v>126673.20000000001</v>
      </c>
      <c r="BM151" s="128">
        <f t="shared" si="349"/>
        <v>126800</v>
      </c>
      <c r="BN151" s="128">
        <f t="shared" si="442"/>
        <v>139530.84679999997</v>
      </c>
      <c r="BO151" s="130">
        <f t="shared" si="390"/>
        <v>4.9000000000000002E-2</v>
      </c>
      <c r="BP151" s="128">
        <f t="shared" si="391"/>
        <v>146367.85829319997</v>
      </c>
      <c r="BQ151" s="128" t="str">
        <f t="shared" si="392"/>
        <v>tak</v>
      </c>
      <c r="BR151" s="128">
        <f t="shared" si="393"/>
        <v>0</v>
      </c>
      <c r="BS151" s="128">
        <f t="shared" si="364"/>
        <v>142649.96521749196</v>
      </c>
      <c r="BT151" s="128">
        <f t="shared" si="443"/>
        <v>92.665217491943622</v>
      </c>
      <c r="BU151" s="130">
        <f t="shared" si="394"/>
        <v>4.4999999999999998E-2</v>
      </c>
      <c r="BV151" s="128">
        <f t="shared" si="271"/>
        <v>110.2792760378918</v>
      </c>
      <c r="BW151" s="128">
        <f t="shared" si="365"/>
        <v>142667.5792760379</v>
      </c>
      <c r="BY151" s="130">
        <f t="shared" si="360"/>
        <v>2.9000000000000001E-2</v>
      </c>
      <c r="BZ151" s="127">
        <f t="shared" si="444"/>
        <v>1344</v>
      </c>
      <c r="CA151" s="128">
        <f t="shared" si="445"/>
        <v>134279.90000000002</v>
      </c>
      <c r="CB151" s="128">
        <f t="shared" si="366"/>
        <v>134400</v>
      </c>
      <c r="CC151" s="128">
        <f t="shared" si="359"/>
        <v>134400</v>
      </c>
      <c r="CD151" s="130">
        <f t="shared" si="395"/>
        <v>5.2499999999999998E-2</v>
      </c>
      <c r="CE151" s="128">
        <f t="shared" si="396"/>
        <v>141456</v>
      </c>
      <c r="CF151" s="128" t="str">
        <f t="shared" si="397"/>
        <v>nie</v>
      </c>
      <c r="CG151" s="128">
        <f t="shared" si="398"/>
        <v>2688</v>
      </c>
      <c r="CH151" s="128">
        <f t="shared" si="369"/>
        <v>137938.07999999999</v>
      </c>
      <c r="CI151" s="128">
        <f t="shared" si="399"/>
        <v>5715.3600000000006</v>
      </c>
      <c r="CJ151" s="130">
        <f t="shared" si="277"/>
        <v>4.4999999999999998E-2</v>
      </c>
      <c r="CK151" s="128">
        <f t="shared" si="400"/>
        <v>5736.6419742923563</v>
      </c>
      <c r="CL151" s="128">
        <f t="shared" si="401"/>
        <v>137959.36197429235</v>
      </c>
      <c r="CN151" s="127">
        <f t="shared" si="446"/>
        <v>1000</v>
      </c>
      <c r="CO151" s="128">
        <f t="shared" si="447"/>
        <v>100000</v>
      </c>
      <c r="CP151" s="128">
        <f t="shared" si="342"/>
        <v>100000</v>
      </c>
      <c r="CQ151" s="128">
        <f t="shared" si="448"/>
        <v>147811.69370559536</v>
      </c>
      <c r="CR151" s="130">
        <f t="shared" si="402"/>
        <v>4.9000000000000002E-2</v>
      </c>
      <c r="CS151" s="128">
        <f t="shared" si="403"/>
        <v>155054.46669716953</v>
      </c>
      <c r="CT151" s="128" t="str">
        <f t="shared" si="404"/>
        <v>nie</v>
      </c>
      <c r="CU151" s="128">
        <f t="shared" si="405"/>
        <v>3000</v>
      </c>
      <c r="CV151" s="128">
        <f t="shared" si="406"/>
        <v>142164.11802470731</v>
      </c>
      <c r="CW151" s="128">
        <f t="shared" si="285"/>
        <v>0</v>
      </c>
      <c r="CX151" s="130">
        <f t="shared" si="407"/>
        <v>4.4999999999999998E-2</v>
      </c>
      <c r="CY151" s="128">
        <f t="shared" si="408"/>
        <v>0</v>
      </c>
      <c r="CZ151" s="128">
        <f t="shared" si="409"/>
        <v>142164.11802470731</v>
      </c>
      <c r="DA151" s="20"/>
      <c r="DB151" s="127">
        <f t="shared" si="350"/>
        <v>1274</v>
      </c>
      <c r="DC151" s="128">
        <f t="shared" si="351"/>
        <v>127400</v>
      </c>
      <c r="DD151" s="128">
        <f t="shared" si="344"/>
        <v>127400</v>
      </c>
      <c r="DE151" s="128">
        <f t="shared" si="449"/>
        <v>140926.12169999999</v>
      </c>
      <c r="DF151" s="130">
        <f t="shared" si="410"/>
        <v>4.9000000000000002E-2</v>
      </c>
      <c r="DG151" s="128">
        <f t="shared" si="411"/>
        <v>147831.50166329998</v>
      </c>
      <c r="DH151" s="128" t="str">
        <f t="shared" si="412"/>
        <v>nie</v>
      </c>
      <c r="DI151" s="128">
        <f t="shared" si="413"/>
        <v>2548</v>
      </c>
      <c r="DJ151" s="128">
        <f t="shared" si="355"/>
        <v>141885.63634727299</v>
      </c>
      <c r="DK151" s="128">
        <f t="shared" si="294"/>
        <v>0</v>
      </c>
      <c r="DL151" s="130">
        <f t="shared" si="414"/>
        <v>4.4999999999999998E-2</v>
      </c>
      <c r="DM151" s="128">
        <f t="shared" si="415"/>
        <v>105.77040627887415</v>
      </c>
      <c r="DN151" s="128">
        <f t="shared" si="416"/>
        <v>141991.40675355186</v>
      </c>
      <c r="DP151" s="127">
        <f t="shared" si="352"/>
        <v>1000</v>
      </c>
      <c r="DQ151" s="128">
        <f t="shared" si="353"/>
        <v>100000</v>
      </c>
      <c r="DR151" s="128">
        <f t="shared" si="346"/>
        <v>100000</v>
      </c>
      <c r="DS151" s="128">
        <f t="shared" si="450"/>
        <v>153175.79441885374</v>
      </c>
      <c r="DT151" s="130">
        <f t="shared" si="417"/>
        <v>5.4000000000000006E-2</v>
      </c>
      <c r="DU151" s="128">
        <f t="shared" si="418"/>
        <v>161447.28731747184</v>
      </c>
      <c r="DV151" s="128" t="str">
        <f t="shared" si="419"/>
        <v>nie</v>
      </c>
      <c r="DW151" s="128">
        <f t="shared" si="420"/>
        <v>3000</v>
      </c>
      <c r="DX151" s="128">
        <f t="shared" si="302"/>
        <v>147342.30272715219</v>
      </c>
      <c r="DY151" s="128">
        <f t="shared" si="303"/>
        <v>0</v>
      </c>
      <c r="DZ151" s="130">
        <f t="shared" si="421"/>
        <v>4.4999999999999998E-2</v>
      </c>
      <c r="EA151" s="128">
        <f t="shared" si="422"/>
        <v>0</v>
      </c>
      <c r="EB151" s="128">
        <f t="shared" si="423"/>
        <v>147342.30272715219</v>
      </c>
    </row>
    <row r="152" spans="1:132">
      <c r="A152" s="212"/>
      <c r="B152" s="188">
        <f t="shared" si="424"/>
        <v>108</v>
      </c>
      <c r="C152" s="128">
        <f t="shared" si="425"/>
        <v>143842.58811954895</v>
      </c>
      <c r="D152" s="128">
        <f t="shared" si="426"/>
        <v>141943.55221555819</v>
      </c>
      <c r="E152" s="128">
        <f t="shared" si="427"/>
        <v>142667.5792760379</v>
      </c>
      <c r="F152" s="128">
        <f t="shared" si="428"/>
        <v>137959.36197429235</v>
      </c>
      <c r="G152" s="128">
        <f t="shared" si="429"/>
        <v>142164.11802470731</v>
      </c>
      <c r="H152" s="128">
        <f t="shared" si="430"/>
        <v>141991.40675355186</v>
      </c>
      <c r="I152" s="128">
        <f t="shared" si="431"/>
        <v>147342.30272715219</v>
      </c>
      <c r="J152" s="128">
        <f t="shared" si="432"/>
        <v>138756.82861590397</v>
      </c>
      <c r="K152" s="128">
        <f t="shared" si="433"/>
        <v>129341.64284014444</v>
      </c>
      <c r="M152" s="36"/>
      <c r="N152" s="32">
        <f t="shared" si="434"/>
        <v>108</v>
      </c>
      <c r="O152" s="25">
        <f t="shared" si="318"/>
        <v>0.43842588119548953</v>
      </c>
      <c r="P152" s="25">
        <f t="shared" si="319"/>
        <v>0.41943552215558189</v>
      </c>
      <c r="Q152" s="25">
        <f t="shared" si="320"/>
        <v>0.42667579276037904</v>
      </c>
      <c r="R152" s="25">
        <f t="shared" si="370"/>
        <v>0.37959361974292349</v>
      </c>
      <c r="S152" s="25">
        <f t="shared" si="371"/>
        <v>0.42164118024707298</v>
      </c>
      <c r="T152" s="25">
        <f t="shared" si="372"/>
        <v>0.41991406753551863</v>
      </c>
      <c r="U152" s="25">
        <f t="shared" si="373"/>
        <v>0.47342302727152186</v>
      </c>
      <c r="V152" s="25">
        <f t="shared" si="374"/>
        <v>0.38756828615903971</v>
      </c>
      <c r="W152" s="25">
        <f t="shared" si="375"/>
        <v>0.29341642840144444</v>
      </c>
      <c r="X152" s="36"/>
      <c r="Y152" s="36"/>
      <c r="AA152" s="124">
        <f t="shared" si="321"/>
        <v>109</v>
      </c>
      <c r="AB152" s="128">
        <f t="shared" si="376"/>
        <v>129654.21847700814</v>
      </c>
      <c r="AC152" s="124">
        <f t="shared" si="322"/>
        <v>109</v>
      </c>
      <c r="AD152" s="130">
        <f t="shared" si="435"/>
        <v>4.4999999999999998E-2</v>
      </c>
      <c r="AE152" s="127">
        <f t="shared" si="436"/>
        <v>1444</v>
      </c>
      <c r="AF152" s="128">
        <f t="shared" si="437"/>
        <v>144260.80000000002</v>
      </c>
      <c r="AG152" s="128">
        <f t="shared" si="348"/>
        <v>144400</v>
      </c>
      <c r="AH152" s="128">
        <f t="shared" si="357"/>
        <v>144400</v>
      </c>
      <c r="AI152" s="130">
        <f t="shared" si="377"/>
        <v>4.4999999999999998E-2</v>
      </c>
      <c r="AJ152" s="128">
        <f t="shared" si="378"/>
        <v>144941.5</v>
      </c>
      <c r="AK152" s="128" t="str">
        <f t="shared" si="379"/>
        <v>nie</v>
      </c>
      <c r="AL152" s="128">
        <f t="shared" si="380"/>
        <v>541.5</v>
      </c>
      <c r="AM152" s="128">
        <f t="shared" si="361"/>
        <v>144400</v>
      </c>
      <c r="AN152" s="128">
        <f t="shared" si="381"/>
        <v>438.61500000000001</v>
      </c>
      <c r="AO152" s="130">
        <f t="shared" si="382"/>
        <v>4.4999999999999998E-2</v>
      </c>
      <c r="AP152" s="128">
        <f t="shared" si="383"/>
        <v>520.75185471208567</v>
      </c>
      <c r="AQ152" s="128">
        <f t="shared" si="362"/>
        <v>149697.93185471208</v>
      </c>
      <c r="AS152" s="124">
        <f t="shared" si="327"/>
        <v>109</v>
      </c>
      <c r="AT152" s="130">
        <f t="shared" si="328"/>
        <v>4.4999999999999998E-2</v>
      </c>
      <c r="AU152" s="127">
        <f t="shared" si="438"/>
        <v>1374</v>
      </c>
      <c r="AV152" s="128">
        <f t="shared" si="439"/>
        <v>137272.6</v>
      </c>
      <c r="AW152" s="128">
        <f t="shared" si="363"/>
        <v>137400</v>
      </c>
      <c r="AX152" s="128">
        <f t="shared" si="358"/>
        <v>137400</v>
      </c>
      <c r="AY152" s="130">
        <f t="shared" si="384"/>
        <v>4.65E-2</v>
      </c>
      <c r="AZ152" s="128">
        <f t="shared" si="385"/>
        <v>137932.42500000002</v>
      </c>
      <c r="BA152" s="128" t="str">
        <f t="shared" si="386"/>
        <v>nie</v>
      </c>
      <c r="BB152" s="128">
        <f t="shared" si="387"/>
        <v>961.8</v>
      </c>
      <c r="BC152" s="128">
        <f t="shared" si="367"/>
        <v>137052.20625000002</v>
      </c>
      <c r="BD152" s="128">
        <f t="shared" si="388"/>
        <v>431.26425000001416</v>
      </c>
      <c r="BE152" s="130">
        <f t="shared" si="264"/>
        <v>4.4999999999999998E-2</v>
      </c>
      <c r="BF152" s="128">
        <f t="shared" si="389"/>
        <v>5770.0418940879645</v>
      </c>
      <c r="BG152" s="128">
        <f t="shared" si="368"/>
        <v>142390.98389408796</v>
      </c>
      <c r="BI152" s="124">
        <f t="shared" si="332"/>
        <v>109</v>
      </c>
      <c r="BJ152" s="130">
        <f t="shared" si="451"/>
        <v>4.3200000000000002E-2</v>
      </c>
      <c r="BK152" s="127">
        <f t="shared" si="440"/>
        <v>1427</v>
      </c>
      <c r="BL152" s="128">
        <f t="shared" si="441"/>
        <v>142557.30000000002</v>
      </c>
      <c r="BM152" s="128">
        <f t="shared" si="349"/>
        <v>142700</v>
      </c>
      <c r="BN152" s="128">
        <f t="shared" si="442"/>
        <v>142700</v>
      </c>
      <c r="BO152" s="130">
        <f t="shared" si="390"/>
        <v>4.9000000000000002E-2</v>
      </c>
      <c r="BP152" s="128">
        <f t="shared" si="391"/>
        <v>143282.69166666668</v>
      </c>
      <c r="BQ152" s="128" t="str">
        <f t="shared" si="392"/>
        <v>nie</v>
      </c>
      <c r="BR152" s="128">
        <f t="shared" si="393"/>
        <v>582.69166666668025</v>
      </c>
      <c r="BS152" s="128">
        <f t="shared" si="364"/>
        <v>142700</v>
      </c>
      <c r="BT152" s="128">
        <f t="shared" si="443"/>
        <v>0</v>
      </c>
      <c r="BU152" s="130">
        <f t="shared" si="394"/>
        <v>4.4999999999999998E-2</v>
      </c>
      <c r="BV152" s="128">
        <f t="shared" si="271"/>
        <v>110.61424933885691</v>
      </c>
      <c r="BW152" s="128">
        <f t="shared" si="365"/>
        <v>142810.61424933886</v>
      </c>
      <c r="BY152" s="130">
        <f t="shared" ref="BY152:BY187" si="452">MAX(INDEX(scenariusz_I_inflacja,MATCH(ROUNDUP(AA152/12,0)-1,scenariusz_I_rok,0)),0)</f>
        <v>2.9000000000000001E-2</v>
      </c>
      <c r="BZ152" s="127">
        <f t="shared" si="444"/>
        <v>1344</v>
      </c>
      <c r="CA152" s="128">
        <f t="shared" si="445"/>
        <v>134279.90000000002</v>
      </c>
      <c r="CB152" s="128">
        <f t="shared" si="366"/>
        <v>134400</v>
      </c>
      <c r="CC152" s="128">
        <f t="shared" si="359"/>
        <v>134400</v>
      </c>
      <c r="CD152" s="130">
        <f t="shared" si="395"/>
        <v>4.3999999999999997E-2</v>
      </c>
      <c r="CE152" s="128">
        <f t="shared" si="396"/>
        <v>134892.80000000002</v>
      </c>
      <c r="CF152" s="128" t="str">
        <f t="shared" si="397"/>
        <v>nie</v>
      </c>
      <c r="CG152" s="128">
        <f t="shared" si="398"/>
        <v>2688</v>
      </c>
      <c r="CH152" s="128">
        <f t="shared" si="369"/>
        <v>132621.88800000001</v>
      </c>
      <c r="CI152" s="128">
        <f t="shared" si="399"/>
        <v>0</v>
      </c>
      <c r="CJ152" s="130">
        <f t="shared" si="277"/>
        <v>4.4999999999999998E-2</v>
      </c>
      <c r="CK152" s="128">
        <f t="shared" si="400"/>
        <v>5754.0670242892693</v>
      </c>
      <c r="CL152" s="128">
        <f t="shared" si="401"/>
        <v>138375.95502428929</v>
      </c>
      <c r="CN152" s="127">
        <f t="shared" si="446"/>
        <v>1000</v>
      </c>
      <c r="CO152" s="128">
        <f t="shared" si="447"/>
        <v>100000</v>
      </c>
      <c r="CP152" s="128">
        <f t="shared" si="342"/>
        <v>100000</v>
      </c>
      <c r="CQ152" s="128">
        <f t="shared" si="448"/>
        <v>155054.46669716953</v>
      </c>
      <c r="CR152" s="130">
        <f t="shared" si="402"/>
        <v>4.9000000000000002E-2</v>
      </c>
      <c r="CS152" s="128">
        <f t="shared" si="403"/>
        <v>155687.60576951632</v>
      </c>
      <c r="CT152" s="128" t="str">
        <f t="shared" si="404"/>
        <v>nie</v>
      </c>
      <c r="CU152" s="128">
        <f t="shared" si="405"/>
        <v>3000</v>
      </c>
      <c r="CV152" s="128">
        <f t="shared" si="406"/>
        <v>142676.96067330823</v>
      </c>
      <c r="CW152" s="128">
        <f t="shared" si="285"/>
        <v>0</v>
      </c>
      <c r="CX152" s="130">
        <f t="shared" si="407"/>
        <v>4.4999999999999998E-2</v>
      </c>
      <c r="CY152" s="128">
        <f t="shared" si="408"/>
        <v>0</v>
      </c>
      <c r="CZ152" s="128">
        <f t="shared" si="409"/>
        <v>142676.96067330823</v>
      </c>
      <c r="DA152" s="20"/>
      <c r="DB152" s="127">
        <f t="shared" si="350"/>
        <v>1274</v>
      </c>
      <c r="DC152" s="128">
        <f t="shared" si="351"/>
        <v>127400</v>
      </c>
      <c r="DD152" s="128">
        <f t="shared" si="344"/>
        <v>127400</v>
      </c>
      <c r="DE152" s="128">
        <f t="shared" si="449"/>
        <v>147831.50166329998</v>
      </c>
      <c r="DF152" s="130">
        <f t="shared" si="410"/>
        <v>4.9000000000000002E-2</v>
      </c>
      <c r="DG152" s="128">
        <f t="shared" si="411"/>
        <v>148435.14696175847</v>
      </c>
      <c r="DH152" s="128" t="str">
        <f t="shared" si="412"/>
        <v>nie</v>
      </c>
      <c r="DI152" s="128">
        <f t="shared" si="413"/>
        <v>2548</v>
      </c>
      <c r="DJ152" s="128">
        <f t="shared" si="355"/>
        <v>142374.58903902434</v>
      </c>
      <c r="DK152" s="128">
        <f t="shared" si="294"/>
        <v>0</v>
      </c>
      <c r="DL152" s="130">
        <f t="shared" si="414"/>
        <v>4.4999999999999998E-2</v>
      </c>
      <c r="DM152" s="128">
        <f t="shared" si="415"/>
        <v>106.09168388794623</v>
      </c>
      <c r="DN152" s="128">
        <f t="shared" si="416"/>
        <v>142480.68072291228</v>
      </c>
      <c r="DP152" s="127">
        <f t="shared" si="352"/>
        <v>1000</v>
      </c>
      <c r="DQ152" s="128">
        <f t="shared" si="353"/>
        <v>100000</v>
      </c>
      <c r="DR152" s="128">
        <f t="shared" si="346"/>
        <v>100000</v>
      </c>
      <c r="DS152" s="128">
        <f t="shared" si="450"/>
        <v>161447.28731747184</v>
      </c>
      <c r="DT152" s="130">
        <f t="shared" si="417"/>
        <v>5.4000000000000006E-2</v>
      </c>
      <c r="DU152" s="128">
        <f t="shared" si="418"/>
        <v>162173.80011040045</v>
      </c>
      <c r="DV152" s="128" t="str">
        <f t="shared" si="419"/>
        <v>nie</v>
      </c>
      <c r="DW152" s="128">
        <f t="shared" si="420"/>
        <v>3000</v>
      </c>
      <c r="DX152" s="128">
        <f t="shared" si="302"/>
        <v>147930.77808942436</v>
      </c>
      <c r="DY152" s="128">
        <f t="shared" si="303"/>
        <v>0</v>
      </c>
      <c r="DZ152" s="130">
        <f t="shared" si="421"/>
        <v>4.4999999999999998E-2</v>
      </c>
      <c r="EA152" s="128">
        <f t="shared" si="422"/>
        <v>0</v>
      </c>
      <c r="EB152" s="128">
        <f t="shared" si="423"/>
        <v>147930.77808942436</v>
      </c>
    </row>
    <row r="153" spans="1:132">
      <c r="A153" s="212">
        <f>ROUNDUP(B164/12,0)</f>
        <v>10</v>
      </c>
      <c r="B153" s="188">
        <f t="shared" si="424"/>
        <v>109</v>
      </c>
      <c r="C153" s="128">
        <f t="shared" si="425"/>
        <v>149697.93185471208</v>
      </c>
      <c r="D153" s="128">
        <f t="shared" si="426"/>
        <v>142390.98389408796</v>
      </c>
      <c r="E153" s="128">
        <f t="shared" si="427"/>
        <v>142810.61424933886</v>
      </c>
      <c r="F153" s="128">
        <f t="shared" si="428"/>
        <v>138375.95502428929</v>
      </c>
      <c r="G153" s="128">
        <f t="shared" si="429"/>
        <v>142676.96067330823</v>
      </c>
      <c r="H153" s="128">
        <f t="shared" si="430"/>
        <v>142480.68072291228</v>
      </c>
      <c r="I153" s="128">
        <f t="shared" si="431"/>
        <v>147930.77808942436</v>
      </c>
      <c r="J153" s="128">
        <f t="shared" si="432"/>
        <v>139178.30248282477</v>
      </c>
      <c r="K153" s="128">
        <f t="shared" si="433"/>
        <v>129654.21847700814</v>
      </c>
      <c r="M153" s="36"/>
      <c r="N153" s="32">
        <f t="shared" si="434"/>
        <v>109</v>
      </c>
      <c r="O153" s="25">
        <f t="shared" si="318"/>
        <v>0.49697931854712074</v>
      </c>
      <c r="P153" s="25">
        <f t="shared" si="319"/>
        <v>0.42390983894087952</v>
      </c>
      <c r="Q153" s="25">
        <f t="shared" si="320"/>
        <v>0.42810614249338852</v>
      </c>
      <c r="R153" s="25">
        <f t="shared" si="370"/>
        <v>0.38375955024289277</v>
      </c>
      <c r="S153" s="25">
        <f t="shared" si="371"/>
        <v>0.4267696067330824</v>
      </c>
      <c r="T153" s="25">
        <f t="shared" si="372"/>
        <v>0.4248068072291229</v>
      </c>
      <c r="U153" s="25">
        <f t="shared" si="373"/>
        <v>0.47930778089424364</v>
      </c>
      <c r="V153" s="25">
        <f t="shared" si="374"/>
        <v>0.39178302482824767</v>
      </c>
      <c r="W153" s="25">
        <f t="shared" si="375"/>
        <v>0.29654218477008132</v>
      </c>
      <c r="X153" s="36"/>
      <c r="Y153" s="36"/>
      <c r="AA153" s="124">
        <f t="shared" si="321"/>
        <v>110</v>
      </c>
      <c r="AB153" s="128">
        <f t="shared" si="376"/>
        <v>129966.7941138718</v>
      </c>
      <c r="AC153" s="124">
        <f t="shared" si="322"/>
        <v>110</v>
      </c>
      <c r="AD153" s="130">
        <f t="shared" si="435"/>
        <v>4.4999999999999998E-2</v>
      </c>
      <c r="AE153" s="127">
        <f t="shared" si="436"/>
        <v>1444</v>
      </c>
      <c r="AF153" s="128">
        <f t="shared" si="437"/>
        <v>144260.80000000002</v>
      </c>
      <c r="AG153" s="128">
        <f t="shared" si="348"/>
        <v>144400</v>
      </c>
      <c r="AH153" s="128">
        <f t="shared" si="357"/>
        <v>144400</v>
      </c>
      <c r="AI153" s="130">
        <f t="shared" si="377"/>
        <v>4.4999999999999998E-2</v>
      </c>
      <c r="AJ153" s="128">
        <f t="shared" si="378"/>
        <v>144941.5</v>
      </c>
      <c r="AK153" s="128" t="str">
        <f t="shared" si="379"/>
        <v>nie</v>
      </c>
      <c r="AL153" s="128">
        <f t="shared" si="380"/>
        <v>722</v>
      </c>
      <c r="AM153" s="128">
        <f t="shared" si="361"/>
        <v>144253.79500000001</v>
      </c>
      <c r="AN153" s="128">
        <f t="shared" si="381"/>
        <v>438.61500000000001</v>
      </c>
      <c r="AO153" s="130">
        <f t="shared" si="382"/>
        <v>4.4999999999999998E-2</v>
      </c>
      <c r="AP153" s="128">
        <f t="shared" si="383"/>
        <v>960.94863847077363</v>
      </c>
      <c r="AQ153" s="128">
        <f t="shared" si="362"/>
        <v>144776.12863847078</v>
      </c>
      <c r="AS153" s="124">
        <f t="shared" si="327"/>
        <v>110</v>
      </c>
      <c r="AT153" s="130">
        <f t="shared" si="328"/>
        <v>4.4999999999999998E-2</v>
      </c>
      <c r="AU153" s="127">
        <f t="shared" si="438"/>
        <v>1374</v>
      </c>
      <c r="AV153" s="128">
        <f t="shared" si="439"/>
        <v>137272.6</v>
      </c>
      <c r="AW153" s="128">
        <f t="shared" si="363"/>
        <v>137400</v>
      </c>
      <c r="AX153" s="128">
        <f t="shared" si="358"/>
        <v>137400</v>
      </c>
      <c r="AY153" s="130">
        <f t="shared" si="384"/>
        <v>4.65E-2</v>
      </c>
      <c r="AZ153" s="128">
        <f t="shared" si="385"/>
        <v>137932.42500000002</v>
      </c>
      <c r="BA153" s="128" t="str">
        <f t="shared" si="386"/>
        <v>nie</v>
      </c>
      <c r="BB153" s="128">
        <f t="shared" si="387"/>
        <v>961.8</v>
      </c>
      <c r="BC153" s="128">
        <f t="shared" si="367"/>
        <v>137052.20625000002</v>
      </c>
      <c r="BD153" s="128">
        <f t="shared" si="388"/>
        <v>431.26425000001416</v>
      </c>
      <c r="BE153" s="130">
        <f t="shared" si="264"/>
        <v>4.4999999999999998E-2</v>
      </c>
      <c r="BF153" s="128">
        <f t="shared" si="389"/>
        <v>6218.8326463412704</v>
      </c>
      <c r="BG153" s="128">
        <f t="shared" si="368"/>
        <v>142839.77464634128</v>
      </c>
      <c r="BI153" s="124">
        <f t="shared" si="332"/>
        <v>110</v>
      </c>
      <c r="BJ153" s="130">
        <f t="shared" si="451"/>
        <v>4.3200000000000002E-2</v>
      </c>
      <c r="BK153" s="127">
        <f t="shared" si="440"/>
        <v>1427</v>
      </c>
      <c r="BL153" s="128">
        <f t="shared" si="441"/>
        <v>142557.30000000002</v>
      </c>
      <c r="BM153" s="128">
        <f t="shared" si="349"/>
        <v>142700</v>
      </c>
      <c r="BN153" s="128">
        <f t="shared" si="442"/>
        <v>142700</v>
      </c>
      <c r="BO153" s="130">
        <f t="shared" si="390"/>
        <v>4.9000000000000002E-2</v>
      </c>
      <c r="BP153" s="128">
        <f t="shared" si="391"/>
        <v>143865.38333333333</v>
      </c>
      <c r="BQ153" s="128" t="str">
        <f t="shared" si="392"/>
        <v>nie</v>
      </c>
      <c r="BR153" s="128">
        <f t="shared" si="393"/>
        <v>1165.3833333333314</v>
      </c>
      <c r="BS153" s="128">
        <f t="shared" si="364"/>
        <v>142700</v>
      </c>
      <c r="BT153" s="128">
        <f t="shared" si="443"/>
        <v>0</v>
      </c>
      <c r="BU153" s="130">
        <f t="shared" si="394"/>
        <v>4.4999999999999998E-2</v>
      </c>
      <c r="BV153" s="128">
        <f t="shared" si="271"/>
        <v>110.95024012122369</v>
      </c>
      <c r="BW153" s="128">
        <f t="shared" si="365"/>
        <v>142810.95024012122</v>
      </c>
      <c r="BY153" s="130">
        <f t="shared" si="452"/>
        <v>2.9000000000000001E-2</v>
      </c>
      <c r="BZ153" s="127">
        <f t="shared" si="444"/>
        <v>1344</v>
      </c>
      <c r="CA153" s="128">
        <f t="shared" si="445"/>
        <v>134279.90000000002</v>
      </c>
      <c r="CB153" s="128">
        <f t="shared" si="366"/>
        <v>134400</v>
      </c>
      <c r="CC153" s="128">
        <f t="shared" si="359"/>
        <v>134400</v>
      </c>
      <c r="CD153" s="130">
        <f t="shared" si="395"/>
        <v>4.3999999999999997E-2</v>
      </c>
      <c r="CE153" s="128">
        <f t="shared" si="396"/>
        <v>135385.60000000001</v>
      </c>
      <c r="CF153" s="128" t="str">
        <f t="shared" si="397"/>
        <v>nie</v>
      </c>
      <c r="CG153" s="128">
        <f t="shared" si="398"/>
        <v>2688</v>
      </c>
      <c r="CH153" s="128">
        <f t="shared" si="369"/>
        <v>133021.05600000001</v>
      </c>
      <c r="CI153" s="128">
        <f t="shared" si="399"/>
        <v>0</v>
      </c>
      <c r="CJ153" s="130">
        <f t="shared" si="277"/>
        <v>4.4999999999999998E-2</v>
      </c>
      <c r="CK153" s="128">
        <f t="shared" si="400"/>
        <v>5771.5450028755477</v>
      </c>
      <c r="CL153" s="128">
        <f t="shared" si="401"/>
        <v>138792.60100287557</v>
      </c>
      <c r="CN153" s="127">
        <f t="shared" si="446"/>
        <v>1000</v>
      </c>
      <c r="CO153" s="128">
        <f t="shared" si="447"/>
        <v>100000</v>
      </c>
      <c r="CP153" s="128">
        <f t="shared" si="342"/>
        <v>100000</v>
      </c>
      <c r="CQ153" s="128">
        <f t="shared" si="448"/>
        <v>155054.46669716953</v>
      </c>
      <c r="CR153" s="130">
        <f t="shared" si="402"/>
        <v>4.9000000000000002E-2</v>
      </c>
      <c r="CS153" s="128">
        <f t="shared" si="403"/>
        <v>156320.74484186308</v>
      </c>
      <c r="CT153" s="128" t="str">
        <f t="shared" si="404"/>
        <v>nie</v>
      </c>
      <c r="CU153" s="128">
        <f t="shared" si="405"/>
        <v>3000</v>
      </c>
      <c r="CV153" s="128">
        <f t="shared" si="406"/>
        <v>143189.8033219091</v>
      </c>
      <c r="CW153" s="128">
        <f t="shared" si="285"/>
        <v>0</v>
      </c>
      <c r="CX153" s="130">
        <f t="shared" si="407"/>
        <v>4.4999999999999998E-2</v>
      </c>
      <c r="CY153" s="128">
        <f t="shared" si="408"/>
        <v>0</v>
      </c>
      <c r="CZ153" s="128">
        <f t="shared" si="409"/>
        <v>143189.8033219091</v>
      </c>
      <c r="DA153" s="20"/>
      <c r="DB153" s="127">
        <f t="shared" si="350"/>
        <v>1274</v>
      </c>
      <c r="DC153" s="128">
        <f t="shared" si="351"/>
        <v>127400</v>
      </c>
      <c r="DD153" s="128">
        <f t="shared" si="344"/>
        <v>127400</v>
      </c>
      <c r="DE153" s="128">
        <f t="shared" si="449"/>
        <v>147831.50166329998</v>
      </c>
      <c r="DF153" s="130">
        <f t="shared" si="410"/>
        <v>4.9000000000000002E-2</v>
      </c>
      <c r="DG153" s="128">
        <f t="shared" si="411"/>
        <v>149038.79226021693</v>
      </c>
      <c r="DH153" s="128" t="str">
        <f t="shared" si="412"/>
        <v>nie</v>
      </c>
      <c r="DI153" s="128">
        <f t="shared" si="413"/>
        <v>2548</v>
      </c>
      <c r="DJ153" s="128">
        <f t="shared" si="355"/>
        <v>142863.5417307757</v>
      </c>
      <c r="DK153" s="128">
        <f t="shared" si="294"/>
        <v>0</v>
      </c>
      <c r="DL153" s="130">
        <f t="shared" si="414"/>
        <v>4.4999999999999998E-2</v>
      </c>
      <c r="DM153" s="128">
        <f t="shared" si="415"/>
        <v>106.41393737775587</v>
      </c>
      <c r="DN153" s="128">
        <f t="shared" si="416"/>
        <v>142969.95566815345</v>
      </c>
      <c r="DP153" s="127">
        <f t="shared" si="352"/>
        <v>1000</v>
      </c>
      <c r="DQ153" s="128">
        <f t="shared" si="353"/>
        <v>100000</v>
      </c>
      <c r="DR153" s="128">
        <f t="shared" si="346"/>
        <v>100000</v>
      </c>
      <c r="DS153" s="128">
        <f t="shared" si="450"/>
        <v>161447.28731747184</v>
      </c>
      <c r="DT153" s="130">
        <f t="shared" si="417"/>
        <v>5.4000000000000006E-2</v>
      </c>
      <c r="DU153" s="128">
        <f t="shared" si="418"/>
        <v>162900.31290332906</v>
      </c>
      <c r="DV153" s="128" t="str">
        <f t="shared" si="419"/>
        <v>nie</v>
      </c>
      <c r="DW153" s="128">
        <f t="shared" si="420"/>
        <v>3000</v>
      </c>
      <c r="DX153" s="128">
        <f t="shared" si="302"/>
        <v>148519.25345169654</v>
      </c>
      <c r="DY153" s="128">
        <f t="shared" si="303"/>
        <v>0</v>
      </c>
      <c r="DZ153" s="130">
        <f t="shared" si="421"/>
        <v>4.4999999999999998E-2</v>
      </c>
      <c r="EA153" s="128">
        <f t="shared" si="422"/>
        <v>0</v>
      </c>
      <c r="EB153" s="128">
        <f t="shared" si="423"/>
        <v>148519.25345169654</v>
      </c>
    </row>
    <row r="154" spans="1:132">
      <c r="A154" s="212"/>
      <c r="B154" s="188">
        <f t="shared" si="424"/>
        <v>110</v>
      </c>
      <c r="C154" s="128">
        <f t="shared" si="425"/>
        <v>144776.12863847078</v>
      </c>
      <c r="D154" s="128">
        <f t="shared" si="426"/>
        <v>142839.77464634128</v>
      </c>
      <c r="E154" s="128">
        <f t="shared" si="427"/>
        <v>142810.95024012122</v>
      </c>
      <c r="F154" s="128">
        <f t="shared" si="428"/>
        <v>138792.60100287557</v>
      </c>
      <c r="G154" s="128">
        <f t="shared" si="429"/>
        <v>143189.8033219091</v>
      </c>
      <c r="H154" s="128">
        <f t="shared" si="430"/>
        <v>142969.95566815345</v>
      </c>
      <c r="I154" s="128">
        <f t="shared" si="431"/>
        <v>148519.25345169654</v>
      </c>
      <c r="J154" s="128">
        <f t="shared" si="432"/>
        <v>139601.05657661636</v>
      </c>
      <c r="K154" s="128">
        <f t="shared" si="433"/>
        <v>129966.7941138718</v>
      </c>
      <c r="M154" s="36"/>
      <c r="N154" s="32">
        <f t="shared" si="434"/>
        <v>110</v>
      </c>
      <c r="O154" s="25">
        <f t="shared" si="318"/>
        <v>0.4477612863847078</v>
      </c>
      <c r="P154" s="25">
        <f t="shared" si="319"/>
        <v>0.42839774646341278</v>
      </c>
      <c r="Q154" s="25">
        <f t="shared" si="320"/>
        <v>0.42810950240121226</v>
      </c>
      <c r="R154" s="25">
        <f t="shared" si="370"/>
        <v>0.3879260100287556</v>
      </c>
      <c r="S154" s="25">
        <f t="shared" si="371"/>
        <v>0.43189803321909093</v>
      </c>
      <c r="T154" s="25">
        <f t="shared" si="372"/>
        <v>0.42969955668153448</v>
      </c>
      <c r="U154" s="25">
        <f t="shared" si="373"/>
        <v>0.48519253451696542</v>
      </c>
      <c r="V154" s="25">
        <f t="shared" si="374"/>
        <v>0.39601056576616367</v>
      </c>
      <c r="W154" s="25">
        <f t="shared" si="375"/>
        <v>0.29966794113871797</v>
      </c>
      <c r="X154" s="36"/>
      <c r="Y154" s="36"/>
      <c r="AA154" s="124">
        <f t="shared" si="321"/>
        <v>111</v>
      </c>
      <c r="AB154" s="128">
        <f t="shared" si="376"/>
        <v>130279.36975073548</v>
      </c>
      <c r="AC154" s="124">
        <f t="shared" si="322"/>
        <v>111</v>
      </c>
      <c r="AD154" s="130">
        <f t="shared" si="435"/>
        <v>4.4999999999999998E-2</v>
      </c>
      <c r="AE154" s="127">
        <f t="shared" si="436"/>
        <v>1444</v>
      </c>
      <c r="AF154" s="128">
        <f t="shared" si="437"/>
        <v>144260.80000000002</v>
      </c>
      <c r="AG154" s="128">
        <f t="shared" si="348"/>
        <v>144400</v>
      </c>
      <c r="AH154" s="128">
        <f t="shared" si="357"/>
        <v>144400</v>
      </c>
      <c r="AI154" s="130">
        <f t="shared" si="377"/>
        <v>4.4999999999999998E-2</v>
      </c>
      <c r="AJ154" s="128">
        <f t="shared" si="378"/>
        <v>144941.5</v>
      </c>
      <c r="AK154" s="128" t="str">
        <f t="shared" si="379"/>
        <v>nie</v>
      </c>
      <c r="AL154" s="128">
        <f t="shared" si="380"/>
        <v>722</v>
      </c>
      <c r="AM154" s="128">
        <f t="shared" si="361"/>
        <v>144253.79500000001</v>
      </c>
      <c r="AN154" s="128">
        <f t="shared" si="381"/>
        <v>438.61500000000001</v>
      </c>
      <c r="AO154" s="130">
        <f t="shared" si="382"/>
        <v>4.4999999999999998E-2</v>
      </c>
      <c r="AP154" s="128">
        <f t="shared" si="383"/>
        <v>1402.4825199601287</v>
      </c>
      <c r="AQ154" s="128">
        <f t="shared" si="362"/>
        <v>145217.66251996014</v>
      </c>
      <c r="AS154" s="124">
        <f t="shared" si="327"/>
        <v>111</v>
      </c>
      <c r="AT154" s="130">
        <f t="shared" si="328"/>
        <v>4.4999999999999998E-2</v>
      </c>
      <c r="AU154" s="127">
        <f t="shared" si="438"/>
        <v>1374</v>
      </c>
      <c r="AV154" s="128">
        <f t="shared" si="439"/>
        <v>137272.6</v>
      </c>
      <c r="AW154" s="128">
        <f t="shared" si="363"/>
        <v>137400</v>
      </c>
      <c r="AX154" s="128">
        <f t="shared" si="358"/>
        <v>137400</v>
      </c>
      <c r="AY154" s="130">
        <f t="shared" si="384"/>
        <v>4.65E-2</v>
      </c>
      <c r="AZ154" s="128">
        <f t="shared" si="385"/>
        <v>137932.42500000002</v>
      </c>
      <c r="BA154" s="128" t="str">
        <f t="shared" si="386"/>
        <v>nie</v>
      </c>
      <c r="BB154" s="128">
        <f t="shared" si="387"/>
        <v>961.8</v>
      </c>
      <c r="BC154" s="128">
        <f t="shared" si="367"/>
        <v>137052.20625000002</v>
      </c>
      <c r="BD154" s="128">
        <f t="shared" si="388"/>
        <v>431.26425000001416</v>
      </c>
      <c r="BE154" s="130">
        <f t="shared" si="264"/>
        <v>4.4999999999999998E-2</v>
      </c>
      <c r="BF154" s="128">
        <f t="shared" si="389"/>
        <v>6668.986600504546</v>
      </c>
      <c r="BG154" s="128">
        <f t="shared" si="368"/>
        <v>143289.92860050456</v>
      </c>
      <c r="BI154" s="124">
        <f t="shared" si="332"/>
        <v>111</v>
      </c>
      <c r="BJ154" s="130">
        <f t="shared" si="451"/>
        <v>4.3200000000000002E-2</v>
      </c>
      <c r="BK154" s="127">
        <f t="shared" si="440"/>
        <v>1427</v>
      </c>
      <c r="BL154" s="128">
        <f t="shared" si="441"/>
        <v>142557.30000000002</v>
      </c>
      <c r="BM154" s="128">
        <f t="shared" si="349"/>
        <v>142700</v>
      </c>
      <c r="BN154" s="128">
        <f t="shared" si="442"/>
        <v>142700</v>
      </c>
      <c r="BO154" s="130">
        <f t="shared" si="390"/>
        <v>4.9000000000000002E-2</v>
      </c>
      <c r="BP154" s="128">
        <f t="shared" si="391"/>
        <v>144448.07500000001</v>
      </c>
      <c r="BQ154" s="128" t="str">
        <f t="shared" si="392"/>
        <v>nie</v>
      </c>
      <c r="BR154" s="128">
        <f t="shared" si="393"/>
        <v>1427</v>
      </c>
      <c r="BS154" s="128">
        <f t="shared" si="364"/>
        <v>142960.07075000001</v>
      </c>
      <c r="BT154" s="128">
        <f t="shared" si="443"/>
        <v>0</v>
      </c>
      <c r="BU154" s="130">
        <f t="shared" si="394"/>
        <v>4.4999999999999998E-2</v>
      </c>
      <c r="BV154" s="128">
        <f t="shared" si="271"/>
        <v>111.2872514755919</v>
      </c>
      <c r="BW154" s="128">
        <f t="shared" si="365"/>
        <v>143071.3580014756</v>
      </c>
      <c r="BY154" s="130">
        <f t="shared" si="452"/>
        <v>2.9000000000000001E-2</v>
      </c>
      <c r="BZ154" s="127">
        <f t="shared" si="444"/>
        <v>1344</v>
      </c>
      <c r="CA154" s="128">
        <f t="shared" si="445"/>
        <v>134279.90000000002</v>
      </c>
      <c r="CB154" s="128">
        <f t="shared" si="366"/>
        <v>134400</v>
      </c>
      <c r="CC154" s="128">
        <f t="shared" si="359"/>
        <v>134400</v>
      </c>
      <c r="CD154" s="130">
        <f t="shared" si="395"/>
        <v>4.3999999999999997E-2</v>
      </c>
      <c r="CE154" s="128">
        <f t="shared" si="396"/>
        <v>135878.39999999999</v>
      </c>
      <c r="CF154" s="128" t="str">
        <f t="shared" si="397"/>
        <v>nie</v>
      </c>
      <c r="CG154" s="128">
        <f t="shared" si="398"/>
        <v>2688</v>
      </c>
      <c r="CH154" s="128">
        <f t="shared" si="369"/>
        <v>133420.22399999999</v>
      </c>
      <c r="CI154" s="128">
        <f t="shared" si="399"/>
        <v>0</v>
      </c>
      <c r="CJ154" s="130">
        <f t="shared" si="277"/>
        <v>4.4999999999999998E-2</v>
      </c>
      <c r="CK154" s="128">
        <f t="shared" si="400"/>
        <v>5789.0760708217822</v>
      </c>
      <c r="CL154" s="128">
        <f t="shared" si="401"/>
        <v>139209.30007082177</v>
      </c>
      <c r="CN154" s="127">
        <f t="shared" si="446"/>
        <v>1000</v>
      </c>
      <c r="CO154" s="128">
        <f t="shared" si="447"/>
        <v>100000</v>
      </c>
      <c r="CP154" s="128">
        <f t="shared" si="342"/>
        <v>100000</v>
      </c>
      <c r="CQ154" s="128">
        <f t="shared" si="448"/>
        <v>155054.46669716953</v>
      </c>
      <c r="CR154" s="130">
        <f t="shared" si="402"/>
        <v>4.9000000000000002E-2</v>
      </c>
      <c r="CS154" s="128">
        <f t="shared" si="403"/>
        <v>156953.88391420987</v>
      </c>
      <c r="CT154" s="128" t="str">
        <f t="shared" si="404"/>
        <v>nie</v>
      </c>
      <c r="CU154" s="128">
        <f t="shared" si="405"/>
        <v>3000</v>
      </c>
      <c r="CV154" s="128">
        <f t="shared" si="406"/>
        <v>143702.64597051</v>
      </c>
      <c r="CW154" s="128">
        <f t="shared" si="285"/>
        <v>0</v>
      </c>
      <c r="CX154" s="130">
        <f t="shared" si="407"/>
        <v>4.4999999999999998E-2</v>
      </c>
      <c r="CY154" s="128">
        <f t="shared" si="408"/>
        <v>0</v>
      </c>
      <c r="CZ154" s="128">
        <f t="shared" si="409"/>
        <v>143702.64597051</v>
      </c>
      <c r="DA154" s="20"/>
      <c r="DB154" s="127">
        <f t="shared" si="350"/>
        <v>1274</v>
      </c>
      <c r="DC154" s="128">
        <f t="shared" si="351"/>
        <v>127400</v>
      </c>
      <c r="DD154" s="128">
        <f t="shared" si="344"/>
        <v>127400</v>
      </c>
      <c r="DE154" s="128">
        <f t="shared" si="449"/>
        <v>147831.50166329998</v>
      </c>
      <c r="DF154" s="130">
        <f t="shared" si="410"/>
        <v>4.9000000000000002E-2</v>
      </c>
      <c r="DG154" s="128">
        <f t="shared" si="411"/>
        <v>149642.43755867542</v>
      </c>
      <c r="DH154" s="128" t="str">
        <f t="shared" si="412"/>
        <v>nie</v>
      </c>
      <c r="DI154" s="128">
        <f t="shared" si="413"/>
        <v>2548</v>
      </c>
      <c r="DJ154" s="128">
        <f t="shared" si="355"/>
        <v>143352.49442252709</v>
      </c>
      <c r="DK154" s="128">
        <f t="shared" si="294"/>
        <v>0</v>
      </c>
      <c r="DL154" s="130">
        <f t="shared" si="414"/>
        <v>4.4999999999999998E-2</v>
      </c>
      <c r="DM154" s="128">
        <f t="shared" si="415"/>
        <v>106.7371697125408</v>
      </c>
      <c r="DN154" s="128">
        <f t="shared" si="416"/>
        <v>143459.23159223964</v>
      </c>
      <c r="DP154" s="127">
        <f t="shared" si="352"/>
        <v>1000</v>
      </c>
      <c r="DQ154" s="128">
        <f t="shared" si="353"/>
        <v>100000</v>
      </c>
      <c r="DR154" s="128">
        <f t="shared" si="346"/>
        <v>100000</v>
      </c>
      <c r="DS154" s="128">
        <f t="shared" si="450"/>
        <v>161447.28731747184</v>
      </c>
      <c r="DT154" s="130">
        <f t="shared" si="417"/>
        <v>5.4000000000000006E-2</v>
      </c>
      <c r="DU154" s="128">
        <f t="shared" si="418"/>
        <v>163626.82569625773</v>
      </c>
      <c r="DV154" s="128" t="str">
        <f t="shared" si="419"/>
        <v>nie</v>
      </c>
      <c r="DW154" s="128">
        <f t="shared" si="420"/>
        <v>3000</v>
      </c>
      <c r="DX154" s="128">
        <f t="shared" si="302"/>
        <v>149107.72881396877</v>
      </c>
      <c r="DY154" s="128">
        <f t="shared" si="303"/>
        <v>0</v>
      </c>
      <c r="DZ154" s="130">
        <f t="shared" si="421"/>
        <v>4.4999999999999998E-2</v>
      </c>
      <c r="EA154" s="128">
        <f t="shared" si="422"/>
        <v>0</v>
      </c>
      <c r="EB154" s="128">
        <f t="shared" si="423"/>
        <v>149107.72881396877</v>
      </c>
    </row>
    <row r="155" spans="1:132">
      <c r="A155" s="212"/>
      <c r="B155" s="188">
        <f t="shared" si="424"/>
        <v>111</v>
      </c>
      <c r="C155" s="128">
        <f t="shared" si="425"/>
        <v>145217.66251996014</v>
      </c>
      <c r="D155" s="128">
        <f t="shared" si="426"/>
        <v>143289.92860050456</v>
      </c>
      <c r="E155" s="128">
        <f t="shared" si="427"/>
        <v>143071.3580014756</v>
      </c>
      <c r="F155" s="128">
        <f t="shared" si="428"/>
        <v>139209.30007082177</v>
      </c>
      <c r="G155" s="128">
        <f t="shared" si="429"/>
        <v>143702.64597051</v>
      </c>
      <c r="H155" s="128">
        <f t="shared" si="430"/>
        <v>143459.23159223964</v>
      </c>
      <c r="I155" s="128">
        <f t="shared" si="431"/>
        <v>149107.72881396877</v>
      </c>
      <c r="J155" s="128">
        <f t="shared" si="432"/>
        <v>140025.09478596784</v>
      </c>
      <c r="K155" s="128">
        <f t="shared" si="433"/>
        <v>130279.36975073548</v>
      </c>
      <c r="M155" s="36"/>
      <c r="N155" s="32">
        <f t="shared" si="434"/>
        <v>111</v>
      </c>
      <c r="O155" s="25">
        <f t="shared" si="318"/>
        <v>0.45217662519960133</v>
      </c>
      <c r="P155" s="25">
        <f t="shared" si="319"/>
        <v>0.43289928600504557</v>
      </c>
      <c r="Q155" s="25">
        <f t="shared" si="320"/>
        <v>0.4307135800147559</v>
      </c>
      <c r="R155" s="25">
        <f t="shared" si="370"/>
        <v>0.39209300070821773</v>
      </c>
      <c r="S155" s="25">
        <f t="shared" si="371"/>
        <v>0.4370264597050999</v>
      </c>
      <c r="T155" s="25">
        <f t="shared" si="372"/>
        <v>0.43459231592239633</v>
      </c>
      <c r="U155" s="25">
        <f t="shared" si="373"/>
        <v>0.49107728813968765</v>
      </c>
      <c r="V155" s="25">
        <f t="shared" si="374"/>
        <v>0.40025094785967852</v>
      </c>
      <c r="W155" s="25">
        <f t="shared" si="375"/>
        <v>0.30279369750735485</v>
      </c>
      <c r="X155" s="36"/>
      <c r="Y155" s="36"/>
      <c r="AA155" s="124">
        <f t="shared" si="321"/>
        <v>112</v>
      </c>
      <c r="AB155" s="128">
        <f t="shared" si="376"/>
        <v>130591.94538759917</v>
      </c>
      <c r="AC155" s="124">
        <f t="shared" si="322"/>
        <v>112</v>
      </c>
      <c r="AD155" s="130">
        <f t="shared" si="435"/>
        <v>4.4999999999999998E-2</v>
      </c>
      <c r="AE155" s="127">
        <f t="shared" si="436"/>
        <v>1444</v>
      </c>
      <c r="AF155" s="128">
        <f t="shared" si="437"/>
        <v>144260.80000000002</v>
      </c>
      <c r="AG155" s="128">
        <f t="shared" si="348"/>
        <v>144400</v>
      </c>
      <c r="AH155" s="128">
        <f t="shared" si="357"/>
        <v>144400</v>
      </c>
      <c r="AI155" s="130">
        <f t="shared" si="377"/>
        <v>4.4999999999999998E-2</v>
      </c>
      <c r="AJ155" s="128">
        <f t="shared" si="378"/>
        <v>144941.5</v>
      </c>
      <c r="AK155" s="128" t="str">
        <f t="shared" si="379"/>
        <v>nie</v>
      </c>
      <c r="AL155" s="128">
        <f t="shared" si="380"/>
        <v>722</v>
      </c>
      <c r="AM155" s="128">
        <f t="shared" si="361"/>
        <v>144253.79500000001</v>
      </c>
      <c r="AN155" s="128">
        <f t="shared" si="381"/>
        <v>438.61500000000001</v>
      </c>
      <c r="AO155" s="130">
        <f t="shared" si="382"/>
        <v>4.4999999999999998E-2</v>
      </c>
      <c r="AP155" s="128">
        <f t="shared" si="383"/>
        <v>1845.3575606145075</v>
      </c>
      <c r="AQ155" s="128">
        <f t="shared" si="362"/>
        <v>145660.53756061452</v>
      </c>
      <c r="AS155" s="124">
        <f t="shared" si="327"/>
        <v>112</v>
      </c>
      <c r="AT155" s="130">
        <f t="shared" si="328"/>
        <v>4.4999999999999998E-2</v>
      </c>
      <c r="AU155" s="127">
        <f t="shared" si="438"/>
        <v>1374</v>
      </c>
      <c r="AV155" s="128">
        <f t="shared" si="439"/>
        <v>137272.6</v>
      </c>
      <c r="AW155" s="128">
        <f t="shared" si="363"/>
        <v>137400</v>
      </c>
      <c r="AX155" s="128">
        <f t="shared" si="358"/>
        <v>137400</v>
      </c>
      <c r="AY155" s="130">
        <f t="shared" si="384"/>
        <v>4.65E-2</v>
      </c>
      <c r="AZ155" s="128">
        <f t="shared" si="385"/>
        <v>137932.42500000002</v>
      </c>
      <c r="BA155" s="128" t="str">
        <f t="shared" si="386"/>
        <v>nie</v>
      </c>
      <c r="BB155" s="128">
        <f t="shared" si="387"/>
        <v>961.8</v>
      </c>
      <c r="BC155" s="128">
        <f t="shared" si="367"/>
        <v>137052.20625000002</v>
      </c>
      <c r="BD155" s="128">
        <f t="shared" si="388"/>
        <v>431.26425000001416</v>
      </c>
      <c r="BE155" s="130">
        <f t="shared" si="264"/>
        <v>4.4999999999999998E-2</v>
      </c>
      <c r="BF155" s="128">
        <f t="shared" si="389"/>
        <v>7120.5078973035925</v>
      </c>
      <c r="BG155" s="128">
        <f t="shared" si="368"/>
        <v>143741.4498973036</v>
      </c>
      <c r="BI155" s="124">
        <f t="shared" si="332"/>
        <v>112</v>
      </c>
      <c r="BJ155" s="130">
        <f t="shared" si="451"/>
        <v>4.3200000000000002E-2</v>
      </c>
      <c r="BK155" s="127">
        <f t="shared" si="440"/>
        <v>1427</v>
      </c>
      <c r="BL155" s="128">
        <f t="shared" si="441"/>
        <v>142557.30000000002</v>
      </c>
      <c r="BM155" s="128">
        <f t="shared" si="349"/>
        <v>142700</v>
      </c>
      <c r="BN155" s="128">
        <f t="shared" si="442"/>
        <v>142700</v>
      </c>
      <c r="BO155" s="130">
        <f t="shared" si="390"/>
        <v>4.9000000000000002E-2</v>
      </c>
      <c r="BP155" s="128">
        <f t="shared" si="391"/>
        <v>145030.76666666666</v>
      </c>
      <c r="BQ155" s="128" t="str">
        <f t="shared" si="392"/>
        <v>nie</v>
      </c>
      <c r="BR155" s="128">
        <f t="shared" si="393"/>
        <v>1427</v>
      </c>
      <c r="BS155" s="128">
        <f t="shared" si="364"/>
        <v>143432.05100000001</v>
      </c>
      <c r="BT155" s="128">
        <f t="shared" si="443"/>
        <v>0</v>
      </c>
      <c r="BU155" s="130">
        <f t="shared" si="394"/>
        <v>4.4999999999999998E-2</v>
      </c>
      <c r="BV155" s="128">
        <f t="shared" si="271"/>
        <v>111.62528650194902</v>
      </c>
      <c r="BW155" s="128">
        <f t="shared" si="365"/>
        <v>143543.67628650196</v>
      </c>
      <c r="BY155" s="130">
        <f t="shared" si="452"/>
        <v>2.9000000000000001E-2</v>
      </c>
      <c r="BZ155" s="127">
        <f t="shared" si="444"/>
        <v>1344</v>
      </c>
      <c r="CA155" s="128">
        <f t="shared" si="445"/>
        <v>134279.90000000002</v>
      </c>
      <c r="CB155" s="128">
        <f t="shared" si="366"/>
        <v>134400</v>
      </c>
      <c r="CC155" s="128">
        <f t="shared" si="359"/>
        <v>134400</v>
      </c>
      <c r="CD155" s="130">
        <f t="shared" si="395"/>
        <v>4.3999999999999997E-2</v>
      </c>
      <c r="CE155" s="128">
        <f t="shared" si="396"/>
        <v>136371.19999999998</v>
      </c>
      <c r="CF155" s="128" t="str">
        <f t="shared" si="397"/>
        <v>nie</v>
      </c>
      <c r="CG155" s="128">
        <f t="shared" si="398"/>
        <v>2688</v>
      </c>
      <c r="CH155" s="128">
        <f t="shared" si="369"/>
        <v>133819.39199999999</v>
      </c>
      <c r="CI155" s="128">
        <f t="shared" si="399"/>
        <v>0</v>
      </c>
      <c r="CJ155" s="130">
        <f t="shared" si="277"/>
        <v>4.4999999999999998E-2</v>
      </c>
      <c r="CK155" s="128">
        <f t="shared" si="400"/>
        <v>5806.6603893869033</v>
      </c>
      <c r="CL155" s="128">
        <f t="shared" si="401"/>
        <v>139626.0523893869</v>
      </c>
      <c r="CN155" s="127">
        <f t="shared" si="446"/>
        <v>1000</v>
      </c>
      <c r="CO155" s="128">
        <f t="shared" si="447"/>
        <v>100000</v>
      </c>
      <c r="CP155" s="128">
        <f t="shared" si="342"/>
        <v>100000</v>
      </c>
      <c r="CQ155" s="128">
        <f t="shared" si="448"/>
        <v>155054.46669716953</v>
      </c>
      <c r="CR155" s="130">
        <f t="shared" si="402"/>
        <v>4.9000000000000002E-2</v>
      </c>
      <c r="CS155" s="128">
        <f t="shared" si="403"/>
        <v>157587.02298655664</v>
      </c>
      <c r="CT155" s="128" t="str">
        <f t="shared" si="404"/>
        <v>nie</v>
      </c>
      <c r="CU155" s="128">
        <f t="shared" si="405"/>
        <v>3000</v>
      </c>
      <c r="CV155" s="128">
        <f t="shared" si="406"/>
        <v>144215.48861911087</v>
      </c>
      <c r="CW155" s="128">
        <f t="shared" si="285"/>
        <v>0</v>
      </c>
      <c r="CX155" s="130">
        <f t="shared" si="407"/>
        <v>4.4999999999999998E-2</v>
      </c>
      <c r="CY155" s="128">
        <f t="shared" si="408"/>
        <v>0</v>
      </c>
      <c r="CZ155" s="128">
        <f t="shared" si="409"/>
        <v>144215.48861911087</v>
      </c>
      <c r="DA155" s="20"/>
      <c r="DB155" s="127">
        <f t="shared" si="350"/>
        <v>1274</v>
      </c>
      <c r="DC155" s="128">
        <f t="shared" si="351"/>
        <v>127400</v>
      </c>
      <c r="DD155" s="128">
        <f t="shared" si="344"/>
        <v>127400</v>
      </c>
      <c r="DE155" s="128">
        <f t="shared" si="449"/>
        <v>147831.50166329998</v>
      </c>
      <c r="DF155" s="130">
        <f t="shared" si="410"/>
        <v>4.9000000000000002E-2</v>
      </c>
      <c r="DG155" s="128">
        <f t="shared" si="411"/>
        <v>150246.08285713388</v>
      </c>
      <c r="DH155" s="128" t="str">
        <f t="shared" si="412"/>
        <v>nie</v>
      </c>
      <c r="DI155" s="128">
        <f t="shared" si="413"/>
        <v>2548</v>
      </c>
      <c r="DJ155" s="128">
        <f t="shared" si="355"/>
        <v>143841.44711427845</v>
      </c>
      <c r="DK155" s="128">
        <f t="shared" si="294"/>
        <v>0</v>
      </c>
      <c r="DL155" s="130">
        <f t="shared" si="414"/>
        <v>4.4999999999999998E-2</v>
      </c>
      <c r="DM155" s="128">
        <f t="shared" si="415"/>
        <v>107.06138386554265</v>
      </c>
      <c r="DN155" s="128">
        <f t="shared" si="416"/>
        <v>143948.50849814399</v>
      </c>
      <c r="DP155" s="127">
        <f t="shared" si="352"/>
        <v>1000</v>
      </c>
      <c r="DQ155" s="128">
        <f t="shared" si="353"/>
        <v>100000</v>
      </c>
      <c r="DR155" s="128">
        <f t="shared" si="346"/>
        <v>100000</v>
      </c>
      <c r="DS155" s="128">
        <f t="shared" si="450"/>
        <v>161447.28731747184</v>
      </c>
      <c r="DT155" s="130">
        <f t="shared" si="417"/>
        <v>5.4000000000000006E-2</v>
      </c>
      <c r="DU155" s="128">
        <f t="shared" si="418"/>
        <v>164353.33848918634</v>
      </c>
      <c r="DV155" s="128" t="str">
        <f t="shared" si="419"/>
        <v>nie</v>
      </c>
      <c r="DW155" s="128">
        <f t="shared" si="420"/>
        <v>3000</v>
      </c>
      <c r="DX155" s="128">
        <f t="shared" si="302"/>
        <v>149696.20417624092</v>
      </c>
      <c r="DY155" s="128">
        <f t="shared" si="303"/>
        <v>0</v>
      </c>
      <c r="DZ155" s="130">
        <f t="shared" si="421"/>
        <v>4.4999999999999998E-2</v>
      </c>
      <c r="EA155" s="128">
        <f t="shared" si="422"/>
        <v>0</v>
      </c>
      <c r="EB155" s="128">
        <f t="shared" si="423"/>
        <v>149696.20417624092</v>
      </c>
    </row>
    <row r="156" spans="1:132">
      <c r="A156" s="212"/>
      <c r="B156" s="188">
        <f t="shared" si="424"/>
        <v>112</v>
      </c>
      <c r="C156" s="128">
        <f t="shared" si="425"/>
        <v>145660.53756061452</v>
      </c>
      <c r="D156" s="128">
        <f t="shared" si="426"/>
        <v>143741.4498973036</v>
      </c>
      <c r="E156" s="128">
        <f t="shared" si="427"/>
        <v>143543.67628650196</v>
      </c>
      <c r="F156" s="128">
        <f t="shared" si="428"/>
        <v>139626.0523893869</v>
      </c>
      <c r="G156" s="128">
        <f t="shared" si="429"/>
        <v>144215.48861911087</v>
      </c>
      <c r="H156" s="128">
        <f t="shared" si="430"/>
        <v>143948.50849814399</v>
      </c>
      <c r="I156" s="128">
        <f t="shared" si="431"/>
        <v>149696.20417624092</v>
      </c>
      <c r="J156" s="128">
        <f t="shared" si="432"/>
        <v>140450.42101138021</v>
      </c>
      <c r="K156" s="128">
        <f t="shared" si="433"/>
        <v>130591.94538759917</v>
      </c>
      <c r="M156" s="36"/>
      <c r="N156" s="32">
        <f t="shared" si="434"/>
        <v>112</v>
      </c>
      <c r="O156" s="25">
        <f t="shared" si="318"/>
        <v>0.45660537560614523</v>
      </c>
      <c r="P156" s="25">
        <f t="shared" si="319"/>
        <v>0.43741449897303597</v>
      </c>
      <c r="Q156" s="25">
        <f t="shared" si="320"/>
        <v>0.43543676286501953</v>
      </c>
      <c r="R156" s="25">
        <f t="shared" si="370"/>
        <v>0.39626052389386901</v>
      </c>
      <c r="S156" s="25">
        <f t="shared" si="371"/>
        <v>0.44215488619110865</v>
      </c>
      <c r="T156" s="25">
        <f t="shared" si="372"/>
        <v>0.43948508498143979</v>
      </c>
      <c r="U156" s="25">
        <f t="shared" si="373"/>
        <v>0.49696204176240921</v>
      </c>
      <c r="V156" s="25">
        <f t="shared" si="374"/>
        <v>0.40450421011380211</v>
      </c>
      <c r="W156" s="25">
        <f t="shared" si="375"/>
        <v>0.30591945387599173</v>
      </c>
      <c r="X156" s="36"/>
      <c r="Y156" s="36"/>
      <c r="AA156" s="124">
        <f t="shared" si="321"/>
        <v>113</v>
      </c>
      <c r="AB156" s="128">
        <f t="shared" si="376"/>
        <v>130904.52102446287</v>
      </c>
      <c r="AC156" s="124">
        <f t="shared" si="322"/>
        <v>113</v>
      </c>
      <c r="AD156" s="130">
        <f t="shared" si="435"/>
        <v>4.4999999999999998E-2</v>
      </c>
      <c r="AE156" s="127">
        <f t="shared" si="436"/>
        <v>1444</v>
      </c>
      <c r="AF156" s="128">
        <f t="shared" si="437"/>
        <v>144260.80000000002</v>
      </c>
      <c r="AG156" s="128">
        <f t="shared" si="348"/>
        <v>144400</v>
      </c>
      <c r="AH156" s="128">
        <f t="shared" si="357"/>
        <v>144400</v>
      </c>
      <c r="AI156" s="130">
        <f t="shared" si="377"/>
        <v>4.4999999999999998E-2</v>
      </c>
      <c r="AJ156" s="128">
        <f t="shared" si="378"/>
        <v>144941.5</v>
      </c>
      <c r="AK156" s="128" t="str">
        <f t="shared" si="379"/>
        <v>nie</v>
      </c>
      <c r="AL156" s="128">
        <f t="shared" si="380"/>
        <v>722</v>
      </c>
      <c r="AM156" s="128">
        <f t="shared" si="361"/>
        <v>144253.79500000001</v>
      </c>
      <c r="AN156" s="128">
        <f t="shared" si="381"/>
        <v>438.61500000000001</v>
      </c>
      <c r="AO156" s="130">
        <f t="shared" si="382"/>
        <v>4.4999999999999998E-2</v>
      </c>
      <c r="AP156" s="128">
        <f t="shared" si="383"/>
        <v>2289.5778342048743</v>
      </c>
      <c r="AQ156" s="128">
        <f t="shared" si="362"/>
        <v>146104.75783420488</v>
      </c>
      <c r="AS156" s="124">
        <f t="shared" si="327"/>
        <v>113</v>
      </c>
      <c r="AT156" s="130">
        <f t="shared" si="328"/>
        <v>4.4999999999999998E-2</v>
      </c>
      <c r="AU156" s="127">
        <f t="shared" si="438"/>
        <v>1374</v>
      </c>
      <c r="AV156" s="128">
        <f t="shared" si="439"/>
        <v>137272.6</v>
      </c>
      <c r="AW156" s="128">
        <f t="shared" si="363"/>
        <v>137400</v>
      </c>
      <c r="AX156" s="128">
        <f t="shared" si="358"/>
        <v>137400</v>
      </c>
      <c r="AY156" s="130">
        <f t="shared" si="384"/>
        <v>4.65E-2</v>
      </c>
      <c r="AZ156" s="128">
        <f t="shared" si="385"/>
        <v>137932.42500000002</v>
      </c>
      <c r="BA156" s="128" t="str">
        <f t="shared" si="386"/>
        <v>nie</v>
      </c>
      <c r="BB156" s="128">
        <f t="shared" si="387"/>
        <v>961.8</v>
      </c>
      <c r="BC156" s="128">
        <f t="shared" si="367"/>
        <v>137052.20625000002</v>
      </c>
      <c r="BD156" s="128">
        <f t="shared" si="388"/>
        <v>431.26425000001416</v>
      </c>
      <c r="BE156" s="130">
        <f t="shared" si="264"/>
        <v>4.4999999999999998E-2</v>
      </c>
      <c r="BF156" s="128">
        <f t="shared" si="389"/>
        <v>7573.4006900416662</v>
      </c>
      <c r="BG156" s="128">
        <f t="shared" si="368"/>
        <v>144194.34269004167</v>
      </c>
      <c r="BI156" s="124">
        <f t="shared" si="332"/>
        <v>113</v>
      </c>
      <c r="BJ156" s="130">
        <f t="shared" si="451"/>
        <v>4.3200000000000002E-2</v>
      </c>
      <c r="BK156" s="127">
        <f t="shared" si="440"/>
        <v>1427</v>
      </c>
      <c r="BL156" s="128">
        <f t="shared" si="441"/>
        <v>142557.30000000002</v>
      </c>
      <c r="BM156" s="128">
        <f t="shared" si="349"/>
        <v>142700</v>
      </c>
      <c r="BN156" s="128">
        <f t="shared" si="442"/>
        <v>142700</v>
      </c>
      <c r="BO156" s="130">
        <f t="shared" si="390"/>
        <v>4.9000000000000002E-2</v>
      </c>
      <c r="BP156" s="128">
        <f t="shared" si="391"/>
        <v>145613.45833333334</v>
      </c>
      <c r="BQ156" s="128" t="str">
        <f t="shared" si="392"/>
        <v>nie</v>
      </c>
      <c r="BR156" s="128">
        <f t="shared" si="393"/>
        <v>1427</v>
      </c>
      <c r="BS156" s="128">
        <f t="shared" si="364"/>
        <v>143904.03125</v>
      </c>
      <c r="BT156" s="128">
        <f t="shared" si="443"/>
        <v>0</v>
      </c>
      <c r="BU156" s="130">
        <f t="shared" si="394"/>
        <v>4.4999999999999998E-2</v>
      </c>
      <c r="BV156" s="128">
        <f t="shared" si="271"/>
        <v>111.96434830969869</v>
      </c>
      <c r="BW156" s="128">
        <f t="shared" si="365"/>
        <v>144015.9955983097</v>
      </c>
      <c r="BY156" s="130">
        <f t="shared" si="452"/>
        <v>2.9000000000000001E-2</v>
      </c>
      <c r="BZ156" s="127">
        <f t="shared" si="444"/>
        <v>1344</v>
      </c>
      <c r="CA156" s="128">
        <f t="shared" si="445"/>
        <v>134279.90000000002</v>
      </c>
      <c r="CB156" s="128">
        <f t="shared" si="366"/>
        <v>134400</v>
      </c>
      <c r="CC156" s="128">
        <f t="shared" si="359"/>
        <v>134400</v>
      </c>
      <c r="CD156" s="130">
        <f t="shared" si="395"/>
        <v>4.3999999999999997E-2</v>
      </c>
      <c r="CE156" s="128">
        <f t="shared" si="396"/>
        <v>136864</v>
      </c>
      <c r="CF156" s="128" t="str">
        <f t="shared" si="397"/>
        <v>nie</v>
      </c>
      <c r="CG156" s="128">
        <f t="shared" si="398"/>
        <v>2688</v>
      </c>
      <c r="CH156" s="128">
        <f t="shared" si="369"/>
        <v>134218.56</v>
      </c>
      <c r="CI156" s="128">
        <f t="shared" si="399"/>
        <v>0</v>
      </c>
      <c r="CJ156" s="130">
        <f t="shared" si="277"/>
        <v>4.4999999999999998E-2</v>
      </c>
      <c r="CK156" s="128">
        <f t="shared" si="400"/>
        <v>5824.2981203196659</v>
      </c>
      <c r="CL156" s="128">
        <f t="shared" si="401"/>
        <v>140042.85812031967</v>
      </c>
      <c r="CN156" s="127">
        <f t="shared" si="446"/>
        <v>1000</v>
      </c>
      <c r="CO156" s="128">
        <f t="shared" si="447"/>
        <v>100000</v>
      </c>
      <c r="CP156" s="128">
        <f t="shared" si="342"/>
        <v>100000</v>
      </c>
      <c r="CQ156" s="128">
        <f t="shared" si="448"/>
        <v>155054.46669716953</v>
      </c>
      <c r="CR156" s="130">
        <f t="shared" si="402"/>
        <v>4.9000000000000002E-2</v>
      </c>
      <c r="CS156" s="128">
        <f t="shared" si="403"/>
        <v>158220.16205890343</v>
      </c>
      <c r="CT156" s="128" t="str">
        <f t="shared" si="404"/>
        <v>nie</v>
      </c>
      <c r="CU156" s="128">
        <f t="shared" si="405"/>
        <v>3000</v>
      </c>
      <c r="CV156" s="128">
        <f t="shared" si="406"/>
        <v>144728.33126771176</v>
      </c>
      <c r="CW156" s="128">
        <f t="shared" si="285"/>
        <v>0</v>
      </c>
      <c r="CX156" s="130">
        <f t="shared" si="407"/>
        <v>4.4999999999999998E-2</v>
      </c>
      <c r="CY156" s="128">
        <f t="shared" si="408"/>
        <v>0</v>
      </c>
      <c r="CZ156" s="128">
        <f t="shared" si="409"/>
        <v>144728.33126771176</v>
      </c>
      <c r="DA156" s="20"/>
      <c r="DB156" s="127">
        <f t="shared" si="350"/>
        <v>1274</v>
      </c>
      <c r="DC156" s="128">
        <f t="shared" si="351"/>
        <v>127400</v>
      </c>
      <c r="DD156" s="128">
        <f t="shared" si="344"/>
        <v>127400</v>
      </c>
      <c r="DE156" s="128">
        <f t="shared" si="449"/>
        <v>147831.50166329998</v>
      </c>
      <c r="DF156" s="130">
        <f t="shared" si="410"/>
        <v>4.9000000000000002E-2</v>
      </c>
      <c r="DG156" s="128">
        <f t="shared" si="411"/>
        <v>150849.72815559237</v>
      </c>
      <c r="DH156" s="128" t="str">
        <f t="shared" si="412"/>
        <v>nie</v>
      </c>
      <c r="DI156" s="128">
        <f t="shared" si="413"/>
        <v>2548</v>
      </c>
      <c r="DJ156" s="128">
        <f t="shared" si="355"/>
        <v>144330.39980602983</v>
      </c>
      <c r="DK156" s="128">
        <f t="shared" si="294"/>
        <v>0</v>
      </c>
      <c r="DL156" s="130">
        <f t="shared" si="414"/>
        <v>4.4999999999999998E-2</v>
      </c>
      <c r="DM156" s="128">
        <f t="shared" si="415"/>
        <v>107.38658281903425</v>
      </c>
      <c r="DN156" s="128">
        <f t="shared" si="416"/>
        <v>144437.78638884888</v>
      </c>
      <c r="DP156" s="127">
        <f t="shared" si="352"/>
        <v>1000</v>
      </c>
      <c r="DQ156" s="128">
        <f t="shared" si="353"/>
        <v>100000</v>
      </c>
      <c r="DR156" s="128">
        <f t="shared" si="346"/>
        <v>100000</v>
      </c>
      <c r="DS156" s="128">
        <f t="shared" si="450"/>
        <v>161447.28731747184</v>
      </c>
      <c r="DT156" s="130">
        <f t="shared" si="417"/>
        <v>5.4000000000000006E-2</v>
      </c>
      <c r="DU156" s="128">
        <f t="shared" si="418"/>
        <v>165079.85128211495</v>
      </c>
      <c r="DV156" s="128" t="str">
        <f t="shared" si="419"/>
        <v>nie</v>
      </c>
      <c r="DW156" s="128">
        <f t="shared" si="420"/>
        <v>3000</v>
      </c>
      <c r="DX156" s="128">
        <f t="shared" si="302"/>
        <v>150284.6795385131</v>
      </c>
      <c r="DY156" s="128">
        <f t="shared" si="303"/>
        <v>0</v>
      </c>
      <c r="DZ156" s="130">
        <f t="shared" si="421"/>
        <v>4.4999999999999998E-2</v>
      </c>
      <c r="EA156" s="128">
        <f t="shared" si="422"/>
        <v>0</v>
      </c>
      <c r="EB156" s="128">
        <f t="shared" si="423"/>
        <v>150284.6795385131</v>
      </c>
    </row>
    <row r="157" spans="1:132">
      <c r="A157" s="212"/>
      <c r="B157" s="188">
        <f t="shared" si="424"/>
        <v>113</v>
      </c>
      <c r="C157" s="128">
        <f t="shared" si="425"/>
        <v>146104.75783420488</v>
      </c>
      <c r="D157" s="128">
        <f t="shared" si="426"/>
        <v>144194.34269004167</v>
      </c>
      <c r="E157" s="128">
        <f t="shared" si="427"/>
        <v>144015.9955983097</v>
      </c>
      <c r="F157" s="128">
        <f t="shared" si="428"/>
        <v>140042.85812031967</v>
      </c>
      <c r="G157" s="128">
        <f t="shared" si="429"/>
        <v>144728.33126771176</v>
      </c>
      <c r="H157" s="128">
        <f t="shared" si="430"/>
        <v>144437.78638884888</v>
      </c>
      <c r="I157" s="128">
        <f t="shared" si="431"/>
        <v>150284.6795385131</v>
      </c>
      <c r="J157" s="128">
        <f t="shared" si="432"/>
        <v>140877.0391652023</v>
      </c>
      <c r="K157" s="128">
        <f t="shared" si="433"/>
        <v>130904.52102446287</v>
      </c>
      <c r="M157" s="36"/>
      <c r="N157" s="32">
        <f t="shared" si="434"/>
        <v>113</v>
      </c>
      <c r="O157" s="25">
        <f t="shared" si="318"/>
        <v>0.4610475783420489</v>
      </c>
      <c r="P157" s="25">
        <f t="shared" si="319"/>
        <v>0.44194342690041677</v>
      </c>
      <c r="Q157" s="25">
        <f t="shared" si="320"/>
        <v>0.4401599559830971</v>
      </c>
      <c r="R157" s="25">
        <f t="shared" si="370"/>
        <v>0.40042858120319669</v>
      </c>
      <c r="S157" s="25">
        <f t="shared" si="371"/>
        <v>0.44728331267711763</v>
      </c>
      <c r="T157" s="25">
        <f t="shared" si="372"/>
        <v>0.44437786388848877</v>
      </c>
      <c r="U157" s="25">
        <f t="shared" si="373"/>
        <v>0.502846795385131</v>
      </c>
      <c r="V157" s="25">
        <f t="shared" si="374"/>
        <v>0.40877039165202289</v>
      </c>
      <c r="W157" s="25">
        <f t="shared" si="375"/>
        <v>0.30904521024462861</v>
      </c>
      <c r="X157" s="36"/>
      <c r="Y157" s="36"/>
      <c r="AA157" s="124">
        <f t="shared" si="321"/>
        <v>114</v>
      </c>
      <c r="AB157" s="128">
        <f t="shared" si="376"/>
        <v>131217.09666132653</v>
      </c>
      <c r="AC157" s="124">
        <f t="shared" si="322"/>
        <v>114</v>
      </c>
      <c r="AD157" s="130">
        <f t="shared" si="435"/>
        <v>4.4999999999999998E-2</v>
      </c>
      <c r="AE157" s="127">
        <f t="shared" si="436"/>
        <v>1444</v>
      </c>
      <c r="AF157" s="128">
        <f t="shared" si="437"/>
        <v>144260.80000000002</v>
      </c>
      <c r="AG157" s="128">
        <f t="shared" si="348"/>
        <v>144400</v>
      </c>
      <c r="AH157" s="128">
        <f t="shared" si="357"/>
        <v>144400</v>
      </c>
      <c r="AI157" s="130">
        <f t="shared" si="377"/>
        <v>4.4999999999999998E-2</v>
      </c>
      <c r="AJ157" s="128">
        <f t="shared" si="378"/>
        <v>144941.5</v>
      </c>
      <c r="AK157" s="128" t="str">
        <f t="shared" si="379"/>
        <v>nie</v>
      </c>
      <c r="AL157" s="128">
        <f t="shared" si="380"/>
        <v>722</v>
      </c>
      <c r="AM157" s="128">
        <f t="shared" si="361"/>
        <v>144253.79500000001</v>
      </c>
      <c r="AN157" s="128">
        <f t="shared" si="381"/>
        <v>438.61500000000001</v>
      </c>
      <c r="AO157" s="130">
        <f t="shared" si="382"/>
        <v>4.4999999999999998E-2</v>
      </c>
      <c r="AP157" s="128">
        <f t="shared" si="383"/>
        <v>2735.1474268762713</v>
      </c>
      <c r="AQ157" s="128">
        <f t="shared" si="362"/>
        <v>146550.32742687629</v>
      </c>
      <c r="AS157" s="124">
        <f t="shared" si="327"/>
        <v>114</v>
      </c>
      <c r="AT157" s="130">
        <f t="shared" si="328"/>
        <v>4.4999999999999998E-2</v>
      </c>
      <c r="AU157" s="127">
        <f t="shared" si="438"/>
        <v>1374</v>
      </c>
      <c r="AV157" s="128">
        <f t="shared" si="439"/>
        <v>137272.6</v>
      </c>
      <c r="AW157" s="128">
        <f t="shared" si="363"/>
        <v>137400</v>
      </c>
      <c r="AX157" s="128">
        <f t="shared" si="358"/>
        <v>137400</v>
      </c>
      <c r="AY157" s="130">
        <f t="shared" si="384"/>
        <v>4.65E-2</v>
      </c>
      <c r="AZ157" s="128">
        <f t="shared" si="385"/>
        <v>137932.42500000002</v>
      </c>
      <c r="BA157" s="128" t="str">
        <f t="shared" si="386"/>
        <v>nie</v>
      </c>
      <c r="BB157" s="128">
        <f t="shared" si="387"/>
        <v>961.8</v>
      </c>
      <c r="BC157" s="128">
        <f t="shared" si="367"/>
        <v>137052.20625000002</v>
      </c>
      <c r="BD157" s="128">
        <f t="shared" si="388"/>
        <v>431.26425000001416</v>
      </c>
      <c r="BE157" s="130">
        <f t="shared" si="264"/>
        <v>4.4999999999999998E-2</v>
      </c>
      <c r="BF157" s="128">
        <f t="shared" si="389"/>
        <v>8027.6691446376817</v>
      </c>
      <c r="BG157" s="128">
        <f t="shared" si="368"/>
        <v>144648.61114463769</v>
      </c>
      <c r="BI157" s="124">
        <f t="shared" si="332"/>
        <v>114</v>
      </c>
      <c r="BJ157" s="130">
        <f t="shared" si="451"/>
        <v>4.3200000000000002E-2</v>
      </c>
      <c r="BK157" s="127">
        <f t="shared" si="440"/>
        <v>1427</v>
      </c>
      <c r="BL157" s="128">
        <f t="shared" si="441"/>
        <v>142557.30000000002</v>
      </c>
      <c r="BM157" s="128">
        <f t="shared" si="349"/>
        <v>142700</v>
      </c>
      <c r="BN157" s="128">
        <f t="shared" si="442"/>
        <v>142700</v>
      </c>
      <c r="BO157" s="130">
        <f t="shared" si="390"/>
        <v>4.9000000000000002E-2</v>
      </c>
      <c r="BP157" s="128">
        <f t="shared" si="391"/>
        <v>146196.15</v>
      </c>
      <c r="BQ157" s="128" t="str">
        <f t="shared" si="392"/>
        <v>nie</v>
      </c>
      <c r="BR157" s="128">
        <f t="shared" si="393"/>
        <v>1427</v>
      </c>
      <c r="BS157" s="128">
        <f t="shared" si="364"/>
        <v>144376.01149999999</v>
      </c>
      <c r="BT157" s="128">
        <f t="shared" si="443"/>
        <v>0</v>
      </c>
      <c r="BU157" s="130">
        <f t="shared" si="394"/>
        <v>4.4999999999999998E-2</v>
      </c>
      <c r="BV157" s="128">
        <f t="shared" si="271"/>
        <v>112.3044400176894</v>
      </c>
      <c r="BW157" s="128">
        <f t="shared" si="365"/>
        <v>144488.3159400177</v>
      </c>
      <c r="BY157" s="130">
        <f t="shared" si="452"/>
        <v>2.9000000000000001E-2</v>
      </c>
      <c r="BZ157" s="127">
        <f t="shared" si="444"/>
        <v>1344</v>
      </c>
      <c r="CA157" s="128">
        <f t="shared" si="445"/>
        <v>134279.90000000002</v>
      </c>
      <c r="CB157" s="128">
        <f t="shared" si="366"/>
        <v>134400</v>
      </c>
      <c r="CC157" s="128">
        <f t="shared" si="359"/>
        <v>134400</v>
      </c>
      <c r="CD157" s="130">
        <f t="shared" si="395"/>
        <v>4.3999999999999997E-2</v>
      </c>
      <c r="CE157" s="128">
        <f t="shared" si="396"/>
        <v>137356.79999999999</v>
      </c>
      <c r="CF157" s="128" t="str">
        <f t="shared" si="397"/>
        <v>nie</v>
      </c>
      <c r="CG157" s="128">
        <f t="shared" si="398"/>
        <v>2688</v>
      </c>
      <c r="CH157" s="128">
        <f t="shared" si="369"/>
        <v>134617.728</v>
      </c>
      <c r="CI157" s="128">
        <f t="shared" si="399"/>
        <v>0</v>
      </c>
      <c r="CJ157" s="130">
        <f t="shared" si="277"/>
        <v>4.4999999999999998E-2</v>
      </c>
      <c r="CK157" s="128">
        <f t="shared" si="400"/>
        <v>5841.9894258601371</v>
      </c>
      <c r="CL157" s="128">
        <f t="shared" si="401"/>
        <v>140459.71742586014</v>
      </c>
      <c r="CN157" s="127">
        <f t="shared" si="446"/>
        <v>1000</v>
      </c>
      <c r="CO157" s="128">
        <f t="shared" si="447"/>
        <v>100000</v>
      </c>
      <c r="CP157" s="128">
        <f t="shared" si="342"/>
        <v>100000</v>
      </c>
      <c r="CQ157" s="128">
        <f t="shared" si="448"/>
        <v>155054.46669716953</v>
      </c>
      <c r="CR157" s="130">
        <f t="shared" si="402"/>
        <v>4.9000000000000002E-2</v>
      </c>
      <c r="CS157" s="128">
        <f t="shared" si="403"/>
        <v>158853.30113125016</v>
      </c>
      <c r="CT157" s="128" t="str">
        <f t="shared" si="404"/>
        <v>nie</v>
      </c>
      <c r="CU157" s="128">
        <f t="shared" si="405"/>
        <v>3000</v>
      </c>
      <c r="CV157" s="128">
        <f t="shared" si="406"/>
        <v>145241.17391631263</v>
      </c>
      <c r="CW157" s="128">
        <f t="shared" si="285"/>
        <v>0</v>
      </c>
      <c r="CX157" s="130">
        <f t="shared" si="407"/>
        <v>4.4999999999999998E-2</v>
      </c>
      <c r="CY157" s="128">
        <f t="shared" si="408"/>
        <v>0</v>
      </c>
      <c r="CZ157" s="128">
        <f t="shared" si="409"/>
        <v>145241.17391631263</v>
      </c>
      <c r="DA157" s="20"/>
      <c r="DB157" s="127">
        <f t="shared" si="350"/>
        <v>1274</v>
      </c>
      <c r="DC157" s="128">
        <f t="shared" si="351"/>
        <v>127400</v>
      </c>
      <c r="DD157" s="128">
        <f t="shared" si="344"/>
        <v>127400</v>
      </c>
      <c r="DE157" s="128">
        <f t="shared" si="449"/>
        <v>147831.50166329998</v>
      </c>
      <c r="DF157" s="130">
        <f t="shared" si="410"/>
        <v>4.9000000000000002E-2</v>
      </c>
      <c r="DG157" s="128">
        <f t="shared" si="411"/>
        <v>151453.37345405083</v>
      </c>
      <c r="DH157" s="128" t="str">
        <f t="shared" si="412"/>
        <v>nie</v>
      </c>
      <c r="DI157" s="128">
        <f t="shared" si="413"/>
        <v>2548</v>
      </c>
      <c r="DJ157" s="128">
        <f t="shared" si="355"/>
        <v>144819.35249778116</v>
      </c>
      <c r="DK157" s="128">
        <f t="shared" si="294"/>
        <v>0</v>
      </c>
      <c r="DL157" s="130">
        <f t="shared" si="414"/>
        <v>4.4999999999999998E-2</v>
      </c>
      <c r="DM157" s="128">
        <f t="shared" si="415"/>
        <v>107.71276956434707</v>
      </c>
      <c r="DN157" s="128">
        <f t="shared" si="416"/>
        <v>144927.06526734552</v>
      </c>
      <c r="DP157" s="127">
        <f t="shared" si="352"/>
        <v>1000</v>
      </c>
      <c r="DQ157" s="128">
        <f t="shared" si="353"/>
        <v>100000</v>
      </c>
      <c r="DR157" s="128">
        <f t="shared" si="346"/>
        <v>100000</v>
      </c>
      <c r="DS157" s="128">
        <f t="shared" si="450"/>
        <v>161447.28731747184</v>
      </c>
      <c r="DT157" s="130">
        <f t="shared" si="417"/>
        <v>5.4000000000000006E-2</v>
      </c>
      <c r="DU157" s="128">
        <f t="shared" si="418"/>
        <v>165806.36407504356</v>
      </c>
      <c r="DV157" s="128" t="str">
        <f t="shared" si="419"/>
        <v>nie</v>
      </c>
      <c r="DW157" s="128">
        <f t="shared" si="420"/>
        <v>3000</v>
      </c>
      <c r="DX157" s="128">
        <f t="shared" si="302"/>
        <v>150873.15490078527</v>
      </c>
      <c r="DY157" s="128">
        <f t="shared" si="303"/>
        <v>0</v>
      </c>
      <c r="DZ157" s="130">
        <f t="shared" si="421"/>
        <v>4.4999999999999998E-2</v>
      </c>
      <c r="EA157" s="128">
        <f t="shared" si="422"/>
        <v>0</v>
      </c>
      <c r="EB157" s="128">
        <f t="shared" si="423"/>
        <v>150873.15490078527</v>
      </c>
    </row>
    <row r="158" spans="1:132">
      <c r="A158" s="212"/>
      <c r="B158" s="188">
        <f t="shared" si="424"/>
        <v>114</v>
      </c>
      <c r="C158" s="128">
        <f t="shared" si="425"/>
        <v>146550.32742687629</v>
      </c>
      <c r="D158" s="128">
        <f t="shared" si="426"/>
        <v>144648.61114463769</v>
      </c>
      <c r="E158" s="128">
        <f t="shared" si="427"/>
        <v>144488.3159400177</v>
      </c>
      <c r="F158" s="128">
        <f t="shared" si="428"/>
        <v>140459.71742586014</v>
      </c>
      <c r="G158" s="128">
        <f t="shared" si="429"/>
        <v>145241.17391631263</v>
      </c>
      <c r="H158" s="128">
        <f t="shared" si="430"/>
        <v>144927.06526734552</v>
      </c>
      <c r="I158" s="128">
        <f t="shared" si="431"/>
        <v>150873.15490078527</v>
      </c>
      <c r="J158" s="128">
        <f t="shared" si="432"/>
        <v>141304.9531716666</v>
      </c>
      <c r="K158" s="128">
        <f t="shared" si="433"/>
        <v>131217.09666132653</v>
      </c>
      <c r="M158" s="36"/>
      <c r="N158" s="32">
        <f t="shared" si="434"/>
        <v>114</v>
      </c>
      <c r="O158" s="25">
        <f t="shared" si="318"/>
        <v>0.46550327426876281</v>
      </c>
      <c r="P158" s="25">
        <f t="shared" si="319"/>
        <v>0.44648611144637695</v>
      </c>
      <c r="Q158" s="25">
        <f t="shared" si="320"/>
        <v>0.44488315940017698</v>
      </c>
      <c r="R158" s="25">
        <f t="shared" si="370"/>
        <v>0.40459717425860142</v>
      </c>
      <c r="S158" s="25">
        <f t="shared" si="371"/>
        <v>0.45241173916312638</v>
      </c>
      <c r="T158" s="25">
        <f t="shared" si="372"/>
        <v>0.44927065267345512</v>
      </c>
      <c r="U158" s="25">
        <f t="shared" si="373"/>
        <v>0.50873154900785278</v>
      </c>
      <c r="V158" s="25">
        <f t="shared" si="374"/>
        <v>0.41304953171666603</v>
      </c>
      <c r="W158" s="25">
        <f t="shared" si="375"/>
        <v>0.31217096661326527</v>
      </c>
      <c r="X158" s="36"/>
      <c r="Y158" s="36"/>
      <c r="AA158" s="124">
        <f t="shared" si="321"/>
        <v>115</v>
      </c>
      <c r="AB158" s="128">
        <f t="shared" si="376"/>
        <v>131529.67229819021</v>
      </c>
      <c r="AC158" s="124">
        <f t="shared" si="322"/>
        <v>115</v>
      </c>
      <c r="AD158" s="130">
        <f t="shared" si="435"/>
        <v>4.4999999999999998E-2</v>
      </c>
      <c r="AE158" s="127">
        <f t="shared" si="436"/>
        <v>1444</v>
      </c>
      <c r="AF158" s="128">
        <f t="shared" si="437"/>
        <v>144260.80000000002</v>
      </c>
      <c r="AG158" s="128">
        <f t="shared" si="348"/>
        <v>144400</v>
      </c>
      <c r="AH158" s="128">
        <f t="shared" si="357"/>
        <v>144400</v>
      </c>
      <c r="AI158" s="130">
        <f t="shared" si="377"/>
        <v>4.4999999999999998E-2</v>
      </c>
      <c r="AJ158" s="128">
        <f t="shared" si="378"/>
        <v>144941.5</v>
      </c>
      <c r="AK158" s="128" t="str">
        <f t="shared" si="379"/>
        <v>nie</v>
      </c>
      <c r="AL158" s="128">
        <f t="shared" si="380"/>
        <v>722</v>
      </c>
      <c r="AM158" s="128">
        <f t="shared" si="361"/>
        <v>144253.79500000001</v>
      </c>
      <c r="AN158" s="128">
        <f t="shared" si="381"/>
        <v>438.61500000000001</v>
      </c>
      <c r="AO158" s="130">
        <f t="shared" si="382"/>
        <v>4.4999999999999998E-2</v>
      </c>
      <c r="AP158" s="128">
        <f t="shared" si="383"/>
        <v>3182.0704371854081</v>
      </c>
      <c r="AQ158" s="128">
        <f t="shared" si="362"/>
        <v>146997.25043718543</v>
      </c>
      <c r="AS158" s="124">
        <f t="shared" si="327"/>
        <v>115</v>
      </c>
      <c r="AT158" s="130">
        <f t="shared" si="328"/>
        <v>4.4999999999999998E-2</v>
      </c>
      <c r="AU158" s="127">
        <f t="shared" si="438"/>
        <v>1374</v>
      </c>
      <c r="AV158" s="128">
        <f t="shared" si="439"/>
        <v>137272.6</v>
      </c>
      <c r="AW158" s="128">
        <f t="shared" si="363"/>
        <v>137400</v>
      </c>
      <c r="AX158" s="128">
        <f t="shared" si="358"/>
        <v>137400</v>
      </c>
      <c r="AY158" s="130">
        <f t="shared" si="384"/>
        <v>4.65E-2</v>
      </c>
      <c r="AZ158" s="128">
        <f t="shared" si="385"/>
        <v>137932.42500000002</v>
      </c>
      <c r="BA158" s="128" t="str">
        <f t="shared" si="386"/>
        <v>nie</v>
      </c>
      <c r="BB158" s="128">
        <f t="shared" si="387"/>
        <v>961.8</v>
      </c>
      <c r="BC158" s="128">
        <f t="shared" si="367"/>
        <v>137052.20625000002</v>
      </c>
      <c r="BD158" s="128">
        <f t="shared" si="388"/>
        <v>431.26425000001416</v>
      </c>
      <c r="BE158" s="130">
        <f t="shared" si="264"/>
        <v>4.4999999999999998E-2</v>
      </c>
      <c r="BF158" s="128">
        <f t="shared" si="389"/>
        <v>8483.3174396645336</v>
      </c>
      <c r="BG158" s="128">
        <f t="shared" si="368"/>
        <v>145104.25943966454</v>
      </c>
      <c r="BI158" s="124">
        <f t="shared" si="332"/>
        <v>115</v>
      </c>
      <c r="BJ158" s="130">
        <f t="shared" si="451"/>
        <v>4.3200000000000002E-2</v>
      </c>
      <c r="BK158" s="127">
        <f t="shared" si="440"/>
        <v>1427</v>
      </c>
      <c r="BL158" s="128">
        <f t="shared" si="441"/>
        <v>142557.30000000002</v>
      </c>
      <c r="BM158" s="128">
        <f t="shared" si="349"/>
        <v>142700</v>
      </c>
      <c r="BN158" s="128">
        <f t="shared" si="442"/>
        <v>142700</v>
      </c>
      <c r="BO158" s="130">
        <f t="shared" si="390"/>
        <v>4.9000000000000002E-2</v>
      </c>
      <c r="BP158" s="128">
        <f t="shared" si="391"/>
        <v>146778.84166666667</v>
      </c>
      <c r="BQ158" s="128" t="str">
        <f t="shared" si="392"/>
        <v>nie</v>
      </c>
      <c r="BR158" s="128">
        <f t="shared" si="393"/>
        <v>1427</v>
      </c>
      <c r="BS158" s="128">
        <f t="shared" si="364"/>
        <v>144847.99175000002</v>
      </c>
      <c r="BT158" s="128">
        <f t="shared" si="443"/>
        <v>0</v>
      </c>
      <c r="BU158" s="130">
        <f t="shared" si="394"/>
        <v>4.4999999999999998E-2</v>
      </c>
      <c r="BV158" s="128">
        <f t="shared" si="271"/>
        <v>112.64556475424314</v>
      </c>
      <c r="BW158" s="128">
        <f t="shared" si="365"/>
        <v>144960.63731475425</v>
      </c>
      <c r="BY158" s="130">
        <f t="shared" si="452"/>
        <v>2.9000000000000001E-2</v>
      </c>
      <c r="BZ158" s="127">
        <f t="shared" si="444"/>
        <v>1344</v>
      </c>
      <c r="CA158" s="128">
        <f t="shared" si="445"/>
        <v>134279.90000000002</v>
      </c>
      <c r="CB158" s="128">
        <f t="shared" si="366"/>
        <v>134400</v>
      </c>
      <c r="CC158" s="128">
        <f t="shared" si="359"/>
        <v>134400</v>
      </c>
      <c r="CD158" s="130">
        <f t="shared" si="395"/>
        <v>4.3999999999999997E-2</v>
      </c>
      <c r="CE158" s="128">
        <f t="shared" si="396"/>
        <v>137849.60000000001</v>
      </c>
      <c r="CF158" s="128" t="str">
        <f t="shared" si="397"/>
        <v>nie</v>
      </c>
      <c r="CG158" s="128">
        <f t="shared" si="398"/>
        <v>2688</v>
      </c>
      <c r="CH158" s="128">
        <f t="shared" si="369"/>
        <v>135016.89600000001</v>
      </c>
      <c r="CI158" s="128">
        <f t="shared" si="399"/>
        <v>0</v>
      </c>
      <c r="CJ158" s="130">
        <f t="shared" si="277"/>
        <v>4.4999999999999998E-2</v>
      </c>
      <c r="CK158" s="128">
        <f t="shared" si="400"/>
        <v>5859.7344687411878</v>
      </c>
      <c r="CL158" s="128">
        <f t="shared" si="401"/>
        <v>140876.6304687412</v>
      </c>
      <c r="CN158" s="127">
        <f t="shared" si="446"/>
        <v>1000</v>
      </c>
      <c r="CO158" s="128">
        <f t="shared" si="447"/>
        <v>100000</v>
      </c>
      <c r="CP158" s="128">
        <f t="shared" si="342"/>
        <v>100000</v>
      </c>
      <c r="CQ158" s="128">
        <f t="shared" si="448"/>
        <v>155054.46669716953</v>
      </c>
      <c r="CR158" s="130">
        <f t="shared" si="402"/>
        <v>4.9000000000000002E-2</v>
      </c>
      <c r="CS158" s="128">
        <f t="shared" si="403"/>
        <v>159486.44020359695</v>
      </c>
      <c r="CT158" s="128" t="str">
        <f t="shared" si="404"/>
        <v>nie</v>
      </c>
      <c r="CU158" s="128">
        <f t="shared" si="405"/>
        <v>3000</v>
      </c>
      <c r="CV158" s="128">
        <f t="shared" si="406"/>
        <v>145754.01656491353</v>
      </c>
      <c r="CW158" s="128">
        <f t="shared" si="285"/>
        <v>0</v>
      </c>
      <c r="CX158" s="130">
        <f t="shared" si="407"/>
        <v>4.4999999999999998E-2</v>
      </c>
      <c r="CY158" s="128">
        <f t="shared" si="408"/>
        <v>0</v>
      </c>
      <c r="CZ158" s="128">
        <f t="shared" si="409"/>
        <v>145754.01656491353</v>
      </c>
      <c r="DA158" s="20"/>
      <c r="DB158" s="127">
        <f t="shared" si="350"/>
        <v>1274</v>
      </c>
      <c r="DC158" s="128">
        <f t="shared" si="351"/>
        <v>127400</v>
      </c>
      <c r="DD158" s="128">
        <f t="shared" si="344"/>
        <v>127400</v>
      </c>
      <c r="DE158" s="128">
        <f t="shared" si="449"/>
        <v>147831.50166329998</v>
      </c>
      <c r="DF158" s="130">
        <f t="shared" si="410"/>
        <v>4.9000000000000002E-2</v>
      </c>
      <c r="DG158" s="128">
        <f t="shared" si="411"/>
        <v>152057.01875250932</v>
      </c>
      <c r="DH158" s="128" t="str">
        <f t="shared" si="412"/>
        <v>nie</v>
      </c>
      <c r="DI158" s="128">
        <f t="shared" si="413"/>
        <v>2548</v>
      </c>
      <c r="DJ158" s="128">
        <f t="shared" si="355"/>
        <v>145308.30518953255</v>
      </c>
      <c r="DK158" s="128">
        <f t="shared" si="294"/>
        <v>0</v>
      </c>
      <c r="DL158" s="130">
        <f t="shared" si="414"/>
        <v>4.4999999999999998E-2</v>
      </c>
      <c r="DM158" s="128">
        <f t="shared" si="415"/>
        <v>108.03994710189878</v>
      </c>
      <c r="DN158" s="128">
        <f t="shared" si="416"/>
        <v>145416.34513663445</v>
      </c>
      <c r="DP158" s="127">
        <f t="shared" si="352"/>
        <v>1000</v>
      </c>
      <c r="DQ158" s="128">
        <f t="shared" si="353"/>
        <v>100000</v>
      </c>
      <c r="DR158" s="128">
        <f t="shared" si="346"/>
        <v>100000</v>
      </c>
      <c r="DS158" s="128">
        <f t="shared" si="450"/>
        <v>161447.28731747184</v>
      </c>
      <c r="DT158" s="130">
        <f t="shared" si="417"/>
        <v>5.4000000000000006E-2</v>
      </c>
      <c r="DU158" s="128">
        <f t="shared" si="418"/>
        <v>166532.87686797223</v>
      </c>
      <c r="DV158" s="128" t="str">
        <f t="shared" si="419"/>
        <v>nie</v>
      </c>
      <c r="DW158" s="128">
        <f t="shared" si="420"/>
        <v>3000</v>
      </c>
      <c r="DX158" s="128">
        <f t="shared" si="302"/>
        <v>151461.63026305751</v>
      </c>
      <c r="DY158" s="128">
        <f t="shared" si="303"/>
        <v>0</v>
      </c>
      <c r="DZ158" s="130">
        <f t="shared" si="421"/>
        <v>4.4999999999999998E-2</v>
      </c>
      <c r="EA158" s="128">
        <f t="shared" si="422"/>
        <v>0</v>
      </c>
      <c r="EB158" s="128">
        <f t="shared" si="423"/>
        <v>151461.63026305751</v>
      </c>
    </row>
    <row r="159" spans="1:132">
      <c r="A159" s="212"/>
      <c r="B159" s="188">
        <f t="shared" si="424"/>
        <v>115</v>
      </c>
      <c r="C159" s="128">
        <f t="shared" si="425"/>
        <v>146997.25043718543</v>
      </c>
      <c r="D159" s="128">
        <f t="shared" si="426"/>
        <v>145104.25943966454</v>
      </c>
      <c r="E159" s="128">
        <f t="shared" si="427"/>
        <v>144960.63731475425</v>
      </c>
      <c r="F159" s="128">
        <f t="shared" si="428"/>
        <v>140876.6304687412</v>
      </c>
      <c r="G159" s="128">
        <f t="shared" si="429"/>
        <v>145754.01656491353</v>
      </c>
      <c r="H159" s="128">
        <f t="shared" si="430"/>
        <v>145416.34513663445</v>
      </c>
      <c r="I159" s="128">
        <f t="shared" si="431"/>
        <v>151461.63026305751</v>
      </c>
      <c r="J159" s="128">
        <f t="shared" si="432"/>
        <v>141734.16696692555</v>
      </c>
      <c r="K159" s="128">
        <f t="shared" si="433"/>
        <v>131529.67229819021</v>
      </c>
      <c r="M159" s="36"/>
      <c r="N159" s="32">
        <f t="shared" si="434"/>
        <v>115</v>
      </c>
      <c r="O159" s="25">
        <f t="shared" si="318"/>
        <v>0.46997250437185434</v>
      </c>
      <c r="P159" s="25">
        <f t="shared" si="319"/>
        <v>0.4510425943966454</v>
      </c>
      <c r="Q159" s="25">
        <f t="shared" si="320"/>
        <v>0.44960637314754237</v>
      </c>
      <c r="R159" s="25">
        <f t="shared" si="370"/>
        <v>0.40876630468741215</v>
      </c>
      <c r="S159" s="25">
        <f t="shared" si="371"/>
        <v>0.45754016564913536</v>
      </c>
      <c r="T159" s="25">
        <f t="shared" si="372"/>
        <v>0.45416345136634462</v>
      </c>
      <c r="U159" s="25">
        <f t="shared" si="373"/>
        <v>0.51461630263057501</v>
      </c>
      <c r="V159" s="25">
        <f t="shared" si="374"/>
        <v>0.41734166966925557</v>
      </c>
      <c r="W159" s="25">
        <f t="shared" si="375"/>
        <v>0.31529672298190214</v>
      </c>
      <c r="X159" s="36"/>
      <c r="Y159" s="36"/>
      <c r="AA159" s="124">
        <f t="shared" si="321"/>
        <v>116</v>
      </c>
      <c r="AB159" s="128">
        <f t="shared" si="376"/>
        <v>131842.24793505392</v>
      </c>
      <c r="AC159" s="124">
        <f t="shared" si="322"/>
        <v>116</v>
      </c>
      <c r="AD159" s="130">
        <f t="shared" si="435"/>
        <v>4.4999999999999998E-2</v>
      </c>
      <c r="AE159" s="127">
        <f t="shared" si="436"/>
        <v>1444</v>
      </c>
      <c r="AF159" s="128">
        <f t="shared" si="437"/>
        <v>144260.80000000002</v>
      </c>
      <c r="AG159" s="128">
        <f t="shared" si="348"/>
        <v>144400</v>
      </c>
      <c r="AH159" s="128">
        <f t="shared" si="357"/>
        <v>144400</v>
      </c>
      <c r="AI159" s="130">
        <f t="shared" si="377"/>
        <v>4.4999999999999998E-2</v>
      </c>
      <c r="AJ159" s="128">
        <f t="shared" si="378"/>
        <v>144941.5</v>
      </c>
      <c r="AK159" s="128" t="str">
        <f t="shared" si="379"/>
        <v>nie</v>
      </c>
      <c r="AL159" s="128">
        <f t="shared" si="380"/>
        <v>722</v>
      </c>
      <c r="AM159" s="128">
        <f t="shared" si="361"/>
        <v>144253.79500000001</v>
      </c>
      <c r="AN159" s="128">
        <f t="shared" si="381"/>
        <v>438.61500000000001</v>
      </c>
      <c r="AO159" s="130">
        <f t="shared" si="382"/>
        <v>4.4999999999999998E-2</v>
      </c>
      <c r="AP159" s="128">
        <f t="shared" si="383"/>
        <v>3630.3509761383584</v>
      </c>
      <c r="AQ159" s="128">
        <f t="shared" si="362"/>
        <v>147445.53097613837</v>
      </c>
      <c r="AS159" s="124">
        <f t="shared" si="327"/>
        <v>116</v>
      </c>
      <c r="AT159" s="130">
        <f t="shared" si="328"/>
        <v>4.4999999999999998E-2</v>
      </c>
      <c r="AU159" s="127">
        <f t="shared" si="438"/>
        <v>1374</v>
      </c>
      <c r="AV159" s="128">
        <f t="shared" si="439"/>
        <v>137272.6</v>
      </c>
      <c r="AW159" s="128">
        <f t="shared" si="363"/>
        <v>137400</v>
      </c>
      <c r="AX159" s="128">
        <f t="shared" si="358"/>
        <v>137400</v>
      </c>
      <c r="AY159" s="130">
        <f t="shared" si="384"/>
        <v>4.65E-2</v>
      </c>
      <c r="AZ159" s="128">
        <f t="shared" si="385"/>
        <v>137932.42500000002</v>
      </c>
      <c r="BA159" s="128" t="str">
        <f t="shared" si="386"/>
        <v>nie</v>
      </c>
      <c r="BB159" s="128">
        <f t="shared" si="387"/>
        <v>961.8</v>
      </c>
      <c r="BC159" s="128">
        <f t="shared" si="367"/>
        <v>137052.20625000002</v>
      </c>
      <c r="BD159" s="128">
        <f t="shared" si="388"/>
        <v>431.26425000001416</v>
      </c>
      <c r="BE159" s="130">
        <f t="shared" si="264"/>
        <v>4.4999999999999998E-2</v>
      </c>
      <c r="BF159" s="128">
        <f t="shared" si="389"/>
        <v>8940.3497663875296</v>
      </c>
      <c r="BG159" s="128">
        <f t="shared" si="368"/>
        <v>145561.29176638753</v>
      </c>
      <c r="BI159" s="124">
        <f t="shared" si="332"/>
        <v>116</v>
      </c>
      <c r="BJ159" s="130">
        <f t="shared" si="451"/>
        <v>4.3200000000000002E-2</v>
      </c>
      <c r="BK159" s="127">
        <f t="shared" si="440"/>
        <v>1427</v>
      </c>
      <c r="BL159" s="128">
        <f t="shared" si="441"/>
        <v>142557.30000000002</v>
      </c>
      <c r="BM159" s="128">
        <f t="shared" si="349"/>
        <v>142700</v>
      </c>
      <c r="BN159" s="128">
        <f t="shared" si="442"/>
        <v>142700</v>
      </c>
      <c r="BO159" s="130">
        <f t="shared" si="390"/>
        <v>4.9000000000000002E-2</v>
      </c>
      <c r="BP159" s="128">
        <f t="shared" si="391"/>
        <v>147361.53333333333</v>
      </c>
      <c r="BQ159" s="128" t="str">
        <f t="shared" si="392"/>
        <v>nie</v>
      </c>
      <c r="BR159" s="128">
        <f t="shared" si="393"/>
        <v>1427</v>
      </c>
      <c r="BS159" s="128">
        <f t="shared" si="364"/>
        <v>145319.97199999998</v>
      </c>
      <c r="BT159" s="128">
        <f t="shared" si="443"/>
        <v>0</v>
      </c>
      <c r="BU159" s="130">
        <f t="shared" si="394"/>
        <v>4.4999999999999998E-2</v>
      </c>
      <c r="BV159" s="128">
        <f t="shared" si="271"/>
        <v>112.98772565718416</v>
      </c>
      <c r="BW159" s="128">
        <f t="shared" si="365"/>
        <v>145432.95972565716</v>
      </c>
      <c r="BY159" s="130">
        <f t="shared" si="452"/>
        <v>2.9000000000000001E-2</v>
      </c>
      <c r="BZ159" s="127">
        <f t="shared" si="444"/>
        <v>1344</v>
      </c>
      <c r="CA159" s="128">
        <f t="shared" si="445"/>
        <v>134279.90000000002</v>
      </c>
      <c r="CB159" s="128">
        <f t="shared" si="366"/>
        <v>134400</v>
      </c>
      <c r="CC159" s="128">
        <f t="shared" si="359"/>
        <v>134400</v>
      </c>
      <c r="CD159" s="130">
        <f t="shared" si="395"/>
        <v>4.3999999999999997E-2</v>
      </c>
      <c r="CE159" s="128">
        <f t="shared" si="396"/>
        <v>138342.40000000002</v>
      </c>
      <c r="CF159" s="128" t="str">
        <f t="shared" si="397"/>
        <v>nie</v>
      </c>
      <c r="CG159" s="128">
        <f t="shared" si="398"/>
        <v>2688</v>
      </c>
      <c r="CH159" s="128">
        <f t="shared" si="369"/>
        <v>135416.06400000001</v>
      </c>
      <c r="CI159" s="128">
        <f t="shared" si="399"/>
        <v>0</v>
      </c>
      <c r="CJ159" s="130">
        <f t="shared" si="277"/>
        <v>4.4999999999999998E-2</v>
      </c>
      <c r="CK159" s="128">
        <f t="shared" si="400"/>
        <v>5877.5334121899896</v>
      </c>
      <c r="CL159" s="128">
        <f t="shared" si="401"/>
        <v>141293.59741218999</v>
      </c>
      <c r="CN159" s="127">
        <f t="shared" si="446"/>
        <v>1000</v>
      </c>
      <c r="CO159" s="128">
        <f t="shared" si="447"/>
        <v>100000</v>
      </c>
      <c r="CP159" s="128">
        <f t="shared" si="342"/>
        <v>100000</v>
      </c>
      <c r="CQ159" s="128">
        <f t="shared" si="448"/>
        <v>155054.46669716953</v>
      </c>
      <c r="CR159" s="130">
        <f t="shared" si="402"/>
        <v>4.9000000000000002E-2</v>
      </c>
      <c r="CS159" s="128">
        <f t="shared" si="403"/>
        <v>160119.57927594372</v>
      </c>
      <c r="CT159" s="128" t="str">
        <f t="shared" si="404"/>
        <v>nie</v>
      </c>
      <c r="CU159" s="128">
        <f t="shared" si="405"/>
        <v>3000</v>
      </c>
      <c r="CV159" s="128">
        <f t="shared" si="406"/>
        <v>146266.8592135144</v>
      </c>
      <c r="CW159" s="128">
        <f t="shared" si="285"/>
        <v>0</v>
      </c>
      <c r="CX159" s="130">
        <f t="shared" si="407"/>
        <v>4.4999999999999998E-2</v>
      </c>
      <c r="CY159" s="128">
        <f t="shared" si="408"/>
        <v>0</v>
      </c>
      <c r="CZ159" s="128">
        <f t="shared" si="409"/>
        <v>146266.8592135144</v>
      </c>
      <c r="DA159" s="20"/>
      <c r="DB159" s="127">
        <f t="shared" si="350"/>
        <v>1274</v>
      </c>
      <c r="DC159" s="128">
        <f t="shared" si="351"/>
        <v>127400</v>
      </c>
      <c r="DD159" s="128">
        <f t="shared" si="344"/>
        <v>127400</v>
      </c>
      <c r="DE159" s="128">
        <f t="shared" si="449"/>
        <v>147831.50166329998</v>
      </c>
      <c r="DF159" s="130">
        <f t="shared" si="410"/>
        <v>4.9000000000000002E-2</v>
      </c>
      <c r="DG159" s="128">
        <f t="shared" si="411"/>
        <v>152660.66405096778</v>
      </c>
      <c r="DH159" s="128" t="str">
        <f t="shared" si="412"/>
        <v>nie</v>
      </c>
      <c r="DI159" s="128">
        <f t="shared" si="413"/>
        <v>2548</v>
      </c>
      <c r="DJ159" s="128">
        <f t="shared" si="355"/>
        <v>145797.25788128391</v>
      </c>
      <c r="DK159" s="128">
        <f t="shared" si="294"/>
        <v>0</v>
      </c>
      <c r="DL159" s="130">
        <f t="shared" si="414"/>
        <v>4.4999999999999998E-2</v>
      </c>
      <c r="DM159" s="128">
        <f t="shared" si="415"/>
        <v>108.3681184412208</v>
      </c>
      <c r="DN159" s="128">
        <f t="shared" si="416"/>
        <v>145905.62599972513</v>
      </c>
      <c r="DP159" s="127">
        <f t="shared" si="352"/>
        <v>1000</v>
      </c>
      <c r="DQ159" s="128">
        <f t="shared" si="353"/>
        <v>100000</v>
      </c>
      <c r="DR159" s="128">
        <f t="shared" si="346"/>
        <v>100000</v>
      </c>
      <c r="DS159" s="128">
        <f t="shared" si="450"/>
        <v>161447.28731747184</v>
      </c>
      <c r="DT159" s="130">
        <f t="shared" si="417"/>
        <v>5.4000000000000006E-2</v>
      </c>
      <c r="DU159" s="128">
        <f t="shared" si="418"/>
        <v>167259.38966090084</v>
      </c>
      <c r="DV159" s="128" t="str">
        <f t="shared" si="419"/>
        <v>nie</v>
      </c>
      <c r="DW159" s="128">
        <f t="shared" si="420"/>
        <v>3000</v>
      </c>
      <c r="DX159" s="128">
        <f t="shared" si="302"/>
        <v>152050.10562532968</v>
      </c>
      <c r="DY159" s="128">
        <f t="shared" si="303"/>
        <v>0</v>
      </c>
      <c r="DZ159" s="130">
        <f t="shared" si="421"/>
        <v>4.4999999999999998E-2</v>
      </c>
      <c r="EA159" s="128">
        <f t="shared" si="422"/>
        <v>0</v>
      </c>
      <c r="EB159" s="128">
        <f t="shared" si="423"/>
        <v>152050.10562532968</v>
      </c>
    </row>
    <row r="160" spans="1:132">
      <c r="A160" s="212"/>
      <c r="B160" s="188">
        <f t="shared" si="424"/>
        <v>116</v>
      </c>
      <c r="C160" s="128">
        <f t="shared" si="425"/>
        <v>147445.53097613837</v>
      </c>
      <c r="D160" s="128">
        <f t="shared" si="426"/>
        <v>145561.29176638753</v>
      </c>
      <c r="E160" s="128">
        <f t="shared" si="427"/>
        <v>145432.95972565716</v>
      </c>
      <c r="F160" s="128">
        <f t="shared" si="428"/>
        <v>141293.59741218999</v>
      </c>
      <c r="G160" s="128">
        <f t="shared" si="429"/>
        <v>146266.8592135144</v>
      </c>
      <c r="H160" s="128">
        <f t="shared" si="430"/>
        <v>145905.62599972513</v>
      </c>
      <c r="I160" s="128">
        <f t="shared" si="431"/>
        <v>152050.10562532968</v>
      </c>
      <c r="J160" s="128">
        <f t="shared" si="432"/>
        <v>142164.6844990876</v>
      </c>
      <c r="K160" s="128">
        <f t="shared" si="433"/>
        <v>131842.24793505392</v>
      </c>
      <c r="M160" s="36"/>
      <c r="N160" s="32">
        <f t="shared" si="434"/>
        <v>116</v>
      </c>
      <c r="O160" s="25">
        <f t="shared" si="318"/>
        <v>0.47445530976138373</v>
      </c>
      <c r="P160" s="25">
        <f t="shared" si="319"/>
        <v>0.45561291766387524</v>
      </c>
      <c r="Q160" s="25">
        <f t="shared" si="320"/>
        <v>0.45432959725657152</v>
      </c>
      <c r="R160" s="25">
        <f t="shared" si="370"/>
        <v>0.41293597412189986</v>
      </c>
      <c r="S160" s="25">
        <f t="shared" si="371"/>
        <v>0.46266859213514389</v>
      </c>
      <c r="T160" s="25">
        <f t="shared" si="372"/>
        <v>0.45905625999725141</v>
      </c>
      <c r="U160" s="25">
        <f t="shared" si="373"/>
        <v>0.52050105625329679</v>
      </c>
      <c r="V160" s="25">
        <f t="shared" si="374"/>
        <v>0.4216468449908759</v>
      </c>
      <c r="W160" s="25">
        <f t="shared" si="375"/>
        <v>0.31842247935053924</v>
      </c>
      <c r="X160" s="36"/>
      <c r="Y160" s="36"/>
      <c r="AA160" s="124">
        <f t="shared" si="321"/>
        <v>117</v>
      </c>
      <c r="AB160" s="128">
        <f t="shared" si="376"/>
        <v>132154.82357191757</v>
      </c>
      <c r="AC160" s="124">
        <f t="shared" si="322"/>
        <v>117</v>
      </c>
      <c r="AD160" s="130">
        <f t="shared" si="435"/>
        <v>4.4999999999999998E-2</v>
      </c>
      <c r="AE160" s="127">
        <f t="shared" si="436"/>
        <v>1444</v>
      </c>
      <c r="AF160" s="128">
        <f t="shared" si="437"/>
        <v>144260.80000000002</v>
      </c>
      <c r="AG160" s="128">
        <f t="shared" si="348"/>
        <v>144400</v>
      </c>
      <c r="AH160" s="128">
        <f t="shared" si="357"/>
        <v>144400</v>
      </c>
      <c r="AI160" s="130">
        <f t="shared" si="377"/>
        <v>4.4999999999999998E-2</v>
      </c>
      <c r="AJ160" s="128">
        <f t="shared" si="378"/>
        <v>144941.5</v>
      </c>
      <c r="AK160" s="128" t="str">
        <f t="shared" si="379"/>
        <v>nie</v>
      </c>
      <c r="AL160" s="128">
        <f t="shared" si="380"/>
        <v>722</v>
      </c>
      <c r="AM160" s="128">
        <f t="shared" si="361"/>
        <v>144253.79500000001</v>
      </c>
      <c r="AN160" s="128">
        <f t="shared" si="381"/>
        <v>438.61500000000001</v>
      </c>
      <c r="AO160" s="130">
        <f t="shared" si="382"/>
        <v>4.4999999999999998E-2</v>
      </c>
      <c r="AP160" s="128">
        <f t="shared" si="383"/>
        <v>4079.9931672283792</v>
      </c>
      <c r="AQ160" s="128">
        <f t="shared" si="362"/>
        <v>147895.17316722838</v>
      </c>
      <c r="AS160" s="124">
        <f t="shared" si="327"/>
        <v>117</v>
      </c>
      <c r="AT160" s="130">
        <f t="shared" si="328"/>
        <v>4.4999999999999998E-2</v>
      </c>
      <c r="AU160" s="127">
        <f t="shared" si="438"/>
        <v>1374</v>
      </c>
      <c r="AV160" s="128">
        <f t="shared" si="439"/>
        <v>137272.6</v>
      </c>
      <c r="AW160" s="128">
        <f t="shared" si="363"/>
        <v>137400</v>
      </c>
      <c r="AX160" s="128">
        <f t="shared" si="358"/>
        <v>137400</v>
      </c>
      <c r="AY160" s="130">
        <f t="shared" si="384"/>
        <v>4.65E-2</v>
      </c>
      <c r="AZ160" s="128">
        <f t="shared" si="385"/>
        <v>137932.42500000002</v>
      </c>
      <c r="BA160" s="128" t="str">
        <f t="shared" si="386"/>
        <v>nie</v>
      </c>
      <c r="BB160" s="128">
        <f t="shared" si="387"/>
        <v>961.8</v>
      </c>
      <c r="BC160" s="128">
        <f t="shared" si="367"/>
        <v>137052.20625000002</v>
      </c>
      <c r="BD160" s="128">
        <f t="shared" si="388"/>
        <v>431.26425000001416</v>
      </c>
      <c r="BE160" s="130">
        <f t="shared" si="264"/>
        <v>4.4999999999999998E-2</v>
      </c>
      <c r="BF160" s="128">
        <f t="shared" si="389"/>
        <v>9398.7703288029461</v>
      </c>
      <c r="BG160" s="128">
        <f t="shared" si="368"/>
        <v>146019.71232880294</v>
      </c>
      <c r="BI160" s="124">
        <f t="shared" si="332"/>
        <v>117</v>
      </c>
      <c r="BJ160" s="130">
        <f t="shared" si="451"/>
        <v>4.3200000000000002E-2</v>
      </c>
      <c r="BK160" s="127">
        <f t="shared" si="440"/>
        <v>1427</v>
      </c>
      <c r="BL160" s="128">
        <f t="shared" si="441"/>
        <v>142557.30000000002</v>
      </c>
      <c r="BM160" s="128">
        <f t="shared" si="349"/>
        <v>142700</v>
      </c>
      <c r="BN160" s="128">
        <f t="shared" si="442"/>
        <v>142700</v>
      </c>
      <c r="BO160" s="130">
        <f t="shared" si="390"/>
        <v>4.9000000000000002E-2</v>
      </c>
      <c r="BP160" s="128">
        <f t="shared" si="391"/>
        <v>147944.22500000001</v>
      </c>
      <c r="BQ160" s="128" t="str">
        <f t="shared" si="392"/>
        <v>nie</v>
      </c>
      <c r="BR160" s="128">
        <f t="shared" si="393"/>
        <v>1427</v>
      </c>
      <c r="BS160" s="128">
        <f t="shared" si="364"/>
        <v>145791.95225</v>
      </c>
      <c r="BT160" s="128">
        <f t="shared" si="443"/>
        <v>0</v>
      </c>
      <c r="BU160" s="130">
        <f t="shared" si="394"/>
        <v>4.4999999999999998E-2</v>
      </c>
      <c r="BV160" s="128">
        <f t="shared" si="271"/>
        <v>113.33092587386786</v>
      </c>
      <c r="BW160" s="128">
        <f t="shared" si="365"/>
        <v>145905.28317587386</v>
      </c>
      <c r="BY160" s="130">
        <f t="shared" si="452"/>
        <v>2.9000000000000001E-2</v>
      </c>
      <c r="BZ160" s="127">
        <f t="shared" si="444"/>
        <v>1344</v>
      </c>
      <c r="CA160" s="128">
        <f t="shared" si="445"/>
        <v>134279.90000000002</v>
      </c>
      <c r="CB160" s="128">
        <f t="shared" si="366"/>
        <v>134400</v>
      </c>
      <c r="CC160" s="128">
        <f t="shared" si="359"/>
        <v>134400</v>
      </c>
      <c r="CD160" s="130">
        <f t="shared" si="395"/>
        <v>4.3999999999999997E-2</v>
      </c>
      <c r="CE160" s="128">
        <f t="shared" si="396"/>
        <v>138835.19999999998</v>
      </c>
      <c r="CF160" s="128" t="str">
        <f t="shared" si="397"/>
        <v>nie</v>
      </c>
      <c r="CG160" s="128">
        <f t="shared" si="398"/>
        <v>2688</v>
      </c>
      <c r="CH160" s="128">
        <f t="shared" si="369"/>
        <v>135815.23199999999</v>
      </c>
      <c r="CI160" s="128">
        <f t="shared" si="399"/>
        <v>0</v>
      </c>
      <c r="CJ160" s="130">
        <f t="shared" si="277"/>
        <v>4.4999999999999998E-2</v>
      </c>
      <c r="CK160" s="128">
        <f t="shared" si="400"/>
        <v>5895.3864199295167</v>
      </c>
      <c r="CL160" s="128">
        <f t="shared" si="401"/>
        <v>141710.61841992949</v>
      </c>
      <c r="CN160" s="127">
        <f t="shared" si="446"/>
        <v>1000</v>
      </c>
      <c r="CO160" s="128">
        <f t="shared" si="447"/>
        <v>100000</v>
      </c>
      <c r="CP160" s="128">
        <f t="shared" si="342"/>
        <v>100000</v>
      </c>
      <c r="CQ160" s="128">
        <f t="shared" si="448"/>
        <v>155054.46669716953</v>
      </c>
      <c r="CR160" s="130">
        <f t="shared" si="402"/>
        <v>4.9000000000000002E-2</v>
      </c>
      <c r="CS160" s="128">
        <f t="shared" si="403"/>
        <v>160752.71834829051</v>
      </c>
      <c r="CT160" s="128" t="str">
        <f t="shared" si="404"/>
        <v>nie</v>
      </c>
      <c r="CU160" s="128">
        <f t="shared" si="405"/>
        <v>3000</v>
      </c>
      <c r="CV160" s="128">
        <f t="shared" si="406"/>
        <v>146779.70186211533</v>
      </c>
      <c r="CW160" s="128">
        <f t="shared" si="285"/>
        <v>0</v>
      </c>
      <c r="CX160" s="130">
        <f t="shared" si="407"/>
        <v>4.4999999999999998E-2</v>
      </c>
      <c r="CY160" s="128">
        <f t="shared" si="408"/>
        <v>0</v>
      </c>
      <c r="CZ160" s="128">
        <f t="shared" si="409"/>
        <v>146779.70186211533</v>
      </c>
      <c r="DA160" s="20"/>
      <c r="DB160" s="127">
        <f t="shared" si="350"/>
        <v>1274</v>
      </c>
      <c r="DC160" s="128">
        <f t="shared" si="351"/>
        <v>127400</v>
      </c>
      <c r="DD160" s="128">
        <f t="shared" si="344"/>
        <v>127400</v>
      </c>
      <c r="DE160" s="128">
        <f t="shared" si="449"/>
        <v>147831.50166329998</v>
      </c>
      <c r="DF160" s="130">
        <f t="shared" si="410"/>
        <v>4.9000000000000002E-2</v>
      </c>
      <c r="DG160" s="128">
        <f t="shared" si="411"/>
        <v>153264.30934942627</v>
      </c>
      <c r="DH160" s="128" t="str">
        <f t="shared" si="412"/>
        <v>nie</v>
      </c>
      <c r="DI160" s="128">
        <f t="shared" si="413"/>
        <v>2548</v>
      </c>
      <c r="DJ160" s="128">
        <f t="shared" si="355"/>
        <v>146286.21057303529</v>
      </c>
      <c r="DK160" s="128">
        <f t="shared" si="294"/>
        <v>0</v>
      </c>
      <c r="DL160" s="130">
        <f t="shared" si="414"/>
        <v>4.4999999999999998E-2</v>
      </c>
      <c r="DM160" s="128">
        <f t="shared" si="415"/>
        <v>108.69728660098602</v>
      </c>
      <c r="DN160" s="128">
        <f t="shared" si="416"/>
        <v>146394.90785963627</v>
      </c>
      <c r="DP160" s="127">
        <f t="shared" si="352"/>
        <v>1000</v>
      </c>
      <c r="DQ160" s="128">
        <f t="shared" si="353"/>
        <v>100000</v>
      </c>
      <c r="DR160" s="128">
        <f t="shared" si="346"/>
        <v>100000</v>
      </c>
      <c r="DS160" s="128">
        <f t="shared" si="450"/>
        <v>161447.28731747184</v>
      </c>
      <c r="DT160" s="130">
        <f t="shared" si="417"/>
        <v>5.4000000000000006E-2</v>
      </c>
      <c r="DU160" s="128">
        <f t="shared" si="418"/>
        <v>167985.90245382945</v>
      </c>
      <c r="DV160" s="128" t="str">
        <f t="shared" si="419"/>
        <v>nie</v>
      </c>
      <c r="DW160" s="128">
        <f t="shared" si="420"/>
        <v>3000</v>
      </c>
      <c r="DX160" s="128">
        <f t="shared" si="302"/>
        <v>152638.58098760186</v>
      </c>
      <c r="DY160" s="128">
        <f t="shared" si="303"/>
        <v>0</v>
      </c>
      <c r="DZ160" s="130">
        <f t="shared" si="421"/>
        <v>4.4999999999999998E-2</v>
      </c>
      <c r="EA160" s="128">
        <f t="shared" si="422"/>
        <v>0</v>
      </c>
      <c r="EB160" s="128">
        <f t="shared" si="423"/>
        <v>152638.58098760186</v>
      </c>
    </row>
    <row r="161" spans="1:132">
      <c r="A161" s="212"/>
      <c r="B161" s="188">
        <f t="shared" si="424"/>
        <v>117</v>
      </c>
      <c r="C161" s="128">
        <f t="shared" si="425"/>
        <v>147895.17316722838</v>
      </c>
      <c r="D161" s="128">
        <f t="shared" si="426"/>
        <v>146019.71232880294</v>
      </c>
      <c r="E161" s="128">
        <f t="shared" si="427"/>
        <v>145905.28317587386</v>
      </c>
      <c r="F161" s="128">
        <f t="shared" si="428"/>
        <v>141710.61841992949</v>
      </c>
      <c r="G161" s="128">
        <f t="shared" si="429"/>
        <v>146779.70186211533</v>
      </c>
      <c r="H161" s="128">
        <f t="shared" si="430"/>
        <v>146394.90785963627</v>
      </c>
      <c r="I161" s="128">
        <f t="shared" si="431"/>
        <v>152638.58098760186</v>
      </c>
      <c r="J161" s="128">
        <f t="shared" si="432"/>
        <v>142596.50972825359</v>
      </c>
      <c r="K161" s="128">
        <f t="shared" si="433"/>
        <v>132154.82357191757</v>
      </c>
      <c r="M161" s="36"/>
      <c r="N161" s="32">
        <f t="shared" si="434"/>
        <v>117</v>
      </c>
      <c r="O161" s="25">
        <f t="shared" si="318"/>
        <v>0.47895173167228378</v>
      </c>
      <c r="P161" s="25">
        <f t="shared" si="319"/>
        <v>0.46019712328802931</v>
      </c>
      <c r="Q161" s="25">
        <f t="shared" si="320"/>
        <v>0.45905283175873857</v>
      </c>
      <c r="R161" s="25">
        <f t="shared" si="370"/>
        <v>0.4171061841992949</v>
      </c>
      <c r="S161" s="25">
        <f t="shared" si="371"/>
        <v>0.4677970186211533</v>
      </c>
      <c r="T161" s="25">
        <f t="shared" si="372"/>
        <v>0.4639490785963627</v>
      </c>
      <c r="U161" s="25">
        <f t="shared" si="373"/>
        <v>0.52638580987601857</v>
      </c>
      <c r="V161" s="25">
        <f t="shared" si="374"/>
        <v>0.42596509728253595</v>
      </c>
      <c r="W161" s="25">
        <f t="shared" si="375"/>
        <v>0.32154823571917568</v>
      </c>
      <c r="X161" s="36"/>
      <c r="Y161" s="36"/>
      <c r="AA161" s="124">
        <f t="shared" si="321"/>
        <v>118</v>
      </c>
      <c r="AB161" s="128">
        <f t="shared" si="376"/>
        <v>132467.39920878128</v>
      </c>
      <c r="AC161" s="124">
        <f t="shared" si="322"/>
        <v>118</v>
      </c>
      <c r="AD161" s="130">
        <f t="shared" si="435"/>
        <v>4.4999999999999998E-2</v>
      </c>
      <c r="AE161" s="127">
        <f t="shared" si="436"/>
        <v>1444</v>
      </c>
      <c r="AF161" s="128">
        <f t="shared" si="437"/>
        <v>144260.80000000002</v>
      </c>
      <c r="AG161" s="128">
        <f t="shared" si="348"/>
        <v>144400</v>
      </c>
      <c r="AH161" s="128">
        <f t="shared" si="357"/>
        <v>144400</v>
      </c>
      <c r="AI161" s="130">
        <f t="shared" si="377"/>
        <v>4.4999999999999998E-2</v>
      </c>
      <c r="AJ161" s="128">
        <f t="shared" si="378"/>
        <v>144941.5</v>
      </c>
      <c r="AK161" s="128" t="str">
        <f t="shared" si="379"/>
        <v>nie</v>
      </c>
      <c r="AL161" s="128">
        <f t="shared" si="380"/>
        <v>722</v>
      </c>
      <c r="AM161" s="128">
        <f t="shared" si="361"/>
        <v>144253.79500000001</v>
      </c>
      <c r="AN161" s="128">
        <f t="shared" si="381"/>
        <v>438.61500000000001</v>
      </c>
      <c r="AO161" s="130">
        <f t="shared" si="382"/>
        <v>4.4999999999999998E-2</v>
      </c>
      <c r="AP161" s="128">
        <f t="shared" si="383"/>
        <v>4531.0011464738354</v>
      </c>
      <c r="AQ161" s="128">
        <f t="shared" si="362"/>
        <v>148346.18114647386</v>
      </c>
      <c r="AS161" s="124">
        <f t="shared" si="327"/>
        <v>118</v>
      </c>
      <c r="AT161" s="130">
        <f t="shared" si="328"/>
        <v>4.4999999999999998E-2</v>
      </c>
      <c r="AU161" s="127">
        <f t="shared" si="438"/>
        <v>1374</v>
      </c>
      <c r="AV161" s="128">
        <f t="shared" si="439"/>
        <v>137272.6</v>
      </c>
      <c r="AW161" s="128">
        <f t="shared" si="363"/>
        <v>137400</v>
      </c>
      <c r="AX161" s="128">
        <f t="shared" si="358"/>
        <v>137400</v>
      </c>
      <c r="AY161" s="130">
        <f t="shared" si="384"/>
        <v>4.65E-2</v>
      </c>
      <c r="AZ161" s="128">
        <f t="shared" si="385"/>
        <v>137932.42500000002</v>
      </c>
      <c r="BA161" s="128" t="str">
        <f t="shared" si="386"/>
        <v>nie</v>
      </c>
      <c r="BB161" s="128">
        <f t="shared" si="387"/>
        <v>961.8</v>
      </c>
      <c r="BC161" s="128">
        <f t="shared" si="367"/>
        <v>137052.20625000002</v>
      </c>
      <c r="BD161" s="128">
        <f t="shared" si="388"/>
        <v>431.26425000001416</v>
      </c>
      <c r="BE161" s="130">
        <f t="shared" si="264"/>
        <v>4.4999999999999998E-2</v>
      </c>
      <c r="BF161" s="128">
        <f t="shared" si="389"/>
        <v>9858.5833436767007</v>
      </c>
      <c r="BG161" s="128">
        <f t="shared" si="368"/>
        <v>146479.52534367671</v>
      </c>
      <c r="BI161" s="124">
        <f t="shared" si="332"/>
        <v>118</v>
      </c>
      <c r="BJ161" s="130">
        <f t="shared" si="451"/>
        <v>4.3200000000000002E-2</v>
      </c>
      <c r="BK161" s="127">
        <f t="shared" si="440"/>
        <v>1427</v>
      </c>
      <c r="BL161" s="128">
        <f t="shared" si="441"/>
        <v>142557.30000000002</v>
      </c>
      <c r="BM161" s="128">
        <f t="shared" si="349"/>
        <v>142700</v>
      </c>
      <c r="BN161" s="128">
        <f t="shared" si="442"/>
        <v>142700</v>
      </c>
      <c r="BO161" s="130">
        <f t="shared" si="390"/>
        <v>4.9000000000000002E-2</v>
      </c>
      <c r="BP161" s="128">
        <f t="shared" si="391"/>
        <v>148526.91666666666</v>
      </c>
      <c r="BQ161" s="128" t="str">
        <f t="shared" si="392"/>
        <v>nie</v>
      </c>
      <c r="BR161" s="128">
        <f t="shared" si="393"/>
        <v>1427</v>
      </c>
      <c r="BS161" s="128">
        <f t="shared" si="364"/>
        <v>146263.9325</v>
      </c>
      <c r="BT161" s="128">
        <f t="shared" si="443"/>
        <v>0</v>
      </c>
      <c r="BU161" s="130">
        <f t="shared" si="394"/>
        <v>4.4999999999999998E-2</v>
      </c>
      <c r="BV161" s="128">
        <f t="shared" si="271"/>
        <v>113.67516856120973</v>
      </c>
      <c r="BW161" s="128">
        <f t="shared" si="365"/>
        <v>146377.60766856119</v>
      </c>
      <c r="BY161" s="130">
        <f t="shared" si="452"/>
        <v>2.9000000000000001E-2</v>
      </c>
      <c r="BZ161" s="127">
        <f t="shared" si="444"/>
        <v>1344</v>
      </c>
      <c r="CA161" s="128">
        <f t="shared" si="445"/>
        <v>134279.90000000002</v>
      </c>
      <c r="CB161" s="128">
        <f t="shared" si="366"/>
        <v>134400</v>
      </c>
      <c r="CC161" s="128">
        <f t="shared" si="359"/>
        <v>134400</v>
      </c>
      <c r="CD161" s="130">
        <f t="shared" si="395"/>
        <v>4.3999999999999997E-2</v>
      </c>
      <c r="CE161" s="128">
        <f t="shared" si="396"/>
        <v>139328</v>
      </c>
      <c r="CF161" s="128" t="str">
        <f t="shared" si="397"/>
        <v>nie</v>
      </c>
      <c r="CG161" s="128">
        <f t="shared" si="398"/>
        <v>2688</v>
      </c>
      <c r="CH161" s="128">
        <f t="shared" si="369"/>
        <v>136214.39999999999</v>
      </c>
      <c r="CI161" s="128">
        <f t="shared" si="399"/>
        <v>0</v>
      </c>
      <c r="CJ161" s="130">
        <f t="shared" si="277"/>
        <v>4.4999999999999998E-2</v>
      </c>
      <c r="CK161" s="128">
        <f t="shared" si="400"/>
        <v>5913.2936561800525</v>
      </c>
      <c r="CL161" s="128">
        <f t="shared" si="401"/>
        <v>142127.69365618005</v>
      </c>
      <c r="CN161" s="127">
        <f t="shared" si="446"/>
        <v>1000</v>
      </c>
      <c r="CO161" s="128">
        <f t="shared" si="447"/>
        <v>100000</v>
      </c>
      <c r="CP161" s="128">
        <f t="shared" si="342"/>
        <v>100000</v>
      </c>
      <c r="CQ161" s="128">
        <f t="shared" si="448"/>
        <v>155054.46669716953</v>
      </c>
      <c r="CR161" s="130">
        <f t="shared" si="402"/>
        <v>4.9000000000000002E-2</v>
      </c>
      <c r="CS161" s="128">
        <f t="shared" si="403"/>
        <v>161385.85742063727</v>
      </c>
      <c r="CT161" s="128" t="str">
        <f t="shared" si="404"/>
        <v>nie</v>
      </c>
      <c r="CU161" s="128">
        <f t="shared" si="405"/>
        <v>3000</v>
      </c>
      <c r="CV161" s="128">
        <f t="shared" si="406"/>
        <v>147292.54451071619</v>
      </c>
      <c r="CW161" s="128">
        <f t="shared" si="285"/>
        <v>0</v>
      </c>
      <c r="CX161" s="130">
        <f t="shared" si="407"/>
        <v>4.4999999999999998E-2</v>
      </c>
      <c r="CY161" s="128">
        <f t="shared" si="408"/>
        <v>0</v>
      </c>
      <c r="CZ161" s="128">
        <f t="shared" si="409"/>
        <v>147292.54451071619</v>
      </c>
      <c r="DA161" s="20"/>
      <c r="DB161" s="127">
        <f t="shared" si="350"/>
        <v>1274</v>
      </c>
      <c r="DC161" s="128">
        <f t="shared" si="351"/>
        <v>127400</v>
      </c>
      <c r="DD161" s="128">
        <f t="shared" si="344"/>
        <v>127400</v>
      </c>
      <c r="DE161" s="128">
        <f t="shared" si="449"/>
        <v>147831.50166329998</v>
      </c>
      <c r="DF161" s="130">
        <f t="shared" si="410"/>
        <v>4.9000000000000002E-2</v>
      </c>
      <c r="DG161" s="128">
        <f t="shared" si="411"/>
        <v>153867.9546478847</v>
      </c>
      <c r="DH161" s="128" t="str">
        <f t="shared" si="412"/>
        <v>nie</v>
      </c>
      <c r="DI161" s="128">
        <f t="shared" si="413"/>
        <v>2548</v>
      </c>
      <c r="DJ161" s="128">
        <f t="shared" si="355"/>
        <v>146775.16326478662</v>
      </c>
      <c r="DK161" s="128">
        <f t="shared" si="294"/>
        <v>0</v>
      </c>
      <c r="DL161" s="130">
        <f t="shared" si="414"/>
        <v>4.4999999999999998E-2</v>
      </c>
      <c r="DM161" s="128">
        <f t="shared" si="415"/>
        <v>109.02745460903651</v>
      </c>
      <c r="DN161" s="128">
        <f t="shared" si="416"/>
        <v>146884.19071939564</v>
      </c>
      <c r="DP161" s="127">
        <f t="shared" si="352"/>
        <v>1000</v>
      </c>
      <c r="DQ161" s="128">
        <f t="shared" si="353"/>
        <v>100000</v>
      </c>
      <c r="DR161" s="128">
        <f t="shared" si="346"/>
        <v>100000</v>
      </c>
      <c r="DS161" s="128">
        <f t="shared" si="450"/>
        <v>161447.28731747184</v>
      </c>
      <c r="DT161" s="130">
        <f t="shared" si="417"/>
        <v>5.4000000000000006E-2</v>
      </c>
      <c r="DU161" s="128">
        <f t="shared" si="418"/>
        <v>168712.41524675806</v>
      </c>
      <c r="DV161" s="128" t="str">
        <f t="shared" si="419"/>
        <v>nie</v>
      </c>
      <c r="DW161" s="128">
        <f t="shared" si="420"/>
        <v>3000</v>
      </c>
      <c r="DX161" s="128">
        <f t="shared" si="302"/>
        <v>153227.05634987404</v>
      </c>
      <c r="DY161" s="128">
        <f t="shared" si="303"/>
        <v>0</v>
      </c>
      <c r="DZ161" s="130">
        <f t="shared" si="421"/>
        <v>4.4999999999999998E-2</v>
      </c>
      <c r="EA161" s="128">
        <f t="shared" si="422"/>
        <v>0</v>
      </c>
      <c r="EB161" s="128">
        <f t="shared" si="423"/>
        <v>153227.05634987404</v>
      </c>
    </row>
    <row r="162" spans="1:132">
      <c r="A162" s="212"/>
      <c r="B162" s="188">
        <f t="shared" si="424"/>
        <v>118</v>
      </c>
      <c r="C162" s="128">
        <f t="shared" si="425"/>
        <v>148346.18114647386</v>
      </c>
      <c r="D162" s="128">
        <f t="shared" si="426"/>
        <v>146479.52534367671</v>
      </c>
      <c r="E162" s="128">
        <f t="shared" si="427"/>
        <v>146377.60766856119</v>
      </c>
      <c r="F162" s="128">
        <f t="shared" si="428"/>
        <v>142127.69365618005</v>
      </c>
      <c r="G162" s="128">
        <f t="shared" si="429"/>
        <v>147292.54451071619</v>
      </c>
      <c r="H162" s="128">
        <f t="shared" si="430"/>
        <v>146884.19071939564</v>
      </c>
      <c r="I162" s="128">
        <f t="shared" si="431"/>
        <v>153227.05634987404</v>
      </c>
      <c r="J162" s="128">
        <f t="shared" si="432"/>
        <v>143029.64662655315</v>
      </c>
      <c r="K162" s="128">
        <f t="shared" si="433"/>
        <v>132467.39920878128</v>
      </c>
      <c r="M162" s="36"/>
      <c r="N162" s="32">
        <f t="shared" si="434"/>
        <v>118</v>
      </c>
      <c r="O162" s="25">
        <f t="shared" si="318"/>
        <v>0.48346181146473866</v>
      </c>
      <c r="P162" s="25">
        <f t="shared" si="319"/>
        <v>0.4647952534367672</v>
      </c>
      <c r="Q162" s="25">
        <f t="shared" si="320"/>
        <v>0.46377607668561183</v>
      </c>
      <c r="R162" s="25">
        <f t="shared" si="370"/>
        <v>0.42127693656180054</v>
      </c>
      <c r="S162" s="25">
        <f t="shared" si="371"/>
        <v>0.47292544510716183</v>
      </c>
      <c r="T162" s="25">
        <f t="shared" si="372"/>
        <v>0.46884190719395646</v>
      </c>
      <c r="U162" s="25">
        <f t="shared" si="373"/>
        <v>0.53227056349874036</v>
      </c>
      <c r="V162" s="25">
        <f t="shared" si="374"/>
        <v>0.43029646626553153</v>
      </c>
      <c r="W162" s="25">
        <f t="shared" si="375"/>
        <v>0.32467399208781278</v>
      </c>
      <c r="X162" s="36"/>
      <c r="Y162" s="36"/>
      <c r="AA162" s="124">
        <f t="shared" si="321"/>
        <v>119</v>
      </c>
      <c r="AB162" s="128">
        <f t="shared" si="376"/>
        <v>132779.97484564496</v>
      </c>
      <c r="AC162" s="124">
        <f t="shared" si="322"/>
        <v>119</v>
      </c>
      <c r="AD162" s="130">
        <f t="shared" si="435"/>
        <v>4.4999999999999998E-2</v>
      </c>
      <c r="AE162" s="127">
        <f t="shared" si="436"/>
        <v>1444</v>
      </c>
      <c r="AF162" s="128">
        <f t="shared" si="437"/>
        <v>144260.80000000002</v>
      </c>
      <c r="AG162" s="128">
        <f t="shared" si="348"/>
        <v>144400</v>
      </c>
      <c r="AH162" s="128">
        <f t="shared" si="357"/>
        <v>144400</v>
      </c>
      <c r="AI162" s="130">
        <f t="shared" si="377"/>
        <v>4.4999999999999998E-2</v>
      </c>
      <c r="AJ162" s="128">
        <f t="shared" si="378"/>
        <v>144941.5</v>
      </c>
      <c r="AK162" s="128" t="str">
        <f t="shared" si="379"/>
        <v>nie</v>
      </c>
      <c r="AL162" s="128">
        <f t="shared" si="380"/>
        <v>722</v>
      </c>
      <c r="AM162" s="128">
        <f t="shared" si="361"/>
        <v>144253.79500000001</v>
      </c>
      <c r="AN162" s="128">
        <f t="shared" si="381"/>
        <v>438.61500000000001</v>
      </c>
      <c r="AO162" s="130">
        <f t="shared" si="382"/>
        <v>4.4999999999999998E-2</v>
      </c>
      <c r="AP162" s="128">
        <f t="shared" si="383"/>
        <v>4983.3790624562498</v>
      </c>
      <c r="AQ162" s="128">
        <f t="shared" si="362"/>
        <v>148798.55906245628</v>
      </c>
      <c r="AS162" s="124">
        <f t="shared" si="327"/>
        <v>119</v>
      </c>
      <c r="AT162" s="130">
        <f t="shared" si="328"/>
        <v>4.4999999999999998E-2</v>
      </c>
      <c r="AU162" s="127">
        <f t="shared" si="438"/>
        <v>1374</v>
      </c>
      <c r="AV162" s="128">
        <f t="shared" si="439"/>
        <v>137272.6</v>
      </c>
      <c r="AW162" s="128">
        <f t="shared" si="363"/>
        <v>137400</v>
      </c>
      <c r="AX162" s="128">
        <f t="shared" si="358"/>
        <v>137400</v>
      </c>
      <c r="AY162" s="130">
        <f t="shared" si="384"/>
        <v>4.65E-2</v>
      </c>
      <c r="AZ162" s="128">
        <f t="shared" si="385"/>
        <v>137932.42500000002</v>
      </c>
      <c r="BA162" s="128" t="str">
        <f t="shared" si="386"/>
        <v>nie</v>
      </c>
      <c r="BB162" s="128">
        <f t="shared" si="387"/>
        <v>961.8</v>
      </c>
      <c r="BC162" s="128">
        <f t="shared" si="367"/>
        <v>137052.20625000002</v>
      </c>
      <c r="BD162" s="128">
        <f t="shared" si="388"/>
        <v>431.26425000001416</v>
      </c>
      <c r="BE162" s="130">
        <f t="shared" si="264"/>
        <v>4.4999999999999998E-2</v>
      </c>
      <c r="BF162" s="128">
        <f t="shared" si="389"/>
        <v>10319.793040583134</v>
      </c>
      <c r="BG162" s="128">
        <f t="shared" si="368"/>
        <v>146940.73504058312</v>
      </c>
      <c r="BI162" s="124">
        <f t="shared" si="332"/>
        <v>119</v>
      </c>
      <c r="BJ162" s="130">
        <f t="shared" si="451"/>
        <v>4.3200000000000002E-2</v>
      </c>
      <c r="BK162" s="127">
        <f t="shared" si="440"/>
        <v>1427</v>
      </c>
      <c r="BL162" s="128">
        <f t="shared" si="441"/>
        <v>142557.30000000002</v>
      </c>
      <c r="BM162" s="128">
        <f t="shared" si="349"/>
        <v>142700</v>
      </c>
      <c r="BN162" s="128">
        <f t="shared" si="442"/>
        <v>142700</v>
      </c>
      <c r="BO162" s="130">
        <f t="shared" si="390"/>
        <v>4.9000000000000002E-2</v>
      </c>
      <c r="BP162" s="128">
        <f t="shared" si="391"/>
        <v>149109.60833333334</v>
      </c>
      <c r="BQ162" s="128" t="str">
        <f t="shared" si="392"/>
        <v>nie</v>
      </c>
      <c r="BR162" s="128">
        <f t="shared" si="393"/>
        <v>1427</v>
      </c>
      <c r="BS162" s="128">
        <f t="shared" si="364"/>
        <v>146735.91275000002</v>
      </c>
      <c r="BT162" s="128">
        <f t="shared" si="443"/>
        <v>0</v>
      </c>
      <c r="BU162" s="130">
        <f t="shared" si="394"/>
        <v>4.4999999999999998E-2</v>
      </c>
      <c r="BV162" s="128">
        <f t="shared" si="271"/>
        <v>114.02045688571441</v>
      </c>
      <c r="BW162" s="128">
        <f t="shared" si="365"/>
        <v>146849.93320688573</v>
      </c>
      <c r="BY162" s="130">
        <f t="shared" si="452"/>
        <v>2.9000000000000001E-2</v>
      </c>
      <c r="BZ162" s="127">
        <f t="shared" si="444"/>
        <v>1344</v>
      </c>
      <c r="CA162" s="128">
        <f t="shared" si="445"/>
        <v>134279.90000000002</v>
      </c>
      <c r="CB162" s="128">
        <f t="shared" si="366"/>
        <v>134400</v>
      </c>
      <c r="CC162" s="128">
        <f t="shared" si="359"/>
        <v>134400</v>
      </c>
      <c r="CD162" s="130">
        <f t="shared" si="395"/>
        <v>4.3999999999999997E-2</v>
      </c>
      <c r="CE162" s="128">
        <f t="shared" si="396"/>
        <v>139820.79999999999</v>
      </c>
      <c r="CF162" s="128" t="str">
        <f t="shared" si="397"/>
        <v>nie</v>
      </c>
      <c r="CG162" s="128">
        <f t="shared" si="398"/>
        <v>2688</v>
      </c>
      <c r="CH162" s="128">
        <f t="shared" si="369"/>
        <v>136613.568</v>
      </c>
      <c r="CI162" s="128">
        <f t="shared" si="399"/>
        <v>0</v>
      </c>
      <c r="CJ162" s="130">
        <f t="shared" si="277"/>
        <v>4.4999999999999998E-2</v>
      </c>
      <c r="CK162" s="128">
        <f t="shared" si="400"/>
        <v>5931.2552856606999</v>
      </c>
      <c r="CL162" s="128">
        <f t="shared" si="401"/>
        <v>142544.82328566071</v>
      </c>
      <c r="CN162" s="127">
        <f t="shared" si="446"/>
        <v>1000</v>
      </c>
      <c r="CO162" s="128">
        <f t="shared" si="447"/>
        <v>100000</v>
      </c>
      <c r="CP162" s="128">
        <f t="shared" si="342"/>
        <v>100000</v>
      </c>
      <c r="CQ162" s="128">
        <f t="shared" si="448"/>
        <v>155054.46669716953</v>
      </c>
      <c r="CR162" s="130">
        <f t="shared" si="402"/>
        <v>4.9000000000000002E-2</v>
      </c>
      <c r="CS162" s="128">
        <f t="shared" si="403"/>
        <v>162018.99649298406</v>
      </c>
      <c r="CT162" s="128" t="str">
        <f t="shared" si="404"/>
        <v>nie</v>
      </c>
      <c r="CU162" s="128">
        <f t="shared" si="405"/>
        <v>3000</v>
      </c>
      <c r="CV162" s="128">
        <f t="shared" si="406"/>
        <v>147805.38715931709</v>
      </c>
      <c r="CW162" s="128">
        <f t="shared" si="285"/>
        <v>0</v>
      </c>
      <c r="CX162" s="130">
        <f t="shared" si="407"/>
        <v>4.4999999999999998E-2</v>
      </c>
      <c r="CY162" s="128">
        <f t="shared" si="408"/>
        <v>0</v>
      </c>
      <c r="CZ162" s="128">
        <f t="shared" si="409"/>
        <v>147805.38715931709</v>
      </c>
      <c r="DA162" s="20"/>
      <c r="DB162" s="127">
        <f t="shared" si="350"/>
        <v>1274</v>
      </c>
      <c r="DC162" s="128">
        <f t="shared" si="351"/>
        <v>127400</v>
      </c>
      <c r="DD162" s="128">
        <f t="shared" si="344"/>
        <v>127400</v>
      </c>
      <c r="DE162" s="128">
        <f t="shared" si="449"/>
        <v>147831.50166329998</v>
      </c>
      <c r="DF162" s="130">
        <f t="shared" si="410"/>
        <v>4.9000000000000002E-2</v>
      </c>
      <c r="DG162" s="128">
        <f t="shared" si="411"/>
        <v>154471.59994634319</v>
      </c>
      <c r="DH162" s="128" t="str">
        <f t="shared" si="412"/>
        <v>nie</v>
      </c>
      <c r="DI162" s="128">
        <f t="shared" si="413"/>
        <v>2548</v>
      </c>
      <c r="DJ162" s="128">
        <f t="shared" si="355"/>
        <v>147264.11595653798</v>
      </c>
      <c r="DK162" s="128">
        <f t="shared" si="294"/>
        <v>0</v>
      </c>
      <c r="DL162" s="130">
        <f t="shared" si="414"/>
        <v>4.4999999999999998E-2</v>
      </c>
      <c r="DM162" s="128">
        <f t="shared" si="415"/>
        <v>109.35862550241146</v>
      </c>
      <c r="DN162" s="128">
        <f t="shared" si="416"/>
        <v>147373.47458204039</v>
      </c>
      <c r="DP162" s="127">
        <f t="shared" si="352"/>
        <v>1000</v>
      </c>
      <c r="DQ162" s="128">
        <f t="shared" si="353"/>
        <v>100000</v>
      </c>
      <c r="DR162" s="128">
        <f t="shared" si="346"/>
        <v>100000</v>
      </c>
      <c r="DS162" s="128">
        <f t="shared" si="450"/>
        <v>161447.28731747184</v>
      </c>
      <c r="DT162" s="130">
        <f t="shared" si="417"/>
        <v>5.4000000000000006E-2</v>
      </c>
      <c r="DU162" s="128">
        <f t="shared" si="418"/>
        <v>169438.92803968673</v>
      </c>
      <c r="DV162" s="128" t="str">
        <f t="shared" si="419"/>
        <v>nie</v>
      </c>
      <c r="DW162" s="128">
        <f t="shared" si="420"/>
        <v>3000</v>
      </c>
      <c r="DX162" s="128">
        <f t="shared" si="302"/>
        <v>153815.53171214624</v>
      </c>
      <c r="DY162" s="128">
        <f t="shared" si="303"/>
        <v>0</v>
      </c>
      <c r="DZ162" s="130">
        <f t="shared" si="421"/>
        <v>4.4999999999999998E-2</v>
      </c>
      <c r="EA162" s="128">
        <f t="shared" si="422"/>
        <v>0</v>
      </c>
      <c r="EB162" s="128">
        <f t="shared" si="423"/>
        <v>153815.53171214624</v>
      </c>
    </row>
    <row r="163" spans="1:132" ht="14.25" customHeight="1">
      <c r="A163" s="212"/>
      <c r="B163" s="188">
        <f t="shared" si="424"/>
        <v>119</v>
      </c>
      <c r="C163" s="128">
        <f t="shared" si="425"/>
        <v>148798.55906245628</v>
      </c>
      <c r="D163" s="128">
        <f t="shared" si="426"/>
        <v>146940.73504058312</v>
      </c>
      <c r="E163" s="128">
        <f t="shared" si="427"/>
        <v>146849.93320688573</v>
      </c>
      <c r="F163" s="128">
        <f t="shared" si="428"/>
        <v>142544.82328566071</v>
      </c>
      <c r="G163" s="128">
        <f t="shared" si="429"/>
        <v>147805.38715931709</v>
      </c>
      <c r="H163" s="128">
        <f t="shared" si="430"/>
        <v>147373.47458204039</v>
      </c>
      <c r="I163" s="128">
        <f t="shared" si="431"/>
        <v>153815.53171214624</v>
      </c>
      <c r="J163" s="128">
        <f t="shared" si="432"/>
        <v>143464.09917818132</v>
      </c>
      <c r="K163" s="128">
        <f t="shared" si="433"/>
        <v>132779.97484564496</v>
      </c>
      <c r="M163" s="36"/>
      <c r="N163" s="32">
        <f t="shared" si="434"/>
        <v>119</v>
      </c>
      <c r="O163" s="25">
        <f t="shared" si="318"/>
        <v>0.4879855906245627</v>
      </c>
      <c r="P163" s="25">
        <f t="shared" si="319"/>
        <v>0.46940735040583115</v>
      </c>
      <c r="Q163" s="25">
        <f t="shared" si="320"/>
        <v>0.4684993320688573</v>
      </c>
      <c r="R163" s="25">
        <f t="shared" si="370"/>
        <v>0.42544823285660716</v>
      </c>
      <c r="S163" s="25">
        <f t="shared" si="371"/>
        <v>0.47805387159317081</v>
      </c>
      <c r="T163" s="25">
        <f t="shared" si="372"/>
        <v>0.47373474582040398</v>
      </c>
      <c r="U163" s="25">
        <f t="shared" si="373"/>
        <v>0.53815531712146236</v>
      </c>
      <c r="V163" s="25">
        <f t="shared" si="374"/>
        <v>0.43464099178181326</v>
      </c>
      <c r="W163" s="25">
        <f t="shared" si="375"/>
        <v>0.32779974845644966</v>
      </c>
      <c r="X163" s="36"/>
      <c r="Y163" s="36"/>
      <c r="AA163" s="124">
        <f t="shared" si="321"/>
        <v>120</v>
      </c>
      <c r="AB163" s="128">
        <f t="shared" si="376"/>
        <v>133092.55048250864</v>
      </c>
      <c r="AC163" s="124">
        <f t="shared" si="322"/>
        <v>120</v>
      </c>
      <c r="AD163" s="130">
        <f t="shared" si="435"/>
        <v>4.4999999999999998E-2</v>
      </c>
      <c r="AE163" s="127">
        <f t="shared" si="436"/>
        <v>1444</v>
      </c>
      <c r="AF163" s="128">
        <f t="shared" si="437"/>
        <v>144260.80000000002</v>
      </c>
      <c r="AG163" s="128">
        <f t="shared" si="348"/>
        <v>144400</v>
      </c>
      <c r="AH163" s="128">
        <f t="shared" si="357"/>
        <v>144400</v>
      </c>
      <c r="AI163" s="130">
        <f t="shared" si="377"/>
        <v>4.4999999999999998E-2</v>
      </c>
      <c r="AJ163" s="128">
        <f t="shared" si="378"/>
        <v>144941.5</v>
      </c>
      <c r="AK163" s="128" t="str">
        <f t="shared" si="379"/>
        <v>tak</v>
      </c>
      <c r="AL163" s="128">
        <f t="shared" si="380"/>
        <v>0</v>
      </c>
      <c r="AM163" s="128">
        <f t="shared" si="361"/>
        <v>144838.61499999999</v>
      </c>
      <c r="AN163" s="128">
        <f t="shared" si="381"/>
        <v>583.61499999999182</v>
      </c>
      <c r="AO163" s="130">
        <f t="shared" si="382"/>
        <v>4.4999999999999998E-2</v>
      </c>
      <c r="AP163" s="128">
        <f t="shared" si="383"/>
        <v>5582.1310763584524</v>
      </c>
      <c r="AQ163" s="128">
        <f t="shared" si="362"/>
        <v>149837.13107635846</v>
      </c>
      <c r="AS163" s="124">
        <f t="shared" si="327"/>
        <v>120</v>
      </c>
      <c r="AT163" s="130">
        <f t="shared" si="328"/>
        <v>4.4999999999999998E-2</v>
      </c>
      <c r="AU163" s="127">
        <f t="shared" si="438"/>
        <v>1374</v>
      </c>
      <c r="AV163" s="128">
        <f t="shared" si="439"/>
        <v>137272.6</v>
      </c>
      <c r="AW163" s="128">
        <f t="shared" si="363"/>
        <v>137400</v>
      </c>
      <c r="AX163" s="128">
        <f t="shared" si="358"/>
        <v>137400</v>
      </c>
      <c r="AY163" s="130">
        <f t="shared" si="384"/>
        <v>4.65E-2</v>
      </c>
      <c r="AZ163" s="128">
        <f t="shared" si="385"/>
        <v>137932.42500000002</v>
      </c>
      <c r="BA163" s="128" t="str">
        <f t="shared" si="386"/>
        <v>tak</v>
      </c>
      <c r="BB163" s="128">
        <f t="shared" si="387"/>
        <v>0</v>
      </c>
      <c r="BC163" s="128">
        <f t="shared" si="367"/>
        <v>137831.26425000001</v>
      </c>
      <c r="BD163" s="128">
        <f t="shared" si="388"/>
        <v>569.26425000000631</v>
      </c>
      <c r="BE163" s="130">
        <f t="shared" si="264"/>
        <v>4.4999999999999998E-2</v>
      </c>
      <c r="BF163" s="128">
        <f t="shared" si="389"/>
        <v>10920.40366194391</v>
      </c>
      <c r="BG163" s="128">
        <f t="shared" si="368"/>
        <v>148182.40366194391</v>
      </c>
      <c r="BI163" s="124">
        <f t="shared" si="332"/>
        <v>120</v>
      </c>
      <c r="BJ163" s="130">
        <f t="shared" si="451"/>
        <v>4.3200000000000002E-2</v>
      </c>
      <c r="BK163" s="127">
        <f t="shared" si="440"/>
        <v>1427</v>
      </c>
      <c r="BL163" s="128">
        <f t="shared" si="441"/>
        <v>142557.30000000002</v>
      </c>
      <c r="BM163" s="128">
        <f t="shared" si="349"/>
        <v>142700</v>
      </c>
      <c r="BN163" s="128">
        <f t="shared" si="442"/>
        <v>142700</v>
      </c>
      <c r="BO163" s="130">
        <f t="shared" si="390"/>
        <v>4.9000000000000002E-2</v>
      </c>
      <c r="BP163" s="128">
        <f t="shared" si="391"/>
        <v>149692.29999999999</v>
      </c>
      <c r="BQ163" s="128" t="str">
        <f t="shared" si="392"/>
        <v>nie</v>
      </c>
      <c r="BR163" s="128">
        <f t="shared" si="393"/>
        <v>1427</v>
      </c>
      <c r="BS163" s="128">
        <f t="shared" si="364"/>
        <v>147207.89299999998</v>
      </c>
      <c r="BT163" s="128">
        <f t="shared" si="443"/>
        <v>0</v>
      </c>
      <c r="BU163" s="130">
        <f t="shared" si="394"/>
        <v>4.4999999999999998E-2</v>
      </c>
      <c r="BV163" s="128">
        <f t="shared" si="271"/>
        <v>114.36679402350477</v>
      </c>
      <c r="BW163" s="128">
        <f t="shared" si="365"/>
        <v>147322.2597940235</v>
      </c>
      <c r="BY163" s="130">
        <f t="shared" si="452"/>
        <v>2.9000000000000001E-2</v>
      </c>
      <c r="BZ163" s="127">
        <f t="shared" si="444"/>
        <v>1344</v>
      </c>
      <c r="CA163" s="128">
        <f t="shared" si="445"/>
        <v>134279.90000000002</v>
      </c>
      <c r="CB163" s="128">
        <f t="shared" si="366"/>
        <v>134400</v>
      </c>
      <c r="CC163" s="128">
        <f t="shared" si="359"/>
        <v>134400</v>
      </c>
      <c r="CD163" s="130">
        <f t="shared" si="395"/>
        <v>4.3999999999999997E-2</v>
      </c>
      <c r="CE163" s="128">
        <f t="shared" si="396"/>
        <v>140313.60000000001</v>
      </c>
      <c r="CF163" s="128" t="str">
        <f t="shared" si="397"/>
        <v>nie</v>
      </c>
      <c r="CG163" s="128">
        <f t="shared" si="398"/>
        <v>2688</v>
      </c>
      <c r="CH163" s="128">
        <f t="shared" si="369"/>
        <v>137012.736</v>
      </c>
      <c r="CI163" s="128">
        <f t="shared" si="399"/>
        <v>4790.0160000000051</v>
      </c>
      <c r="CJ163" s="130">
        <f t="shared" si="277"/>
        <v>4.4999999999999998E-2</v>
      </c>
      <c r="CK163" s="128">
        <f t="shared" si="400"/>
        <v>10739.287473590899</v>
      </c>
      <c r="CL163" s="128">
        <f t="shared" si="401"/>
        <v>142962.0074735909</v>
      </c>
      <c r="CN163" s="127">
        <f t="shared" si="446"/>
        <v>1000</v>
      </c>
      <c r="CO163" s="128">
        <f t="shared" si="447"/>
        <v>100000</v>
      </c>
      <c r="CP163" s="128">
        <f t="shared" si="342"/>
        <v>100000</v>
      </c>
      <c r="CQ163" s="128">
        <f t="shared" si="448"/>
        <v>155054.46669716953</v>
      </c>
      <c r="CR163" s="130">
        <f t="shared" si="402"/>
        <v>4.9000000000000002E-2</v>
      </c>
      <c r="CS163" s="128">
        <f t="shared" si="403"/>
        <v>162652.13556533083</v>
      </c>
      <c r="CT163" s="128" t="str">
        <f t="shared" si="404"/>
        <v>tak</v>
      </c>
      <c r="CU163" s="128">
        <f t="shared" si="405"/>
        <v>0</v>
      </c>
      <c r="CV163" s="128">
        <f t="shared" si="406"/>
        <v>150748.22980791796</v>
      </c>
      <c r="CW163" s="128">
        <f t="shared" ref="CW163:CW186" si="453">IF(AND(CT163="tak",CO164&lt;&gt;""),
 CV163-CO164,
0)</f>
        <v>99.029807917948347</v>
      </c>
      <c r="CX163" s="130">
        <f t="shared" si="407"/>
        <v>4.4999999999999998E-2</v>
      </c>
      <c r="CY163" s="128">
        <f t="shared" si="408"/>
        <v>99.029807917948347</v>
      </c>
      <c r="CZ163" s="128">
        <f t="shared" si="409"/>
        <v>150748.22980791796</v>
      </c>
      <c r="DA163" s="20"/>
      <c r="DB163" s="127">
        <f t="shared" si="350"/>
        <v>1274</v>
      </c>
      <c r="DC163" s="128">
        <f t="shared" si="351"/>
        <v>127400</v>
      </c>
      <c r="DD163" s="128">
        <f t="shared" si="344"/>
        <v>127400</v>
      </c>
      <c r="DE163" s="128">
        <f t="shared" si="449"/>
        <v>147831.50166329998</v>
      </c>
      <c r="DF163" s="130">
        <f t="shared" si="410"/>
        <v>4.9000000000000002E-2</v>
      </c>
      <c r="DG163" s="128">
        <f t="shared" si="411"/>
        <v>155075.24524480166</v>
      </c>
      <c r="DH163" s="128" t="str">
        <f t="shared" si="412"/>
        <v>nie</v>
      </c>
      <c r="DI163" s="128">
        <f t="shared" si="413"/>
        <v>2548</v>
      </c>
      <c r="DJ163" s="128">
        <f t="shared" si="355"/>
        <v>147753.06864828934</v>
      </c>
      <c r="DK163" s="128">
        <f t="shared" ref="DK163:DK186" si="454">IF(AND(DH163="tak",DC164&lt;&gt;""),
 DJ163-DC164,
0)</f>
        <v>0</v>
      </c>
      <c r="DL163" s="130">
        <f t="shared" si="414"/>
        <v>4.4999999999999998E-2</v>
      </c>
      <c r="DM163" s="128">
        <f t="shared" si="415"/>
        <v>109.69080232737504</v>
      </c>
      <c r="DN163" s="128">
        <f t="shared" si="416"/>
        <v>147862.75945061672</v>
      </c>
      <c r="DP163" s="127">
        <f t="shared" si="352"/>
        <v>1000</v>
      </c>
      <c r="DQ163" s="128">
        <f t="shared" si="353"/>
        <v>100000</v>
      </c>
      <c r="DR163" s="128">
        <f t="shared" si="346"/>
        <v>100000</v>
      </c>
      <c r="DS163" s="128">
        <f t="shared" si="450"/>
        <v>161447.28731747184</v>
      </c>
      <c r="DT163" s="130">
        <f t="shared" si="417"/>
        <v>5.4000000000000006E-2</v>
      </c>
      <c r="DU163" s="128">
        <f t="shared" si="418"/>
        <v>170165.44083261534</v>
      </c>
      <c r="DV163" s="128" t="str">
        <f t="shared" si="419"/>
        <v>nie</v>
      </c>
      <c r="DW163" s="128">
        <f t="shared" si="420"/>
        <v>3000</v>
      </c>
      <c r="DX163" s="128">
        <f t="shared" si="302"/>
        <v>154404.00707441842</v>
      </c>
      <c r="DY163" s="128">
        <f t="shared" ref="DY163:DY186" si="455">IF(AND(DV163="tak",DQ164&lt;&gt;""),
 DX163-DQ164,
0)</f>
        <v>0</v>
      </c>
      <c r="DZ163" s="130">
        <f t="shared" si="421"/>
        <v>4.4999999999999998E-2</v>
      </c>
      <c r="EA163" s="128">
        <f t="shared" si="422"/>
        <v>0</v>
      </c>
      <c r="EB163" s="128">
        <f t="shared" si="423"/>
        <v>154404.00707441842</v>
      </c>
    </row>
    <row r="164" spans="1:132">
      <c r="A164" s="212"/>
      <c r="B164" s="188">
        <f t="shared" si="424"/>
        <v>120</v>
      </c>
      <c r="C164" s="128">
        <f t="shared" si="425"/>
        <v>149837.13107635846</v>
      </c>
      <c r="D164" s="128">
        <f t="shared" si="426"/>
        <v>148182.40366194391</v>
      </c>
      <c r="E164" s="128">
        <f t="shared" si="427"/>
        <v>147322.2597940235</v>
      </c>
      <c r="F164" s="128">
        <f t="shared" si="428"/>
        <v>142962.0074735909</v>
      </c>
      <c r="G164" s="128">
        <f t="shared" si="429"/>
        <v>150748.22980791796</v>
      </c>
      <c r="H164" s="128">
        <f t="shared" si="430"/>
        <v>147862.75945061672</v>
      </c>
      <c r="I164" s="128">
        <f t="shared" si="431"/>
        <v>154404.00707441842</v>
      </c>
      <c r="J164" s="128">
        <f t="shared" si="432"/>
        <v>143899.87137943506</v>
      </c>
      <c r="K164" s="128">
        <f t="shared" si="433"/>
        <v>133092.55048250864</v>
      </c>
      <c r="M164" s="36"/>
      <c r="N164" s="32">
        <f t="shared" si="434"/>
        <v>120</v>
      </c>
      <c r="O164" s="25">
        <f t="shared" si="318"/>
        <v>0.49837131076358454</v>
      </c>
      <c r="P164" s="25">
        <f t="shared" si="319"/>
        <v>0.48182403661943907</v>
      </c>
      <c r="Q164" s="25">
        <f t="shared" si="320"/>
        <v>0.47322259794023491</v>
      </c>
      <c r="R164" s="25">
        <f t="shared" si="370"/>
        <v>0.42962007473590891</v>
      </c>
      <c r="S164" s="25">
        <f t="shared" si="371"/>
        <v>0.50748229807917955</v>
      </c>
      <c r="T164" s="25">
        <f t="shared" si="372"/>
        <v>0.47862759450616732</v>
      </c>
      <c r="U164" s="25">
        <f t="shared" si="373"/>
        <v>0.54404007074418415</v>
      </c>
      <c r="V164" s="25">
        <f t="shared" si="374"/>
        <v>0.43899871379435051</v>
      </c>
      <c r="W164" s="25">
        <f t="shared" si="375"/>
        <v>0.33092550482508631</v>
      </c>
      <c r="X164" s="36"/>
      <c r="Y164" s="36"/>
      <c r="AA164" s="124">
        <f t="shared" si="321"/>
        <v>121</v>
      </c>
      <c r="AB164" s="128">
        <f t="shared" si="376"/>
        <v>133414.19081284138</v>
      </c>
      <c r="AC164" s="124">
        <f t="shared" si="322"/>
        <v>121</v>
      </c>
      <c r="AD164" s="130">
        <f t="shared" si="435"/>
        <v>4.4999999999999998E-2</v>
      </c>
      <c r="AE164" s="127">
        <f t="shared" si="436"/>
        <v>1504</v>
      </c>
      <c r="AF164" s="128">
        <f t="shared" si="437"/>
        <v>150255.1</v>
      </c>
      <c r="AG164" s="128">
        <f t="shared" si="348"/>
        <v>150400</v>
      </c>
      <c r="AH164" s="128">
        <f t="shared" si="357"/>
        <v>150400</v>
      </c>
      <c r="AI164" s="130">
        <f t="shared" si="377"/>
        <v>4.4999999999999998E-2</v>
      </c>
      <c r="AJ164" s="128">
        <f t="shared" si="378"/>
        <v>150964</v>
      </c>
      <c r="AK164" s="128" t="str">
        <f t="shared" si="379"/>
        <v>nie</v>
      </c>
      <c r="AL164" s="128">
        <f t="shared" si="380"/>
        <v>564</v>
      </c>
      <c r="AM164" s="128">
        <f t="shared" si="361"/>
        <v>150400</v>
      </c>
      <c r="AN164" s="128">
        <f t="shared" si="381"/>
        <v>456.84000000000003</v>
      </c>
      <c r="AO164" s="130">
        <f t="shared" si="382"/>
        <v>4.4999999999999998E-2</v>
      </c>
      <c r="AP164" s="128">
        <f t="shared" si="383"/>
        <v>539.22054950289123</v>
      </c>
      <c r="AQ164" s="128">
        <f t="shared" si="362"/>
        <v>155999.0867995029</v>
      </c>
      <c r="AS164" s="124">
        <f t="shared" si="327"/>
        <v>121</v>
      </c>
      <c r="AT164" s="130">
        <f t="shared" si="328"/>
        <v>4.4999999999999998E-2</v>
      </c>
      <c r="AU164" s="127">
        <f t="shared" si="438"/>
        <v>1488</v>
      </c>
      <c r="AV164" s="128">
        <f t="shared" si="439"/>
        <v>148662.1</v>
      </c>
      <c r="AW164" s="128">
        <f t="shared" si="363"/>
        <v>148800</v>
      </c>
      <c r="AX164" s="128">
        <f t="shared" si="358"/>
        <v>148800</v>
      </c>
      <c r="AY164" s="130">
        <f t="shared" si="384"/>
        <v>4.65E-2</v>
      </c>
      <c r="AZ164" s="128">
        <f t="shared" si="385"/>
        <v>149376.6</v>
      </c>
      <c r="BA164" s="128" t="str">
        <f t="shared" si="386"/>
        <v>nie</v>
      </c>
      <c r="BB164" s="128">
        <f t="shared" si="387"/>
        <v>576.60000000000582</v>
      </c>
      <c r="BC164" s="128">
        <f t="shared" si="367"/>
        <v>148800</v>
      </c>
      <c r="BD164" s="128">
        <f t="shared" si="388"/>
        <v>467.04600000000477</v>
      </c>
      <c r="BE164" s="130">
        <f t="shared" si="264"/>
        <v>4.4999999999999998E-2</v>
      </c>
      <c r="BF164" s="128">
        <f t="shared" si="389"/>
        <v>487.51163806706967</v>
      </c>
      <c r="BG164" s="128">
        <f t="shared" si="368"/>
        <v>159753.57438806706</v>
      </c>
      <c r="BI164" s="124">
        <f t="shared" si="332"/>
        <v>121</v>
      </c>
      <c r="BJ164" s="130">
        <f t="shared" si="451"/>
        <v>4.3200000000000002E-2</v>
      </c>
      <c r="BK164" s="127">
        <f t="shared" si="440"/>
        <v>1427</v>
      </c>
      <c r="BL164" s="128">
        <f t="shared" si="441"/>
        <v>142557.30000000002</v>
      </c>
      <c r="BM164" s="128">
        <f t="shared" si="349"/>
        <v>142700</v>
      </c>
      <c r="BN164" s="128">
        <f t="shared" si="442"/>
        <v>149692.29999999999</v>
      </c>
      <c r="BO164" s="130">
        <f t="shared" si="390"/>
        <v>4.9000000000000002E-2</v>
      </c>
      <c r="BP164" s="128">
        <f t="shared" si="391"/>
        <v>150303.54355833333</v>
      </c>
      <c r="BQ164" s="128" t="str">
        <f t="shared" si="392"/>
        <v>nie</v>
      </c>
      <c r="BR164" s="128">
        <f t="shared" si="393"/>
        <v>1427</v>
      </c>
      <c r="BS164" s="128">
        <f t="shared" si="364"/>
        <v>147703.00028225</v>
      </c>
      <c r="BT164" s="128">
        <f>IF(AND(BQ164="tak",BL165&lt;&gt;""),
 BS164-BL165,
0)</f>
        <v>0</v>
      </c>
      <c r="BU164" s="130">
        <f t="shared" si="394"/>
        <v>4.4999999999999998E-2</v>
      </c>
      <c r="BV164" s="128">
        <f t="shared" si="271"/>
        <v>114.71418316035117</v>
      </c>
      <c r="BW164" s="128">
        <f t="shared" si="365"/>
        <v>147817.71446541033</v>
      </c>
      <c r="BY164" s="130">
        <f t="shared" si="452"/>
        <v>2.9000000000000001E-2</v>
      </c>
      <c r="BZ164" s="127">
        <f t="shared" si="444"/>
        <v>1344</v>
      </c>
      <c r="CA164" s="128">
        <f t="shared" si="445"/>
        <v>134279.90000000002</v>
      </c>
      <c r="CB164" s="128">
        <f t="shared" si="366"/>
        <v>134400</v>
      </c>
      <c r="CC164" s="128">
        <f t="shared" si="359"/>
        <v>134400</v>
      </c>
      <c r="CD164" s="130">
        <f t="shared" si="395"/>
        <v>4.3999999999999997E-2</v>
      </c>
      <c r="CE164" s="128">
        <f t="shared" si="396"/>
        <v>134892.80000000002</v>
      </c>
      <c r="CF164" s="128" t="str">
        <f t="shared" si="397"/>
        <v>nie</v>
      </c>
      <c r="CG164" s="128">
        <f t="shared" si="398"/>
        <v>2688</v>
      </c>
      <c r="CH164" s="128">
        <f t="shared" si="369"/>
        <v>132621.88800000001</v>
      </c>
      <c r="CI164" s="128">
        <f t="shared" si="399"/>
        <v>0</v>
      </c>
      <c r="CJ164" s="130">
        <f t="shared" si="277"/>
        <v>4.4999999999999998E-2</v>
      </c>
      <c r="CK164" s="128">
        <f t="shared" si="400"/>
        <v>10771.908059291931</v>
      </c>
      <c r="CL164" s="128">
        <f t="shared" si="401"/>
        <v>143393.79605929193</v>
      </c>
      <c r="CN164" s="127">
        <f t="shared" si="446"/>
        <v>1508</v>
      </c>
      <c r="CO164" s="128">
        <f t="shared" si="447"/>
        <v>150649.20000000001</v>
      </c>
      <c r="CP164" s="128">
        <f t="shared" si="342"/>
        <v>150800</v>
      </c>
      <c r="CQ164" s="128">
        <f t="shared" si="448"/>
        <v>150800</v>
      </c>
      <c r="CR164" s="130">
        <f t="shared" si="402"/>
        <v>5.7500000000000002E-2</v>
      </c>
      <c r="CS164" s="128">
        <f t="shared" si="403"/>
        <v>151522.58333333334</v>
      </c>
      <c r="CT164" s="128" t="str">
        <f t="shared" si="404"/>
        <v>nie</v>
      </c>
      <c r="CU164" s="128">
        <f t="shared" si="405"/>
        <v>722.58333333334303</v>
      </c>
      <c r="CV164" s="128">
        <f t="shared" si="406"/>
        <v>150800</v>
      </c>
      <c r="CW164" s="128">
        <f t="shared" si="453"/>
        <v>0</v>
      </c>
      <c r="CX164" s="130">
        <f t="shared" si="407"/>
        <v>4.4999999999999998E-2</v>
      </c>
      <c r="CY164" s="128">
        <f t="shared" si="408"/>
        <v>99.330610959499111</v>
      </c>
      <c r="CZ164" s="128">
        <f t="shared" si="409"/>
        <v>150899.3306109595</v>
      </c>
      <c r="DA164" s="20"/>
      <c r="DB164" s="127">
        <f t="shared" si="350"/>
        <v>1274</v>
      </c>
      <c r="DC164" s="128">
        <f t="shared" si="351"/>
        <v>127400</v>
      </c>
      <c r="DD164" s="128">
        <f t="shared" si="344"/>
        <v>127400</v>
      </c>
      <c r="DE164" s="128">
        <f t="shared" si="449"/>
        <v>155075.24524480166</v>
      </c>
      <c r="DF164" s="130">
        <f t="shared" si="410"/>
        <v>4.9000000000000002E-2</v>
      </c>
      <c r="DG164" s="128">
        <f t="shared" si="411"/>
        <v>155708.4691628846</v>
      </c>
      <c r="DH164" s="128" t="str">
        <f t="shared" si="412"/>
        <v>nie</v>
      </c>
      <c r="DI164" s="128">
        <f t="shared" si="413"/>
        <v>2548</v>
      </c>
      <c r="DJ164" s="128">
        <f t="shared" si="355"/>
        <v>148265.98002193653</v>
      </c>
      <c r="DK164" s="128">
        <f t="shared" si="454"/>
        <v>0</v>
      </c>
      <c r="DL164" s="130">
        <f t="shared" si="414"/>
        <v>4.4999999999999998E-2</v>
      </c>
      <c r="DM164" s="128">
        <f t="shared" si="415"/>
        <v>110.02398813944444</v>
      </c>
      <c r="DN164" s="128">
        <f t="shared" si="416"/>
        <v>148376.00401007597</v>
      </c>
      <c r="DP164" s="127">
        <f t="shared" si="352"/>
        <v>1000</v>
      </c>
      <c r="DQ164" s="128">
        <f t="shared" si="353"/>
        <v>100000</v>
      </c>
      <c r="DR164" s="128">
        <f t="shared" si="346"/>
        <v>100000</v>
      </c>
      <c r="DS164" s="128">
        <f t="shared" si="450"/>
        <v>170165.44083261534</v>
      </c>
      <c r="DT164" s="130">
        <f t="shared" si="417"/>
        <v>5.4000000000000006E-2</v>
      </c>
      <c r="DU164" s="128">
        <f t="shared" si="418"/>
        <v>170931.1853163621</v>
      </c>
      <c r="DV164" s="128" t="str">
        <f t="shared" si="419"/>
        <v>nie</v>
      </c>
      <c r="DW164" s="128">
        <f t="shared" si="420"/>
        <v>3000</v>
      </c>
      <c r="DX164" s="128">
        <f t="shared" si="302"/>
        <v>155024.26010625329</v>
      </c>
      <c r="DY164" s="128">
        <f t="shared" si="455"/>
        <v>0</v>
      </c>
      <c r="DZ164" s="130">
        <f t="shared" si="421"/>
        <v>4.4999999999999998E-2</v>
      </c>
      <c r="EA164" s="128">
        <f t="shared" si="422"/>
        <v>0</v>
      </c>
      <c r="EB164" s="128">
        <f t="shared" si="423"/>
        <v>155024.26010625329</v>
      </c>
    </row>
    <row r="165" spans="1:132">
      <c r="A165" s="212">
        <f>ROUNDUP(B176/12,0)</f>
        <v>11</v>
      </c>
      <c r="B165" s="188">
        <f t="shared" si="424"/>
        <v>121</v>
      </c>
      <c r="C165" s="128">
        <f t="shared" si="425"/>
        <v>155999.0867995029</v>
      </c>
      <c r="D165" s="128">
        <f t="shared" si="426"/>
        <v>159753.57438806706</v>
      </c>
      <c r="E165" s="128">
        <f t="shared" si="427"/>
        <v>147817.71446541033</v>
      </c>
      <c r="F165" s="128">
        <f t="shared" si="428"/>
        <v>143393.79605929193</v>
      </c>
      <c r="G165" s="128">
        <f t="shared" si="429"/>
        <v>150899.3306109595</v>
      </c>
      <c r="H165" s="128">
        <f t="shared" si="430"/>
        <v>148376.00401007597</v>
      </c>
      <c r="I165" s="128">
        <f t="shared" si="431"/>
        <v>155024.26010625329</v>
      </c>
      <c r="J165" s="128">
        <f t="shared" si="432"/>
        <v>144336.96723875011</v>
      </c>
      <c r="K165" s="128">
        <f t="shared" si="433"/>
        <v>133414.19081284138</v>
      </c>
      <c r="M165" s="36"/>
      <c r="N165" s="32">
        <f t="shared" si="434"/>
        <v>121</v>
      </c>
      <c r="O165" s="25">
        <f t="shared" si="318"/>
        <v>0.55999086799502895</v>
      </c>
      <c r="P165" s="25">
        <f t="shared" si="319"/>
        <v>0.59753574388067054</v>
      </c>
      <c r="Q165" s="25">
        <f t="shared" si="320"/>
        <v>0.47817714465410321</v>
      </c>
      <c r="R165" s="25">
        <f t="shared" si="370"/>
        <v>0.43393796059291923</v>
      </c>
      <c r="S165" s="25">
        <f t="shared" si="371"/>
        <v>0.50899330610959503</v>
      </c>
      <c r="T165" s="25">
        <f t="shared" si="372"/>
        <v>0.48376004010075957</v>
      </c>
      <c r="U165" s="25">
        <f t="shared" si="373"/>
        <v>0.55024260106253298</v>
      </c>
      <c r="V165" s="25">
        <f t="shared" si="374"/>
        <v>0.44336967238750113</v>
      </c>
      <c r="W165" s="25">
        <f t="shared" si="375"/>
        <v>0.33414190812841382</v>
      </c>
      <c r="X165" s="36"/>
      <c r="Y165" s="36"/>
      <c r="AA165" s="124">
        <f t="shared" si="321"/>
        <v>122</v>
      </c>
      <c r="AB165" s="128">
        <f t="shared" si="376"/>
        <v>133735.83114317409</v>
      </c>
      <c r="AC165" s="124">
        <f t="shared" si="322"/>
        <v>122</v>
      </c>
      <c r="AD165" s="130">
        <f t="shared" si="435"/>
        <v>4.4999999999999998E-2</v>
      </c>
      <c r="AE165" s="127">
        <f t="shared" si="436"/>
        <v>1504</v>
      </c>
      <c r="AF165" s="128">
        <f t="shared" si="437"/>
        <v>150255.1</v>
      </c>
      <c r="AG165" s="128">
        <f t="shared" si="348"/>
        <v>150400</v>
      </c>
      <c r="AH165" s="128">
        <f t="shared" si="357"/>
        <v>150400</v>
      </c>
      <c r="AI165" s="130">
        <f t="shared" si="377"/>
        <v>4.4999999999999998E-2</v>
      </c>
      <c r="AJ165" s="128">
        <f t="shared" si="378"/>
        <v>150964</v>
      </c>
      <c r="AK165" s="128" t="str">
        <f t="shared" si="379"/>
        <v>nie</v>
      </c>
      <c r="AL165" s="128">
        <f t="shared" si="380"/>
        <v>752</v>
      </c>
      <c r="AM165" s="128">
        <f t="shared" si="361"/>
        <v>150247.72</v>
      </c>
      <c r="AN165" s="128">
        <f t="shared" si="381"/>
        <v>456.84000000000003</v>
      </c>
      <c r="AO165" s="130">
        <f t="shared" si="382"/>
        <v>4.4999999999999998E-2</v>
      </c>
      <c r="AP165" s="128">
        <f t="shared" si="383"/>
        <v>997.69843192200631</v>
      </c>
      <c r="AQ165" s="128">
        <f t="shared" si="362"/>
        <v>150788.57843192201</v>
      </c>
      <c r="AS165" s="124">
        <f t="shared" si="327"/>
        <v>122</v>
      </c>
      <c r="AT165" s="130">
        <f t="shared" si="328"/>
        <v>4.4999999999999998E-2</v>
      </c>
      <c r="AU165" s="127">
        <f t="shared" si="438"/>
        <v>1488</v>
      </c>
      <c r="AV165" s="128">
        <f t="shared" si="439"/>
        <v>148662.1</v>
      </c>
      <c r="AW165" s="128">
        <f t="shared" si="363"/>
        <v>148800</v>
      </c>
      <c r="AX165" s="128">
        <f t="shared" si="358"/>
        <v>148800</v>
      </c>
      <c r="AY165" s="130">
        <f t="shared" si="384"/>
        <v>4.65E-2</v>
      </c>
      <c r="AZ165" s="128">
        <f t="shared" si="385"/>
        <v>149376.6</v>
      </c>
      <c r="BA165" s="128" t="str">
        <f t="shared" si="386"/>
        <v>nie</v>
      </c>
      <c r="BB165" s="128">
        <f t="shared" si="387"/>
        <v>1041.5999999999999</v>
      </c>
      <c r="BC165" s="128">
        <f t="shared" si="367"/>
        <v>148423.35</v>
      </c>
      <c r="BD165" s="128">
        <f t="shared" si="388"/>
        <v>467.04600000000477</v>
      </c>
      <c r="BE165" s="130">
        <f t="shared" si="264"/>
        <v>4.4999999999999998E-2</v>
      </c>
      <c r="BF165" s="128">
        <f t="shared" si="389"/>
        <v>956.03845466770315</v>
      </c>
      <c r="BG165" s="128">
        <f t="shared" si="368"/>
        <v>148912.3424546677</v>
      </c>
      <c r="BI165" s="124">
        <f t="shared" si="332"/>
        <v>122</v>
      </c>
      <c r="BJ165" s="130">
        <f t="shared" si="451"/>
        <v>4.3200000000000002E-2</v>
      </c>
      <c r="BK165" s="127">
        <f t="shared" si="440"/>
        <v>1427</v>
      </c>
      <c r="BL165" s="128">
        <f t="shared" si="441"/>
        <v>142557.30000000002</v>
      </c>
      <c r="BM165" s="128">
        <f t="shared" si="349"/>
        <v>142700</v>
      </c>
      <c r="BN165" s="128">
        <f t="shared" si="442"/>
        <v>149692.29999999999</v>
      </c>
      <c r="BO165" s="130">
        <f t="shared" si="390"/>
        <v>4.9000000000000002E-2</v>
      </c>
      <c r="BP165" s="128">
        <f t="shared" si="391"/>
        <v>150914.78711666664</v>
      </c>
      <c r="BQ165" s="128" t="str">
        <f t="shared" si="392"/>
        <v>nie</v>
      </c>
      <c r="BR165" s="128">
        <f t="shared" si="393"/>
        <v>1427</v>
      </c>
      <c r="BS165" s="128">
        <f t="shared" si="364"/>
        <v>148198.10756449998</v>
      </c>
      <c r="BT165" s="128">
        <f t="shared" si="443"/>
        <v>0</v>
      </c>
      <c r="BU165" s="130">
        <f t="shared" si="394"/>
        <v>4.4999999999999998E-2</v>
      </c>
      <c r="BV165" s="128">
        <f t="shared" si="271"/>
        <v>115.06262749170074</v>
      </c>
      <c r="BW165" s="128">
        <f t="shared" si="365"/>
        <v>148313.17019199167</v>
      </c>
      <c r="BY165" s="130">
        <f t="shared" si="452"/>
        <v>2.9000000000000001E-2</v>
      </c>
      <c r="BZ165" s="127">
        <f t="shared" si="444"/>
        <v>1344</v>
      </c>
      <c r="CA165" s="128">
        <f t="shared" si="445"/>
        <v>134279.90000000002</v>
      </c>
      <c r="CB165" s="128">
        <f t="shared" si="366"/>
        <v>134400</v>
      </c>
      <c r="CC165" s="128">
        <f t="shared" si="359"/>
        <v>134400</v>
      </c>
      <c r="CD165" s="130">
        <f t="shared" si="395"/>
        <v>4.3999999999999997E-2</v>
      </c>
      <c r="CE165" s="128">
        <f t="shared" si="396"/>
        <v>135385.60000000001</v>
      </c>
      <c r="CF165" s="128" t="str">
        <f t="shared" si="397"/>
        <v>nie</v>
      </c>
      <c r="CG165" s="128">
        <f t="shared" si="398"/>
        <v>2688</v>
      </c>
      <c r="CH165" s="128">
        <f t="shared" si="369"/>
        <v>133021.05600000001</v>
      </c>
      <c r="CI165" s="128">
        <f t="shared" si="399"/>
        <v>0</v>
      </c>
      <c r="CJ165" s="130">
        <f t="shared" si="277"/>
        <v>4.4999999999999998E-2</v>
      </c>
      <c r="CK165" s="128">
        <f t="shared" si="400"/>
        <v>10804.62773002203</v>
      </c>
      <c r="CL165" s="128">
        <f t="shared" si="401"/>
        <v>143825.68373002205</v>
      </c>
      <c r="CN165" s="127">
        <f t="shared" si="446"/>
        <v>1508</v>
      </c>
      <c r="CO165" s="128">
        <f t="shared" si="447"/>
        <v>150649.20000000001</v>
      </c>
      <c r="CP165" s="128">
        <f t="shared" si="342"/>
        <v>150800</v>
      </c>
      <c r="CQ165" s="128">
        <f t="shared" si="448"/>
        <v>150800</v>
      </c>
      <c r="CR165" s="130">
        <f t="shared" si="402"/>
        <v>5.7500000000000002E-2</v>
      </c>
      <c r="CS165" s="128">
        <f t="shared" si="403"/>
        <v>152245.16666666666</v>
      </c>
      <c r="CT165" s="128" t="str">
        <f t="shared" si="404"/>
        <v>nie</v>
      </c>
      <c r="CU165" s="128">
        <f t="shared" si="405"/>
        <v>1445.166666666657</v>
      </c>
      <c r="CV165" s="128">
        <f t="shared" si="406"/>
        <v>150800</v>
      </c>
      <c r="CW165" s="128">
        <f t="shared" si="453"/>
        <v>0</v>
      </c>
      <c r="CX165" s="130">
        <f t="shared" si="407"/>
        <v>4.4999999999999998E-2</v>
      </c>
      <c r="CY165" s="128">
        <f t="shared" si="408"/>
        <v>99.632327690288591</v>
      </c>
      <c r="CZ165" s="128">
        <f t="shared" si="409"/>
        <v>150899.63232769028</v>
      </c>
      <c r="DA165" s="20"/>
      <c r="DB165" s="127">
        <f t="shared" si="350"/>
        <v>1274</v>
      </c>
      <c r="DC165" s="128">
        <f t="shared" si="351"/>
        <v>127400</v>
      </c>
      <c r="DD165" s="128">
        <f t="shared" si="344"/>
        <v>127400</v>
      </c>
      <c r="DE165" s="128">
        <f t="shared" si="449"/>
        <v>155075.24524480166</v>
      </c>
      <c r="DF165" s="130">
        <f t="shared" si="410"/>
        <v>4.9000000000000002E-2</v>
      </c>
      <c r="DG165" s="128">
        <f t="shared" si="411"/>
        <v>156341.69308096753</v>
      </c>
      <c r="DH165" s="128" t="str">
        <f t="shared" si="412"/>
        <v>nie</v>
      </c>
      <c r="DI165" s="128">
        <f t="shared" si="413"/>
        <v>2548</v>
      </c>
      <c r="DJ165" s="128">
        <f t="shared" si="355"/>
        <v>148778.89139558369</v>
      </c>
      <c r="DK165" s="128">
        <f t="shared" si="454"/>
        <v>0</v>
      </c>
      <c r="DL165" s="130">
        <f t="shared" si="414"/>
        <v>4.4999999999999998E-2</v>
      </c>
      <c r="DM165" s="128">
        <f t="shared" si="415"/>
        <v>110.35818600341801</v>
      </c>
      <c r="DN165" s="128">
        <f t="shared" si="416"/>
        <v>148889.24958158712</v>
      </c>
      <c r="DP165" s="127">
        <f t="shared" si="352"/>
        <v>1000</v>
      </c>
      <c r="DQ165" s="128">
        <f t="shared" si="353"/>
        <v>100000</v>
      </c>
      <c r="DR165" s="128">
        <f t="shared" si="346"/>
        <v>100000</v>
      </c>
      <c r="DS165" s="128">
        <f t="shared" si="450"/>
        <v>170165.44083261534</v>
      </c>
      <c r="DT165" s="130">
        <f t="shared" si="417"/>
        <v>5.4000000000000006E-2</v>
      </c>
      <c r="DU165" s="128">
        <f t="shared" si="418"/>
        <v>171696.92980010886</v>
      </c>
      <c r="DV165" s="128" t="str">
        <f t="shared" si="419"/>
        <v>nie</v>
      </c>
      <c r="DW165" s="128">
        <f t="shared" si="420"/>
        <v>3000</v>
      </c>
      <c r="DX165" s="128">
        <f t="shared" si="302"/>
        <v>155644.51313808816</v>
      </c>
      <c r="DY165" s="128">
        <f t="shared" si="455"/>
        <v>0</v>
      </c>
      <c r="DZ165" s="130">
        <f t="shared" si="421"/>
        <v>4.4999999999999998E-2</v>
      </c>
      <c r="EA165" s="128">
        <f t="shared" si="422"/>
        <v>0</v>
      </c>
      <c r="EB165" s="128">
        <f t="shared" si="423"/>
        <v>155644.51313808816</v>
      </c>
    </row>
    <row r="166" spans="1:132">
      <c r="A166" s="212"/>
      <c r="B166" s="188">
        <f t="shared" si="424"/>
        <v>122</v>
      </c>
      <c r="C166" s="128">
        <f t="shared" si="425"/>
        <v>150788.57843192201</v>
      </c>
      <c r="D166" s="128">
        <f t="shared" si="426"/>
        <v>148912.3424546677</v>
      </c>
      <c r="E166" s="128">
        <f t="shared" si="427"/>
        <v>148313.17019199167</v>
      </c>
      <c r="F166" s="128">
        <f t="shared" si="428"/>
        <v>143825.68373002205</v>
      </c>
      <c r="G166" s="128">
        <f t="shared" si="429"/>
        <v>150899.63232769028</v>
      </c>
      <c r="H166" s="128">
        <f t="shared" si="430"/>
        <v>148889.24958158712</v>
      </c>
      <c r="I166" s="128">
        <f t="shared" si="431"/>
        <v>155644.51313808816</v>
      </c>
      <c r="J166" s="128">
        <f t="shared" si="432"/>
        <v>144775.39077673783</v>
      </c>
      <c r="K166" s="128">
        <f t="shared" si="433"/>
        <v>133735.83114317409</v>
      </c>
      <c r="M166" s="36"/>
      <c r="N166" s="32">
        <f t="shared" si="434"/>
        <v>122</v>
      </c>
      <c r="O166" s="25">
        <f t="shared" si="318"/>
        <v>0.50788578431922016</v>
      </c>
      <c r="P166" s="25">
        <f t="shared" si="319"/>
        <v>0.4891234245466769</v>
      </c>
      <c r="Q166" s="25">
        <f t="shared" si="320"/>
        <v>0.48313170191991661</v>
      </c>
      <c r="R166" s="25">
        <f t="shared" si="370"/>
        <v>0.43825683730022047</v>
      </c>
      <c r="S166" s="25">
        <f t="shared" si="371"/>
        <v>0.50899632327690281</v>
      </c>
      <c r="T166" s="25">
        <f t="shared" si="372"/>
        <v>0.48889249581587113</v>
      </c>
      <c r="U166" s="25">
        <f t="shared" si="373"/>
        <v>0.55644513138088159</v>
      </c>
      <c r="V166" s="25">
        <f t="shared" si="374"/>
        <v>0.44775390776737822</v>
      </c>
      <c r="W166" s="25">
        <f t="shared" si="375"/>
        <v>0.33735831143174089</v>
      </c>
      <c r="X166" s="36"/>
      <c r="Y166" s="36"/>
      <c r="AA166" s="124">
        <f t="shared" si="321"/>
        <v>123</v>
      </c>
      <c r="AB166" s="128">
        <f t="shared" si="376"/>
        <v>134057.47147350683</v>
      </c>
      <c r="AC166" s="124">
        <f t="shared" si="322"/>
        <v>123</v>
      </c>
      <c r="AD166" s="130">
        <f t="shared" si="435"/>
        <v>4.4999999999999998E-2</v>
      </c>
      <c r="AE166" s="127">
        <f t="shared" si="436"/>
        <v>1504</v>
      </c>
      <c r="AF166" s="128">
        <f t="shared" si="437"/>
        <v>150255.1</v>
      </c>
      <c r="AG166" s="128">
        <f t="shared" si="348"/>
        <v>150400</v>
      </c>
      <c r="AH166" s="128">
        <f t="shared" si="357"/>
        <v>150400</v>
      </c>
      <c r="AI166" s="130">
        <f t="shared" si="377"/>
        <v>4.4999999999999998E-2</v>
      </c>
      <c r="AJ166" s="128">
        <f t="shared" si="378"/>
        <v>150964</v>
      </c>
      <c r="AK166" s="128" t="str">
        <f t="shared" si="379"/>
        <v>nie</v>
      </c>
      <c r="AL166" s="128">
        <f t="shared" si="380"/>
        <v>752</v>
      </c>
      <c r="AM166" s="128">
        <f t="shared" si="361"/>
        <v>150247.72</v>
      </c>
      <c r="AN166" s="128">
        <f t="shared" si="381"/>
        <v>456.84000000000003</v>
      </c>
      <c r="AO166" s="130">
        <f t="shared" si="382"/>
        <v>4.4999999999999998E-2</v>
      </c>
      <c r="AP166" s="128">
        <f t="shared" si="383"/>
        <v>1457.5689409089696</v>
      </c>
      <c r="AQ166" s="128">
        <f t="shared" si="362"/>
        <v>151248.44894090897</v>
      </c>
      <c r="AS166" s="124">
        <f t="shared" si="327"/>
        <v>123</v>
      </c>
      <c r="AT166" s="130">
        <f t="shared" si="328"/>
        <v>4.4999999999999998E-2</v>
      </c>
      <c r="AU166" s="127">
        <f t="shared" si="438"/>
        <v>1488</v>
      </c>
      <c r="AV166" s="128">
        <f t="shared" si="439"/>
        <v>148662.1</v>
      </c>
      <c r="AW166" s="128">
        <f t="shared" si="363"/>
        <v>148800</v>
      </c>
      <c r="AX166" s="128">
        <f t="shared" si="358"/>
        <v>148800</v>
      </c>
      <c r="AY166" s="130">
        <f t="shared" si="384"/>
        <v>4.65E-2</v>
      </c>
      <c r="AZ166" s="128">
        <f t="shared" si="385"/>
        <v>149376.6</v>
      </c>
      <c r="BA166" s="128" t="str">
        <f t="shared" si="386"/>
        <v>nie</v>
      </c>
      <c r="BB166" s="128">
        <f t="shared" si="387"/>
        <v>1041.5999999999999</v>
      </c>
      <c r="BC166" s="128">
        <f t="shared" si="367"/>
        <v>148423.35</v>
      </c>
      <c r="BD166" s="128">
        <f t="shared" si="388"/>
        <v>467.04600000000477</v>
      </c>
      <c r="BE166" s="130">
        <f t="shared" si="264"/>
        <v>4.4999999999999998E-2</v>
      </c>
      <c r="BF166" s="128">
        <f t="shared" si="389"/>
        <v>1425.988421473761</v>
      </c>
      <c r="BG166" s="128">
        <f t="shared" si="368"/>
        <v>149382.29242147377</v>
      </c>
      <c r="BI166" s="124">
        <f t="shared" si="332"/>
        <v>123</v>
      </c>
      <c r="BJ166" s="130">
        <f t="shared" si="451"/>
        <v>4.3200000000000002E-2</v>
      </c>
      <c r="BK166" s="127">
        <f t="shared" si="440"/>
        <v>1427</v>
      </c>
      <c r="BL166" s="128">
        <f t="shared" si="441"/>
        <v>142557.30000000002</v>
      </c>
      <c r="BM166" s="128">
        <f t="shared" si="349"/>
        <v>142700</v>
      </c>
      <c r="BN166" s="128">
        <f t="shared" si="442"/>
        <v>149692.29999999999</v>
      </c>
      <c r="BO166" s="130">
        <f t="shared" si="390"/>
        <v>4.9000000000000002E-2</v>
      </c>
      <c r="BP166" s="128">
        <f t="shared" si="391"/>
        <v>151526.03067500002</v>
      </c>
      <c r="BQ166" s="128" t="str">
        <f t="shared" si="392"/>
        <v>nie</v>
      </c>
      <c r="BR166" s="128">
        <f t="shared" si="393"/>
        <v>1427</v>
      </c>
      <c r="BS166" s="128">
        <f t="shared" si="364"/>
        <v>148693.21484675002</v>
      </c>
      <c r="BT166" s="128">
        <f t="shared" ref="BT166:BT186" si="456">IF(AND(BQ166="tak",BL167&lt;&gt;""),
 BS166-BL167,
0)</f>
        <v>0</v>
      </c>
      <c r="BU166" s="130">
        <f t="shared" si="394"/>
        <v>4.4999999999999998E-2</v>
      </c>
      <c r="BV166" s="128">
        <f t="shared" si="271"/>
        <v>115.41213022270678</v>
      </c>
      <c r="BW166" s="128">
        <f t="shared" si="365"/>
        <v>148808.62697697274</v>
      </c>
      <c r="BY166" s="130">
        <f t="shared" si="452"/>
        <v>2.9000000000000001E-2</v>
      </c>
      <c r="BZ166" s="127">
        <f t="shared" si="444"/>
        <v>1344</v>
      </c>
      <c r="CA166" s="128">
        <f t="shared" si="445"/>
        <v>134279.90000000002</v>
      </c>
      <c r="CB166" s="128">
        <f t="shared" si="366"/>
        <v>134400</v>
      </c>
      <c r="CC166" s="128">
        <f t="shared" si="359"/>
        <v>134400</v>
      </c>
      <c r="CD166" s="130">
        <f t="shared" si="395"/>
        <v>4.3999999999999997E-2</v>
      </c>
      <c r="CE166" s="128">
        <f t="shared" si="396"/>
        <v>135878.39999999999</v>
      </c>
      <c r="CF166" s="128" t="str">
        <f t="shared" si="397"/>
        <v>nie</v>
      </c>
      <c r="CG166" s="128">
        <f t="shared" si="398"/>
        <v>2688</v>
      </c>
      <c r="CH166" s="128">
        <f t="shared" si="369"/>
        <v>133420.22399999999</v>
      </c>
      <c r="CI166" s="128">
        <f t="shared" si="399"/>
        <v>0</v>
      </c>
      <c r="CJ166" s="130">
        <f t="shared" si="277"/>
        <v>4.4999999999999998E-2</v>
      </c>
      <c r="CK166" s="128">
        <f t="shared" si="400"/>
        <v>10837.446786751972</v>
      </c>
      <c r="CL166" s="128">
        <f t="shared" si="401"/>
        <v>144257.67078675196</v>
      </c>
      <c r="CN166" s="127">
        <f t="shared" si="446"/>
        <v>1508</v>
      </c>
      <c r="CO166" s="128">
        <f t="shared" si="447"/>
        <v>150649.20000000001</v>
      </c>
      <c r="CP166" s="128">
        <f t="shared" si="342"/>
        <v>150800</v>
      </c>
      <c r="CQ166" s="128">
        <f t="shared" si="448"/>
        <v>150800</v>
      </c>
      <c r="CR166" s="130">
        <f t="shared" si="402"/>
        <v>5.7500000000000002E-2</v>
      </c>
      <c r="CS166" s="128">
        <f t="shared" si="403"/>
        <v>152967.75</v>
      </c>
      <c r="CT166" s="128" t="str">
        <f t="shared" si="404"/>
        <v>nie</v>
      </c>
      <c r="CU166" s="128">
        <f t="shared" si="405"/>
        <v>2167.75</v>
      </c>
      <c r="CV166" s="128">
        <f t="shared" si="406"/>
        <v>150800</v>
      </c>
      <c r="CW166" s="128">
        <f t="shared" si="453"/>
        <v>0</v>
      </c>
      <c r="CX166" s="130">
        <f t="shared" si="407"/>
        <v>4.4999999999999998E-2</v>
      </c>
      <c r="CY166" s="128">
        <f t="shared" si="408"/>
        <v>99.93496088564784</v>
      </c>
      <c r="CZ166" s="128">
        <f t="shared" si="409"/>
        <v>150899.93496088564</v>
      </c>
      <c r="DA166" s="20"/>
      <c r="DB166" s="127">
        <f t="shared" si="350"/>
        <v>1274</v>
      </c>
      <c r="DC166" s="128">
        <f t="shared" si="351"/>
        <v>127400</v>
      </c>
      <c r="DD166" s="128">
        <f t="shared" si="344"/>
        <v>127400</v>
      </c>
      <c r="DE166" s="128">
        <f t="shared" si="449"/>
        <v>155075.24524480166</v>
      </c>
      <c r="DF166" s="130">
        <f t="shared" si="410"/>
        <v>4.9000000000000002E-2</v>
      </c>
      <c r="DG166" s="128">
        <f t="shared" si="411"/>
        <v>156974.9169990505</v>
      </c>
      <c r="DH166" s="128" t="str">
        <f t="shared" si="412"/>
        <v>nie</v>
      </c>
      <c r="DI166" s="128">
        <f t="shared" si="413"/>
        <v>2548</v>
      </c>
      <c r="DJ166" s="128">
        <f t="shared" si="355"/>
        <v>149291.80276923091</v>
      </c>
      <c r="DK166" s="128">
        <f t="shared" si="454"/>
        <v>0</v>
      </c>
      <c r="DL166" s="130">
        <f t="shared" si="414"/>
        <v>4.4999999999999998E-2</v>
      </c>
      <c r="DM166" s="128">
        <f t="shared" si="415"/>
        <v>110.69339899340339</v>
      </c>
      <c r="DN166" s="128">
        <f t="shared" si="416"/>
        <v>149402.49616822432</v>
      </c>
      <c r="DP166" s="127">
        <f t="shared" si="352"/>
        <v>1000</v>
      </c>
      <c r="DQ166" s="128">
        <f t="shared" si="353"/>
        <v>100000</v>
      </c>
      <c r="DR166" s="128">
        <f t="shared" si="346"/>
        <v>100000</v>
      </c>
      <c r="DS166" s="128">
        <f t="shared" si="450"/>
        <v>170165.44083261534</v>
      </c>
      <c r="DT166" s="130">
        <f t="shared" si="417"/>
        <v>5.4000000000000006E-2</v>
      </c>
      <c r="DU166" s="128">
        <f t="shared" si="418"/>
        <v>172462.67428385565</v>
      </c>
      <c r="DV166" s="128" t="str">
        <f t="shared" si="419"/>
        <v>nie</v>
      </c>
      <c r="DW166" s="128">
        <f t="shared" si="420"/>
        <v>3000</v>
      </c>
      <c r="DX166" s="128">
        <f t="shared" si="302"/>
        <v>156264.76616992307</v>
      </c>
      <c r="DY166" s="128">
        <f t="shared" si="455"/>
        <v>0</v>
      </c>
      <c r="DZ166" s="130">
        <f t="shared" si="421"/>
        <v>4.4999999999999998E-2</v>
      </c>
      <c r="EA166" s="128">
        <f t="shared" si="422"/>
        <v>0</v>
      </c>
      <c r="EB166" s="128">
        <f t="shared" si="423"/>
        <v>156264.76616992307</v>
      </c>
    </row>
    <row r="167" spans="1:132">
      <c r="A167" s="212"/>
      <c r="B167" s="188">
        <f t="shared" si="424"/>
        <v>123</v>
      </c>
      <c r="C167" s="128">
        <f t="shared" si="425"/>
        <v>151248.44894090897</v>
      </c>
      <c r="D167" s="128">
        <f t="shared" si="426"/>
        <v>149382.29242147377</v>
      </c>
      <c r="E167" s="128">
        <f t="shared" si="427"/>
        <v>148808.62697697274</v>
      </c>
      <c r="F167" s="128">
        <f t="shared" si="428"/>
        <v>144257.67078675196</v>
      </c>
      <c r="G167" s="128">
        <f t="shared" si="429"/>
        <v>150899.93496088564</v>
      </c>
      <c r="H167" s="128">
        <f t="shared" si="430"/>
        <v>149402.49616822432</v>
      </c>
      <c r="I167" s="128">
        <f t="shared" si="431"/>
        <v>156264.76616992307</v>
      </c>
      <c r="J167" s="128">
        <f t="shared" si="432"/>
        <v>145215.14602622218</v>
      </c>
      <c r="K167" s="128">
        <f t="shared" si="433"/>
        <v>134057.47147350683</v>
      </c>
      <c r="M167" s="36"/>
      <c r="N167" s="32">
        <f t="shared" si="434"/>
        <v>123</v>
      </c>
      <c r="O167" s="25">
        <f t="shared" si="318"/>
        <v>0.51248448940908964</v>
      </c>
      <c r="P167" s="25">
        <f t="shared" si="319"/>
        <v>0.49382292421473761</v>
      </c>
      <c r="Q167" s="25">
        <f t="shared" si="320"/>
        <v>0.48808626976972747</v>
      </c>
      <c r="R167" s="25">
        <f t="shared" si="370"/>
        <v>0.44257670786751957</v>
      </c>
      <c r="S167" s="25">
        <f t="shared" si="371"/>
        <v>0.50899934960885651</v>
      </c>
      <c r="T167" s="25">
        <f t="shared" si="372"/>
        <v>0.49402496168224319</v>
      </c>
      <c r="U167" s="25">
        <f t="shared" si="373"/>
        <v>0.56264766169923064</v>
      </c>
      <c r="V167" s="25">
        <f t="shared" si="374"/>
        <v>0.45215146026222186</v>
      </c>
      <c r="W167" s="25">
        <f t="shared" si="375"/>
        <v>0.34057471473506817</v>
      </c>
      <c r="X167" s="36"/>
      <c r="Y167" s="36"/>
      <c r="AA167" s="124">
        <f t="shared" si="321"/>
        <v>124</v>
      </c>
      <c r="AB167" s="128">
        <f t="shared" si="376"/>
        <v>134379.11180383957</v>
      </c>
      <c r="AC167" s="124">
        <f t="shared" si="322"/>
        <v>124</v>
      </c>
      <c r="AD167" s="130">
        <f t="shared" si="435"/>
        <v>4.4999999999999998E-2</v>
      </c>
      <c r="AE167" s="127">
        <f t="shared" si="436"/>
        <v>1504</v>
      </c>
      <c r="AF167" s="128">
        <f t="shared" si="437"/>
        <v>150255.1</v>
      </c>
      <c r="AG167" s="128">
        <f t="shared" si="348"/>
        <v>150400</v>
      </c>
      <c r="AH167" s="128">
        <f t="shared" si="357"/>
        <v>150400</v>
      </c>
      <c r="AI167" s="130">
        <f t="shared" si="377"/>
        <v>4.4999999999999998E-2</v>
      </c>
      <c r="AJ167" s="128">
        <f t="shared" si="378"/>
        <v>150964</v>
      </c>
      <c r="AK167" s="128" t="str">
        <f t="shared" si="379"/>
        <v>nie</v>
      </c>
      <c r="AL167" s="128">
        <f t="shared" si="380"/>
        <v>752</v>
      </c>
      <c r="AM167" s="128">
        <f t="shared" si="361"/>
        <v>150247.72</v>
      </c>
      <c r="AN167" s="128">
        <f t="shared" si="381"/>
        <v>456.84000000000003</v>
      </c>
      <c r="AO167" s="130">
        <f t="shared" si="382"/>
        <v>4.4999999999999998E-2</v>
      </c>
      <c r="AP167" s="128">
        <f t="shared" si="383"/>
        <v>1918.8363065669805</v>
      </c>
      <c r="AQ167" s="128">
        <f t="shared" si="362"/>
        <v>151709.71630656699</v>
      </c>
      <c r="AS167" s="124">
        <f t="shared" si="327"/>
        <v>124</v>
      </c>
      <c r="AT167" s="130">
        <f t="shared" si="328"/>
        <v>4.4999999999999998E-2</v>
      </c>
      <c r="AU167" s="127">
        <f t="shared" si="438"/>
        <v>1488</v>
      </c>
      <c r="AV167" s="128">
        <f t="shared" si="439"/>
        <v>148662.1</v>
      </c>
      <c r="AW167" s="128">
        <f t="shared" si="363"/>
        <v>148800</v>
      </c>
      <c r="AX167" s="128">
        <f t="shared" si="358"/>
        <v>148800</v>
      </c>
      <c r="AY167" s="130">
        <f t="shared" si="384"/>
        <v>4.65E-2</v>
      </c>
      <c r="AZ167" s="128">
        <f t="shared" si="385"/>
        <v>149376.6</v>
      </c>
      <c r="BA167" s="128" t="str">
        <f t="shared" si="386"/>
        <v>nie</v>
      </c>
      <c r="BB167" s="128">
        <f t="shared" si="387"/>
        <v>1041.5999999999999</v>
      </c>
      <c r="BC167" s="128">
        <f t="shared" si="367"/>
        <v>148423.35</v>
      </c>
      <c r="BD167" s="128">
        <f t="shared" si="388"/>
        <v>467.04600000000477</v>
      </c>
      <c r="BE167" s="130">
        <f t="shared" si="264"/>
        <v>4.4999999999999998E-2</v>
      </c>
      <c r="BF167" s="128">
        <f t="shared" si="389"/>
        <v>1897.3658613039925</v>
      </c>
      <c r="BG167" s="128">
        <f t="shared" si="368"/>
        <v>149853.66986130399</v>
      </c>
      <c r="BI167" s="124">
        <f t="shared" si="332"/>
        <v>124</v>
      </c>
      <c r="BJ167" s="130">
        <f t="shared" si="451"/>
        <v>4.3200000000000002E-2</v>
      </c>
      <c r="BK167" s="127">
        <f t="shared" si="440"/>
        <v>1427</v>
      </c>
      <c r="BL167" s="128">
        <f t="shared" si="441"/>
        <v>142557.30000000002</v>
      </c>
      <c r="BM167" s="128">
        <f t="shared" si="349"/>
        <v>142700</v>
      </c>
      <c r="BN167" s="128">
        <f t="shared" si="442"/>
        <v>149692.29999999999</v>
      </c>
      <c r="BO167" s="130">
        <f t="shared" si="390"/>
        <v>4.9000000000000002E-2</v>
      </c>
      <c r="BP167" s="128">
        <f t="shared" si="391"/>
        <v>152137.27423333333</v>
      </c>
      <c r="BQ167" s="128" t="str">
        <f t="shared" si="392"/>
        <v>nie</v>
      </c>
      <c r="BR167" s="128">
        <f t="shared" si="393"/>
        <v>1427</v>
      </c>
      <c r="BS167" s="128">
        <f t="shared" si="364"/>
        <v>149188.32212900001</v>
      </c>
      <c r="BT167" s="128">
        <f t="shared" si="456"/>
        <v>0</v>
      </c>
      <c r="BU167" s="130">
        <f t="shared" si="394"/>
        <v>4.4999999999999998E-2</v>
      </c>
      <c r="BV167" s="128">
        <f t="shared" si="271"/>
        <v>115.76269456825825</v>
      </c>
      <c r="BW167" s="128">
        <f t="shared" si="365"/>
        <v>149304.08482356826</v>
      </c>
      <c r="BY167" s="130">
        <f t="shared" si="452"/>
        <v>2.9000000000000001E-2</v>
      </c>
      <c r="BZ167" s="127">
        <f t="shared" si="444"/>
        <v>1344</v>
      </c>
      <c r="CA167" s="128">
        <f t="shared" si="445"/>
        <v>134279.90000000002</v>
      </c>
      <c r="CB167" s="128">
        <f t="shared" si="366"/>
        <v>134400</v>
      </c>
      <c r="CC167" s="128">
        <f t="shared" si="359"/>
        <v>134400</v>
      </c>
      <c r="CD167" s="130">
        <f t="shared" si="395"/>
        <v>4.3999999999999997E-2</v>
      </c>
      <c r="CE167" s="128">
        <f t="shared" si="396"/>
        <v>136371.19999999998</v>
      </c>
      <c r="CF167" s="128" t="str">
        <f t="shared" si="397"/>
        <v>nie</v>
      </c>
      <c r="CG167" s="128">
        <f t="shared" si="398"/>
        <v>2688</v>
      </c>
      <c r="CH167" s="128">
        <f t="shared" si="369"/>
        <v>133819.39199999999</v>
      </c>
      <c r="CI167" s="128">
        <f t="shared" si="399"/>
        <v>0</v>
      </c>
      <c r="CJ167" s="130">
        <f t="shared" si="277"/>
        <v>4.4999999999999998E-2</v>
      </c>
      <c r="CK167" s="128">
        <f t="shared" si="400"/>
        <v>10870.365531366731</v>
      </c>
      <c r="CL167" s="128">
        <f t="shared" si="401"/>
        <v>144689.75753136672</v>
      </c>
      <c r="CN167" s="127">
        <f t="shared" si="446"/>
        <v>1508</v>
      </c>
      <c r="CO167" s="128">
        <f t="shared" si="447"/>
        <v>150649.20000000001</v>
      </c>
      <c r="CP167" s="128">
        <f t="shared" si="342"/>
        <v>150800</v>
      </c>
      <c r="CQ167" s="128">
        <f t="shared" si="448"/>
        <v>150800</v>
      </c>
      <c r="CR167" s="130">
        <f t="shared" si="402"/>
        <v>5.7500000000000002E-2</v>
      </c>
      <c r="CS167" s="128">
        <f t="shared" si="403"/>
        <v>153690.33333333334</v>
      </c>
      <c r="CT167" s="128" t="str">
        <f t="shared" si="404"/>
        <v>nie</v>
      </c>
      <c r="CU167" s="128">
        <f t="shared" si="405"/>
        <v>2890.333333333343</v>
      </c>
      <c r="CV167" s="128">
        <f t="shared" si="406"/>
        <v>150800</v>
      </c>
      <c r="CW167" s="128">
        <f t="shared" si="453"/>
        <v>0</v>
      </c>
      <c r="CX167" s="130">
        <f t="shared" si="407"/>
        <v>4.4999999999999998E-2</v>
      </c>
      <c r="CY167" s="128">
        <f t="shared" si="408"/>
        <v>100.23851332933799</v>
      </c>
      <c r="CZ167" s="128">
        <f t="shared" si="409"/>
        <v>150900.23851332933</v>
      </c>
      <c r="DA167" s="20"/>
      <c r="DB167" s="127">
        <f t="shared" si="350"/>
        <v>1274</v>
      </c>
      <c r="DC167" s="128">
        <f t="shared" si="351"/>
        <v>127400</v>
      </c>
      <c r="DD167" s="128">
        <f t="shared" si="344"/>
        <v>127400</v>
      </c>
      <c r="DE167" s="128">
        <f t="shared" si="449"/>
        <v>155075.24524480166</v>
      </c>
      <c r="DF167" s="130">
        <f t="shared" si="410"/>
        <v>4.9000000000000002E-2</v>
      </c>
      <c r="DG167" s="128">
        <f t="shared" si="411"/>
        <v>157608.14091713342</v>
      </c>
      <c r="DH167" s="128" t="str">
        <f t="shared" si="412"/>
        <v>nie</v>
      </c>
      <c r="DI167" s="128">
        <f t="shared" si="413"/>
        <v>2548</v>
      </c>
      <c r="DJ167" s="128">
        <f t="shared" si="355"/>
        <v>149804.71414287807</v>
      </c>
      <c r="DK167" s="128">
        <f t="shared" si="454"/>
        <v>0</v>
      </c>
      <c r="DL167" s="130">
        <f t="shared" si="414"/>
        <v>4.4999999999999998E-2</v>
      </c>
      <c r="DM167" s="128">
        <f t="shared" si="415"/>
        <v>111.02963019284586</v>
      </c>
      <c r="DN167" s="128">
        <f t="shared" si="416"/>
        <v>149915.74377307092</v>
      </c>
      <c r="DP167" s="127">
        <f t="shared" si="352"/>
        <v>1000</v>
      </c>
      <c r="DQ167" s="128">
        <f t="shared" si="353"/>
        <v>100000</v>
      </c>
      <c r="DR167" s="128">
        <f t="shared" si="346"/>
        <v>100000</v>
      </c>
      <c r="DS167" s="128">
        <f t="shared" si="450"/>
        <v>170165.44083261534</v>
      </c>
      <c r="DT167" s="130">
        <f t="shared" si="417"/>
        <v>5.4000000000000006E-2</v>
      </c>
      <c r="DU167" s="128">
        <f t="shared" si="418"/>
        <v>173228.41876760242</v>
      </c>
      <c r="DV167" s="128" t="str">
        <f t="shared" si="419"/>
        <v>nie</v>
      </c>
      <c r="DW167" s="128">
        <f t="shared" si="420"/>
        <v>3000</v>
      </c>
      <c r="DX167" s="128">
        <f t="shared" si="302"/>
        <v>156885.01920175797</v>
      </c>
      <c r="DY167" s="128">
        <f t="shared" si="455"/>
        <v>0</v>
      </c>
      <c r="DZ167" s="130">
        <f t="shared" si="421"/>
        <v>4.4999999999999998E-2</v>
      </c>
      <c r="EA167" s="128">
        <f t="shared" si="422"/>
        <v>0</v>
      </c>
      <c r="EB167" s="128">
        <f t="shared" si="423"/>
        <v>156885.01920175797</v>
      </c>
    </row>
    <row r="168" spans="1:132">
      <c r="A168" s="212"/>
      <c r="B168" s="188">
        <f t="shared" si="424"/>
        <v>124</v>
      </c>
      <c r="C168" s="128">
        <f t="shared" si="425"/>
        <v>151709.71630656699</v>
      </c>
      <c r="D168" s="128">
        <f t="shared" si="426"/>
        <v>149853.66986130399</v>
      </c>
      <c r="E168" s="128">
        <f t="shared" si="427"/>
        <v>149304.08482356826</v>
      </c>
      <c r="F168" s="128">
        <f t="shared" si="428"/>
        <v>144689.75753136672</v>
      </c>
      <c r="G168" s="128">
        <f t="shared" si="429"/>
        <v>150900.23851332933</v>
      </c>
      <c r="H168" s="128">
        <f t="shared" si="430"/>
        <v>149915.74377307092</v>
      </c>
      <c r="I168" s="128">
        <f t="shared" si="431"/>
        <v>156885.01920175797</v>
      </c>
      <c r="J168" s="128">
        <f t="shared" si="432"/>
        <v>145656.23703227684</v>
      </c>
      <c r="K168" s="128">
        <f t="shared" si="433"/>
        <v>134379.11180383957</v>
      </c>
      <c r="M168" s="36"/>
      <c r="N168" s="32">
        <f t="shared" si="434"/>
        <v>124</v>
      </c>
      <c r="O168" s="25">
        <f t="shared" si="318"/>
        <v>0.51709716306566977</v>
      </c>
      <c r="P168" s="25">
        <f t="shared" si="319"/>
        <v>0.49853669861303995</v>
      </c>
      <c r="Q168" s="25">
        <f t="shared" si="320"/>
        <v>0.49304084823568273</v>
      </c>
      <c r="R168" s="25">
        <f t="shared" si="370"/>
        <v>0.44689757531366725</v>
      </c>
      <c r="S168" s="25">
        <f t="shared" si="371"/>
        <v>0.50900238513329321</v>
      </c>
      <c r="T168" s="25">
        <f t="shared" si="372"/>
        <v>0.49915743773070931</v>
      </c>
      <c r="U168" s="25">
        <f t="shared" si="373"/>
        <v>0.56885019201757969</v>
      </c>
      <c r="V168" s="25">
        <f t="shared" si="374"/>
        <v>0.45656237032276836</v>
      </c>
      <c r="W168" s="25">
        <f t="shared" si="375"/>
        <v>0.34379111803839568</v>
      </c>
      <c r="X168" s="36"/>
      <c r="Y168" s="36"/>
      <c r="AA168" s="124">
        <f t="shared" si="321"/>
        <v>125</v>
      </c>
      <c r="AB168" s="128">
        <f t="shared" si="376"/>
        <v>134700.7521341723</v>
      </c>
      <c r="AC168" s="124">
        <f t="shared" si="322"/>
        <v>125</v>
      </c>
      <c r="AD168" s="130">
        <f t="shared" si="435"/>
        <v>4.4999999999999998E-2</v>
      </c>
      <c r="AE168" s="127">
        <f t="shared" si="436"/>
        <v>1504</v>
      </c>
      <c r="AF168" s="128">
        <f t="shared" si="437"/>
        <v>150255.1</v>
      </c>
      <c r="AG168" s="128">
        <f t="shared" si="348"/>
        <v>150400</v>
      </c>
      <c r="AH168" s="128">
        <f t="shared" si="357"/>
        <v>150400</v>
      </c>
      <c r="AI168" s="130">
        <f t="shared" si="377"/>
        <v>4.4999999999999998E-2</v>
      </c>
      <c r="AJ168" s="128">
        <f t="shared" si="378"/>
        <v>150964</v>
      </c>
      <c r="AK168" s="128" t="str">
        <f t="shared" si="379"/>
        <v>nie</v>
      </c>
      <c r="AL168" s="128">
        <f t="shared" si="380"/>
        <v>752</v>
      </c>
      <c r="AM168" s="128">
        <f t="shared" si="361"/>
        <v>150247.72</v>
      </c>
      <c r="AN168" s="128">
        <f t="shared" si="381"/>
        <v>456.84000000000003</v>
      </c>
      <c r="AO168" s="130">
        <f t="shared" si="382"/>
        <v>4.4999999999999998E-2</v>
      </c>
      <c r="AP168" s="128">
        <f t="shared" si="383"/>
        <v>2381.5047718481778</v>
      </c>
      <c r="AQ168" s="128">
        <f t="shared" si="362"/>
        <v>152172.38477184818</v>
      </c>
      <c r="AS168" s="124">
        <f t="shared" si="327"/>
        <v>125</v>
      </c>
      <c r="AT168" s="130">
        <f t="shared" si="328"/>
        <v>4.4999999999999998E-2</v>
      </c>
      <c r="AU168" s="127">
        <f t="shared" si="438"/>
        <v>1488</v>
      </c>
      <c r="AV168" s="128">
        <f t="shared" si="439"/>
        <v>148662.1</v>
      </c>
      <c r="AW168" s="128">
        <f t="shared" si="363"/>
        <v>148800</v>
      </c>
      <c r="AX168" s="128">
        <f t="shared" si="358"/>
        <v>148800</v>
      </c>
      <c r="AY168" s="130">
        <f t="shared" si="384"/>
        <v>4.65E-2</v>
      </c>
      <c r="AZ168" s="128">
        <f t="shared" si="385"/>
        <v>149376.6</v>
      </c>
      <c r="BA168" s="128" t="str">
        <f t="shared" si="386"/>
        <v>nie</v>
      </c>
      <c r="BB168" s="128">
        <f t="shared" si="387"/>
        <v>1041.5999999999999</v>
      </c>
      <c r="BC168" s="128">
        <f t="shared" si="367"/>
        <v>148423.35</v>
      </c>
      <c r="BD168" s="128">
        <f t="shared" si="388"/>
        <v>467.04600000000477</v>
      </c>
      <c r="BE168" s="130">
        <f t="shared" si="264"/>
        <v>4.4999999999999998E-2</v>
      </c>
      <c r="BF168" s="128">
        <f t="shared" si="389"/>
        <v>2370.175110107708</v>
      </c>
      <c r="BG168" s="128">
        <f t="shared" si="368"/>
        <v>150326.4791101077</v>
      </c>
      <c r="BI168" s="124">
        <f t="shared" si="332"/>
        <v>125</v>
      </c>
      <c r="BJ168" s="130">
        <f t="shared" si="451"/>
        <v>4.3200000000000002E-2</v>
      </c>
      <c r="BK168" s="127">
        <f t="shared" si="440"/>
        <v>1427</v>
      </c>
      <c r="BL168" s="128">
        <f t="shared" si="441"/>
        <v>142557.30000000002</v>
      </c>
      <c r="BM168" s="128">
        <f t="shared" si="349"/>
        <v>142700</v>
      </c>
      <c r="BN168" s="128">
        <f t="shared" si="442"/>
        <v>149692.29999999999</v>
      </c>
      <c r="BO168" s="130">
        <f t="shared" si="390"/>
        <v>4.9000000000000002E-2</v>
      </c>
      <c r="BP168" s="128">
        <f t="shared" si="391"/>
        <v>152748.51779166667</v>
      </c>
      <c r="BQ168" s="128" t="str">
        <f t="shared" si="392"/>
        <v>nie</v>
      </c>
      <c r="BR168" s="128">
        <f t="shared" si="393"/>
        <v>1427</v>
      </c>
      <c r="BS168" s="128">
        <f t="shared" si="364"/>
        <v>149683.42941124999</v>
      </c>
      <c r="BT168" s="128">
        <f t="shared" si="456"/>
        <v>0</v>
      </c>
      <c r="BU168" s="130">
        <f t="shared" si="394"/>
        <v>4.4999999999999998E-2</v>
      </c>
      <c r="BV168" s="128">
        <f t="shared" si="271"/>
        <v>116.11432375300934</v>
      </c>
      <c r="BW168" s="128">
        <f t="shared" si="365"/>
        <v>149799.54373500301</v>
      </c>
      <c r="BY168" s="130">
        <f t="shared" si="452"/>
        <v>2.9000000000000001E-2</v>
      </c>
      <c r="BZ168" s="127">
        <f t="shared" si="444"/>
        <v>1344</v>
      </c>
      <c r="CA168" s="128">
        <f t="shared" si="445"/>
        <v>134279.90000000002</v>
      </c>
      <c r="CB168" s="128">
        <f t="shared" si="366"/>
        <v>134400</v>
      </c>
      <c r="CC168" s="128">
        <f t="shared" si="359"/>
        <v>134400</v>
      </c>
      <c r="CD168" s="130">
        <f t="shared" si="395"/>
        <v>4.3999999999999997E-2</v>
      </c>
      <c r="CE168" s="128">
        <f t="shared" si="396"/>
        <v>136864</v>
      </c>
      <c r="CF168" s="128" t="str">
        <f t="shared" si="397"/>
        <v>nie</v>
      </c>
      <c r="CG168" s="128">
        <f t="shared" si="398"/>
        <v>2688</v>
      </c>
      <c r="CH168" s="128">
        <f t="shared" si="369"/>
        <v>134218.56</v>
      </c>
      <c r="CI168" s="128">
        <f t="shared" si="399"/>
        <v>0</v>
      </c>
      <c r="CJ168" s="130">
        <f t="shared" si="277"/>
        <v>4.4999999999999998E-2</v>
      </c>
      <c r="CK168" s="128">
        <f t="shared" si="400"/>
        <v>10903.384266668258</v>
      </c>
      <c r="CL168" s="128">
        <f t="shared" si="401"/>
        <v>145121.94426666826</v>
      </c>
      <c r="CN168" s="127">
        <f t="shared" si="446"/>
        <v>1508</v>
      </c>
      <c r="CO168" s="128">
        <f t="shared" si="447"/>
        <v>150649.20000000001</v>
      </c>
      <c r="CP168" s="128">
        <f t="shared" si="342"/>
        <v>150800</v>
      </c>
      <c r="CQ168" s="128">
        <f t="shared" si="448"/>
        <v>150800</v>
      </c>
      <c r="CR168" s="130">
        <f t="shared" si="402"/>
        <v>5.7500000000000002E-2</v>
      </c>
      <c r="CS168" s="128">
        <f t="shared" si="403"/>
        <v>154412.91666666666</v>
      </c>
      <c r="CT168" s="128" t="str">
        <f t="shared" si="404"/>
        <v>nie</v>
      </c>
      <c r="CU168" s="128">
        <f t="shared" si="405"/>
        <v>3612.916666666657</v>
      </c>
      <c r="CV168" s="128">
        <f t="shared" si="406"/>
        <v>150800</v>
      </c>
      <c r="CW168" s="128">
        <f t="shared" si="453"/>
        <v>0</v>
      </c>
      <c r="CX168" s="130">
        <f t="shared" si="407"/>
        <v>4.4999999999999998E-2</v>
      </c>
      <c r="CY168" s="128">
        <f t="shared" si="408"/>
        <v>100.54298781357586</v>
      </c>
      <c r="CZ168" s="128">
        <f t="shared" si="409"/>
        <v>150900.54298781356</v>
      </c>
      <c r="DA168" s="20"/>
      <c r="DB168" s="127">
        <f t="shared" si="350"/>
        <v>1274</v>
      </c>
      <c r="DC168" s="128">
        <f t="shared" si="351"/>
        <v>127400</v>
      </c>
      <c r="DD168" s="128">
        <f t="shared" si="344"/>
        <v>127400</v>
      </c>
      <c r="DE168" s="128">
        <f t="shared" si="449"/>
        <v>155075.24524480166</v>
      </c>
      <c r="DF168" s="130">
        <f t="shared" si="410"/>
        <v>4.9000000000000002E-2</v>
      </c>
      <c r="DG168" s="128">
        <f t="shared" si="411"/>
        <v>158241.36483521637</v>
      </c>
      <c r="DH168" s="128" t="str">
        <f t="shared" si="412"/>
        <v>nie</v>
      </c>
      <c r="DI168" s="128">
        <f t="shared" si="413"/>
        <v>2548</v>
      </c>
      <c r="DJ168" s="128">
        <f t="shared" si="355"/>
        <v>150317.62551652527</v>
      </c>
      <c r="DK168" s="128">
        <f t="shared" si="454"/>
        <v>0</v>
      </c>
      <c r="DL168" s="130">
        <f t="shared" si="414"/>
        <v>4.4999999999999998E-2</v>
      </c>
      <c r="DM168" s="128">
        <f t="shared" si="415"/>
        <v>111.36688269455664</v>
      </c>
      <c r="DN168" s="128">
        <f t="shared" si="416"/>
        <v>150428.99239921983</v>
      </c>
      <c r="DP168" s="127">
        <f t="shared" si="352"/>
        <v>1000</v>
      </c>
      <c r="DQ168" s="128">
        <f t="shared" si="353"/>
        <v>100000</v>
      </c>
      <c r="DR168" s="128">
        <f t="shared" si="346"/>
        <v>100000</v>
      </c>
      <c r="DS168" s="128">
        <f t="shared" si="450"/>
        <v>170165.44083261534</v>
      </c>
      <c r="DT168" s="130">
        <f t="shared" si="417"/>
        <v>5.4000000000000006E-2</v>
      </c>
      <c r="DU168" s="128">
        <f t="shared" si="418"/>
        <v>173994.16325134918</v>
      </c>
      <c r="DV168" s="128" t="str">
        <f t="shared" si="419"/>
        <v>nie</v>
      </c>
      <c r="DW168" s="128">
        <f t="shared" si="420"/>
        <v>3000</v>
      </c>
      <c r="DX168" s="128">
        <f t="shared" si="302"/>
        <v>157505.27223359284</v>
      </c>
      <c r="DY168" s="128">
        <f t="shared" si="455"/>
        <v>0</v>
      </c>
      <c r="DZ168" s="130">
        <f t="shared" si="421"/>
        <v>4.4999999999999998E-2</v>
      </c>
      <c r="EA168" s="128">
        <f t="shared" si="422"/>
        <v>0</v>
      </c>
      <c r="EB168" s="128">
        <f t="shared" si="423"/>
        <v>157505.27223359284</v>
      </c>
    </row>
    <row r="169" spans="1:132">
      <c r="A169" s="212"/>
      <c r="B169" s="188">
        <f t="shared" si="424"/>
        <v>125</v>
      </c>
      <c r="C169" s="128">
        <f t="shared" si="425"/>
        <v>152172.38477184818</v>
      </c>
      <c r="D169" s="128">
        <f t="shared" si="426"/>
        <v>150326.4791101077</v>
      </c>
      <c r="E169" s="128">
        <f t="shared" si="427"/>
        <v>149799.54373500301</v>
      </c>
      <c r="F169" s="128">
        <f t="shared" si="428"/>
        <v>145121.94426666826</v>
      </c>
      <c r="G169" s="128">
        <f t="shared" si="429"/>
        <v>150900.54298781356</v>
      </c>
      <c r="H169" s="128">
        <f t="shared" si="430"/>
        <v>150428.99239921983</v>
      </c>
      <c r="I169" s="128">
        <f t="shared" si="431"/>
        <v>157505.27223359284</v>
      </c>
      <c r="J169" s="128">
        <f t="shared" si="432"/>
        <v>146098.66785226238</v>
      </c>
      <c r="K169" s="128">
        <f t="shared" si="433"/>
        <v>134700.7521341723</v>
      </c>
      <c r="M169" s="36"/>
      <c r="N169" s="32">
        <f t="shared" si="434"/>
        <v>125</v>
      </c>
      <c r="O169" s="25">
        <f t="shared" si="318"/>
        <v>0.52172384771848179</v>
      </c>
      <c r="P169" s="25">
        <f t="shared" si="319"/>
        <v>0.50326479110107702</v>
      </c>
      <c r="Q169" s="25">
        <f t="shared" si="320"/>
        <v>0.49799543735003016</v>
      </c>
      <c r="R169" s="25">
        <f t="shared" si="370"/>
        <v>0.45121944266668268</v>
      </c>
      <c r="S169" s="25">
        <f t="shared" si="371"/>
        <v>0.50900542987813568</v>
      </c>
      <c r="T169" s="25">
        <f t="shared" si="372"/>
        <v>0.5042899239921983</v>
      </c>
      <c r="U169" s="25">
        <f t="shared" si="373"/>
        <v>0.5750527223359283</v>
      </c>
      <c r="V169" s="25">
        <f t="shared" si="374"/>
        <v>0.46098667852262376</v>
      </c>
      <c r="W169" s="25">
        <f t="shared" si="375"/>
        <v>0.34700752134172297</v>
      </c>
      <c r="X169" s="36"/>
      <c r="Y169" s="36"/>
      <c r="AA169" s="124">
        <f t="shared" si="321"/>
        <v>126</v>
      </c>
      <c r="AB169" s="128">
        <f t="shared" si="376"/>
        <v>135022.39246450501</v>
      </c>
      <c r="AC169" s="124">
        <f t="shared" si="322"/>
        <v>126</v>
      </c>
      <c r="AD169" s="130">
        <f t="shared" si="435"/>
        <v>4.4999999999999998E-2</v>
      </c>
      <c r="AE169" s="127">
        <f t="shared" si="436"/>
        <v>1504</v>
      </c>
      <c r="AF169" s="128">
        <f t="shared" si="437"/>
        <v>150255.1</v>
      </c>
      <c r="AG169" s="128">
        <f t="shared" si="348"/>
        <v>150400</v>
      </c>
      <c r="AH169" s="128">
        <f t="shared" si="357"/>
        <v>150400</v>
      </c>
      <c r="AI169" s="130">
        <f t="shared" si="377"/>
        <v>4.4999999999999998E-2</v>
      </c>
      <c r="AJ169" s="128">
        <f t="shared" si="378"/>
        <v>150964</v>
      </c>
      <c r="AK169" s="128" t="str">
        <f t="shared" si="379"/>
        <v>nie</v>
      </c>
      <c r="AL169" s="128">
        <f t="shared" si="380"/>
        <v>752</v>
      </c>
      <c r="AM169" s="128">
        <f t="shared" si="361"/>
        <v>150247.72</v>
      </c>
      <c r="AN169" s="128">
        <f t="shared" si="381"/>
        <v>456.84000000000003</v>
      </c>
      <c r="AO169" s="130">
        <f t="shared" si="382"/>
        <v>4.4999999999999998E-2</v>
      </c>
      <c r="AP169" s="128">
        <f t="shared" si="383"/>
        <v>2845.5785925926671</v>
      </c>
      <c r="AQ169" s="128">
        <f t="shared" si="362"/>
        <v>152636.45859259268</v>
      </c>
      <c r="AS169" s="124">
        <f t="shared" si="327"/>
        <v>126</v>
      </c>
      <c r="AT169" s="130">
        <f t="shared" si="328"/>
        <v>4.4999999999999998E-2</v>
      </c>
      <c r="AU169" s="127">
        <f t="shared" si="438"/>
        <v>1488</v>
      </c>
      <c r="AV169" s="128">
        <f t="shared" si="439"/>
        <v>148662.1</v>
      </c>
      <c r="AW169" s="128">
        <f t="shared" si="363"/>
        <v>148800</v>
      </c>
      <c r="AX169" s="128">
        <f t="shared" si="358"/>
        <v>148800</v>
      </c>
      <c r="AY169" s="130">
        <f t="shared" si="384"/>
        <v>4.65E-2</v>
      </c>
      <c r="AZ169" s="128">
        <f t="shared" si="385"/>
        <v>149376.6</v>
      </c>
      <c r="BA169" s="128" t="str">
        <f t="shared" si="386"/>
        <v>nie</v>
      </c>
      <c r="BB169" s="128">
        <f t="shared" si="387"/>
        <v>1041.5999999999999</v>
      </c>
      <c r="BC169" s="128">
        <f t="shared" si="367"/>
        <v>148423.35</v>
      </c>
      <c r="BD169" s="128">
        <f t="shared" si="388"/>
        <v>467.04600000000477</v>
      </c>
      <c r="BE169" s="130">
        <f t="shared" si="264"/>
        <v>4.4999999999999998E-2</v>
      </c>
      <c r="BF169" s="128">
        <f t="shared" si="389"/>
        <v>2844.4205170046648</v>
      </c>
      <c r="BG169" s="128">
        <f t="shared" si="368"/>
        <v>150800.72451700465</v>
      </c>
      <c r="BI169" s="124">
        <f t="shared" si="332"/>
        <v>126</v>
      </c>
      <c r="BJ169" s="130">
        <f t="shared" si="451"/>
        <v>4.3200000000000002E-2</v>
      </c>
      <c r="BK169" s="127">
        <f t="shared" si="440"/>
        <v>1427</v>
      </c>
      <c r="BL169" s="128">
        <f t="shared" si="441"/>
        <v>142557.30000000002</v>
      </c>
      <c r="BM169" s="128">
        <f t="shared" si="349"/>
        <v>142700</v>
      </c>
      <c r="BN169" s="128">
        <f t="shared" si="442"/>
        <v>149692.29999999999</v>
      </c>
      <c r="BO169" s="130">
        <f t="shared" si="390"/>
        <v>4.9000000000000002E-2</v>
      </c>
      <c r="BP169" s="128">
        <f t="shared" si="391"/>
        <v>153359.76134999999</v>
      </c>
      <c r="BQ169" s="128" t="str">
        <f t="shared" si="392"/>
        <v>nie</v>
      </c>
      <c r="BR169" s="128">
        <f t="shared" si="393"/>
        <v>1427</v>
      </c>
      <c r="BS169" s="128">
        <f t="shared" si="364"/>
        <v>150178.53669349998</v>
      </c>
      <c r="BT169" s="128">
        <f t="shared" si="456"/>
        <v>0</v>
      </c>
      <c r="BU169" s="130">
        <f t="shared" si="394"/>
        <v>4.4999999999999998E-2</v>
      </c>
      <c r="BV169" s="128">
        <f t="shared" si="271"/>
        <v>116.46702101140912</v>
      </c>
      <c r="BW169" s="128">
        <f t="shared" si="365"/>
        <v>150295.00371451137</v>
      </c>
      <c r="BY169" s="130">
        <f t="shared" si="452"/>
        <v>2.9000000000000001E-2</v>
      </c>
      <c r="BZ169" s="127">
        <f t="shared" si="444"/>
        <v>1344</v>
      </c>
      <c r="CA169" s="128">
        <f t="shared" si="445"/>
        <v>134279.90000000002</v>
      </c>
      <c r="CB169" s="128">
        <f t="shared" si="366"/>
        <v>134400</v>
      </c>
      <c r="CC169" s="128">
        <f t="shared" si="359"/>
        <v>134400</v>
      </c>
      <c r="CD169" s="130">
        <f t="shared" si="395"/>
        <v>4.3999999999999997E-2</v>
      </c>
      <c r="CE169" s="128">
        <f t="shared" si="396"/>
        <v>137356.79999999999</v>
      </c>
      <c r="CF169" s="128" t="str">
        <f t="shared" si="397"/>
        <v>nie</v>
      </c>
      <c r="CG169" s="128">
        <f t="shared" si="398"/>
        <v>2688</v>
      </c>
      <c r="CH169" s="128">
        <f t="shared" si="369"/>
        <v>134617.728</v>
      </c>
      <c r="CI169" s="128">
        <f t="shared" si="399"/>
        <v>0</v>
      </c>
      <c r="CJ169" s="130">
        <f t="shared" si="277"/>
        <v>4.4999999999999998E-2</v>
      </c>
      <c r="CK169" s="128">
        <f t="shared" si="400"/>
        <v>10936.503296378263</v>
      </c>
      <c r="CL169" s="128">
        <f t="shared" si="401"/>
        <v>145554.23129637828</v>
      </c>
      <c r="CN169" s="127">
        <f t="shared" si="446"/>
        <v>1508</v>
      </c>
      <c r="CO169" s="128">
        <f t="shared" si="447"/>
        <v>150649.20000000001</v>
      </c>
      <c r="CP169" s="128">
        <f t="shared" si="342"/>
        <v>150800</v>
      </c>
      <c r="CQ169" s="128">
        <f t="shared" si="448"/>
        <v>150800</v>
      </c>
      <c r="CR169" s="130">
        <f t="shared" si="402"/>
        <v>5.7500000000000002E-2</v>
      </c>
      <c r="CS169" s="128">
        <f t="shared" si="403"/>
        <v>155135.5</v>
      </c>
      <c r="CT169" s="128" t="str">
        <f t="shared" si="404"/>
        <v>nie</v>
      </c>
      <c r="CU169" s="128">
        <f t="shared" si="405"/>
        <v>4335.5</v>
      </c>
      <c r="CV169" s="128">
        <f t="shared" si="406"/>
        <v>150800</v>
      </c>
      <c r="CW169" s="128">
        <f t="shared" si="453"/>
        <v>0</v>
      </c>
      <c r="CX169" s="130">
        <f t="shared" si="407"/>
        <v>4.4999999999999998E-2</v>
      </c>
      <c r="CY169" s="128">
        <f t="shared" si="408"/>
        <v>100.8483871390596</v>
      </c>
      <c r="CZ169" s="128">
        <f t="shared" si="409"/>
        <v>150900.84838713906</v>
      </c>
      <c r="DA169" s="20"/>
      <c r="DB169" s="127">
        <f t="shared" si="350"/>
        <v>1274</v>
      </c>
      <c r="DC169" s="128">
        <f t="shared" si="351"/>
        <v>127400</v>
      </c>
      <c r="DD169" s="128">
        <f t="shared" si="344"/>
        <v>127400</v>
      </c>
      <c r="DE169" s="128">
        <f t="shared" si="449"/>
        <v>155075.24524480166</v>
      </c>
      <c r="DF169" s="130">
        <f t="shared" si="410"/>
        <v>4.9000000000000002E-2</v>
      </c>
      <c r="DG169" s="128">
        <f t="shared" si="411"/>
        <v>158874.58875329929</v>
      </c>
      <c r="DH169" s="128" t="str">
        <f t="shared" si="412"/>
        <v>nie</v>
      </c>
      <c r="DI169" s="128">
        <f t="shared" si="413"/>
        <v>2548</v>
      </c>
      <c r="DJ169" s="128">
        <f t="shared" si="355"/>
        <v>150830.53689017243</v>
      </c>
      <c r="DK169" s="128">
        <f t="shared" si="454"/>
        <v>0</v>
      </c>
      <c r="DL169" s="130">
        <f t="shared" si="414"/>
        <v>4.4999999999999998E-2</v>
      </c>
      <c r="DM169" s="128">
        <f t="shared" si="415"/>
        <v>111.70515960074135</v>
      </c>
      <c r="DN169" s="128">
        <f t="shared" si="416"/>
        <v>150942.24204977317</v>
      </c>
      <c r="DP169" s="127">
        <f t="shared" si="352"/>
        <v>1000</v>
      </c>
      <c r="DQ169" s="128">
        <f t="shared" si="353"/>
        <v>100000</v>
      </c>
      <c r="DR169" s="128">
        <f t="shared" si="346"/>
        <v>100000</v>
      </c>
      <c r="DS169" s="128">
        <f t="shared" si="450"/>
        <v>170165.44083261534</v>
      </c>
      <c r="DT169" s="130">
        <f t="shared" si="417"/>
        <v>5.4000000000000006E-2</v>
      </c>
      <c r="DU169" s="128">
        <f t="shared" si="418"/>
        <v>174759.90773509594</v>
      </c>
      <c r="DV169" s="128" t="str">
        <f t="shared" si="419"/>
        <v>nie</v>
      </c>
      <c r="DW169" s="128">
        <f t="shared" si="420"/>
        <v>3000</v>
      </c>
      <c r="DX169" s="128">
        <f t="shared" si="302"/>
        <v>158125.52526542771</v>
      </c>
      <c r="DY169" s="128">
        <f t="shared" si="455"/>
        <v>0</v>
      </c>
      <c r="DZ169" s="130">
        <f t="shared" si="421"/>
        <v>4.4999999999999998E-2</v>
      </c>
      <c r="EA169" s="128">
        <f t="shared" si="422"/>
        <v>0</v>
      </c>
      <c r="EB169" s="128">
        <f t="shared" si="423"/>
        <v>158125.52526542771</v>
      </c>
    </row>
    <row r="170" spans="1:132">
      <c r="A170" s="212"/>
      <c r="B170" s="188">
        <f t="shared" si="424"/>
        <v>126</v>
      </c>
      <c r="C170" s="128">
        <f t="shared" si="425"/>
        <v>152636.45859259268</v>
      </c>
      <c r="D170" s="128">
        <f t="shared" si="426"/>
        <v>150800.72451700465</v>
      </c>
      <c r="E170" s="128">
        <f t="shared" si="427"/>
        <v>150295.00371451137</v>
      </c>
      <c r="F170" s="128">
        <f t="shared" si="428"/>
        <v>145554.23129637828</v>
      </c>
      <c r="G170" s="128">
        <f t="shared" si="429"/>
        <v>150900.84838713906</v>
      </c>
      <c r="H170" s="128">
        <f t="shared" si="430"/>
        <v>150942.24204977317</v>
      </c>
      <c r="I170" s="128">
        <f t="shared" si="431"/>
        <v>158125.52526542771</v>
      </c>
      <c r="J170" s="128">
        <f t="shared" si="432"/>
        <v>146542.44255586364</v>
      </c>
      <c r="K170" s="128">
        <f t="shared" si="433"/>
        <v>135022.39246450501</v>
      </c>
      <c r="M170" s="36"/>
      <c r="N170" s="32">
        <f t="shared" si="434"/>
        <v>126</v>
      </c>
      <c r="O170" s="25">
        <f t="shared" si="318"/>
        <v>0.52636458592592672</v>
      </c>
      <c r="P170" s="25">
        <f t="shared" si="319"/>
        <v>0.50800724517004658</v>
      </c>
      <c r="Q170" s="25">
        <f t="shared" si="320"/>
        <v>0.50295003714511366</v>
      </c>
      <c r="R170" s="25">
        <f t="shared" si="370"/>
        <v>0.45554231296378278</v>
      </c>
      <c r="S170" s="25">
        <f t="shared" si="371"/>
        <v>0.50900848387139064</v>
      </c>
      <c r="T170" s="25">
        <f t="shared" si="372"/>
        <v>0.50942242049773157</v>
      </c>
      <c r="U170" s="25">
        <f t="shared" si="373"/>
        <v>0.58125525265427713</v>
      </c>
      <c r="V170" s="25">
        <f t="shared" si="374"/>
        <v>0.46542442555863639</v>
      </c>
      <c r="W170" s="25">
        <f t="shared" si="375"/>
        <v>0.35022392464505003</v>
      </c>
      <c r="X170" s="36"/>
      <c r="Y170" s="36"/>
      <c r="AA170" s="124">
        <f t="shared" si="321"/>
        <v>127</v>
      </c>
      <c r="AB170" s="128">
        <f t="shared" si="376"/>
        <v>135344.03279483775</v>
      </c>
      <c r="AC170" s="124">
        <f t="shared" si="322"/>
        <v>127</v>
      </c>
      <c r="AD170" s="130">
        <f t="shared" si="435"/>
        <v>4.4999999999999998E-2</v>
      </c>
      <c r="AE170" s="127">
        <f t="shared" si="436"/>
        <v>1504</v>
      </c>
      <c r="AF170" s="128">
        <f t="shared" si="437"/>
        <v>150255.1</v>
      </c>
      <c r="AG170" s="128">
        <f t="shared" si="348"/>
        <v>150400</v>
      </c>
      <c r="AH170" s="128">
        <f t="shared" si="357"/>
        <v>150400</v>
      </c>
      <c r="AI170" s="130">
        <f t="shared" si="377"/>
        <v>4.4999999999999998E-2</v>
      </c>
      <c r="AJ170" s="128">
        <f t="shared" si="378"/>
        <v>150964</v>
      </c>
      <c r="AK170" s="128" t="str">
        <f t="shared" si="379"/>
        <v>nie</v>
      </c>
      <c r="AL170" s="128">
        <f t="shared" si="380"/>
        <v>752</v>
      </c>
      <c r="AM170" s="128">
        <f t="shared" si="361"/>
        <v>150247.72</v>
      </c>
      <c r="AN170" s="128">
        <f t="shared" si="381"/>
        <v>456.84000000000003</v>
      </c>
      <c r="AO170" s="130">
        <f t="shared" si="382"/>
        <v>4.4999999999999998E-2</v>
      </c>
      <c r="AP170" s="128">
        <f t="shared" si="383"/>
        <v>3311.0620375676676</v>
      </c>
      <c r="AQ170" s="128">
        <f t="shared" si="362"/>
        <v>153101.94203756767</v>
      </c>
      <c r="AS170" s="124">
        <f t="shared" si="327"/>
        <v>127</v>
      </c>
      <c r="AT170" s="130">
        <f t="shared" si="328"/>
        <v>4.4999999999999998E-2</v>
      </c>
      <c r="AU170" s="127">
        <f t="shared" si="438"/>
        <v>1488</v>
      </c>
      <c r="AV170" s="128">
        <f t="shared" si="439"/>
        <v>148662.1</v>
      </c>
      <c r="AW170" s="128">
        <f t="shared" si="363"/>
        <v>148800</v>
      </c>
      <c r="AX170" s="128">
        <f t="shared" si="358"/>
        <v>148800</v>
      </c>
      <c r="AY170" s="130">
        <f t="shared" si="384"/>
        <v>4.65E-2</v>
      </c>
      <c r="AZ170" s="128">
        <f t="shared" si="385"/>
        <v>149376.6</v>
      </c>
      <c r="BA170" s="128" t="str">
        <f t="shared" si="386"/>
        <v>nie</v>
      </c>
      <c r="BB170" s="128">
        <f t="shared" si="387"/>
        <v>1041.5999999999999</v>
      </c>
      <c r="BC170" s="128">
        <f t="shared" si="367"/>
        <v>148423.35</v>
      </c>
      <c r="BD170" s="128">
        <f t="shared" si="388"/>
        <v>467.04600000000477</v>
      </c>
      <c r="BE170" s="130">
        <f t="shared" si="264"/>
        <v>4.4999999999999998E-2</v>
      </c>
      <c r="BF170" s="128">
        <f t="shared" si="389"/>
        <v>3320.1064443250716</v>
      </c>
      <c r="BG170" s="128">
        <f t="shared" si="368"/>
        <v>151276.41044432507</v>
      </c>
      <c r="BI170" s="124">
        <f t="shared" si="332"/>
        <v>127</v>
      </c>
      <c r="BJ170" s="130">
        <f t="shared" si="451"/>
        <v>4.3200000000000002E-2</v>
      </c>
      <c r="BK170" s="127">
        <f t="shared" si="440"/>
        <v>1427</v>
      </c>
      <c r="BL170" s="128">
        <f t="shared" si="441"/>
        <v>142557.30000000002</v>
      </c>
      <c r="BM170" s="128">
        <f t="shared" si="349"/>
        <v>142700</v>
      </c>
      <c r="BN170" s="128">
        <f t="shared" si="442"/>
        <v>149692.29999999999</v>
      </c>
      <c r="BO170" s="130">
        <f t="shared" si="390"/>
        <v>4.9000000000000002E-2</v>
      </c>
      <c r="BP170" s="128">
        <f t="shared" si="391"/>
        <v>153971.00490833333</v>
      </c>
      <c r="BQ170" s="128" t="str">
        <f t="shared" si="392"/>
        <v>nie</v>
      </c>
      <c r="BR170" s="128">
        <f t="shared" si="393"/>
        <v>1427</v>
      </c>
      <c r="BS170" s="128">
        <f t="shared" si="364"/>
        <v>150673.64397574999</v>
      </c>
      <c r="BT170" s="128">
        <f t="shared" si="456"/>
        <v>0</v>
      </c>
      <c r="BU170" s="130">
        <f t="shared" si="394"/>
        <v>4.4999999999999998E-2</v>
      </c>
      <c r="BV170" s="128">
        <f t="shared" si="271"/>
        <v>116.82078958773127</v>
      </c>
      <c r="BW170" s="128">
        <f t="shared" si="365"/>
        <v>150790.46476533773</v>
      </c>
      <c r="BY170" s="130">
        <f t="shared" si="452"/>
        <v>2.9000000000000001E-2</v>
      </c>
      <c r="BZ170" s="127">
        <f t="shared" si="444"/>
        <v>1344</v>
      </c>
      <c r="CA170" s="128">
        <f t="shared" si="445"/>
        <v>134279.90000000002</v>
      </c>
      <c r="CB170" s="128">
        <f t="shared" si="366"/>
        <v>134400</v>
      </c>
      <c r="CC170" s="128">
        <f t="shared" si="359"/>
        <v>134400</v>
      </c>
      <c r="CD170" s="130">
        <f t="shared" si="395"/>
        <v>4.3999999999999997E-2</v>
      </c>
      <c r="CE170" s="128">
        <f t="shared" si="396"/>
        <v>137849.60000000001</v>
      </c>
      <c r="CF170" s="128" t="str">
        <f t="shared" si="397"/>
        <v>nie</v>
      </c>
      <c r="CG170" s="128">
        <f t="shared" si="398"/>
        <v>2688</v>
      </c>
      <c r="CH170" s="128">
        <f t="shared" si="369"/>
        <v>135016.89600000001</v>
      </c>
      <c r="CI170" s="128">
        <f t="shared" si="399"/>
        <v>0</v>
      </c>
      <c r="CJ170" s="130">
        <f t="shared" si="277"/>
        <v>4.4999999999999998E-2</v>
      </c>
      <c r="CK170" s="128">
        <f t="shared" si="400"/>
        <v>10969.722925141012</v>
      </c>
      <c r="CL170" s="128">
        <f t="shared" si="401"/>
        <v>145986.61892514103</v>
      </c>
      <c r="CN170" s="127">
        <f t="shared" si="446"/>
        <v>1508</v>
      </c>
      <c r="CO170" s="128">
        <f t="shared" si="447"/>
        <v>150649.20000000001</v>
      </c>
      <c r="CP170" s="128">
        <f t="shared" si="342"/>
        <v>150800</v>
      </c>
      <c r="CQ170" s="128">
        <f t="shared" si="448"/>
        <v>150800</v>
      </c>
      <c r="CR170" s="130">
        <f t="shared" si="402"/>
        <v>5.7500000000000002E-2</v>
      </c>
      <c r="CS170" s="128">
        <f t="shared" si="403"/>
        <v>155858.08333333331</v>
      </c>
      <c r="CT170" s="128" t="str">
        <f t="shared" si="404"/>
        <v>nie</v>
      </c>
      <c r="CU170" s="128">
        <f t="shared" si="405"/>
        <v>4524</v>
      </c>
      <c r="CV170" s="128">
        <f t="shared" si="406"/>
        <v>151232.60749999998</v>
      </c>
      <c r="CW170" s="128">
        <f t="shared" si="453"/>
        <v>0</v>
      </c>
      <c r="CX170" s="130">
        <f t="shared" si="407"/>
        <v>4.4999999999999998E-2</v>
      </c>
      <c r="CY170" s="128">
        <f t="shared" si="408"/>
        <v>101.15471411499449</v>
      </c>
      <c r="CZ170" s="128">
        <f t="shared" si="409"/>
        <v>151333.76221411498</v>
      </c>
      <c r="DA170" s="20"/>
      <c r="DB170" s="127">
        <f t="shared" si="350"/>
        <v>1274</v>
      </c>
      <c r="DC170" s="128">
        <f t="shared" si="351"/>
        <v>127400</v>
      </c>
      <c r="DD170" s="128">
        <f t="shared" si="344"/>
        <v>127400</v>
      </c>
      <c r="DE170" s="128">
        <f t="shared" si="449"/>
        <v>155075.24524480166</v>
      </c>
      <c r="DF170" s="130">
        <f t="shared" si="410"/>
        <v>4.9000000000000002E-2</v>
      </c>
      <c r="DG170" s="128">
        <f t="shared" si="411"/>
        <v>159507.81267138224</v>
      </c>
      <c r="DH170" s="128" t="str">
        <f t="shared" si="412"/>
        <v>nie</v>
      </c>
      <c r="DI170" s="128">
        <f t="shared" si="413"/>
        <v>2548</v>
      </c>
      <c r="DJ170" s="128">
        <f t="shared" si="355"/>
        <v>151343.44826381962</v>
      </c>
      <c r="DK170" s="128">
        <f t="shared" si="454"/>
        <v>0</v>
      </c>
      <c r="DL170" s="130">
        <f t="shared" si="414"/>
        <v>4.4999999999999998E-2</v>
      </c>
      <c r="DM170" s="128">
        <f t="shared" si="415"/>
        <v>112.04446402302861</v>
      </c>
      <c r="DN170" s="128">
        <f t="shared" si="416"/>
        <v>151455.49272784265</v>
      </c>
      <c r="DP170" s="127">
        <f t="shared" si="352"/>
        <v>1000</v>
      </c>
      <c r="DQ170" s="128">
        <f t="shared" si="353"/>
        <v>100000</v>
      </c>
      <c r="DR170" s="128">
        <f t="shared" si="346"/>
        <v>100000</v>
      </c>
      <c r="DS170" s="128">
        <f t="shared" si="450"/>
        <v>170165.44083261534</v>
      </c>
      <c r="DT170" s="130">
        <f t="shared" si="417"/>
        <v>5.4000000000000006E-2</v>
      </c>
      <c r="DU170" s="128">
        <f t="shared" si="418"/>
        <v>175525.65221884273</v>
      </c>
      <c r="DV170" s="128" t="str">
        <f t="shared" si="419"/>
        <v>nie</v>
      </c>
      <c r="DW170" s="128">
        <f t="shared" si="420"/>
        <v>3000</v>
      </c>
      <c r="DX170" s="128">
        <f t="shared" si="302"/>
        <v>158745.77829726262</v>
      </c>
      <c r="DY170" s="128">
        <f t="shared" si="455"/>
        <v>0</v>
      </c>
      <c r="DZ170" s="130">
        <f t="shared" si="421"/>
        <v>4.4999999999999998E-2</v>
      </c>
      <c r="EA170" s="128">
        <f t="shared" si="422"/>
        <v>0</v>
      </c>
      <c r="EB170" s="128">
        <f t="shared" si="423"/>
        <v>158745.77829726262</v>
      </c>
    </row>
    <row r="171" spans="1:132">
      <c r="A171" s="212"/>
      <c r="B171" s="188">
        <f t="shared" si="424"/>
        <v>127</v>
      </c>
      <c r="C171" s="128">
        <f t="shared" si="425"/>
        <v>153101.94203756767</v>
      </c>
      <c r="D171" s="128">
        <f t="shared" si="426"/>
        <v>151276.41044432507</v>
      </c>
      <c r="E171" s="128">
        <f t="shared" si="427"/>
        <v>150790.46476533773</v>
      </c>
      <c r="F171" s="128">
        <f t="shared" si="428"/>
        <v>145986.61892514103</v>
      </c>
      <c r="G171" s="128">
        <f t="shared" si="429"/>
        <v>151333.76221411498</v>
      </c>
      <c r="H171" s="128">
        <f t="shared" si="430"/>
        <v>151455.49272784265</v>
      </c>
      <c r="I171" s="128">
        <f t="shared" si="431"/>
        <v>158745.77829726262</v>
      </c>
      <c r="J171" s="128">
        <f t="shared" si="432"/>
        <v>146987.56522512709</v>
      </c>
      <c r="K171" s="128">
        <f t="shared" si="433"/>
        <v>135344.03279483775</v>
      </c>
      <c r="M171" s="36"/>
      <c r="N171" s="32">
        <f t="shared" si="434"/>
        <v>127</v>
      </c>
      <c r="O171" s="25">
        <f t="shared" si="318"/>
        <v>0.53101942037567662</v>
      </c>
      <c r="P171" s="25">
        <f t="shared" si="319"/>
        <v>0.51276410444325071</v>
      </c>
      <c r="Q171" s="25">
        <f t="shared" si="320"/>
        <v>0.50790464765337728</v>
      </c>
      <c r="R171" s="25">
        <f t="shared" si="370"/>
        <v>0.45986618925141021</v>
      </c>
      <c r="S171" s="25">
        <f t="shared" si="371"/>
        <v>0.51333762214114986</v>
      </c>
      <c r="T171" s="25">
        <f t="shared" si="372"/>
        <v>0.51455492727842644</v>
      </c>
      <c r="U171" s="25">
        <f t="shared" si="373"/>
        <v>0.58745778297262619</v>
      </c>
      <c r="V171" s="25">
        <f t="shared" si="374"/>
        <v>0.46987565225127104</v>
      </c>
      <c r="W171" s="25">
        <f t="shared" si="375"/>
        <v>0.35344032794837754</v>
      </c>
      <c r="X171" s="36"/>
      <c r="Y171" s="36"/>
      <c r="AA171" s="124">
        <f t="shared" si="321"/>
        <v>128</v>
      </c>
      <c r="AB171" s="128">
        <f t="shared" si="376"/>
        <v>135665.67312517049</v>
      </c>
      <c r="AC171" s="124">
        <f t="shared" si="322"/>
        <v>128</v>
      </c>
      <c r="AD171" s="130">
        <f t="shared" si="435"/>
        <v>4.4999999999999998E-2</v>
      </c>
      <c r="AE171" s="127">
        <f t="shared" si="436"/>
        <v>1504</v>
      </c>
      <c r="AF171" s="128">
        <f t="shared" si="437"/>
        <v>150255.1</v>
      </c>
      <c r="AG171" s="128">
        <f t="shared" si="348"/>
        <v>150400</v>
      </c>
      <c r="AH171" s="128">
        <f t="shared" si="357"/>
        <v>150400</v>
      </c>
      <c r="AI171" s="130">
        <f t="shared" si="377"/>
        <v>4.4999999999999998E-2</v>
      </c>
      <c r="AJ171" s="128">
        <f t="shared" si="378"/>
        <v>150964</v>
      </c>
      <c r="AK171" s="128" t="str">
        <f t="shared" si="379"/>
        <v>nie</v>
      </c>
      <c r="AL171" s="128">
        <f t="shared" si="380"/>
        <v>752</v>
      </c>
      <c r="AM171" s="128">
        <f t="shared" si="361"/>
        <v>150247.72</v>
      </c>
      <c r="AN171" s="128">
        <f t="shared" si="381"/>
        <v>456.84000000000003</v>
      </c>
      <c r="AO171" s="130">
        <f t="shared" si="382"/>
        <v>4.4999999999999998E-2</v>
      </c>
      <c r="AP171" s="128">
        <f t="shared" si="383"/>
        <v>3777.9593885067798</v>
      </c>
      <c r="AQ171" s="128">
        <f t="shared" si="362"/>
        <v>153568.83938850678</v>
      </c>
      <c r="AS171" s="124">
        <f t="shared" si="327"/>
        <v>128</v>
      </c>
      <c r="AT171" s="130">
        <f t="shared" si="328"/>
        <v>4.4999999999999998E-2</v>
      </c>
      <c r="AU171" s="127">
        <f t="shared" si="438"/>
        <v>1488</v>
      </c>
      <c r="AV171" s="128">
        <f t="shared" si="439"/>
        <v>148662.1</v>
      </c>
      <c r="AW171" s="128">
        <f t="shared" si="363"/>
        <v>148800</v>
      </c>
      <c r="AX171" s="128">
        <f t="shared" si="358"/>
        <v>148800</v>
      </c>
      <c r="AY171" s="130">
        <f t="shared" si="384"/>
        <v>4.65E-2</v>
      </c>
      <c r="AZ171" s="128">
        <f t="shared" si="385"/>
        <v>149376.6</v>
      </c>
      <c r="BA171" s="128" t="str">
        <f t="shared" si="386"/>
        <v>nie</v>
      </c>
      <c r="BB171" s="128">
        <f t="shared" si="387"/>
        <v>1041.5999999999999</v>
      </c>
      <c r="BC171" s="128">
        <f t="shared" si="367"/>
        <v>148423.35</v>
      </c>
      <c r="BD171" s="128">
        <f t="shared" si="388"/>
        <v>467.04600000000477</v>
      </c>
      <c r="BE171" s="130">
        <f t="shared" si="264"/>
        <v>4.4999999999999998E-2</v>
      </c>
      <c r="BF171" s="128">
        <f t="shared" si="389"/>
        <v>3797.2372676497139</v>
      </c>
      <c r="BG171" s="128">
        <f t="shared" si="368"/>
        <v>151753.54126764971</v>
      </c>
      <c r="BI171" s="124">
        <f t="shared" si="332"/>
        <v>128</v>
      </c>
      <c r="BJ171" s="130">
        <f t="shared" si="451"/>
        <v>4.3200000000000002E-2</v>
      </c>
      <c r="BK171" s="127">
        <f t="shared" si="440"/>
        <v>1427</v>
      </c>
      <c r="BL171" s="128">
        <f t="shared" si="441"/>
        <v>142557.30000000002</v>
      </c>
      <c r="BM171" s="128">
        <f t="shared" si="349"/>
        <v>142700</v>
      </c>
      <c r="BN171" s="128">
        <f t="shared" si="442"/>
        <v>149692.29999999999</v>
      </c>
      <c r="BO171" s="130">
        <f t="shared" si="390"/>
        <v>4.9000000000000002E-2</v>
      </c>
      <c r="BP171" s="128">
        <f t="shared" si="391"/>
        <v>154582.24846666664</v>
      </c>
      <c r="BQ171" s="128" t="str">
        <f t="shared" si="392"/>
        <v>nie</v>
      </c>
      <c r="BR171" s="128">
        <f t="shared" si="393"/>
        <v>1427</v>
      </c>
      <c r="BS171" s="128">
        <f t="shared" si="364"/>
        <v>151168.75125799997</v>
      </c>
      <c r="BT171" s="128">
        <f t="shared" si="456"/>
        <v>0</v>
      </c>
      <c r="BU171" s="130">
        <f t="shared" si="394"/>
        <v>4.4999999999999998E-2</v>
      </c>
      <c r="BV171" s="128">
        <f t="shared" si="271"/>
        <v>117.17563273610401</v>
      </c>
      <c r="BW171" s="128">
        <f t="shared" si="365"/>
        <v>151285.92689073607</v>
      </c>
      <c r="BY171" s="130">
        <f t="shared" si="452"/>
        <v>2.9000000000000001E-2</v>
      </c>
      <c r="BZ171" s="127">
        <f t="shared" si="444"/>
        <v>1344</v>
      </c>
      <c r="CA171" s="128">
        <f t="shared" si="445"/>
        <v>134279.90000000002</v>
      </c>
      <c r="CB171" s="128">
        <f t="shared" si="366"/>
        <v>134400</v>
      </c>
      <c r="CC171" s="128">
        <f t="shared" si="359"/>
        <v>134400</v>
      </c>
      <c r="CD171" s="130">
        <f t="shared" si="395"/>
        <v>4.3999999999999997E-2</v>
      </c>
      <c r="CE171" s="128">
        <f t="shared" si="396"/>
        <v>138342.40000000002</v>
      </c>
      <c r="CF171" s="128" t="str">
        <f t="shared" si="397"/>
        <v>nie</v>
      </c>
      <c r="CG171" s="128">
        <f t="shared" si="398"/>
        <v>2688</v>
      </c>
      <c r="CH171" s="128">
        <f t="shared" si="369"/>
        <v>135416.06400000001</v>
      </c>
      <c r="CI171" s="128">
        <f t="shared" si="399"/>
        <v>0</v>
      </c>
      <c r="CJ171" s="130">
        <f t="shared" si="277"/>
        <v>4.4999999999999998E-2</v>
      </c>
      <c r="CK171" s="128">
        <f t="shared" si="400"/>
        <v>11003.043458526128</v>
      </c>
      <c r="CL171" s="128">
        <f t="shared" si="401"/>
        <v>146419.10745852615</v>
      </c>
      <c r="CN171" s="127">
        <f t="shared" si="446"/>
        <v>1508</v>
      </c>
      <c r="CO171" s="128">
        <f t="shared" si="447"/>
        <v>150649.20000000001</v>
      </c>
      <c r="CP171" s="128">
        <f t="shared" si="342"/>
        <v>150800</v>
      </c>
      <c r="CQ171" s="128">
        <f t="shared" si="448"/>
        <v>150800</v>
      </c>
      <c r="CR171" s="130">
        <f t="shared" si="402"/>
        <v>5.7500000000000002E-2</v>
      </c>
      <c r="CS171" s="128">
        <f t="shared" si="403"/>
        <v>156580.66666666666</v>
      </c>
      <c r="CT171" s="128" t="str">
        <f t="shared" si="404"/>
        <v>nie</v>
      </c>
      <c r="CU171" s="128">
        <f t="shared" si="405"/>
        <v>4524</v>
      </c>
      <c r="CV171" s="128">
        <f t="shared" si="406"/>
        <v>151817.9</v>
      </c>
      <c r="CW171" s="128">
        <f t="shared" si="453"/>
        <v>0</v>
      </c>
      <c r="CX171" s="130">
        <f t="shared" si="407"/>
        <v>4.4999999999999998E-2</v>
      </c>
      <c r="CY171" s="128">
        <f t="shared" si="408"/>
        <v>101.46197155911879</v>
      </c>
      <c r="CZ171" s="128">
        <f t="shared" si="409"/>
        <v>151919.36197155912</v>
      </c>
      <c r="DA171" s="20"/>
      <c r="DB171" s="127">
        <f t="shared" si="350"/>
        <v>1274</v>
      </c>
      <c r="DC171" s="128">
        <f t="shared" si="351"/>
        <v>127400</v>
      </c>
      <c r="DD171" s="128">
        <f t="shared" si="344"/>
        <v>127400</v>
      </c>
      <c r="DE171" s="128">
        <f t="shared" si="449"/>
        <v>155075.24524480166</v>
      </c>
      <c r="DF171" s="130">
        <f t="shared" si="410"/>
        <v>4.9000000000000002E-2</v>
      </c>
      <c r="DG171" s="128">
        <f t="shared" si="411"/>
        <v>160141.03658946516</v>
      </c>
      <c r="DH171" s="128" t="str">
        <f t="shared" si="412"/>
        <v>nie</v>
      </c>
      <c r="DI171" s="128">
        <f t="shared" si="413"/>
        <v>2548</v>
      </c>
      <c r="DJ171" s="128">
        <f t="shared" si="355"/>
        <v>151856.35963746678</v>
      </c>
      <c r="DK171" s="128">
        <f t="shared" si="454"/>
        <v>0</v>
      </c>
      <c r="DL171" s="130">
        <f t="shared" si="414"/>
        <v>4.4999999999999998E-2</v>
      </c>
      <c r="DM171" s="128">
        <f t="shared" si="415"/>
        <v>112.38479908249856</v>
      </c>
      <c r="DN171" s="128">
        <f t="shared" si="416"/>
        <v>151968.74443654928</v>
      </c>
      <c r="DP171" s="127">
        <f t="shared" si="352"/>
        <v>1000</v>
      </c>
      <c r="DQ171" s="128">
        <f t="shared" si="353"/>
        <v>100000</v>
      </c>
      <c r="DR171" s="128">
        <f t="shared" si="346"/>
        <v>100000</v>
      </c>
      <c r="DS171" s="128">
        <f t="shared" si="450"/>
        <v>170165.44083261534</v>
      </c>
      <c r="DT171" s="130">
        <f t="shared" si="417"/>
        <v>5.4000000000000006E-2</v>
      </c>
      <c r="DU171" s="128">
        <f t="shared" si="418"/>
        <v>176291.3967025895</v>
      </c>
      <c r="DV171" s="128" t="str">
        <f t="shared" si="419"/>
        <v>nie</v>
      </c>
      <c r="DW171" s="128">
        <f t="shared" si="420"/>
        <v>3000</v>
      </c>
      <c r="DX171" s="128">
        <f t="shared" si="302"/>
        <v>159366.03132909749</v>
      </c>
      <c r="DY171" s="128">
        <f t="shared" si="455"/>
        <v>0</v>
      </c>
      <c r="DZ171" s="130">
        <f t="shared" si="421"/>
        <v>4.4999999999999998E-2</v>
      </c>
      <c r="EA171" s="128">
        <f t="shared" si="422"/>
        <v>0</v>
      </c>
      <c r="EB171" s="128">
        <f t="shared" si="423"/>
        <v>159366.03132909749</v>
      </c>
    </row>
    <row r="172" spans="1:132">
      <c r="A172" s="212"/>
      <c r="B172" s="188">
        <f t="shared" si="424"/>
        <v>128</v>
      </c>
      <c r="C172" s="128">
        <f t="shared" si="425"/>
        <v>153568.83938850678</v>
      </c>
      <c r="D172" s="128">
        <f t="shared" si="426"/>
        <v>151753.54126764971</v>
      </c>
      <c r="E172" s="128">
        <f t="shared" si="427"/>
        <v>151285.92689073607</v>
      </c>
      <c r="F172" s="128">
        <f t="shared" si="428"/>
        <v>146419.10745852615</v>
      </c>
      <c r="G172" s="128">
        <f t="shared" si="429"/>
        <v>151919.36197155912</v>
      </c>
      <c r="H172" s="128">
        <f t="shared" si="430"/>
        <v>151968.74443654928</v>
      </c>
      <c r="I172" s="128">
        <f t="shared" si="431"/>
        <v>159366.03132909749</v>
      </c>
      <c r="J172" s="128">
        <f t="shared" si="432"/>
        <v>147434.03995449841</v>
      </c>
      <c r="K172" s="128">
        <f t="shared" si="433"/>
        <v>135665.67312517049</v>
      </c>
      <c r="M172" s="36"/>
      <c r="N172" s="32">
        <f t="shared" si="434"/>
        <v>128</v>
      </c>
      <c r="O172" s="25">
        <f t="shared" si="318"/>
        <v>0.53568839388506784</v>
      </c>
      <c r="P172" s="25">
        <f t="shared" si="319"/>
        <v>0.51753541267649705</v>
      </c>
      <c r="Q172" s="25">
        <f t="shared" si="320"/>
        <v>0.51285926890736078</v>
      </c>
      <c r="R172" s="25">
        <f t="shared" ref="R172:R188" si="457">F172/zakup_domyslny_wartosc-1</f>
        <v>0.46419107458526154</v>
      </c>
      <c r="S172" s="25">
        <f t="shared" ref="S172:S188" si="458">G172/zakup_domyslny_wartosc-1</f>
        <v>0.5191936197155913</v>
      </c>
      <c r="T172" s="25">
        <f t="shared" ref="T172:T188" si="459">H172/zakup_domyslny_wartosc-1</f>
        <v>0.51968744436549286</v>
      </c>
      <c r="U172" s="25">
        <f t="shared" ref="U172:U188" si="460">I172/zakup_domyslny_wartosc-1</f>
        <v>0.59366031329097479</v>
      </c>
      <c r="V172" s="25">
        <f t="shared" ref="V172:V188" si="461">J172/zakup_domyslny_wartosc-1</f>
        <v>0.47434039954498419</v>
      </c>
      <c r="W172" s="25">
        <f t="shared" ref="W172:W188" si="462">K172/zakup_domyslny_wartosc-1</f>
        <v>0.35665673125170483</v>
      </c>
      <c r="X172" s="36"/>
      <c r="Y172" s="36"/>
      <c r="AA172" s="124">
        <f t="shared" si="321"/>
        <v>129</v>
      </c>
      <c r="AB172" s="128">
        <f t="shared" ref="AB172:AB187" si="463">zakup_domyslny_wartosc*IFERROR((INDEX(scenariusz_I_inflacja_skumulowana,MATCH(ROUNDDOWN(AA172/12,0),scenariusz_I_rok,0))+1),1)
*(1+MOD(AA172,12)*INDEX(scenariusz_I_inflacja,MATCH(ROUNDUP(AA172/12,0),scenariusz_I_rok,0))/12)</f>
        <v>135987.3134555032</v>
      </c>
      <c r="AC172" s="124">
        <f t="shared" si="322"/>
        <v>129</v>
      </c>
      <c r="AD172" s="130">
        <f t="shared" si="435"/>
        <v>4.4999999999999998E-2</v>
      </c>
      <c r="AE172" s="127">
        <f t="shared" si="436"/>
        <v>1504</v>
      </c>
      <c r="AF172" s="128">
        <f t="shared" si="437"/>
        <v>150255.1</v>
      </c>
      <c r="AG172" s="128">
        <f t="shared" si="348"/>
        <v>150400</v>
      </c>
      <c r="AH172" s="128">
        <f t="shared" si="357"/>
        <v>150400</v>
      </c>
      <c r="AI172" s="130">
        <f t="shared" ref="AI172:AI187" si="464">IF(AND(MOD($AA172,zapadalnosc_ROR)&lt;=zmiana_oprocentowania_co_ile_mc_ROR,MOD($AA172,zapadalnosc_ROR)&lt;&gt;0),proc_I_okres_ROR,(marza_ROR+AD172))</f>
        <v>4.4999999999999998E-2</v>
      </c>
      <c r="AJ172" s="128">
        <f t="shared" ref="AJ172:AJ187" si="465">AH172*(1+AI172*IF(MOD($AA172,wyplata_odsetek_ROR)&lt;&gt;0,MOD($AA172,wyplata_odsetek_ROR),wyplata_odsetek_ROR)/12)</f>
        <v>150964</v>
      </c>
      <c r="AK172" s="128" t="str">
        <f t="shared" ref="AK172:AK187" si="466">IF(MOD($AA172,zapadalnosc_ROR)=0,"tak","nie")</f>
        <v>nie</v>
      </c>
      <c r="AL172" s="128">
        <f t="shared" ref="AL172:AL187" si="467">IF(MOD($AA172,zapadalnosc_ROR)=0,0,
IF(AND(MOD($AA172,zapadalnosc_ROR)&lt;zapadalnosc_ROR,MOD($AA172,zapadalnosc_ROR)&lt;=koszt_wczesniejszy_wykup_ochrona_ROR),
MIN(AJ172-AG172,AE172*koszt_wczesniejszy_wykup_ROR),AE172*koszt_wczesniejszy_wykup_ROR))</f>
        <v>752</v>
      </c>
      <c r="AM172" s="128">
        <f t="shared" si="361"/>
        <v>150247.72</v>
      </c>
      <c r="AN172" s="128">
        <f t="shared" ref="AN172:AN186" si="468">IF(MOD($AA172,wyplata_odsetek_ROR)=0, (AJ172-AG172)*(1-podatek_Belki),0)
+IF(AK172="tak",ROUNDDOWN(AJ172/zamiana_ROR,0)*(100-zamiana_ROR),0)</f>
        <v>456.84000000000003</v>
      </c>
      <c r="AO172" s="130">
        <f t="shared" ref="AO172:AO187" si="469">INDEX(scenariusz_I_konto,MATCH(ROUNDUP($AA172/12,0),scenariusz_I_rok,0))</f>
        <v>4.4999999999999998E-2</v>
      </c>
      <c r="AP172" s="128">
        <f t="shared" ref="AP172:AP187" si="470">(AP171-IF(AK171="tak",ROUNDDOWN(AP171/100,0)*100,0))*
(1+AO172/12*(1-podatek_Belki))+AN172</f>
        <v>4246.2749401493693</v>
      </c>
      <c r="AQ172" s="128">
        <f t="shared" si="362"/>
        <v>154037.15494014937</v>
      </c>
      <c r="AS172" s="124">
        <f t="shared" si="327"/>
        <v>129</v>
      </c>
      <c r="AT172" s="130">
        <f t="shared" si="328"/>
        <v>4.4999999999999998E-2</v>
      </c>
      <c r="AU172" s="127">
        <f t="shared" si="438"/>
        <v>1488</v>
      </c>
      <c r="AV172" s="128">
        <f t="shared" si="439"/>
        <v>148662.1</v>
      </c>
      <c r="AW172" s="128">
        <f t="shared" si="363"/>
        <v>148800</v>
      </c>
      <c r="AX172" s="128">
        <f t="shared" si="358"/>
        <v>148800</v>
      </c>
      <c r="AY172" s="130">
        <f t="shared" ref="AY172:AY187" si="471">IF(AND(MOD($AA172,zapadalnosc_DOR)&lt;=zmiana_oprocentowania_co_ile_mc_DOR,MOD($AA172,zapadalnosc_DOR)&lt;&gt;0),proc_I_okres_DOR,(marza_DOR+AT172))</f>
        <v>4.65E-2</v>
      </c>
      <c r="AZ172" s="128">
        <f t="shared" ref="AZ172:AZ187" si="472">AX172*(1+AY172*IF(MOD($AA172,wyplata_odsetek_DOR)&lt;&gt;0,MOD($AA172,wyplata_odsetek_DOR),wyplata_odsetek_DOR)/12)</f>
        <v>149376.6</v>
      </c>
      <c r="BA172" s="128" t="str">
        <f t="shared" ref="BA172:BA187" si="473">IF(MOD($AA172,zapadalnosc_DOR)=0,"tak","nie")</f>
        <v>nie</v>
      </c>
      <c r="BB172" s="128">
        <f t="shared" ref="BB172:BB187" si="474">IF(MOD($AA172,zapadalnosc_DOR)=0,0,
IF(AND(MOD($AA172,zapadalnosc_DOR)&lt;zapadalnosc_DOR,MOD($AA172,zapadalnosc_DOR)&lt;=koszt_wczesniejszy_wykup_ochrona_DOR),
MIN(AZ172-AW172,AU172*koszt_wczesniejszy_wykup_DOR),AU172*koszt_wczesniejszy_wykup_DOR))</f>
        <v>1041.5999999999999</v>
      </c>
      <c r="BC172" s="128">
        <f t="shared" si="367"/>
        <v>148423.35</v>
      </c>
      <c r="BD172" s="128">
        <f t="shared" ref="BD172:BD186" si="475">IF(MOD($AA172,wyplata_odsetek_DOR)=0, (AZ172-AW172)*(1-podatek_Belki),0)
+IF(BA172="tak",ROUNDDOWN(AZ172/zamiana_DOR,0)*(100-zamiana_DOR),0)</f>
        <v>467.04600000000477</v>
      </c>
      <c r="BE172" s="130">
        <f t="shared" ref="BE172:BE187" si="476">INDEX(scenariusz_I_konto,MATCH(ROUNDUP($AA172/12,0),scenariusz_I_rok,0))</f>
        <v>4.4999999999999998E-2</v>
      </c>
      <c r="BF172" s="128">
        <f t="shared" ref="BF172:BF187" si="477">(BF171-IF(BA171="tak",ROUNDDOWN(BF171/100,0)*100,0))*
(1+BE172/12*(1-podatek_Belki))+BD172</f>
        <v>4275.8173758502044</v>
      </c>
      <c r="BG172" s="128">
        <f t="shared" si="368"/>
        <v>152232.1213758502</v>
      </c>
      <c r="BI172" s="124">
        <f t="shared" si="332"/>
        <v>129</v>
      </c>
      <c r="BJ172" s="130">
        <f t="shared" si="451"/>
        <v>4.3200000000000002E-2</v>
      </c>
      <c r="BK172" s="127">
        <f t="shared" si="440"/>
        <v>1427</v>
      </c>
      <c r="BL172" s="128">
        <f t="shared" si="441"/>
        <v>142557.30000000002</v>
      </c>
      <c r="BM172" s="128">
        <f t="shared" si="349"/>
        <v>142700</v>
      </c>
      <c r="BN172" s="128">
        <f t="shared" si="442"/>
        <v>149692.29999999999</v>
      </c>
      <c r="BO172" s="130">
        <f t="shared" ref="BO172:BO187" si="478">IF(AND(MOD($AA172,zapadalnosc_TOS)&lt;=12,MOD($AA172,zapadalnosc_TOS)&lt;&gt;0),proc_I_okres_TOS,(marza_TOS+proc_I_okres_TOS))</f>
        <v>4.9000000000000002E-2</v>
      </c>
      <c r="BP172" s="128">
        <f t="shared" ref="BP172:BP187" si="479">BN172*(1+BO172*IF(MOD($AA172,12)&lt;&gt;0,MOD($AA172,12),12)/12)</f>
        <v>155193.49202499999</v>
      </c>
      <c r="BQ172" s="128" t="str">
        <f t="shared" ref="BQ172:BQ187" si="480">IF(MOD($AA172,zapadalnosc_TOS)=0,"tak","nie")</f>
        <v>nie</v>
      </c>
      <c r="BR172" s="128">
        <f t="shared" ref="BR172:BR187" si="481">IF(MOD($AA172,zapadalnosc_TOS)=0,0,
IF(AND(MOD($AA172,zapadalnosc_TOS)&lt;zapadalnosc_TOS,MOD($AA172,zapadalnosc_TOS)&lt;=koszt_wczesniejszy_wykup_ochrona_TOS),
MIN(BP172-BM172,BK172*koszt_wczesniejszy_wykup_TOS),BK172*koszt_wczesniejszy_wykup_TOS))</f>
        <v>1427</v>
      </c>
      <c r="BS172" s="128">
        <f t="shared" si="364"/>
        <v>151663.85854024999</v>
      </c>
      <c r="BT172" s="128">
        <f t="shared" si="456"/>
        <v>0</v>
      </c>
      <c r="BU172" s="130">
        <f t="shared" ref="BU172:BU187" si="482">INDEX(scenariusz_I_konto,MATCH(ROUNDUP($AA172/12,0),scenariusz_I_rok,0))</f>
        <v>4.4999999999999998E-2</v>
      </c>
      <c r="BV172" s="128">
        <f t="shared" ref="BV172:BV187" si="483">BV171*(1+BU172/12*(1-podatek_Belki))+BT172</f>
        <v>117.53155372053993</v>
      </c>
      <c r="BW172" s="128">
        <f t="shared" si="365"/>
        <v>151781.39009397052</v>
      </c>
      <c r="BY172" s="130">
        <f t="shared" si="452"/>
        <v>2.9000000000000001E-2</v>
      </c>
      <c r="BZ172" s="127">
        <f t="shared" si="444"/>
        <v>1344</v>
      </c>
      <c r="CA172" s="128">
        <f t="shared" si="445"/>
        <v>134279.90000000002</v>
      </c>
      <c r="CB172" s="128">
        <f t="shared" si="366"/>
        <v>134400</v>
      </c>
      <c r="CC172" s="128">
        <f t="shared" si="359"/>
        <v>134400</v>
      </c>
      <c r="CD172" s="130">
        <f t="shared" ref="CD172:CD187" si="484">IF(AND(MOD($AA172,zapadalnosc_COI)&lt;=zmiana_oprocentowania_co_ile_mc_COI,MOD($AA172,zapadalnosc_COI)&lt;&gt;0),proc_I_okres_COI,(marza_COI+BY172))</f>
        <v>4.3999999999999997E-2</v>
      </c>
      <c r="CE172" s="128">
        <f t="shared" ref="CE172:CE187" si="485">CC172*(1+CD172*IF(MOD($AA172,wyplata_odsetek_COI)&lt;&gt;0,MOD($AA172,wyplata_odsetek_COI),wyplata_odsetek_COI)/12)</f>
        <v>138835.19999999998</v>
      </c>
      <c r="CF172" s="128" t="str">
        <f t="shared" ref="CF172:CF187" si="486">IF(MOD($AA172,zapadalnosc_COI)=0,"tak","nie")</f>
        <v>nie</v>
      </c>
      <c r="CG172" s="128">
        <f t="shared" ref="CG172:CG187" si="487">IF(MOD($AA172,zapadalnosc_COI)=0,0,
IF(AND(MOD($AA172,zapadalnosc_COI)&lt;zapadalnosc_COI,MOD($AA172,zapadalnosc_COI)&lt;=koszt_wczesniejszy_wykup_ochrona_COI),
MIN(CE172-CB172,BZ172*koszt_wczesniejszy_wykup_COI),BZ172*koszt_wczesniejszy_wykup_COI))</f>
        <v>2688</v>
      </c>
      <c r="CH172" s="128">
        <f t="shared" si="369"/>
        <v>135815.23199999999</v>
      </c>
      <c r="CI172" s="128">
        <f t="shared" ref="CI172:CI186" si="488" xml:space="preserve"> IF(CF172="tak",
CH172-ROUNDDOWN(CH172/zamiana_COI,0)*zamiana_COI,
IF(MOD($AA172,wyplata_odsetek_COI)=0, (CE172-CB172)*(1-podatek_Belki),0))</f>
        <v>0</v>
      </c>
      <c r="CJ172" s="130">
        <f t="shared" ref="CJ172:CJ187" si="489">INDEX(scenariusz_I_konto,MATCH(ROUNDUP($AA172/12,0),scenariusz_I_rok,0))</f>
        <v>4.4999999999999998E-2</v>
      </c>
      <c r="CK172" s="128">
        <f t="shared" ref="CK172:CK187" si="490">(CK171-IF(CF171="tak",ROUNDDOWN(CK171/100,0)*100,0))*
(1+CJ172/12*(1-podatek_Belki))+CI172</f>
        <v>11036.465203031401</v>
      </c>
      <c r="CL172" s="128">
        <f t="shared" ref="CL172:CL187" si="491">(CK171-IF(MOD($AA171,zapadalnosc_COI)=0,ROUNDDOWN(CK171/100,0)*100,0))*(1+CJ172/12*(1-podatek_Belki))+CH172</f>
        <v>146851.69720303139</v>
      </c>
      <c r="CN172" s="127">
        <f t="shared" si="446"/>
        <v>1508</v>
      </c>
      <c r="CO172" s="128">
        <f t="shared" si="447"/>
        <v>150649.20000000001</v>
      </c>
      <c r="CP172" s="128">
        <f t="shared" si="342"/>
        <v>150800</v>
      </c>
      <c r="CQ172" s="128">
        <f t="shared" si="448"/>
        <v>150800</v>
      </c>
      <c r="CR172" s="130">
        <f t="shared" ref="CR172:CR187" si="492">IF(AND(MOD($AA172,zapadalnosc_EDO)&lt;=12,MOD($AA172,zapadalnosc_EDO)&lt;&gt;0),proc_I_okres_EDO,(marza_EDO+$BY172))</f>
        <v>5.7500000000000002E-2</v>
      </c>
      <c r="CS172" s="128">
        <f t="shared" ref="CS172:CS187" si="493">CQ172*(1+CR172*IF(MOD($AA172,12)&lt;&gt;0,MOD($AA172,12),12)/12)</f>
        <v>157303.25</v>
      </c>
      <c r="CT172" s="128" t="str">
        <f t="shared" ref="CT172:CT187" si="494">IF(MOD($AA172,zapadalnosc_EDO)=0,"tak","nie")</f>
        <v>nie</v>
      </c>
      <c r="CU172" s="128">
        <f t="shared" ref="CU172:CU187" si="495">IF(AND(MOD($AA172,zapadalnosc_EDO)&lt;zapadalnosc_EDO,MOD($AA172,zapadalnosc_EDO)&lt;&gt;0),MIN(CS172-CP172,CN172*koszt_wczesniejszy_wykup_EDO),0)</f>
        <v>4524</v>
      </c>
      <c r="CV172" s="128">
        <f t="shared" ref="CV172:CV187" si="496">CS172-CU172
-(CS172-CP172-CU172)*podatek_Belki</f>
        <v>152403.1925</v>
      </c>
      <c r="CW172" s="128">
        <f t="shared" si="453"/>
        <v>0</v>
      </c>
      <c r="CX172" s="130">
        <f t="shared" ref="CX172:CX187" si="497">INDEX(scenariusz_I_konto,MATCH(ROUNDUP($AA172/12,0),scenariusz_I_rok,0))</f>
        <v>4.4999999999999998E-2</v>
      </c>
      <c r="CY172" s="128">
        <f t="shared" ref="CY172:CY187" si="498">CY171*(1+CX172/12*(1-podatek_Belki))+CW172</f>
        <v>101.77016229772963</v>
      </c>
      <c r="CZ172" s="128">
        <f t="shared" ref="CZ172:CZ187" si="499">CY171*(1+CX172/12*(1-podatek_Belki))+CV172</f>
        <v>152504.96266229774</v>
      </c>
      <c r="DA172" s="20"/>
      <c r="DB172" s="127">
        <f t="shared" si="350"/>
        <v>1274</v>
      </c>
      <c r="DC172" s="128">
        <f t="shared" si="351"/>
        <v>127400</v>
      </c>
      <c r="DD172" s="128">
        <f t="shared" si="344"/>
        <v>127400</v>
      </c>
      <c r="DE172" s="128">
        <f t="shared" si="449"/>
        <v>155075.24524480166</v>
      </c>
      <c r="DF172" s="130">
        <f t="shared" ref="DF172:DF187" si="500">IF(AND(MOD($AA172,zapadalnosc_ROS)&lt;=12,MOD($AA172,zapadalnosc_ROS)&lt;&gt;0),proc_I_okres_ROS,(marza_ROS+$BY172))</f>
        <v>4.9000000000000002E-2</v>
      </c>
      <c r="DG172" s="128">
        <f t="shared" ref="DG172:DG187" si="501">DE172*(1+DF172*IF(MOD($AA172,12)&lt;&gt;0,MOD($AA172,12),12)/12)</f>
        <v>160774.26050754811</v>
      </c>
      <c r="DH172" s="128" t="str">
        <f t="shared" ref="DH172:DH187" si="502">IF(MOD($AA172,zapadalnosc_ROS)=0,"tak","nie")</f>
        <v>nie</v>
      </c>
      <c r="DI172" s="128">
        <f t="shared" ref="DI172:DI187" si="503">IF(AND(MOD($AA172,zapadalnosc_ROS)&lt;zapadalnosc_ROS,MOD($AA172,zapadalnosc_ROS)&lt;&gt;0),MIN(DG172-DD172,DB172*koszt_wczesniejszy_wykup_ROS),0)</f>
        <v>2548</v>
      </c>
      <c r="DJ172" s="128">
        <f t="shared" si="355"/>
        <v>152369.27101111397</v>
      </c>
      <c r="DK172" s="128">
        <f t="shared" si="454"/>
        <v>0</v>
      </c>
      <c r="DL172" s="130">
        <f t="shared" ref="DL172:DL187" si="504">INDEX(scenariusz_I_konto,MATCH(ROUNDUP($AA172/12,0),scenariusz_I_rok,0))</f>
        <v>4.4999999999999998E-2</v>
      </c>
      <c r="DM172" s="128">
        <f t="shared" ref="DM172:DM187" si="505">DM171*(1+DL172/12*(1-podatek_Belki))+DK172</f>
        <v>112.72616790971165</v>
      </c>
      <c r="DN172" s="128">
        <f t="shared" ref="DN172:DN187" si="506">DM171*(1+DL172/12*(1-podatek_Belki))+DJ172</f>
        <v>152481.99717902369</v>
      </c>
      <c r="DP172" s="127">
        <f t="shared" si="352"/>
        <v>1000</v>
      </c>
      <c r="DQ172" s="128">
        <f t="shared" si="353"/>
        <v>100000</v>
      </c>
      <c r="DR172" s="128">
        <f t="shared" si="346"/>
        <v>100000</v>
      </c>
      <c r="DS172" s="128">
        <f t="shared" si="450"/>
        <v>170165.44083261534</v>
      </c>
      <c r="DT172" s="130">
        <f t="shared" ref="DT172:DT187" si="507">IF(AND(MOD($AA172,zapadalnosc_ROD)&lt;=12,MOD($AA172,zapadalnosc_ROD)&lt;&gt;0),proc_I_okres_ROD,(marza_ROD+$BY172))</f>
        <v>5.4000000000000006E-2</v>
      </c>
      <c r="DU172" s="128">
        <f t="shared" ref="DU172:DU187" si="508">DS172*(1+DT172*IF(MOD($AA172,12)&lt;&gt;0,MOD($AA172,12),12)/12)</f>
        <v>177057.14118633626</v>
      </c>
      <c r="DV172" s="128" t="str">
        <f t="shared" ref="DV172:DV187" si="509">IF(MOD($AA172,zapadalnosc_ROD)=0,"tak","nie")</f>
        <v>nie</v>
      </c>
      <c r="DW172" s="128">
        <f t="shared" ref="DW172:DW187" si="510">IF(AND(MOD($AA172,zapadalnosc_ROD)&lt;zapadalnosc_ROD,MOD($AA172,zapadalnosc_ROD)&lt;&gt;0),MIN(DU172-DR172,DP172*koszt_wczesniejszy_wykup_ROD),0)</f>
        <v>3000</v>
      </c>
      <c r="DX172" s="128">
        <f t="shared" ref="DX172:DX187" si="511">DU172-DW172
-(DU172-DR172-DW172)*podatek_Belki</f>
        <v>159986.28436093236</v>
      </c>
      <c r="DY172" s="128">
        <f t="shared" si="455"/>
        <v>0</v>
      </c>
      <c r="DZ172" s="130">
        <f t="shared" ref="DZ172:DZ187" si="512">INDEX(scenariusz_I_konto,MATCH(ROUNDUP($AA172/12,0),scenariusz_I_rok,0))</f>
        <v>4.4999999999999998E-2</v>
      </c>
      <c r="EA172" s="128">
        <f t="shared" ref="EA172:EA187" si="513">EA171*(1+DZ172/12*(1-podatek_Belki))+DY172</f>
        <v>0</v>
      </c>
      <c r="EB172" s="128">
        <f t="shared" ref="EB172:EB187" si="514">EA171*(1+DZ172/12*(1-podatek_Belki))+DX172</f>
        <v>159986.28436093236</v>
      </c>
    </row>
    <row r="173" spans="1:132">
      <c r="A173" s="212"/>
      <c r="B173" s="188">
        <f t="shared" ref="B173:B188" si="515">AA172</f>
        <v>129</v>
      </c>
      <c r="C173" s="128">
        <f t="shared" ref="C173:C188" si="516">AQ172</f>
        <v>154037.15494014937</v>
      </c>
      <c r="D173" s="128">
        <f t="shared" ref="D173:D188" si="517">BG172</f>
        <v>152232.1213758502</v>
      </c>
      <c r="E173" s="128">
        <f t="shared" ref="E173:E188" si="518">BW172</f>
        <v>151781.39009397052</v>
      </c>
      <c r="F173" s="128">
        <f t="shared" ref="F173:F188" si="519">CL172</f>
        <v>146851.69720303139</v>
      </c>
      <c r="G173" s="128">
        <f t="shared" ref="G173:G188" si="520">CZ172</f>
        <v>152504.96266229774</v>
      </c>
      <c r="H173" s="128">
        <f t="shared" ref="H173:H188" si="521">DN172</f>
        <v>152481.99717902369</v>
      </c>
      <c r="I173" s="128">
        <f t="shared" ref="I173:I188" si="522">EB172</f>
        <v>159986.28436093236</v>
      </c>
      <c r="J173" s="128">
        <f t="shared" ref="J173:J188" si="523">FV(INDEX(scenariusz_I_konto,MATCH(ROUNDUP(B173/12,0),scenariusz_I_rok,0))/12*(1-podatek_Belki),1,0,-J172,1)</f>
        <v>147881.8708508602</v>
      </c>
      <c r="K173" s="128">
        <f t="shared" ref="K173:K188" si="524">AB172</f>
        <v>135987.3134555032</v>
      </c>
      <c r="M173" s="36"/>
      <c r="N173" s="32">
        <f t="shared" ref="N173:N188" si="525">B173</f>
        <v>129</v>
      </c>
      <c r="O173" s="25">
        <f t="shared" ref="O173:O188" si="526">C173/zakup_domyslny_wartosc-1</f>
        <v>0.54037154940149379</v>
      </c>
      <c r="P173" s="25">
        <f t="shared" ref="P173:P188" si="527">D173/zakup_domyslny_wartosc-1</f>
        <v>0.52232121375850205</v>
      </c>
      <c r="Q173" s="25">
        <f t="shared" ref="Q173:Q188" si="528">E173/zakup_domyslny_wartosc-1</f>
        <v>0.51781390093970514</v>
      </c>
      <c r="R173" s="25">
        <f t="shared" si="457"/>
        <v>0.46851697203031395</v>
      </c>
      <c r="S173" s="25">
        <f t="shared" si="458"/>
        <v>0.52504962662297738</v>
      </c>
      <c r="T173" s="25">
        <f t="shared" si="459"/>
        <v>0.52481997179023687</v>
      </c>
      <c r="U173" s="25">
        <f t="shared" si="460"/>
        <v>0.59986284360932363</v>
      </c>
      <c r="V173" s="25">
        <f t="shared" si="461"/>
        <v>0.47881870850860198</v>
      </c>
      <c r="W173" s="25">
        <f t="shared" si="462"/>
        <v>0.35987313455503211</v>
      </c>
      <c r="X173" s="36"/>
      <c r="Y173" s="36"/>
      <c r="AA173" s="124">
        <f t="shared" ref="AA173:AA187" si="529">AA172+1</f>
        <v>130</v>
      </c>
      <c r="AB173" s="128">
        <f t="shared" si="463"/>
        <v>136308.95378583594</v>
      </c>
      <c r="AC173" s="124">
        <f t="shared" ref="AC173:AC187" si="530">AC172+1</f>
        <v>130</v>
      </c>
      <c r="AD173" s="130">
        <f t="shared" ref="AD173:AD187" si="531">MAX(INDEX(scenariusz_I_stopa_NBP,MATCH(ROUNDUP(AC173/12,0),scenariusz_I_rok,0)),0)</f>
        <v>4.4999999999999998E-2</v>
      </c>
      <c r="AE173" s="127">
        <f t="shared" ref="AE173:AE187" si="532">IF(AK172="tak",
ROUNDDOWN(AM172/zamiana_ROR,0)+ROUNDDOWN(AP172/100,0),
AE172)</f>
        <v>1504</v>
      </c>
      <c r="AF173" s="128">
        <f t="shared" ref="AF173:AF187" si="533">IF(AK172="tak",
ROUNDDOWN(AM172/zamiana_ROR,0)*zamiana_ROR+ROUNDDOWN(AP172/100,0)*100,
AF172)</f>
        <v>150255.1</v>
      </c>
      <c r="AG173" s="128">
        <f t="shared" si="348"/>
        <v>150400</v>
      </c>
      <c r="AH173" s="128">
        <f t="shared" si="357"/>
        <v>150400</v>
      </c>
      <c r="AI173" s="130">
        <f t="shared" si="464"/>
        <v>4.4999999999999998E-2</v>
      </c>
      <c r="AJ173" s="128">
        <f t="shared" si="465"/>
        <v>150964</v>
      </c>
      <c r="AK173" s="128" t="str">
        <f t="shared" si="466"/>
        <v>nie</v>
      </c>
      <c r="AL173" s="128">
        <f t="shared" si="467"/>
        <v>752</v>
      </c>
      <c r="AM173" s="128">
        <f t="shared" si="361"/>
        <v>150247.72</v>
      </c>
      <c r="AN173" s="128">
        <f t="shared" si="468"/>
        <v>456.84000000000003</v>
      </c>
      <c r="AO173" s="130">
        <f t="shared" si="469"/>
        <v>4.4999999999999998E-2</v>
      </c>
      <c r="AP173" s="128">
        <f t="shared" si="470"/>
        <v>4716.0130002800734</v>
      </c>
      <c r="AQ173" s="128">
        <f t="shared" si="362"/>
        <v>154506.89300028008</v>
      </c>
      <c r="AS173" s="124">
        <f t="shared" ref="AS173:AS187" si="534">AS172+1</f>
        <v>130</v>
      </c>
      <c r="AT173" s="130">
        <f t="shared" ref="AT173:AT187" si="535">MAX(INDEX(scenariusz_I_stopa_NBP,MATCH(ROUNDUP(AS173/12,0),scenariusz_I_rok,0)),0)</f>
        <v>4.4999999999999998E-2</v>
      </c>
      <c r="AU173" s="127">
        <f t="shared" ref="AU173:AU187" si="536">IF(BA172="tak",
ROUNDDOWN(BC172/zamiana_DOR,0)+ROUNDDOWN(BF172/100,0),
AU172)</f>
        <v>1488</v>
      </c>
      <c r="AV173" s="128">
        <f t="shared" ref="AV173:AV187" si="537">IF(BA172="tak",
ROUNDDOWN(BC172/zamiana_DOR,0)*zamiana_DOR+ROUNDDOWN(BF172/100,0)*100,
AV172)</f>
        <v>148662.1</v>
      </c>
      <c r="AW173" s="128">
        <f t="shared" si="363"/>
        <v>148800</v>
      </c>
      <c r="AX173" s="128">
        <f t="shared" si="358"/>
        <v>148800</v>
      </c>
      <c r="AY173" s="130">
        <f t="shared" si="471"/>
        <v>4.65E-2</v>
      </c>
      <c r="AZ173" s="128">
        <f t="shared" si="472"/>
        <v>149376.6</v>
      </c>
      <c r="BA173" s="128" t="str">
        <f t="shared" si="473"/>
        <v>nie</v>
      </c>
      <c r="BB173" s="128">
        <f t="shared" si="474"/>
        <v>1041.5999999999999</v>
      </c>
      <c r="BC173" s="128">
        <f t="shared" si="367"/>
        <v>148423.35</v>
      </c>
      <c r="BD173" s="128">
        <f t="shared" si="475"/>
        <v>467.04600000000477</v>
      </c>
      <c r="BE173" s="130">
        <f t="shared" si="476"/>
        <v>4.4999999999999998E-2</v>
      </c>
      <c r="BF173" s="128">
        <f t="shared" si="477"/>
        <v>4755.851171129354</v>
      </c>
      <c r="BG173" s="128">
        <f t="shared" si="368"/>
        <v>152712.15517112936</v>
      </c>
      <c r="BI173" s="124">
        <f t="shared" ref="BI173:BI187" si="538">BI172+1</f>
        <v>130</v>
      </c>
      <c r="BJ173" s="130">
        <f t="shared" si="451"/>
        <v>4.3200000000000002E-2</v>
      </c>
      <c r="BK173" s="127">
        <f t="shared" ref="BK173:BK187" si="539">IF(BQ172="tak",
ROUNDDOWN(BS172/zamiana_TOS,0),
BK172)</f>
        <v>1427</v>
      </c>
      <c r="BL173" s="128">
        <f t="shared" ref="BL173:BL187" si="540">IF(BQ172="tak",
BK173*zamiana_TOS,
BL172)</f>
        <v>142557.30000000002</v>
      </c>
      <c r="BM173" s="128">
        <f t="shared" si="349"/>
        <v>142700</v>
      </c>
      <c r="BN173" s="128">
        <f t="shared" ref="BN173:BN187" si="541">IF(BQ172="tak",
 BM173,
IF(MOD($AA173,kapitalizacja_odsetek_mc_ROS)&lt;&gt;1,BN172,BP172))</f>
        <v>149692.29999999999</v>
      </c>
      <c r="BO173" s="130">
        <f t="shared" si="478"/>
        <v>4.9000000000000002E-2</v>
      </c>
      <c r="BP173" s="128">
        <f t="shared" si="479"/>
        <v>155804.7355833333</v>
      </c>
      <c r="BQ173" s="128" t="str">
        <f t="shared" si="480"/>
        <v>nie</v>
      </c>
      <c r="BR173" s="128">
        <f t="shared" si="481"/>
        <v>1427</v>
      </c>
      <c r="BS173" s="128">
        <f t="shared" si="364"/>
        <v>152158.96582249997</v>
      </c>
      <c r="BT173" s="128">
        <f t="shared" si="456"/>
        <v>0</v>
      </c>
      <c r="BU173" s="130">
        <f t="shared" si="482"/>
        <v>4.4999999999999998E-2</v>
      </c>
      <c r="BV173" s="128">
        <f t="shared" si="483"/>
        <v>117.88855581496608</v>
      </c>
      <c r="BW173" s="128">
        <f t="shared" si="365"/>
        <v>152276.85437831495</v>
      </c>
      <c r="BY173" s="130">
        <f t="shared" si="452"/>
        <v>2.9000000000000001E-2</v>
      </c>
      <c r="BZ173" s="127">
        <f t="shared" ref="BZ173:BZ187" si="542">IF(CF172="tak",
ROUNDDOWN(CH172/zamiana_COI,0)+ROUNDDOWN(CK172/100,0),
BZ172)</f>
        <v>1344</v>
      </c>
      <c r="CA173" s="128">
        <f t="shared" ref="CA173:CA187" si="543">IF(CF172="tak",
ROUNDDOWN(CH172/zamiana_COI,0)*zamiana_COI+ROUNDDOWN(CK172/100,0)*100,
CA172)</f>
        <v>134279.90000000002</v>
      </c>
      <c r="CB173" s="128">
        <f t="shared" si="366"/>
        <v>134400</v>
      </c>
      <c r="CC173" s="128">
        <f t="shared" si="359"/>
        <v>134400</v>
      </c>
      <c r="CD173" s="130">
        <f t="shared" si="484"/>
        <v>4.3999999999999997E-2</v>
      </c>
      <c r="CE173" s="128">
        <f t="shared" si="485"/>
        <v>139328</v>
      </c>
      <c r="CF173" s="128" t="str">
        <f t="shared" si="486"/>
        <v>nie</v>
      </c>
      <c r="CG173" s="128">
        <f t="shared" si="487"/>
        <v>2688</v>
      </c>
      <c r="CH173" s="128">
        <f t="shared" si="369"/>
        <v>136214.39999999999</v>
      </c>
      <c r="CI173" s="128">
        <f t="shared" si="488"/>
        <v>0</v>
      </c>
      <c r="CJ173" s="130">
        <f t="shared" si="489"/>
        <v>4.4999999999999998E-2</v>
      </c>
      <c r="CK173" s="128">
        <f t="shared" si="490"/>
        <v>11069.98846608561</v>
      </c>
      <c r="CL173" s="128">
        <f t="shared" si="491"/>
        <v>147284.3884660856</v>
      </c>
      <c r="CN173" s="127">
        <f t="shared" ref="CN173:CN187" si="544">IF(CT172="tak",
ROUNDDOWN(CV172/zamiana_EDO,0),
CN172)</f>
        <v>1508</v>
      </c>
      <c r="CO173" s="128">
        <f t="shared" ref="CO173:CO187" si="545">IF(CT172="tak",
CN173*zamiana_EDO,
CO172)</f>
        <v>150649.20000000001</v>
      </c>
      <c r="CP173" s="128">
        <f t="shared" ref="CP173:CP186" si="546">IF(CT172="tak",
CN173*100,
CP172)</f>
        <v>150800</v>
      </c>
      <c r="CQ173" s="128">
        <f t="shared" ref="CQ173:CQ187" si="547">IF(CT172="tak",
 CP173,
IF(MOD($AA173,kapitalizacja_odsetek_mc_EDO)&lt;&gt;1,CQ172,CS172))</f>
        <v>150800</v>
      </c>
      <c r="CR173" s="130">
        <f t="shared" si="492"/>
        <v>5.7500000000000002E-2</v>
      </c>
      <c r="CS173" s="128">
        <f t="shared" si="493"/>
        <v>158025.83333333331</v>
      </c>
      <c r="CT173" s="128" t="str">
        <f t="shared" si="494"/>
        <v>nie</v>
      </c>
      <c r="CU173" s="128">
        <f t="shared" si="495"/>
        <v>4524</v>
      </c>
      <c r="CV173" s="128">
        <f t="shared" si="496"/>
        <v>152988.48499999999</v>
      </c>
      <c r="CW173" s="128">
        <f t="shared" si="453"/>
        <v>0</v>
      </c>
      <c r="CX173" s="130">
        <f t="shared" si="497"/>
        <v>4.4999999999999998E-2</v>
      </c>
      <c r="CY173" s="128">
        <f t="shared" si="498"/>
        <v>102.07928916570899</v>
      </c>
      <c r="CZ173" s="128">
        <f t="shared" si="499"/>
        <v>153090.56428916569</v>
      </c>
      <c r="DA173" s="20"/>
      <c r="DB173" s="127">
        <f t="shared" si="350"/>
        <v>1274</v>
      </c>
      <c r="DC173" s="128">
        <f t="shared" si="351"/>
        <v>127400</v>
      </c>
      <c r="DD173" s="128">
        <f t="shared" ref="DD173:DD187" si="548">IF(DH172="tak",
DB173*100,
DD172)</f>
        <v>127400</v>
      </c>
      <c r="DE173" s="128">
        <f t="shared" ref="DE173:DE187" si="549">IF(DH172="tak",
 DD173,
IF(MOD($AA173,kapitalizacja_odsetek_mc_ROS)&lt;&gt;1,DE172,DG172))</f>
        <v>155075.24524480166</v>
      </c>
      <c r="DF173" s="130">
        <f t="shared" si="500"/>
        <v>4.9000000000000002E-2</v>
      </c>
      <c r="DG173" s="128">
        <f t="shared" si="501"/>
        <v>161407.48442563106</v>
      </c>
      <c r="DH173" s="128" t="str">
        <f t="shared" si="502"/>
        <v>nie</v>
      </c>
      <c r="DI173" s="128">
        <f t="shared" si="503"/>
        <v>2548</v>
      </c>
      <c r="DJ173" s="128">
        <f t="shared" si="355"/>
        <v>152882.18238476117</v>
      </c>
      <c r="DK173" s="128">
        <f t="shared" si="454"/>
        <v>0</v>
      </c>
      <c r="DL173" s="130">
        <f t="shared" si="504"/>
        <v>4.4999999999999998E-2</v>
      </c>
      <c r="DM173" s="128">
        <f t="shared" si="505"/>
        <v>113.0685736447374</v>
      </c>
      <c r="DN173" s="128">
        <f t="shared" si="506"/>
        <v>152995.2509584059</v>
      </c>
      <c r="DP173" s="127">
        <f t="shared" si="352"/>
        <v>1000</v>
      </c>
      <c r="DQ173" s="128">
        <f t="shared" si="353"/>
        <v>100000</v>
      </c>
      <c r="DR173" s="128">
        <f t="shared" ref="DR173:DR187" si="550">IF(DV172="tak",
DP173*100,
DR172)</f>
        <v>100000</v>
      </c>
      <c r="DS173" s="128">
        <f t="shared" ref="DS173:DS187" si="551">IF(DV172="tak",
 DR173,
IF(MOD($AA173,kapitalizacja_odsetek_mc_ROD)&lt;&gt;1,DS172,DU172))</f>
        <v>170165.44083261534</v>
      </c>
      <c r="DT173" s="130">
        <f t="shared" si="507"/>
        <v>5.4000000000000006E-2</v>
      </c>
      <c r="DU173" s="128">
        <f t="shared" si="508"/>
        <v>177822.88567008302</v>
      </c>
      <c r="DV173" s="128" t="str">
        <f t="shared" si="509"/>
        <v>nie</v>
      </c>
      <c r="DW173" s="128">
        <f t="shared" si="510"/>
        <v>3000</v>
      </c>
      <c r="DX173" s="128">
        <f t="shared" si="511"/>
        <v>160606.53739276726</v>
      </c>
      <c r="DY173" s="128">
        <f t="shared" si="455"/>
        <v>0</v>
      </c>
      <c r="DZ173" s="130">
        <f t="shared" si="512"/>
        <v>4.4999999999999998E-2</v>
      </c>
      <c r="EA173" s="128">
        <f t="shared" si="513"/>
        <v>0</v>
      </c>
      <c r="EB173" s="128">
        <f t="shared" si="514"/>
        <v>160606.53739276726</v>
      </c>
    </row>
    <row r="174" spans="1:132">
      <c r="A174" s="212"/>
      <c r="B174" s="188">
        <f t="shared" si="515"/>
        <v>130</v>
      </c>
      <c r="C174" s="128">
        <f t="shared" si="516"/>
        <v>154506.89300028008</v>
      </c>
      <c r="D174" s="128">
        <f t="shared" si="517"/>
        <v>152712.15517112936</v>
      </c>
      <c r="E174" s="128">
        <f t="shared" si="518"/>
        <v>152276.85437831495</v>
      </c>
      <c r="F174" s="128">
        <f t="shared" si="519"/>
        <v>147284.3884660856</v>
      </c>
      <c r="G174" s="128">
        <f t="shared" si="520"/>
        <v>153090.56428916569</v>
      </c>
      <c r="H174" s="128">
        <f t="shared" si="521"/>
        <v>152995.2509584059</v>
      </c>
      <c r="I174" s="128">
        <f t="shared" si="522"/>
        <v>160606.53739276726</v>
      </c>
      <c r="J174" s="128">
        <f t="shared" si="523"/>
        <v>148331.0620335697</v>
      </c>
      <c r="K174" s="128">
        <f t="shared" si="524"/>
        <v>136308.95378583594</v>
      </c>
      <c r="M174" s="36"/>
      <c r="N174" s="32">
        <f t="shared" si="525"/>
        <v>130</v>
      </c>
      <c r="O174" s="25">
        <f t="shared" si="526"/>
        <v>0.54506893000280088</v>
      </c>
      <c r="P174" s="25">
        <f t="shared" si="527"/>
        <v>0.52712155171129349</v>
      </c>
      <c r="Q174" s="25">
        <f t="shared" si="528"/>
        <v>0.52276854378314952</v>
      </c>
      <c r="R174" s="25">
        <f t="shared" si="457"/>
        <v>0.47284388466085603</v>
      </c>
      <c r="S174" s="25">
        <f t="shared" si="458"/>
        <v>0.53090564289165698</v>
      </c>
      <c r="T174" s="25">
        <f t="shared" si="459"/>
        <v>0.52995250958405893</v>
      </c>
      <c r="U174" s="25">
        <f t="shared" si="460"/>
        <v>0.60606537392767268</v>
      </c>
      <c r="V174" s="25">
        <f t="shared" si="461"/>
        <v>0.48331062033569694</v>
      </c>
      <c r="W174" s="25">
        <f t="shared" si="462"/>
        <v>0.3630895378583594</v>
      </c>
      <c r="X174" s="36"/>
      <c r="Y174" s="36"/>
      <c r="AA174" s="124">
        <f t="shared" si="529"/>
        <v>131</v>
      </c>
      <c r="AB174" s="128">
        <f t="shared" si="463"/>
        <v>136630.59411616868</v>
      </c>
      <c r="AC174" s="124">
        <f t="shared" si="530"/>
        <v>131</v>
      </c>
      <c r="AD174" s="130">
        <f t="shared" si="531"/>
        <v>4.4999999999999998E-2</v>
      </c>
      <c r="AE174" s="127">
        <f t="shared" si="532"/>
        <v>1504</v>
      </c>
      <c r="AF174" s="128">
        <f t="shared" si="533"/>
        <v>150255.1</v>
      </c>
      <c r="AG174" s="128">
        <f t="shared" ref="AG174:AG187" si="552">IF(AK173="tak",
AE174*100,
AG173)</f>
        <v>150400</v>
      </c>
      <c r="AH174" s="128">
        <f t="shared" si="357"/>
        <v>150400</v>
      </c>
      <c r="AI174" s="130">
        <f t="shared" si="464"/>
        <v>4.4999999999999998E-2</v>
      </c>
      <c r="AJ174" s="128">
        <f t="shared" si="465"/>
        <v>150964</v>
      </c>
      <c r="AK174" s="128" t="str">
        <f t="shared" si="466"/>
        <v>nie</v>
      </c>
      <c r="AL174" s="128">
        <f t="shared" si="467"/>
        <v>752</v>
      </c>
      <c r="AM174" s="128">
        <f t="shared" si="361"/>
        <v>150247.72</v>
      </c>
      <c r="AN174" s="128">
        <f t="shared" si="468"/>
        <v>456.84000000000003</v>
      </c>
      <c r="AO174" s="130">
        <f t="shared" si="469"/>
        <v>4.4999999999999998E-2</v>
      </c>
      <c r="AP174" s="128">
        <f t="shared" si="470"/>
        <v>5187.1778897684244</v>
      </c>
      <c r="AQ174" s="128">
        <f t="shared" si="362"/>
        <v>154978.05788976842</v>
      </c>
      <c r="AS174" s="124">
        <f t="shared" si="534"/>
        <v>131</v>
      </c>
      <c r="AT174" s="130">
        <f t="shared" si="535"/>
        <v>4.4999999999999998E-2</v>
      </c>
      <c r="AU174" s="127">
        <f t="shared" si="536"/>
        <v>1488</v>
      </c>
      <c r="AV174" s="128">
        <f t="shared" si="537"/>
        <v>148662.1</v>
      </c>
      <c r="AW174" s="128">
        <f t="shared" si="363"/>
        <v>148800</v>
      </c>
      <c r="AX174" s="128">
        <f t="shared" si="358"/>
        <v>148800</v>
      </c>
      <c r="AY174" s="130">
        <f t="shared" si="471"/>
        <v>4.65E-2</v>
      </c>
      <c r="AZ174" s="128">
        <f t="shared" si="472"/>
        <v>149376.6</v>
      </c>
      <c r="BA174" s="128" t="str">
        <f t="shared" si="473"/>
        <v>nie</v>
      </c>
      <c r="BB174" s="128">
        <f t="shared" si="474"/>
        <v>1041.5999999999999</v>
      </c>
      <c r="BC174" s="128">
        <f t="shared" si="367"/>
        <v>148423.35</v>
      </c>
      <c r="BD174" s="128">
        <f t="shared" si="475"/>
        <v>467.04600000000477</v>
      </c>
      <c r="BE174" s="130">
        <f t="shared" si="476"/>
        <v>4.4999999999999998E-2</v>
      </c>
      <c r="BF174" s="128">
        <f t="shared" si="477"/>
        <v>5237.3430690616642</v>
      </c>
      <c r="BG174" s="128">
        <f t="shared" si="368"/>
        <v>153193.64706906167</v>
      </c>
      <c r="BI174" s="124">
        <f t="shared" si="538"/>
        <v>131</v>
      </c>
      <c r="BJ174" s="130">
        <f t="shared" si="451"/>
        <v>4.3200000000000002E-2</v>
      </c>
      <c r="BK174" s="127">
        <f t="shared" si="539"/>
        <v>1427</v>
      </c>
      <c r="BL174" s="128">
        <f t="shared" si="540"/>
        <v>142557.30000000002</v>
      </c>
      <c r="BM174" s="128">
        <f t="shared" ref="BM174:BM187" si="553">IF(BQ173="tak",
BK174*100,
BM173)</f>
        <v>142700</v>
      </c>
      <c r="BN174" s="128">
        <f t="shared" si="541"/>
        <v>149692.29999999999</v>
      </c>
      <c r="BO174" s="130">
        <f t="shared" si="478"/>
        <v>4.9000000000000002E-2</v>
      </c>
      <c r="BP174" s="128">
        <f t="shared" si="479"/>
        <v>156415.97914166667</v>
      </c>
      <c r="BQ174" s="128" t="str">
        <f t="shared" si="480"/>
        <v>nie</v>
      </c>
      <c r="BR174" s="128">
        <f t="shared" si="481"/>
        <v>1427</v>
      </c>
      <c r="BS174" s="128">
        <f t="shared" si="364"/>
        <v>152654.07310475002</v>
      </c>
      <c r="BT174" s="128">
        <f t="shared" si="456"/>
        <v>0</v>
      </c>
      <c r="BU174" s="130">
        <f t="shared" si="482"/>
        <v>4.4999999999999998E-2</v>
      </c>
      <c r="BV174" s="128">
        <f t="shared" si="483"/>
        <v>118.24664230325405</v>
      </c>
      <c r="BW174" s="128">
        <f t="shared" si="365"/>
        <v>152772.31974705326</v>
      </c>
      <c r="BY174" s="130">
        <f t="shared" si="452"/>
        <v>2.9000000000000001E-2</v>
      </c>
      <c r="BZ174" s="127">
        <f t="shared" si="542"/>
        <v>1344</v>
      </c>
      <c r="CA174" s="128">
        <f t="shared" si="543"/>
        <v>134279.90000000002</v>
      </c>
      <c r="CB174" s="128">
        <f t="shared" si="366"/>
        <v>134400</v>
      </c>
      <c r="CC174" s="128">
        <f t="shared" si="359"/>
        <v>134400</v>
      </c>
      <c r="CD174" s="130">
        <f t="shared" si="484"/>
        <v>4.3999999999999997E-2</v>
      </c>
      <c r="CE174" s="128">
        <f t="shared" si="485"/>
        <v>139820.79999999999</v>
      </c>
      <c r="CF174" s="128" t="str">
        <f t="shared" si="486"/>
        <v>nie</v>
      </c>
      <c r="CG174" s="128">
        <f t="shared" si="487"/>
        <v>2688</v>
      </c>
      <c r="CH174" s="128">
        <f t="shared" si="369"/>
        <v>136613.568</v>
      </c>
      <c r="CI174" s="128">
        <f t="shared" si="488"/>
        <v>0</v>
      </c>
      <c r="CJ174" s="130">
        <f t="shared" si="489"/>
        <v>4.4999999999999998E-2</v>
      </c>
      <c r="CK174" s="128">
        <f t="shared" si="490"/>
        <v>11103.613556051345</v>
      </c>
      <c r="CL174" s="128">
        <f t="shared" si="491"/>
        <v>147717.18155605134</v>
      </c>
      <c r="CN174" s="127">
        <f t="shared" si="544"/>
        <v>1508</v>
      </c>
      <c r="CO174" s="128">
        <f t="shared" si="545"/>
        <v>150649.20000000001</v>
      </c>
      <c r="CP174" s="128">
        <f t="shared" si="546"/>
        <v>150800</v>
      </c>
      <c r="CQ174" s="128">
        <f t="shared" si="547"/>
        <v>150800</v>
      </c>
      <c r="CR174" s="130">
        <f t="shared" si="492"/>
        <v>5.7500000000000002E-2</v>
      </c>
      <c r="CS174" s="128">
        <f t="shared" si="493"/>
        <v>158748.41666666666</v>
      </c>
      <c r="CT174" s="128" t="str">
        <f t="shared" si="494"/>
        <v>nie</v>
      </c>
      <c r="CU174" s="128">
        <f t="shared" si="495"/>
        <v>4524</v>
      </c>
      <c r="CV174" s="128">
        <f t="shared" si="496"/>
        <v>153573.7775</v>
      </c>
      <c r="CW174" s="128">
        <f t="shared" si="453"/>
        <v>0</v>
      </c>
      <c r="CX174" s="130">
        <f t="shared" si="497"/>
        <v>4.4999999999999998E-2</v>
      </c>
      <c r="CY174" s="128">
        <f t="shared" si="498"/>
        <v>102.38935500654983</v>
      </c>
      <c r="CZ174" s="128">
        <f t="shared" si="499"/>
        <v>153676.16685500654</v>
      </c>
      <c r="DA174" s="20"/>
      <c r="DB174" s="127">
        <f t="shared" ref="DB174:DB187" si="554">IF(DH173="tak",
ROUNDDOWN(DJ173/100,0),
DB173)</f>
        <v>1274</v>
      </c>
      <c r="DC174" s="128">
        <f t="shared" ref="DC174:DC187" si="555">IF(DH173="tak",
DB174*100,
DC173)</f>
        <v>127400</v>
      </c>
      <c r="DD174" s="128">
        <f t="shared" si="548"/>
        <v>127400</v>
      </c>
      <c r="DE174" s="128">
        <f t="shared" si="549"/>
        <v>155075.24524480166</v>
      </c>
      <c r="DF174" s="130">
        <f t="shared" si="500"/>
        <v>4.9000000000000002E-2</v>
      </c>
      <c r="DG174" s="128">
        <f t="shared" si="501"/>
        <v>162040.70834371401</v>
      </c>
      <c r="DH174" s="128" t="str">
        <f t="shared" si="502"/>
        <v>nie</v>
      </c>
      <c r="DI174" s="128">
        <f t="shared" si="503"/>
        <v>2548</v>
      </c>
      <c r="DJ174" s="128">
        <f t="shared" si="355"/>
        <v>153395.09375840836</v>
      </c>
      <c r="DK174" s="128">
        <f t="shared" si="454"/>
        <v>0</v>
      </c>
      <c r="DL174" s="130">
        <f t="shared" si="504"/>
        <v>4.4999999999999998E-2</v>
      </c>
      <c r="DM174" s="128">
        <f t="shared" si="505"/>
        <v>113.41201943718329</v>
      </c>
      <c r="DN174" s="128">
        <f t="shared" si="506"/>
        <v>153508.50577784554</v>
      </c>
      <c r="DP174" s="127">
        <f t="shared" ref="DP174:DP187" si="556">IF(DV173="tak",
ROUNDDOWN(DX173/100,0),
DP173)</f>
        <v>1000</v>
      </c>
      <c r="DQ174" s="128">
        <f t="shared" ref="DQ174:DQ187" si="557">IF(DV173="tak",
DP174*100,
DQ173)</f>
        <v>100000</v>
      </c>
      <c r="DR174" s="128">
        <f t="shared" si="550"/>
        <v>100000</v>
      </c>
      <c r="DS174" s="128">
        <f t="shared" si="551"/>
        <v>170165.44083261534</v>
      </c>
      <c r="DT174" s="130">
        <f t="shared" si="507"/>
        <v>5.4000000000000006E-2</v>
      </c>
      <c r="DU174" s="128">
        <f t="shared" si="508"/>
        <v>178588.63015382981</v>
      </c>
      <c r="DV174" s="128" t="str">
        <f t="shared" si="509"/>
        <v>nie</v>
      </c>
      <c r="DW174" s="128">
        <f t="shared" si="510"/>
        <v>3000</v>
      </c>
      <c r="DX174" s="128">
        <f t="shared" si="511"/>
        <v>161226.79042460216</v>
      </c>
      <c r="DY174" s="128">
        <f t="shared" si="455"/>
        <v>0</v>
      </c>
      <c r="DZ174" s="130">
        <f t="shared" si="512"/>
        <v>4.4999999999999998E-2</v>
      </c>
      <c r="EA174" s="128">
        <f t="shared" si="513"/>
        <v>0</v>
      </c>
      <c r="EB174" s="128">
        <f t="shared" si="514"/>
        <v>161226.79042460216</v>
      </c>
    </row>
    <row r="175" spans="1:132" ht="14.25" customHeight="1">
      <c r="A175" s="212"/>
      <c r="B175" s="188">
        <f t="shared" si="515"/>
        <v>131</v>
      </c>
      <c r="C175" s="128">
        <f t="shared" si="516"/>
        <v>154978.05788976842</v>
      </c>
      <c r="D175" s="128">
        <f t="shared" si="517"/>
        <v>153193.64706906167</v>
      </c>
      <c r="E175" s="128">
        <f t="shared" si="518"/>
        <v>152772.31974705326</v>
      </c>
      <c r="F175" s="128">
        <f t="shared" si="519"/>
        <v>147717.18155605134</v>
      </c>
      <c r="G175" s="128">
        <f t="shared" si="520"/>
        <v>153676.16685500654</v>
      </c>
      <c r="H175" s="128">
        <f t="shared" si="521"/>
        <v>153508.50577784554</v>
      </c>
      <c r="I175" s="128">
        <f t="shared" si="522"/>
        <v>161226.79042460216</v>
      </c>
      <c r="J175" s="128">
        <f t="shared" si="523"/>
        <v>148781.61763449668</v>
      </c>
      <c r="K175" s="128">
        <f t="shared" si="524"/>
        <v>136630.59411616868</v>
      </c>
      <c r="M175" s="36"/>
      <c r="N175" s="32">
        <f t="shared" si="525"/>
        <v>131</v>
      </c>
      <c r="O175" s="25">
        <f t="shared" si="526"/>
        <v>0.54978057889768417</v>
      </c>
      <c r="P175" s="25">
        <f t="shared" si="527"/>
        <v>0.53193647069061667</v>
      </c>
      <c r="Q175" s="25">
        <f t="shared" si="528"/>
        <v>0.52772319747053253</v>
      </c>
      <c r="R175" s="25">
        <f t="shared" si="457"/>
        <v>0.47717181556051336</v>
      </c>
      <c r="S175" s="25">
        <f t="shared" si="458"/>
        <v>0.53676166855006535</v>
      </c>
      <c r="T175" s="25">
        <f t="shared" si="459"/>
        <v>0.53508505777845539</v>
      </c>
      <c r="U175" s="25">
        <f t="shared" si="460"/>
        <v>0.61226790424602173</v>
      </c>
      <c r="V175" s="25">
        <f t="shared" si="461"/>
        <v>0.48781617634496688</v>
      </c>
      <c r="W175" s="25">
        <f t="shared" si="462"/>
        <v>0.36630594116168669</v>
      </c>
      <c r="X175" s="36"/>
      <c r="Y175" s="36"/>
      <c r="AA175" s="124">
        <f t="shared" si="529"/>
        <v>132</v>
      </c>
      <c r="AB175" s="128">
        <f t="shared" si="463"/>
        <v>136952.23444650139</v>
      </c>
      <c r="AC175" s="124">
        <f t="shared" si="530"/>
        <v>132</v>
      </c>
      <c r="AD175" s="130">
        <f t="shared" si="531"/>
        <v>4.4999999999999998E-2</v>
      </c>
      <c r="AE175" s="127">
        <f t="shared" si="532"/>
        <v>1504</v>
      </c>
      <c r="AF175" s="128">
        <f t="shared" si="533"/>
        <v>150255.1</v>
      </c>
      <c r="AG175" s="128">
        <f t="shared" si="552"/>
        <v>150400</v>
      </c>
      <c r="AH175" s="128">
        <f t="shared" si="357"/>
        <v>150400</v>
      </c>
      <c r="AI175" s="130">
        <f t="shared" si="464"/>
        <v>4.4999999999999998E-2</v>
      </c>
      <c r="AJ175" s="128">
        <f t="shared" si="465"/>
        <v>150964</v>
      </c>
      <c r="AK175" s="128" t="str">
        <f t="shared" si="466"/>
        <v>tak</v>
      </c>
      <c r="AL175" s="128">
        <f t="shared" si="467"/>
        <v>0</v>
      </c>
      <c r="AM175" s="128">
        <f t="shared" si="361"/>
        <v>150856.84</v>
      </c>
      <c r="AN175" s="128">
        <f t="shared" si="468"/>
        <v>607.93999999999141</v>
      </c>
      <c r="AO175" s="130">
        <f t="shared" si="469"/>
        <v>4.4999999999999998E-2</v>
      </c>
      <c r="AP175" s="128">
        <f t="shared" si="470"/>
        <v>5810.8739426085876</v>
      </c>
      <c r="AQ175" s="128">
        <f t="shared" si="362"/>
        <v>156059.77394260859</v>
      </c>
      <c r="AS175" s="124">
        <f t="shared" si="534"/>
        <v>132</v>
      </c>
      <c r="AT175" s="130">
        <f t="shared" si="535"/>
        <v>4.4999999999999998E-2</v>
      </c>
      <c r="AU175" s="127">
        <f t="shared" si="536"/>
        <v>1488</v>
      </c>
      <c r="AV175" s="128">
        <f t="shared" si="537"/>
        <v>148662.1</v>
      </c>
      <c r="AW175" s="128">
        <f t="shared" si="363"/>
        <v>148800</v>
      </c>
      <c r="AX175" s="128">
        <f t="shared" si="358"/>
        <v>148800</v>
      </c>
      <c r="AY175" s="130">
        <f t="shared" si="471"/>
        <v>4.65E-2</v>
      </c>
      <c r="AZ175" s="128">
        <f t="shared" si="472"/>
        <v>149376.6</v>
      </c>
      <c r="BA175" s="128" t="str">
        <f t="shared" si="473"/>
        <v>nie</v>
      </c>
      <c r="BB175" s="128">
        <f t="shared" si="474"/>
        <v>1041.5999999999999</v>
      </c>
      <c r="BC175" s="128">
        <f t="shared" si="367"/>
        <v>148423.35</v>
      </c>
      <c r="BD175" s="128">
        <f t="shared" si="475"/>
        <v>467.04600000000477</v>
      </c>
      <c r="BE175" s="130">
        <f t="shared" si="476"/>
        <v>4.4999999999999998E-2</v>
      </c>
      <c r="BF175" s="128">
        <f t="shared" si="477"/>
        <v>5720.2974986339441</v>
      </c>
      <c r="BG175" s="128">
        <f t="shared" si="368"/>
        <v>153676.60149863394</v>
      </c>
      <c r="BI175" s="124">
        <f t="shared" si="538"/>
        <v>132</v>
      </c>
      <c r="BJ175" s="130">
        <f t="shared" si="451"/>
        <v>4.3200000000000002E-2</v>
      </c>
      <c r="BK175" s="127">
        <f t="shared" si="539"/>
        <v>1427</v>
      </c>
      <c r="BL175" s="128">
        <f t="shared" si="540"/>
        <v>142557.30000000002</v>
      </c>
      <c r="BM175" s="128">
        <f t="shared" si="553"/>
        <v>142700</v>
      </c>
      <c r="BN175" s="128">
        <f t="shared" si="541"/>
        <v>149692.29999999999</v>
      </c>
      <c r="BO175" s="130">
        <f t="shared" si="478"/>
        <v>4.9000000000000002E-2</v>
      </c>
      <c r="BP175" s="128">
        <f t="shared" si="479"/>
        <v>157027.22269999998</v>
      </c>
      <c r="BQ175" s="128" t="str">
        <f t="shared" si="480"/>
        <v>nie</v>
      </c>
      <c r="BR175" s="128">
        <f t="shared" si="481"/>
        <v>1427</v>
      </c>
      <c r="BS175" s="128">
        <f t="shared" si="364"/>
        <v>153149.180387</v>
      </c>
      <c r="BT175" s="128">
        <f t="shared" si="456"/>
        <v>0</v>
      </c>
      <c r="BU175" s="130">
        <f t="shared" si="482"/>
        <v>4.4999999999999998E-2</v>
      </c>
      <c r="BV175" s="128">
        <f t="shared" si="483"/>
        <v>118.60581647925018</v>
      </c>
      <c r="BW175" s="128">
        <f t="shared" si="365"/>
        <v>153267.78620347925</v>
      </c>
      <c r="BY175" s="130">
        <f t="shared" si="452"/>
        <v>2.9000000000000001E-2</v>
      </c>
      <c r="BZ175" s="127">
        <f t="shared" si="542"/>
        <v>1344</v>
      </c>
      <c r="CA175" s="128">
        <f t="shared" si="543"/>
        <v>134279.90000000002</v>
      </c>
      <c r="CB175" s="128">
        <f t="shared" si="366"/>
        <v>134400</v>
      </c>
      <c r="CC175" s="128">
        <f t="shared" si="359"/>
        <v>134400</v>
      </c>
      <c r="CD175" s="130">
        <f t="shared" si="484"/>
        <v>4.3999999999999997E-2</v>
      </c>
      <c r="CE175" s="128">
        <f t="shared" si="485"/>
        <v>140313.60000000001</v>
      </c>
      <c r="CF175" s="128" t="str">
        <f t="shared" si="486"/>
        <v>nie</v>
      </c>
      <c r="CG175" s="128">
        <f t="shared" si="487"/>
        <v>2688</v>
      </c>
      <c r="CH175" s="128">
        <f t="shared" si="369"/>
        <v>137012.736</v>
      </c>
      <c r="CI175" s="128">
        <f t="shared" si="488"/>
        <v>4790.0160000000051</v>
      </c>
      <c r="CJ175" s="130">
        <f t="shared" si="489"/>
        <v>4.4999999999999998E-2</v>
      </c>
      <c r="CK175" s="128">
        <f t="shared" si="490"/>
        <v>15927.356782227856</v>
      </c>
      <c r="CL175" s="128">
        <f t="shared" si="491"/>
        <v>148150.07678222784</v>
      </c>
      <c r="CN175" s="127">
        <f t="shared" si="544"/>
        <v>1508</v>
      </c>
      <c r="CO175" s="128">
        <f t="shared" si="545"/>
        <v>150649.20000000001</v>
      </c>
      <c r="CP175" s="128">
        <f t="shared" si="546"/>
        <v>150800</v>
      </c>
      <c r="CQ175" s="128">
        <f t="shared" si="547"/>
        <v>150800</v>
      </c>
      <c r="CR175" s="130">
        <f t="shared" si="492"/>
        <v>5.7500000000000002E-2</v>
      </c>
      <c r="CS175" s="128">
        <f t="shared" si="493"/>
        <v>159471.00000000003</v>
      </c>
      <c r="CT175" s="128" t="str">
        <f t="shared" si="494"/>
        <v>nie</v>
      </c>
      <c r="CU175" s="128">
        <f t="shared" si="495"/>
        <v>4524</v>
      </c>
      <c r="CV175" s="128">
        <f t="shared" si="496"/>
        <v>154159.07000000004</v>
      </c>
      <c r="CW175" s="128">
        <f t="shared" si="453"/>
        <v>0</v>
      </c>
      <c r="CX175" s="130">
        <f t="shared" si="497"/>
        <v>4.4999999999999998E-2</v>
      </c>
      <c r="CY175" s="128">
        <f t="shared" si="498"/>
        <v>102.70036267238223</v>
      </c>
      <c r="CZ175" s="128">
        <f t="shared" si="499"/>
        <v>154261.77036267243</v>
      </c>
      <c r="DA175" s="20"/>
      <c r="DB175" s="127">
        <f t="shared" si="554"/>
        <v>1274</v>
      </c>
      <c r="DC175" s="128">
        <f t="shared" si="555"/>
        <v>127400</v>
      </c>
      <c r="DD175" s="128">
        <f t="shared" si="548"/>
        <v>127400</v>
      </c>
      <c r="DE175" s="128">
        <f t="shared" si="549"/>
        <v>155075.24524480166</v>
      </c>
      <c r="DF175" s="130">
        <f t="shared" si="500"/>
        <v>4.9000000000000002E-2</v>
      </c>
      <c r="DG175" s="128">
        <f t="shared" si="501"/>
        <v>162673.93226179693</v>
      </c>
      <c r="DH175" s="128" t="str">
        <f t="shared" si="502"/>
        <v>nie</v>
      </c>
      <c r="DI175" s="128">
        <f t="shared" si="503"/>
        <v>2548</v>
      </c>
      <c r="DJ175" s="128">
        <f t="shared" si="355"/>
        <v>153908.00513205552</v>
      </c>
      <c r="DK175" s="128">
        <f t="shared" si="454"/>
        <v>0</v>
      </c>
      <c r="DL175" s="130">
        <f t="shared" si="504"/>
        <v>4.4999999999999998E-2</v>
      </c>
      <c r="DM175" s="128">
        <f t="shared" si="505"/>
        <v>113.75650844622373</v>
      </c>
      <c r="DN175" s="128">
        <f t="shared" si="506"/>
        <v>154021.76164050173</v>
      </c>
      <c r="DP175" s="127">
        <f t="shared" si="556"/>
        <v>1000</v>
      </c>
      <c r="DQ175" s="128">
        <f t="shared" si="557"/>
        <v>100000</v>
      </c>
      <c r="DR175" s="128">
        <f t="shared" si="550"/>
        <v>100000</v>
      </c>
      <c r="DS175" s="128">
        <f t="shared" si="551"/>
        <v>170165.44083261534</v>
      </c>
      <c r="DT175" s="130">
        <f t="shared" si="507"/>
        <v>5.4000000000000006E-2</v>
      </c>
      <c r="DU175" s="128">
        <f t="shared" si="508"/>
        <v>179354.37463757658</v>
      </c>
      <c r="DV175" s="128" t="str">
        <f t="shared" si="509"/>
        <v>nie</v>
      </c>
      <c r="DW175" s="128">
        <f t="shared" si="510"/>
        <v>3000</v>
      </c>
      <c r="DX175" s="128">
        <f t="shared" si="511"/>
        <v>161847.04345643704</v>
      </c>
      <c r="DY175" s="128">
        <f t="shared" si="455"/>
        <v>0</v>
      </c>
      <c r="DZ175" s="130">
        <f t="shared" si="512"/>
        <v>4.4999999999999998E-2</v>
      </c>
      <c r="EA175" s="128">
        <f t="shared" si="513"/>
        <v>0</v>
      </c>
      <c r="EB175" s="128">
        <f t="shared" si="514"/>
        <v>161847.04345643704</v>
      </c>
    </row>
    <row r="176" spans="1:132">
      <c r="A176" s="212"/>
      <c r="B176" s="188">
        <f t="shared" si="515"/>
        <v>132</v>
      </c>
      <c r="C176" s="128">
        <f t="shared" si="516"/>
        <v>156059.77394260859</v>
      </c>
      <c r="D176" s="128">
        <f t="shared" si="517"/>
        <v>153676.60149863394</v>
      </c>
      <c r="E176" s="128">
        <f t="shared" si="518"/>
        <v>153267.78620347925</v>
      </c>
      <c r="F176" s="128">
        <f t="shared" si="519"/>
        <v>148150.07678222784</v>
      </c>
      <c r="G176" s="128">
        <f t="shared" si="520"/>
        <v>154261.77036267243</v>
      </c>
      <c r="H176" s="128">
        <f t="shared" si="521"/>
        <v>154021.76164050173</v>
      </c>
      <c r="I176" s="128">
        <f t="shared" si="522"/>
        <v>161847.04345643704</v>
      </c>
      <c r="J176" s="128">
        <f t="shared" si="523"/>
        <v>149233.54179806146</v>
      </c>
      <c r="K176" s="128">
        <f t="shared" si="524"/>
        <v>136952.23444650139</v>
      </c>
      <c r="M176" s="36"/>
      <c r="N176" s="32">
        <f t="shared" si="525"/>
        <v>132</v>
      </c>
      <c r="O176" s="25">
        <f t="shared" si="526"/>
        <v>0.56059773942608593</v>
      </c>
      <c r="P176" s="25">
        <f t="shared" si="527"/>
        <v>0.53676601498633936</v>
      </c>
      <c r="Q176" s="25">
        <f t="shared" si="528"/>
        <v>0.5326778620347925</v>
      </c>
      <c r="R176" s="25">
        <f t="shared" si="457"/>
        <v>0.48150076782227846</v>
      </c>
      <c r="S176" s="25">
        <f t="shared" si="458"/>
        <v>0.54261770362672435</v>
      </c>
      <c r="T176" s="25">
        <f t="shared" si="459"/>
        <v>0.54021761640501742</v>
      </c>
      <c r="U176" s="25">
        <f t="shared" si="460"/>
        <v>0.61847043456437034</v>
      </c>
      <c r="V176" s="25">
        <f t="shared" si="461"/>
        <v>0.49233541798061453</v>
      </c>
      <c r="W176" s="25">
        <f t="shared" si="462"/>
        <v>0.36952234446501397</v>
      </c>
      <c r="X176" s="36"/>
      <c r="Y176" s="36"/>
      <c r="AA176" s="124">
        <f t="shared" si="529"/>
        <v>133</v>
      </c>
      <c r="AB176" s="128">
        <f t="shared" si="463"/>
        <v>137283.20234641377</v>
      </c>
      <c r="AC176" s="124">
        <f t="shared" si="530"/>
        <v>133</v>
      </c>
      <c r="AD176" s="130">
        <f t="shared" si="531"/>
        <v>4.4999999999999998E-2</v>
      </c>
      <c r="AE176" s="127">
        <f t="shared" si="532"/>
        <v>1568</v>
      </c>
      <c r="AF176" s="128">
        <f t="shared" si="533"/>
        <v>156649</v>
      </c>
      <c r="AG176" s="128">
        <f t="shared" si="552"/>
        <v>156800</v>
      </c>
      <c r="AH176" s="128">
        <f t="shared" si="357"/>
        <v>156800</v>
      </c>
      <c r="AI176" s="130">
        <f t="shared" si="464"/>
        <v>4.4999999999999998E-2</v>
      </c>
      <c r="AJ176" s="128">
        <f t="shared" si="465"/>
        <v>157388</v>
      </c>
      <c r="AK176" s="128" t="str">
        <f t="shared" si="466"/>
        <v>nie</v>
      </c>
      <c r="AL176" s="128">
        <f t="shared" si="467"/>
        <v>588</v>
      </c>
      <c r="AM176" s="128">
        <f t="shared" si="361"/>
        <v>156800</v>
      </c>
      <c r="AN176" s="128">
        <f t="shared" si="468"/>
        <v>476.28000000000003</v>
      </c>
      <c r="AO176" s="130">
        <f t="shared" si="469"/>
        <v>4.4999999999999998E-2</v>
      </c>
      <c r="AP176" s="128">
        <f t="shared" si="470"/>
        <v>487.18697220926123</v>
      </c>
      <c r="AQ176" s="128">
        <f t="shared" si="362"/>
        <v>162628.52447220928</v>
      </c>
      <c r="AS176" s="124">
        <f t="shared" si="534"/>
        <v>133</v>
      </c>
      <c r="AT176" s="130">
        <f t="shared" si="535"/>
        <v>4.4999999999999998E-2</v>
      </c>
      <c r="AU176" s="127">
        <f t="shared" si="536"/>
        <v>1488</v>
      </c>
      <c r="AV176" s="128">
        <f t="shared" si="537"/>
        <v>148662.1</v>
      </c>
      <c r="AW176" s="128">
        <f t="shared" si="363"/>
        <v>148800</v>
      </c>
      <c r="AX176" s="128">
        <f t="shared" si="358"/>
        <v>148800</v>
      </c>
      <c r="AY176" s="130">
        <f t="shared" si="471"/>
        <v>4.65E-2</v>
      </c>
      <c r="AZ176" s="128">
        <f t="shared" si="472"/>
        <v>149376.6</v>
      </c>
      <c r="BA176" s="128" t="str">
        <f t="shared" si="473"/>
        <v>nie</v>
      </c>
      <c r="BB176" s="128">
        <f t="shared" si="474"/>
        <v>1041.5999999999999</v>
      </c>
      <c r="BC176" s="128">
        <f t="shared" si="367"/>
        <v>148423.35</v>
      </c>
      <c r="BD176" s="128">
        <f t="shared" si="475"/>
        <v>467.04600000000477</v>
      </c>
      <c r="BE176" s="130">
        <f t="shared" si="476"/>
        <v>4.4999999999999998E-2</v>
      </c>
      <c r="BF176" s="128">
        <f t="shared" si="477"/>
        <v>6204.7189022860493</v>
      </c>
      <c r="BG176" s="128">
        <f t="shared" si="368"/>
        <v>154161.02290228606</v>
      </c>
      <c r="BI176" s="124">
        <f t="shared" si="538"/>
        <v>133</v>
      </c>
      <c r="BJ176" s="130">
        <f t="shared" si="451"/>
        <v>4.3200000000000002E-2</v>
      </c>
      <c r="BK176" s="127">
        <f t="shared" si="539"/>
        <v>1427</v>
      </c>
      <c r="BL176" s="128">
        <f t="shared" si="540"/>
        <v>142557.30000000002</v>
      </c>
      <c r="BM176" s="128">
        <f t="shared" si="553"/>
        <v>142700</v>
      </c>
      <c r="BN176" s="128">
        <f t="shared" si="541"/>
        <v>157027.22269999998</v>
      </c>
      <c r="BO176" s="130">
        <f t="shared" si="478"/>
        <v>4.9000000000000002E-2</v>
      </c>
      <c r="BP176" s="128">
        <f t="shared" si="479"/>
        <v>157668.41719269168</v>
      </c>
      <c r="BQ176" s="128" t="str">
        <f t="shared" si="480"/>
        <v>nie</v>
      </c>
      <c r="BR176" s="128">
        <f t="shared" si="481"/>
        <v>1427</v>
      </c>
      <c r="BS176" s="128">
        <f t="shared" si="364"/>
        <v>153668.54792608027</v>
      </c>
      <c r="BT176" s="128">
        <f t="shared" si="456"/>
        <v>0</v>
      </c>
      <c r="BU176" s="130">
        <f t="shared" si="482"/>
        <v>4.4999999999999998E-2</v>
      </c>
      <c r="BV176" s="128">
        <f t="shared" si="483"/>
        <v>118.9660816468059</v>
      </c>
      <c r="BW176" s="128">
        <f t="shared" si="365"/>
        <v>153787.51400772706</v>
      </c>
      <c r="BY176" s="130">
        <f t="shared" si="452"/>
        <v>2.9000000000000001E-2</v>
      </c>
      <c r="BZ176" s="127">
        <f t="shared" si="542"/>
        <v>1344</v>
      </c>
      <c r="CA176" s="128">
        <f t="shared" si="543"/>
        <v>134279.90000000002</v>
      </c>
      <c r="CB176" s="128">
        <f t="shared" si="366"/>
        <v>134400</v>
      </c>
      <c r="CC176" s="128">
        <f t="shared" si="359"/>
        <v>134400</v>
      </c>
      <c r="CD176" s="130">
        <f t="shared" si="484"/>
        <v>4.3999999999999997E-2</v>
      </c>
      <c r="CE176" s="128">
        <f t="shared" si="485"/>
        <v>134892.80000000002</v>
      </c>
      <c r="CF176" s="128" t="str">
        <f t="shared" si="486"/>
        <v>nie</v>
      </c>
      <c r="CG176" s="128">
        <f t="shared" si="487"/>
        <v>2688</v>
      </c>
      <c r="CH176" s="128">
        <f t="shared" si="369"/>
        <v>132621.88800000001</v>
      </c>
      <c r="CI176" s="128">
        <f t="shared" si="488"/>
        <v>0</v>
      </c>
      <c r="CJ176" s="130">
        <f t="shared" si="489"/>
        <v>4.4999999999999998E-2</v>
      </c>
      <c r="CK176" s="128">
        <f t="shared" si="490"/>
        <v>15975.736128453875</v>
      </c>
      <c r="CL176" s="128">
        <f t="shared" si="491"/>
        <v>148597.62412845387</v>
      </c>
      <c r="CN176" s="127">
        <f t="shared" si="544"/>
        <v>1508</v>
      </c>
      <c r="CO176" s="128">
        <f t="shared" si="545"/>
        <v>150649.20000000001</v>
      </c>
      <c r="CP176" s="128">
        <f t="shared" si="546"/>
        <v>150800</v>
      </c>
      <c r="CQ176" s="128">
        <f t="shared" si="547"/>
        <v>159471.00000000003</v>
      </c>
      <c r="CR176" s="130">
        <f t="shared" si="492"/>
        <v>4.9000000000000002E-2</v>
      </c>
      <c r="CS176" s="128">
        <f t="shared" si="493"/>
        <v>160122.17325000005</v>
      </c>
      <c r="CT176" s="128" t="str">
        <f t="shared" si="494"/>
        <v>nie</v>
      </c>
      <c r="CU176" s="128">
        <f t="shared" si="495"/>
        <v>4524</v>
      </c>
      <c r="CV176" s="128">
        <f t="shared" si="496"/>
        <v>154686.52033250005</v>
      </c>
      <c r="CW176" s="128">
        <f t="shared" si="453"/>
        <v>0</v>
      </c>
      <c r="CX176" s="130">
        <f t="shared" si="497"/>
        <v>4.4999999999999998E-2</v>
      </c>
      <c r="CY176" s="128">
        <f t="shared" si="498"/>
        <v>103.01231502399959</v>
      </c>
      <c r="CZ176" s="128">
        <f t="shared" si="499"/>
        <v>154789.53264752406</v>
      </c>
      <c r="DA176" s="20"/>
      <c r="DB176" s="127">
        <f t="shared" si="554"/>
        <v>1274</v>
      </c>
      <c r="DC176" s="128">
        <f t="shared" si="555"/>
        <v>127400</v>
      </c>
      <c r="DD176" s="128">
        <f t="shared" si="548"/>
        <v>127400</v>
      </c>
      <c r="DE176" s="128">
        <f t="shared" si="549"/>
        <v>162673.93226179693</v>
      </c>
      <c r="DF176" s="130">
        <f t="shared" si="500"/>
        <v>4.9000000000000002E-2</v>
      </c>
      <c r="DG176" s="128">
        <f t="shared" si="501"/>
        <v>163338.18415186595</v>
      </c>
      <c r="DH176" s="128" t="str">
        <f t="shared" si="502"/>
        <v>nie</v>
      </c>
      <c r="DI176" s="128">
        <f t="shared" si="503"/>
        <v>2548</v>
      </c>
      <c r="DJ176" s="128">
        <f t="shared" si="355"/>
        <v>154446.04916301143</v>
      </c>
      <c r="DK176" s="128">
        <f t="shared" si="454"/>
        <v>0</v>
      </c>
      <c r="DL176" s="130">
        <f t="shared" si="504"/>
        <v>4.4999999999999998E-2</v>
      </c>
      <c r="DM176" s="128">
        <f t="shared" si="505"/>
        <v>114.10204384062914</v>
      </c>
      <c r="DN176" s="128">
        <f t="shared" si="506"/>
        <v>154560.15120685205</v>
      </c>
      <c r="DP176" s="127">
        <f t="shared" si="556"/>
        <v>1000</v>
      </c>
      <c r="DQ176" s="128">
        <f t="shared" si="557"/>
        <v>100000</v>
      </c>
      <c r="DR176" s="128">
        <f t="shared" si="550"/>
        <v>100000</v>
      </c>
      <c r="DS176" s="128">
        <f t="shared" si="551"/>
        <v>179354.37463757658</v>
      </c>
      <c r="DT176" s="130">
        <f t="shared" si="507"/>
        <v>5.4000000000000006E-2</v>
      </c>
      <c r="DU176" s="128">
        <f t="shared" si="508"/>
        <v>180161.46932344566</v>
      </c>
      <c r="DV176" s="128" t="str">
        <f t="shared" si="509"/>
        <v>nie</v>
      </c>
      <c r="DW176" s="128">
        <f t="shared" si="510"/>
        <v>3000</v>
      </c>
      <c r="DX176" s="128">
        <f t="shared" si="511"/>
        <v>162500.79015199098</v>
      </c>
      <c r="DY176" s="128">
        <f t="shared" si="455"/>
        <v>0</v>
      </c>
      <c r="DZ176" s="130">
        <f t="shared" si="512"/>
        <v>4.4999999999999998E-2</v>
      </c>
      <c r="EA176" s="128">
        <f t="shared" si="513"/>
        <v>0</v>
      </c>
      <c r="EB176" s="128">
        <f t="shared" si="514"/>
        <v>162500.79015199098</v>
      </c>
    </row>
    <row r="177" spans="1:132">
      <c r="A177" s="212">
        <f>ROUNDUP(B188/12,0)</f>
        <v>12</v>
      </c>
      <c r="B177" s="188">
        <f t="shared" si="515"/>
        <v>133</v>
      </c>
      <c r="C177" s="128">
        <f t="shared" si="516"/>
        <v>162628.52447220928</v>
      </c>
      <c r="D177" s="128">
        <f t="shared" si="517"/>
        <v>154161.02290228606</v>
      </c>
      <c r="E177" s="128">
        <f t="shared" si="518"/>
        <v>153787.51400772706</v>
      </c>
      <c r="F177" s="128">
        <f t="shared" si="519"/>
        <v>148597.62412845387</v>
      </c>
      <c r="G177" s="128">
        <f t="shared" si="520"/>
        <v>154789.53264752406</v>
      </c>
      <c r="H177" s="128">
        <f t="shared" si="521"/>
        <v>154560.15120685205</v>
      </c>
      <c r="I177" s="128">
        <f t="shared" si="522"/>
        <v>162500.79015199098</v>
      </c>
      <c r="J177" s="128">
        <f t="shared" si="523"/>
        <v>149686.83868127308</v>
      </c>
      <c r="K177" s="128">
        <f t="shared" si="524"/>
        <v>137283.20234641377</v>
      </c>
      <c r="M177" s="36"/>
      <c r="N177" s="32">
        <f t="shared" si="525"/>
        <v>133</v>
      </c>
      <c r="O177" s="25">
        <f t="shared" si="526"/>
        <v>0.62628524472209279</v>
      </c>
      <c r="P177" s="25">
        <f t="shared" si="527"/>
        <v>0.5416102290228606</v>
      </c>
      <c r="Q177" s="25">
        <f t="shared" si="528"/>
        <v>0.53787514007727055</v>
      </c>
      <c r="R177" s="25">
        <f t="shared" si="457"/>
        <v>0.48597624128453876</v>
      </c>
      <c r="S177" s="25">
        <f t="shared" si="458"/>
        <v>0.54789532647524064</v>
      </c>
      <c r="T177" s="25">
        <f t="shared" si="459"/>
        <v>0.54560151206852048</v>
      </c>
      <c r="U177" s="25">
        <f t="shared" si="460"/>
        <v>0.6250079015199097</v>
      </c>
      <c r="V177" s="25">
        <f t="shared" si="461"/>
        <v>0.49686838681273082</v>
      </c>
      <c r="W177" s="25">
        <f t="shared" si="462"/>
        <v>0.3728320234641378</v>
      </c>
      <c r="X177" s="36"/>
      <c r="Y177" s="36"/>
      <c r="AA177" s="124">
        <f t="shared" si="529"/>
        <v>134</v>
      </c>
      <c r="AB177" s="128">
        <f t="shared" si="463"/>
        <v>137614.17024632613</v>
      </c>
      <c r="AC177" s="124">
        <f t="shared" si="530"/>
        <v>134</v>
      </c>
      <c r="AD177" s="130">
        <f t="shared" si="531"/>
        <v>4.4999999999999998E-2</v>
      </c>
      <c r="AE177" s="127">
        <f t="shared" si="532"/>
        <v>1568</v>
      </c>
      <c r="AF177" s="128">
        <f t="shared" si="533"/>
        <v>156649</v>
      </c>
      <c r="AG177" s="128">
        <f t="shared" si="552"/>
        <v>156800</v>
      </c>
      <c r="AH177" s="128">
        <f t="shared" si="357"/>
        <v>156800</v>
      </c>
      <c r="AI177" s="130">
        <f t="shared" si="464"/>
        <v>4.4999999999999998E-2</v>
      </c>
      <c r="AJ177" s="128">
        <f t="shared" si="465"/>
        <v>157388</v>
      </c>
      <c r="AK177" s="128" t="str">
        <f t="shared" si="466"/>
        <v>nie</v>
      </c>
      <c r="AL177" s="128">
        <f t="shared" si="467"/>
        <v>784</v>
      </c>
      <c r="AM177" s="128">
        <f t="shared" si="361"/>
        <v>156641.24</v>
      </c>
      <c r="AN177" s="128">
        <f t="shared" si="468"/>
        <v>476.28000000000003</v>
      </c>
      <c r="AO177" s="130">
        <f t="shared" si="469"/>
        <v>4.4999999999999998E-2</v>
      </c>
      <c r="AP177" s="128">
        <f t="shared" si="470"/>
        <v>964.94680263734688</v>
      </c>
      <c r="AQ177" s="128">
        <f t="shared" si="362"/>
        <v>157129.90680263733</v>
      </c>
      <c r="AS177" s="124">
        <f t="shared" si="534"/>
        <v>134</v>
      </c>
      <c r="AT177" s="130">
        <f t="shared" si="535"/>
        <v>4.4999999999999998E-2</v>
      </c>
      <c r="AU177" s="127">
        <f t="shared" si="536"/>
        <v>1488</v>
      </c>
      <c r="AV177" s="128">
        <f t="shared" si="537"/>
        <v>148662.1</v>
      </c>
      <c r="AW177" s="128">
        <f t="shared" si="363"/>
        <v>148800</v>
      </c>
      <c r="AX177" s="128">
        <f t="shared" si="358"/>
        <v>148800</v>
      </c>
      <c r="AY177" s="130">
        <f t="shared" si="471"/>
        <v>4.65E-2</v>
      </c>
      <c r="AZ177" s="128">
        <f t="shared" si="472"/>
        <v>149376.6</v>
      </c>
      <c r="BA177" s="128" t="str">
        <f t="shared" si="473"/>
        <v>nie</v>
      </c>
      <c r="BB177" s="128">
        <f t="shared" si="474"/>
        <v>1041.5999999999999</v>
      </c>
      <c r="BC177" s="128">
        <f t="shared" si="367"/>
        <v>148423.35</v>
      </c>
      <c r="BD177" s="128">
        <f t="shared" si="475"/>
        <v>467.04600000000477</v>
      </c>
      <c r="BE177" s="130">
        <f t="shared" si="476"/>
        <v>4.4999999999999998E-2</v>
      </c>
      <c r="BF177" s="128">
        <f t="shared" si="477"/>
        <v>6690.6117359517484</v>
      </c>
      <c r="BG177" s="128">
        <f t="shared" si="368"/>
        <v>154646.91573595174</v>
      </c>
      <c r="BI177" s="124">
        <f t="shared" si="538"/>
        <v>134</v>
      </c>
      <c r="BJ177" s="130">
        <f t="shared" si="451"/>
        <v>4.3200000000000002E-2</v>
      </c>
      <c r="BK177" s="127">
        <f t="shared" si="539"/>
        <v>1427</v>
      </c>
      <c r="BL177" s="128">
        <f t="shared" si="540"/>
        <v>142557.30000000002</v>
      </c>
      <c r="BM177" s="128">
        <f t="shared" si="553"/>
        <v>142700</v>
      </c>
      <c r="BN177" s="128">
        <f t="shared" si="541"/>
        <v>157027.22269999998</v>
      </c>
      <c r="BO177" s="130">
        <f t="shared" si="478"/>
        <v>4.9000000000000002E-2</v>
      </c>
      <c r="BP177" s="128">
        <f t="shared" si="479"/>
        <v>158309.61168538331</v>
      </c>
      <c r="BQ177" s="128" t="str">
        <f t="shared" si="480"/>
        <v>nie</v>
      </c>
      <c r="BR177" s="128">
        <f t="shared" si="481"/>
        <v>1427</v>
      </c>
      <c r="BS177" s="128">
        <f t="shared" si="364"/>
        <v>154187.91546516048</v>
      </c>
      <c r="BT177" s="128">
        <f t="shared" si="456"/>
        <v>0</v>
      </c>
      <c r="BU177" s="130">
        <f t="shared" si="482"/>
        <v>4.4999999999999998E-2</v>
      </c>
      <c r="BV177" s="128">
        <f t="shared" si="483"/>
        <v>119.32744111980809</v>
      </c>
      <c r="BW177" s="128">
        <f t="shared" si="365"/>
        <v>154307.2429062803</v>
      </c>
      <c r="BY177" s="130">
        <f t="shared" si="452"/>
        <v>2.9000000000000001E-2</v>
      </c>
      <c r="BZ177" s="127">
        <f t="shared" si="542"/>
        <v>1344</v>
      </c>
      <c r="CA177" s="128">
        <f t="shared" si="543"/>
        <v>134279.90000000002</v>
      </c>
      <c r="CB177" s="128">
        <f t="shared" si="366"/>
        <v>134400</v>
      </c>
      <c r="CC177" s="128">
        <f t="shared" si="359"/>
        <v>134400</v>
      </c>
      <c r="CD177" s="130">
        <f t="shared" si="484"/>
        <v>4.3999999999999997E-2</v>
      </c>
      <c r="CE177" s="128">
        <f t="shared" si="485"/>
        <v>135385.60000000001</v>
      </c>
      <c r="CF177" s="128" t="str">
        <f t="shared" si="486"/>
        <v>nie</v>
      </c>
      <c r="CG177" s="128">
        <f t="shared" si="487"/>
        <v>2688</v>
      </c>
      <c r="CH177" s="128">
        <f t="shared" si="369"/>
        <v>133021.05600000001</v>
      </c>
      <c r="CI177" s="128">
        <f t="shared" si="488"/>
        <v>0</v>
      </c>
      <c r="CJ177" s="130">
        <f t="shared" si="489"/>
        <v>4.4999999999999998E-2</v>
      </c>
      <c r="CK177" s="128">
        <f t="shared" si="490"/>
        <v>16024.262426944053</v>
      </c>
      <c r="CL177" s="128">
        <f t="shared" si="491"/>
        <v>149045.31842694405</v>
      </c>
      <c r="CN177" s="127">
        <f t="shared" si="544"/>
        <v>1508</v>
      </c>
      <c r="CO177" s="128">
        <f t="shared" si="545"/>
        <v>150649.20000000001</v>
      </c>
      <c r="CP177" s="128">
        <f t="shared" si="546"/>
        <v>150800</v>
      </c>
      <c r="CQ177" s="128">
        <f t="shared" si="547"/>
        <v>159471.00000000003</v>
      </c>
      <c r="CR177" s="130">
        <f t="shared" si="492"/>
        <v>4.9000000000000002E-2</v>
      </c>
      <c r="CS177" s="128">
        <f t="shared" si="493"/>
        <v>160773.34650000001</v>
      </c>
      <c r="CT177" s="128" t="str">
        <f t="shared" si="494"/>
        <v>nie</v>
      </c>
      <c r="CU177" s="128">
        <f t="shared" si="495"/>
        <v>4524</v>
      </c>
      <c r="CV177" s="128">
        <f t="shared" si="496"/>
        <v>155213.970665</v>
      </c>
      <c r="CW177" s="128">
        <f t="shared" si="453"/>
        <v>0</v>
      </c>
      <c r="CX177" s="130">
        <f t="shared" si="497"/>
        <v>4.4999999999999998E-2</v>
      </c>
      <c r="CY177" s="128">
        <f t="shared" si="498"/>
        <v>103.325214930885</v>
      </c>
      <c r="CZ177" s="128">
        <f t="shared" si="499"/>
        <v>155317.2958799309</v>
      </c>
      <c r="DA177" s="20"/>
      <c r="DB177" s="127">
        <f t="shared" si="554"/>
        <v>1274</v>
      </c>
      <c r="DC177" s="128">
        <f t="shared" si="555"/>
        <v>127400</v>
      </c>
      <c r="DD177" s="128">
        <f t="shared" si="548"/>
        <v>127400</v>
      </c>
      <c r="DE177" s="128">
        <f t="shared" si="549"/>
        <v>162673.93226179693</v>
      </c>
      <c r="DF177" s="130">
        <f t="shared" si="500"/>
        <v>4.9000000000000002E-2</v>
      </c>
      <c r="DG177" s="128">
        <f t="shared" si="501"/>
        <v>164002.43604193494</v>
      </c>
      <c r="DH177" s="128" t="str">
        <f t="shared" si="502"/>
        <v>nie</v>
      </c>
      <c r="DI177" s="128">
        <f t="shared" si="503"/>
        <v>2548</v>
      </c>
      <c r="DJ177" s="128">
        <f t="shared" si="355"/>
        <v>154984.0931939673</v>
      </c>
      <c r="DK177" s="128">
        <f t="shared" si="454"/>
        <v>0</v>
      </c>
      <c r="DL177" s="130">
        <f t="shared" si="504"/>
        <v>4.4999999999999998E-2</v>
      </c>
      <c r="DM177" s="128">
        <f t="shared" si="505"/>
        <v>114.44862879879506</v>
      </c>
      <c r="DN177" s="128">
        <f t="shared" si="506"/>
        <v>155098.5418227661</v>
      </c>
      <c r="DP177" s="127">
        <f t="shared" si="556"/>
        <v>1000</v>
      </c>
      <c r="DQ177" s="128">
        <f t="shared" si="557"/>
        <v>100000</v>
      </c>
      <c r="DR177" s="128">
        <f t="shared" si="550"/>
        <v>100000</v>
      </c>
      <c r="DS177" s="128">
        <f t="shared" si="551"/>
        <v>179354.37463757658</v>
      </c>
      <c r="DT177" s="130">
        <f t="shared" si="507"/>
        <v>5.4000000000000006E-2</v>
      </c>
      <c r="DU177" s="128">
        <f t="shared" si="508"/>
        <v>180968.56400931475</v>
      </c>
      <c r="DV177" s="128" t="str">
        <f t="shared" si="509"/>
        <v>nie</v>
      </c>
      <c r="DW177" s="128">
        <f t="shared" si="510"/>
        <v>3000</v>
      </c>
      <c r="DX177" s="128">
        <f t="shared" si="511"/>
        <v>163154.53684754495</v>
      </c>
      <c r="DY177" s="128">
        <f t="shared" si="455"/>
        <v>0</v>
      </c>
      <c r="DZ177" s="130">
        <f t="shared" si="512"/>
        <v>4.4999999999999998E-2</v>
      </c>
      <c r="EA177" s="128">
        <f t="shared" si="513"/>
        <v>0</v>
      </c>
      <c r="EB177" s="128">
        <f t="shared" si="514"/>
        <v>163154.53684754495</v>
      </c>
    </row>
    <row r="178" spans="1:132">
      <c r="A178" s="212"/>
      <c r="B178" s="188">
        <f t="shared" si="515"/>
        <v>134</v>
      </c>
      <c r="C178" s="128">
        <f t="shared" si="516"/>
        <v>157129.90680263733</v>
      </c>
      <c r="D178" s="128">
        <f t="shared" si="517"/>
        <v>154646.91573595174</v>
      </c>
      <c r="E178" s="128">
        <f t="shared" si="518"/>
        <v>154307.2429062803</v>
      </c>
      <c r="F178" s="128">
        <f t="shared" si="519"/>
        <v>149045.31842694405</v>
      </c>
      <c r="G178" s="128">
        <f t="shared" si="520"/>
        <v>155317.2958799309</v>
      </c>
      <c r="H178" s="128">
        <f t="shared" si="521"/>
        <v>155098.5418227661</v>
      </c>
      <c r="I178" s="128">
        <f t="shared" si="522"/>
        <v>163154.53684754495</v>
      </c>
      <c r="J178" s="128">
        <f t="shared" si="523"/>
        <v>150141.51245376744</v>
      </c>
      <c r="K178" s="128">
        <f t="shared" si="524"/>
        <v>137614.17024632613</v>
      </c>
      <c r="M178" s="36"/>
      <c r="N178" s="32">
        <f t="shared" si="525"/>
        <v>134</v>
      </c>
      <c r="O178" s="25">
        <f t="shared" si="526"/>
        <v>0.5712990680263732</v>
      </c>
      <c r="P178" s="25">
        <f t="shared" si="527"/>
        <v>0.54646915735951751</v>
      </c>
      <c r="Q178" s="25">
        <f t="shared" si="528"/>
        <v>0.54307242906280306</v>
      </c>
      <c r="R178" s="25">
        <f t="shared" si="457"/>
        <v>0.49045318426944062</v>
      </c>
      <c r="S178" s="25">
        <f t="shared" si="458"/>
        <v>0.55317295879930906</v>
      </c>
      <c r="T178" s="25">
        <f t="shared" si="459"/>
        <v>0.55098541822766101</v>
      </c>
      <c r="U178" s="25">
        <f t="shared" si="460"/>
        <v>0.63154536847544951</v>
      </c>
      <c r="V178" s="25">
        <f t="shared" si="461"/>
        <v>0.50141512453767434</v>
      </c>
      <c r="W178" s="25">
        <f t="shared" si="462"/>
        <v>0.3761417024632614</v>
      </c>
      <c r="X178" s="36"/>
      <c r="Y178" s="36"/>
      <c r="AA178" s="124">
        <f t="shared" si="529"/>
        <v>135</v>
      </c>
      <c r="AB178" s="128">
        <f t="shared" si="463"/>
        <v>137945.13814623852</v>
      </c>
      <c r="AC178" s="124">
        <f t="shared" si="530"/>
        <v>135</v>
      </c>
      <c r="AD178" s="130">
        <f t="shared" si="531"/>
        <v>4.4999999999999998E-2</v>
      </c>
      <c r="AE178" s="127">
        <f t="shared" si="532"/>
        <v>1568</v>
      </c>
      <c r="AF178" s="128">
        <f t="shared" si="533"/>
        <v>156649</v>
      </c>
      <c r="AG178" s="128">
        <f t="shared" si="552"/>
        <v>156800</v>
      </c>
      <c r="AH178" s="128">
        <f t="shared" si="357"/>
        <v>156800</v>
      </c>
      <c r="AI178" s="130">
        <f t="shared" si="464"/>
        <v>4.4999999999999998E-2</v>
      </c>
      <c r="AJ178" s="128">
        <f t="shared" si="465"/>
        <v>157388</v>
      </c>
      <c r="AK178" s="128" t="str">
        <f t="shared" si="466"/>
        <v>nie</v>
      </c>
      <c r="AL178" s="128">
        <f t="shared" si="467"/>
        <v>784</v>
      </c>
      <c r="AM178" s="128">
        <f t="shared" si="361"/>
        <v>156641.24</v>
      </c>
      <c r="AN178" s="128">
        <f t="shared" si="468"/>
        <v>476.28000000000003</v>
      </c>
      <c r="AO178" s="130">
        <f t="shared" si="469"/>
        <v>4.4999999999999998E-2</v>
      </c>
      <c r="AP178" s="128">
        <f t="shared" si="470"/>
        <v>1444.1578285503579</v>
      </c>
      <c r="AQ178" s="128">
        <f t="shared" si="362"/>
        <v>157609.11782855034</v>
      </c>
      <c r="AS178" s="124">
        <f t="shared" si="534"/>
        <v>135</v>
      </c>
      <c r="AT178" s="130">
        <f t="shared" si="535"/>
        <v>4.4999999999999998E-2</v>
      </c>
      <c r="AU178" s="127">
        <f t="shared" si="536"/>
        <v>1488</v>
      </c>
      <c r="AV178" s="128">
        <f t="shared" si="537"/>
        <v>148662.1</v>
      </c>
      <c r="AW178" s="128">
        <f t="shared" si="363"/>
        <v>148800</v>
      </c>
      <c r="AX178" s="128">
        <f t="shared" si="358"/>
        <v>148800</v>
      </c>
      <c r="AY178" s="130">
        <f t="shared" si="471"/>
        <v>4.65E-2</v>
      </c>
      <c r="AZ178" s="128">
        <f t="shared" si="472"/>
        <v>149376.6</v>
      </c>
      <c r="BA178" s="128" t="str">
        <f t="shared" si="473"/>
        <v>nie</v>
      </c>
      <c r="BB178" s="128">
        <f t="shared" si="474"/>
        <v>1041.5999999999999</v>
      </c>
      <c r="BC178" s="128">
        <f t="shared" si="367"/>
        <v>148423.35</v>
      </c>
      <c r="BD178" s="128">
        <f t="shared" si="475"/>
        <v>467.04600000000477</v>
      </c>
      <c r="BE178" s="130">
        <f t="shared" si="476"/>
        <v>4.4999999999999998E-2</v>
      </c>
      <c r="BF178" s="128">
        <f t="shared" si="477"/>
        <v>7177.9804690997071</v>
      </c>
      <c r="BG178" s="128">
        <f t="shared" si="368"/>
        <v>155134.28446909972</v>
      </c>
      <c r="BI178" s="124">
        <f t="shared" si="538"/>
        <v>135</v>
      </c>
      <c r="BJ178" s="130">
        <f t="shared" ref="BJ178:BJ187" si="558">MAX(INDEX(scenariusz_I_WIBOR6M,MATCH(ROUNDUP(BI178/12,0),scenariusz_I_rok,0)),0)</f>
        <v>4.3200000000000002E-2</v>
      </c>
      <c r="BK178" s="127">
        <f t="shared" si="539"/>
        <v>1427</v>
      </c>
      <c r="BL178" s="128">
        <f t="shared" si="540"/>
        <v>142557.30000000002</v>
      </c>
      <c r="BM178" s="128">
        <f t="shared" si="553"/>
        <v>142700</v>
      </c>
      <c r="BN178" s="128">
        <f t="shared" si="541"/>
        <v>157027.22269999998</v>
      </c>
      <c r="BO178" s="130">
        <f t="shared" si="478"/>
        <v>4.9000000000000002E-2</v>
      </c>
      <c r="BP178" s="128">
        <f t="shared" si="479"/>
        <v>158950.806178075</v>
      </c>
      <c r="BQ178" s="128" t="str">
        <f t="shared" si="480"/>
        <v>nie</v>
      </c>
      <c r="BR178" s="128">
        <f t="shared" si="481"/>
        <v>1427</v>
      </c>
      <c r="BS178" s="128">
        <f t="shared" si="364"/>
        <v>154707.28300424074</v>
      </c>
      <c r="BT178" s="128">
        <f t="shared" si="456"/>
        <v>0</v>
      </c>
      <c r="BU178" s="130">
        <f t="shared" si="482"/>
        <v>4.4999999999999998E-2</v>
      </c>
      <c r="BV178" s="128">
        <f t="shared" si="483"/>
        <v>119.68989822220951</v>
      </c>
      <c r="BW178" s="128">
        <f t="shared" si="365"/>
        <v>154826.97290246296</v>
      </c>
      <c r="BY178" s="130">
        <f t="shared" si="452"/>
        <v>2.9000000000000001E-2</v>
      </c>
      <c r="BZ178" s="127">
        <f t="shared" si="542"/>
        <v>1344</v>
      </c>
      <c r="CA178" s="128">
        <f t="shared" si="543"/>
        <v>134279.90000000002</v>
      </c>
      <c r="CB178" s="128">
        <f t="shared" si="366"/>
        <v>134400</v>
      </c>
      <c r="CC178" s="128">
        <f t="shared" si="359"/>
        <v>134400</v>
      </c>
      <c r="CD178" s="130">
        <f t="shared" si="484"/>
        <v>4.3999999999999997E-2</v>
      </c>
      <c r="CE178" s="128">
        <f t="shared" si="485"/>
        <v>135878.39999999999</v>
      </c>
      <c r="CF178" s="128" t="str">
        <f t="shared" si="486"/>
        <v>nie</v>
      </c>
      <c r="CG178" s="128">
        <f t="shared" si="487"/>
        <v>2688</v>
      </c>
      <c r="CH178" s="128">
        <f t="shared" si="369"/>
        <v>133420.22399999999</v>
      </c>
      <c r="CI178" s="128">
        <f t="shared" si="488"/>
        <v>0</v>
      </c>
      <c r="CJ178" s="130">
        <f t="shared" si="489"/>
        <v>4.4999999999999998E-2</v>
      </c>
      <c r="CK178" s="128">
        <f t="shared" si="490"/>
        <v>16072.936124065896</v>
      </c>
      <c r="CL178" s="128">
        <f t="shared" si="491"/>
        <v>149493.16012406588</v>
      </c>
      <c r="CN178" s="127">
        <f t="shared" si="544"/>
        <v>1508</v>
      </c>
      <c r="CO178" s="128">
        <f t="shared" si="545"/>
        <v>150649.20000000001</v>
      </c>
      <c r="CP178" s="128">
        <f t="shared" si="546"/>
        <v>150800</v>
      </c>
      <c r="CQ178" s="128">
        <f t="shared" si="547"/>
        <v>159471.00000000003</v>
      </c>
      <c r="CR178" s="130">
        <f t="shared" si="492"/>
        <v>4.9000000000000002E-2</v>
      </c>
      <c r="CS178" s="128">
        <f t="shared" si="493"/>
        <v>161424.51975000004</v>
      </c>
      <c r="CT178" s="128" t="str">
        <f t="shared" si="494"/>
        <v>nie</v>
      </c>
      <c r="CU178" s="128">
        <f t="shared" si="495"/>
        <v>4524</v>
      </c>
      <c r="CV178" s="128">
        <f t="shared" si="496"/>
        <v>155741.42099750004</v>
      </c>
      <c r="CW178" s="128">
        <f t="shared" si="453"/>
        <v>0</v>
      </c>
      <c r="CX178" s="130">
        <f t="shared" si="497"/>
        <v>4.4999999999999998E-2</v>
      </c>
      <c r="CY178" s="128">
        <f t="shared" si="498"/>
        <v>103.63906527123756</v>
      </c>
      <c r="CZ178" s="128">
        <f t="shared" si="499"/>
        <v>155845.06006277128</v>
      </c>
      <c r="DA178" s="20"/>
      <c r="DB178" s="127">
        <f t="shared" si="554"/>
        <v>1274</v>
      </c>
      <c r="DC178" s="128">
        <f t="shared" si="555"/>
        <v>127400</v>
      </c>
      <c r="DD178" s="128">
        <f t="shared" si="548"/>
        <v>127400</v>
      </c>
      <c r="DE178" s="128">
        <f t="shared" si="549"/>
        <v>162673.93226179693</v>
      </c>
      <c r="DF178" s="130">
        <f t="shared" si="500"/>
        <v>4.9000000000000002E-2</v>
      </c>
      <c r="DG178" s="128">
        <f t="shared" si="501"/>
        <v>164666.68793200396</v>
      </c>
      <c r="DH178" s="128" t="str">
        <f t="shared" si="502"/>
        <v>nie</v>
      </c>
      <c r="DI178" s="128">
        <f t="shared" si="503"/>
        <v>2548</v>
      </c>
      <c r="DJ178" s="128">
        <f t="shared" si="355"/>
        <v>155522.13722492321</v>
      </c>
      <c r="DK178" s="128">
        <f t="shared" si="454"/>
        <v>0</v>
      </c>
      <c r="DL178" s="130">
        <f t="shared" si="504"/>
        <v>4.4999999999999998E-2</v>
      </c>
      <c r="DM178" s="128">
        <f t="shared" si="505"/>
        <v>114.7962665087714</v>
      </c>
      <c r="DN178" s="128">
        <f t="shared" si="506"/>
        <v>155636.93349143199</v>
      </c>
      <c r="DP178" s="127">
        <f t="shared" si="556"/>
        <v>1000</v>
      </c>
      <c r="DQ178" s="128">
        <f t="shared" si="557"/>
        <v>100000</v>
      </c>
      <c r="DR178" s="128">
        <f t="shared" si="550"/>
        <v>100000</v>
      </c>
      <c r="DS178" s="128">
        <f t="shared" si="551"/>
        <v>179354.37463757658</v>
      </c>
      <c r="DT178" s="130">
        <f t="shared" si="507"/>
        <v>5.4000000000000006E-2</v>
      </c>
      <c r="DU178" s="128">
        <f t="shared" si="508"/>
        <v>181775.65869518387</v>
      </c>
      <c r="DV178" s="128" t="str">
        <f t="shared" si="509"/>
        <v>nie</v>
      </c>
      <c r="DW178" s="128">
        <f t="shared" si="510"/>
        <v>3000</v>
      </c>
      <c r="DX178" s="128">
        <f t="shared" si="511"/>
        <v>163808.28354309892</v>
      </c>
      <c r="DY178" s="128">
        <f t="shared" si="455"/>
        <v>0</v>
      </c>
      <c r="DZ178" s="130">
        <f t="shared" si="512"/>
        <v>4.4999999999999998E-2</v>
      </c>
      <c r="EA178" s="128">
        <f t="shared" si="513"/>
        <v>0</v>
      </c>
      <c r="EB178" s="128">
        <f t="shared" si="514"/>
        <v>163808.28354309892</v>
      </c>
    </row>
    <row r="179" spans="1:132">
      <c r="A179" s="212"/>
      <c r="B179" s="188">
        <f t="shared" si="515"/>
        <v>135</v>
      </c>
      <c r="C179" s="128">
        <f t="shared" si="516"/>
        <v>157609.11782855034</v>
      </c>
      <c r="D179" s="128">
        <f t="shared" si="517"/>
        <v>155134.28446909972</v>
      </c>
      <c r="E179" s="128">
        <f t="shared" si="518"/>
        <v>154826.97290246296</v>
      </c>
      <c r="F179" s="128">
        <f t="shared" si="519"/>
        <v>149493.16012406588</v>
      </c>
      <c r="G179" s="128">
        <f t="shared" si="520"/>
        <v>155845.06006277128</v>
      </c>
      <c r="H179" s="128">
        <f t="shared" si="521"/>
        <v>155636.93349143199</v>
      </c>
      <c r="I179" s="128">
        <f t="shared" si="522"/>
        <v>163808.28354309892</v>
      </c>
      <c r="J179" s="128">
        <f t="shared" si="523"/>
        <v>150597.56729784576</v>
      </c>
      <c r="K179" s="128">
        <f t="shared" si="524"/>
        <v>137945.13814623852</v>
      </c>
      <c r="M179" s="36"/>
      <c r="N179" s="32">
        <f t="shared" si="525"/>
        <v>135</v>
      </c>
      <c r="O179" s="25">
        <f t="shared" si="526"/>
        <v>0.57609117828550338</v>
      </c>
      <c r="P179" s="25">
        <f t="shared" si="527"/>
        <v>0.55134284469099715</v>
      </c>
      <c r="Q179" s="25">
        <f t="shared" si="528"/>
        <v>0.54826972902462967</v>
      </c>
      <c r="R179" s="25">
        <f t="shared" si="457"/>
        <v>0.49493160124065882</v>
      </c>
      <c r="S179" s="25">
        <f t="shared" si="458"/>
        <v>0.55845060062771279</v>
      </c>
      <c r="T179" s="25">
        <f t="shared" si="459"/>
        <v>0.55636933491431995</v>
      </c>
      <c r="U179" s="25">
        <f t="shared" si="460"/>
        <v>0.63808283543098931</v>
      </c>
      <c r="V179" s="25">
        <f t="shared" si="461"/>
        <v>0.50597567297845769</v>
      </c>
      <c r="W179" s="25">
        <f t="shared" si="462"/>
        <v>0.37945138146238522</v>
      </c>
      <c r="X179" s="36"/>
      <c r="Y179" s="36"/>
      <c r="AA179" s="124">
        <f t="shared" si="529"/>
        <v>136</v>
      </c>
      <c r="AB179" s="128">
        <f t="shared" si="463"/>
        <v>138276.1060461509</v>
      </c>
      <c r="AC179" s="124">
        <f t="shared" si="530"/>
        <v>136</v>
      </c>
      <c r="AD179" s="130">
        <f t="shared" si="531"/>
        <v>4.4999999999999998E-2</v>
      </c>
      <c r="AE179" s="127">
        <f t="shared" si="532"/>
        <v>1568</v>
      </c>
      <c r="AF179" s="128">
        <f t="shared" si="533"/>
        <v>156649</v>
      </c>
      <c r="AG179" s="128">
        <f t="shared" si="552"/>
        <v>156800</v>
      </c>
      <c r="AH179" s="128">
        <f t="shared" si="357"/>
        <v>156800</v>
      </c>
      <c r="AI179" s="130">
        <f t="shared" si="464"/>
        <v>4.4999999999999998E-2</v>
      </c>
      <c r="AJ179" s="128">
        <f t="shared" si="465"/>
        <v>157388</v>
      </c>
      <c r="AK179" s="128" t="str">
        <f t="shared" si="466"/>
        <v>nie</v>
      </c>
      <c r="AL179" s="128">
        <f t="shared" si="467"/>
        <v>784</v>
      </c>
      <c r="AM179" s="128">
        <f t="shared" si="361"/>
        <v>156641.24</v>
      </c>
      <c r="AN179" s="128">
        <f t="shared" si="468"/>
        <v>476.28000000000003</v>
      </c>
      <c r="AO179" s="130">
        <f t="shared" si="469"/>
        <v>4.4999999999999998E-2</v>
      </c>
      <c r="AP179" s="128">
        <f t="shared" si="470"/>
        <v>1924.8244579545797</v>
      </c>
      <c r="AQ179" s="128">
        <f t="shared" si="362"/>
        <v>158089.78445795458</v>
      </c>
      <c r="AS179" s="124">
        <f t="shared" si="534"/>
        <v>136</v>
      </c>
      <c r="AT179" s="130">
        <f t="shared" si="535"/>
        <v>4.4999999999999998E-2</v>
      </c>
      <c r="AU179" s="127">
        <f t="shared" si="536"/>
        <v>1488</v>
      </c>
      <c r="AV179" s="128">
        <f t="shared" si="537"/>
        <v>148662.1</v>
      </c>
      <c r="AW179" s="128">
        <f t="shared" si="363"/>
        <v>148800</v>
      </c>
      <c r="AX179" s="128">
        <f t="shared" si="358"/>
        <v>148800</v>
      </c>
      <c r="AY179" s="130">
        <f t="shared" si="471"/>
        <v>4.65E-2</v>
      </c>
      <c r="AZ179" s="128">
        <f t="shared" si="472"/>
        <v>149376.6</v>
      </c>
      <c r="BA179" s="128" t="str">
        <f t="shared" si="473"/>
        <v>nie</v>
      </c>
      <c r="BB179" s="128">
        <f t="shared" si="474"/>
        <v>1041.5999999999999</v>
      </c>
      <c r="BC179" s="128">
        <f t="shared" si="367"/>
        <v>148423.35</v>
      </c>
      <c r="BD179" s="128">
        <f t="shared" si="475"/>
        <v>467.04600000000477</v>
      </c>
      <c r="BE179" s="130">
        <f t="shared" si="476"/>
        <v>4.4999999999999998E-2</v>
      </c>
      <c r="BF179" s="128">
        <f t="shared" si="477"/>
        <v>7666.8295847746022</v>
      </c>
      <c r="BG179" s="128">
        <f t="shared" si="368"/>
        <v>155623.13358477459</v>
      </c>
      <c r="BI179" s="124">
        <f t="shared" si="538"/>
        <v>136</v>
      </c>
      <c r="BJ179" s="130">
        <f t="shared" si="558"/>
        <v>4.3200000000000002E-2</v>
      </c>
      <c r="BK179" s="127">
        <f t="shared" si="539"/>
        <v>1427</v>
      </c>
      <c r="BL179" s="128">
        <f t="shared" si="540"/>
        <v>142557.30000000002</v>
      </c>
      <c r="BM179" s="128">
        <f t="shared" si="553"/>
        <v>142700</v>
      </c>
      <c r="BN179" s="128">
        <f t="shared" si="541"/>
        <v>157027.22269999998</v>
      </c>
      <c r="BO179" s="130">
        <f t="shared" si="478"/>
        <v>4.9000000000000002E-2</v>
      </c>
      <c r="BP179" s="128">
        <f t="shared" si="479"/>
        <v>159592.00067076663</v>
      </c>
      <c r="BQ179" s="128" t="str">
        <f t="shared" si="480"/>
        <v>nie</v>
      </c>
      <c r="BR179" s="128">
        <f t="shared" si="481"/>
        <v>1427</v>
      </c>
      <c r="BS179" s="128">
        <f t="shared" si="364"/>
        <v>155226.65054332098</v>
      </c>
      <c r="BT179" s="128">
        <f t="shared" si="456"/>
        <v>0</v>
      </c>
      <c r="BU179" s="130">
        <f t="shared" si="482"/>
        <v>4.4999999999999998E-2</v>
      </c>
      <c r="BV179" s="128">
        <f t="shared" si="483"/>
        <v>120.05345628805946</v>
      </c>
      <c r="BW179" s="128">
        <f t="shared" si="365"/>
        <v>155346.70399960905</v>
      </c>
      <c r="BY179" s="130">
        <f t="shared" si="452"/>
        <v>2.9000000000000001E-2</v>
      </c>
      <c r="BZ179" s="127">
        <f t="shared" si="542"/>
        <v>1344</v>
      </c>
      <c r="CA179" s="128">
        <f t="shared" si="543"/>
        <v>134279.90000000002</v>
      </c>
      <c r="CB179" s="128">
        <f t="shared" si="366"/>
        <v>134400</v>
      </c>
      <c r="CC179" s="128">
        <f t="shared" si="359"/>
        <v>134400</v>
      </c>
      <c r="CD179" s="130">
        <f t="shared" si="484"/>
        <v>4.3999999999999997E-2</v>
      </c>
      <c r="CE179" s="128">
        <f t="shared" si="485"/>
        <v>136371.19999999998</v>
      </c>
      <c r="CF179" s="128" t="str">
        <f t="shared" si="486"/>
        <v>nie</v>
      </c>
      <c r="CG179" s="128">
        <f t="shared" si="487"/>
        <v>2688</v>
      </c>
      <c r="CH179" s="128">
        <f t="shared" si="369"/>
        <v>133819.39199999999</v>
      </c>
      <c r="CI179" s="128">
        <f t="shared" si="488"/>
        <v>0</v>
      </c>
      <c r="CJ179" s="130">
        <f t="shared" si="489"/>
        <v>4.4999999999999998E-2</v>
      </c>
      <c r="CK179" s="128">
        <f t="shared" si="490"/>
        <v>16121.757667542746</v>
      </c>
      <c r="CL179" s="128">
        <f t="shared" si="491"/>
        <v>149941.14966754275</v>
      </c>
      <c r="CN179" s="127">
        <f t="shared" si="544"/>
        <v>1508</v>
      </c>
      <c r="CO179" s="128">
        <f t="shared" si="545"/>
        <v>150649.20000000001</v>
      </c>
      <c r="CP179" s="128">
        <f t="shared" si="546"/>
        <v>150800</v>
      </c>
      <c r="CQ179" s="128">
        <f t="shared" si="547"/>
        <v>159471.00000000003</v>
      </c>
      <c r="CR179" s="130">
        <f t="shared" si="492"/>
        <v>4.9000000000000002E-2</v>
      </c>
      <c r="CS179" s="128">
        <f t="shared" si="493"/>
        <v>162075.69300000003</v>
      </c>
      <c r="CT179" s="128" t="str">
        <f t="shared" si="494"/>
        <v>nie</v>
      </c>
      <c r="CU179" s="128">
        <f t="shared" si="495"/>
        <v>4524</v>
      </c>
      <c r="CV179" s="128">
        <f t="shared" si="496"/>
        <v>156268.87133000002</v>
      </c>
      <c r="CW179" s="128">
        <f t="shared" si="453"/>
        <v>0</v>
      </c>
      <c r="CX179" s="130">
        <f t="shared" si="497"/>
        <v>4.4999999999999998E-2</v>
      </c>
      <c r="CY179" s="128">
        <f t="shared" si="498"/>
        <v>103.95386893199894</v>
      </c>
      <c r="CZ179" s="128">
        <f t="shared" si="499"/>
        <v>156372.82519893203</v>
      </c>
      <c r="DA179" s="20"/>
      <c r="DB179" s="127">
        <f t="shared" si="554"/>
        <v>1274</v>
      </c>
      <c r="DC179" s="128">
        <f t="shared" si="555"/>
        <v>127400</v>
      </c>
      <c r="DD179" s="128">
        <f t="shared" si="548"/>
        <v>127400</v>
      </c>
      <c r="DE179" s="128">
        <f t="shared" si="549"/>
        <v>162673.93226179693</v>
      </c>
      <c r="DF179" s="130">
        <f t="shared" si="500"/>
        <v>4.9000000000000002E-2</v>
      </c>
      <c r="DG179" s="128">
        <f t="shared" si="501"/>
        <v>165330.93982207295</v>
      </c>
      <c r="DH179" s="128" t="str">
        <f t="shared" si="502"/>
        <v>nie</v>
      </c>
      <c r="DI179" s="128">
        <f t="shared" si="503"/>
        <v>2548</v>
      </c>
      <c r="DJ179" s="128">
        <f t="shared" si="355"/>
        <v>156060.18125587908</v>
      </c>
      <c r="DK179" s="128">
        <f t="shared" si="454"/>
        <v>0</v>
      </c>
      <c r="DL179" s="130">
        <f t="shared" si="504"/>
        <v>4.4999999999999998E-2</v>
      </c>
      <c r="DM179" s="128">
        <f t="shared" si="505"/>
        <v>115.14496016829179</v>
      </c>
      <c r="DN179" s="128">
        <f t="shared" si="506"/>
        <v>156175.32621604737</v>
      </c>
      <c r="DP179" s="127">
        <f t="shared" si="556"/>
        <v>1000</v>
      </c>
      <c r="DQ179" s="128">
        <f t="shared" si="557"/>
        <v>100000</v>
      </c>
      <c r="DR179" s="128">
        <f t="shared" si="550"/>
        <v>100000</v>
      </c>
      <c r="DS179" s="128">
        <f t="shared" si="551"/>
        <v>179354.37463757658</v>
      </c>
      <c r="DT179" s="130">
        <f t="shared" si="507"/>
        <v>5.4000000000000006E-2</v>
      </c>
      <c r="DU179" s="128">
        <f t="shared" si="508"/>
        <v>182582.75338105296</v>
      </c>
      <c r="DV179" s="128" t="str">
        <f t="shared" si="509"/>
        <v>nie</v>
      </c>
      <c r="DW179" s="128">
        <f t="shared" si="510"/>
        <v>3000</v>
      </c>
      <c r="DX179" s="128">
        <f t="shared" si="511"/>
        <v>164462.03023865289</v>
      </c>
      <c r="DY179" s="128">
        <f t="shared" si="455"/>
        <v>0</v>
      </c>
      <c r="DZ179" s="130">
        <f t="shared" si="512"/>
        <v>4.4999999999999998E-2</v>
      </c>
      <c r="EA179" s="128">
        <f t="shared" si="513"/>
        <v>0</v>
      </c>
      <c r="EB179" s="128">
        <f t="shared" si="514"/>
        <v>164462.03023865289</v>
      </c>
    </row>
    <row r="180" spans="1:132">
      <c r="A180" s="212"/>
      <c r="B180" s="188">
        <f t="shared" si="515"/>
        <v>136</v>
      </c>
      <c r="C180" s="128">
        <f t="shared" si="516"/>
        <v>158089.78445795458</v>
      </c>
      <c r="D180" s="128">
        <f t="shared" si="517"/>
        <v>155623.13358477459</v>
      </c>
      <c r="E180" s="128">
        <f t="shared" si="518"/>
        <v>155346.70399960905</v>
      </c>
      <c r="F180" s="128">
        <f t="shared" si="519"/>
        <v>149941.14966754275</v>
      </c>
      <c r="G180" s="128">
        <f t="shared" si="520"/>
        <v>156372.82519893203</v>
      </c>
      <c r="H180" s="128">
        <f t="shared" si="521"/>
        <v>156175.32621604737</v>
      </c>
      <c r="I180" s="128">
        <f t="shared" si="522"/>
        <v>164462.03023865289</v>
      </c>
      <c r="J180" s="128">
        <f t="shared" si="523"/>
        <v>151055.00740851296</v>
      </c>
      <c r="K180" s="128">
        <f t="shared" si="524"/>
        <v>138276.1060461509</v>
      </c>
      <c r="M180" s="36"/>
      <c r="N180" s="32">
        <f t="shared" si="525"/>
        <v>136</v>
      </c>
      <c r="O180" s="25">
        <f t="shared" si="526"/>
        <v>0.58089784457954585</v>
      </c>
      <c r="P180" s="25">
        <f t="shared" si="527"/>
        <v>0.55623133584774598</v>
      </c>
      <c r="Q180" s="25">
        <f t="shared" si="528"/>
        <v>0.55346703999609037</v>
      </c>
      <c r="R180" s="25">
        <f t="shared" si="457"/>
        <v>0.4994114966754275</v>
      </c>
      <c r="S180" s="25">
        <f t="shared" si="458"/>
        <v>0.56372825198932031</v>
      </c>
      <c r="T180" s="25">
        <f t="shared" si="459"/>
        <v>0.56175326216047372</v>
      </c>
      <c r="U180" s="25">
        <f t="shared" si="460"/>
        <v>0.6446203023865289</v>
      </c>
      <c r="V180" s="25">
        <f t="shared" si="461"/>
        <v>0.51055007408512965</v>
      </c>
      <c r="W180" s="25">
        <f t="shared" si="462"/>
        <v>0.38276106046150904</v>
      </c>
      <c r="X180" s="36"/>
      <c r="Y180" s="36"/>
      <c r="AA180" s="124">
        <f t="shared" si="529"/>
        <v>137</v>
      </c>
      <c r="AB180" s="128">
        <f t="shared" si="463"/>
        <v>138607.07394606329</v>
      </c>
      <c r="AC180" s="124">
        <f t="shared" si="530"/>
        <v>137</v>
      </c>
      <c r="AD180" s="130">
        <f t="shared" si="531"/>
        <v>4.4999999999999998E-2</v>
      </c>
      <c r="AE180" s="127">
        <f t="shared" si="532"/>
        <v>1568</v>
      </c>
      <c r="AF180" s="128">
        <f t="shared" si="533"/>
        <v>156649</v>
      </c>
      <c r="AG180" s="128">
        <f t="shared" si="552"/>
        <v>156800</v>
      </c>
      <c r="AH180" s="128">
        <f t="shared" si="357"/>
        <v>156800</v>
      </c>
      <c r="AI180" s="130">
        <f t="shared" si="464"/>
        <v>4.4999999999999998E-2</v>
      </c>
      <c r="AJ180" s="128">
        <f t="shared" si="465"/>
        <v>157388</v>
      </c>
      <c r="AK180" s="128" t="str">
        <f t="shared" si="466"/>
        <v>nie</v>
      </c>
      <c r="AL180" s="128">
        <f t="shared" si="467"/>
        <v>784</v>
      </c>
      <c r="AM180" s="128">
        <f t="shared" si="361"/>
        <v>156641.24</v>
      </c>
      <c r="AN180" s="128">
        <f t="shared" si="468"/>
        <v>476.28000000000003</v>
      </c>
      <c r="AO180" s="130">
        <f t="shared" si="469"/>
        <v>4.4999999999999998E-2</v>
      </c>
      <c r="AP180" s="128">
        <f t="shared" si="470"/>
        <v>2406.951112245617</v>
      </c>
      <c r="AQ180" s="128">
        <f t="shared" si="362"/>
        <v>158571.91111224561</v>
      </c>
      <c r="AS180" s="124">
        <f t="shared" si="534"/>
        <v>137</v>
      </c>
      <c r="AT180" s="130">
        <f t="shared" si="535"/>
        <v>4.4999999999999998E-2</v>
      </c>
      <c r="AU180" s="127">
        <f t="shared" si="536"/>
        <v>1488</v>
      </c>
      <c r="AV180" s="128">
        <f t="shared" si="537"/>
        <v>148662.1</v>
      </c>
      <c r="AW180" s="128">
        <f t="shared" si="363"/>
        <v>148800</v>
      </c>
      <c r="AX180" s="128">
        <f t="shared" si="358"/>
        <v>148800</v>
      </c>
      <c r="AY180" s="130">
        <f t="shared" si="471"/>
        <v>4.65E-2</v>
      </c>
      <c r="AZ180" s="128">
        <f t="shared" si="472"/>
        <v>149376.6</v>
      </c>
      <c r="BA180" s="128" t="str">
        <f t="shared" si="473"/>
        <v>nie</v>
      </c>
      <c r="BB180" s="128">
        <f t="shared" si="474"/>
        <v>1041.5999999999999</v>
      </c>
      <c r="BC180" s="128">
        <f t="shared" si="367"/>
        <v>148423.35</v>
      </c>
      <c r="BD180" s="128">
        <f t="shared" si="475"/>
        <v>467.04600000000477</v>
      </c>
      <c r="BE180" s="130">
        <f t="shared" si="476"/>
        <v>4.4999999999999998E-2</v>
      </c>
      <c r="BF180" s="128">
        <f t="shared" si="477"/>
        <v>8157.1635796383598</v>
      </c>
      <c r="BG180" s="128">
        <f t="shared" si="368"/>
        <v>156113.46757963835</v>
      </c>
      <c r="BI180" s="124">
        <f t="shared" si="538"/>
        <v>137</v>
      </c>
      <c r="BJ180" s="130">
        <f t="shared" si="558"/>
        <v>4.3200000000000002E-2</v>
      </c>
      <c r="BK180" s="127">
        <f t="shared" si="539"/>
        <v>1427</v>
      </c>
      <c r="BL180" s="128">
        <f t="shared" si="540"/>
        <v>142557.30000000002</v>
      </c>
      <c r="BM180" s="128">
        <f t="shared" si="553"/>
        <v>142700</v>
      </c>
      <c r="BN180" s="128">
        <f t="shared" si="541"/>
        <v>157027.22269999998</v>
      </c>
      <c r="BO180" s="130">
        <f t="shared" si="478"/>
        <v>4.9000000000000002E-2</v>
      </c>
      <c r="BP180" s="128">
        <f t="shared" si="479"/>
        <v>160233.19516345832</v>
      </c>
      <c r="BQ180" s="128" t="str">
        <f t="shared" si="480"/>
        <v>nie</v>
      </c>
      <c r="BR180" s="128">
        <f t="shared" si="481"/>
        <v>1427</v>
      </c>
      <c r="BS180" s="128">
        <f t="shared" si="364"/>
        <v>155746.01808240125</v>
      </c>
      <c r="BT180" s="128">
        <f t="shared" si="456"/>
        <v>0</v>
      </c>
      <c r="BU180" s="130">
        <f t="shared" si="482"/>
        <v>4.4999999999999998E-2</v>
      </c>
      <c r="BV180" s="128">
        <f t="shared" si="483"/>
        <v>120.41811866153445</v>
      </c>
      <c r="BW180" s="128">
        <f t="shared" si="365"/>
        <v>155866.43620106278</v>
      </c>
      <c r="BY180" s="130">
        <f t="shared" si="452"/>
        <v>2.9000000000000001E-2</v>
      </c>
      <c r="BZ180" s="127">
        <f t="shared" si="542"/>
        <v>1344</v>
      </c>
      <c r="CA180" s="128">
        <f t="shared" si="543"/>
        <v>134279.90000000002</v>
      </c>
      <c r="CB180" s="128">
        <f t="shared" si="366"/>
        <v>134400</v>
      </c>
      <c r="CC180" s="128">
        <f t="shared" si="359"/>
        <v>134400</v>
      </c>
      <c r="CD180" s="130">
        <f t="shared" si="484"/>
        <v>4.3999999999999997E-2</v>
      </c>
      <c r="CE180" s="128">
        <f t="shared" si="485"/>
        <v>136864</v>
      </c>
      <c r="CF180" s="128" t="str">
        <f t="shared" si="486"/>
        <v>nie</v>
      </c>
      <c r="CG180" s="128">
        <f t="shared" si="487"/>
        <v>2688</v>
      </c>
      <c r="CH180" s="128">
        <f t="shared" si="369"/>
        <v>134218.56</v>
      </c>
      <c r="CI180" s="128">
        <f t="shared" si="488"/>
        <v>0</v>
      </c>
      <c r="CJ180" s="130">
        <f t="shared" si="489"/>
        <v>4.4999999999999998E-2</v>
      </c>
      <c r="CK180" s="128">
        <f t="shared" si="490"/>
        <v>16170.727506457908</v>
      </c>
      <c r="CL180" s="128">
        <f t="shared" si="491"/>
        <v>150389.28750645791</v>
      </c>
      <c r="CN180" s="127">
        <f t="shared" si="544"/>
        <v>1508</v>
      </c>
      <c r="CO180" s="128">
        <f t="shared" si="545"/>
        <v>150649.20000000001</v>
      </c>
      <c r="CP180" s="128">
        <f t="shared" si="546"/>
        <v>150800</v>
      </c>
      <c r="CQ180" s="128">
        <f t="shared" si="547"/>
        <v>159471.00000000003</v>
      </c>
      <c r="CR180" s="130">
        <f t="shared" si="492"/>
        <v>4.9000000000000002E-2</v>
      </c>
      <c r="CS180" s="128">
        <f t="shared" si="493"/>
        <v>162726.86625000005</v>
      </c>
      <c r="CT180" s="128" t="str">
        <f t="shared" si="494"/>
        <v>nie</v>
      </c>
      <c r="CU180" s="128">
        <f t="shared" si="495"/>
        <v>4524</v>
      </c>
      <c r="CV180" s="128">
        <f t="shared" si="496"/>
        <v>156796.32166250004</v>
      </c>
      <c r="CW180" s="128">
        <f t="shared" si="453"/>
        <v>0</v>
      </c>
      <c r="CX180" s="130">
        <f t="shared" si="497"/>
        <v>4.4999999999999998E-2</v>
      </c>
      <c r="CY180" s="128">
        <f t="shared" si="498"/>
        <v>104.26962880887989</v>
      </c>
      <c r="CZ180" s="128">
        <f t="shared" si="499"/>
        <v>156900.59129130893</v>
      </c>
      <c r="DA180" s="20"/>
      <c r="DB180" s="127">
        <f t="shared" si="554"/>
        <v>1274</v>
      </c>
      <c r="DC180" s="128">
        <f t="shared" si="555"/>
        <v>127400</v>
      </c>
      <c r="DD180" s="128">
        <f t="shared" si="548"/>
        <v>127400</v>
      </c>
      <c r="DE180" s="128">
        <f t="shared" si="549"/>
        <v>162673.93226179693</v>
      </c>
      <c r="DF180" s="130">
        <f t="shared" si="500"/>
        <v>4.9000000000000002E-2</v>
      </c>
      <c r="DG180" s="128">
        <f t="shared" si="501"/>
        <v>165995.19171214197</v>
      </c>
      <c r="DH180" s="128" t="str">
        <f t="shared" si="502"/>
        <v>nie</v>
      </c>
      <c r="DI180" s="128">
        <f t="shared" si="503"/>
        <v>2548</v>
      </c>
      <c r="DJ180" s="128">
        <f t="shared" ref="DJ180:DJ187" si="559">DG180-DI180
-(DG180-DD180-DI180)*podatek_Belki</f>
        <v>156598.22528683499</v>
      </c>
      <c r="DK180" s="128">
        <f t="shared" si="454"/>
        <v>0</v>
      </c>
      <c r="DL180" s="130">
        <f t="shared" si="504"/>
        <v>4.4999999999999998E-2</v>
      </c>
      <c r="DM180" s="128">
        <f t="shared" si="505"/>
        <v>115.49471298480297</v>
      </c>
      <c r="DN180" s="128">
        <f t="shared" si="506"/>
        <v>156713.71999981979</v>
      </c>
      <c r="DP180" s="127">
        <f t="shared" si="556"/>
        <v>1000</v>
      </c>
      <c r="DQ180" s="128">
        <f t="shared" si="557"/>
        <v>100000</v>
      </c>
      <c r="DR180" s="128">
        <f t="shared" si="550"/>
        <v>100000</v>
      </c>
      <c r="DS180" s="128">
        <f t="shared" si="551"/>
        <v>179354.37463757658</v>
      </c>
      <c r="DT180" s="130">
        <f t="shared" si="507"/>
        <v>5.4000000000000006E-2</v>
      </c>
      <c r="DU180" s="128">
        <f t="shared" si="508"/>
        <v>183389.84806692204</v>
      </c>
      <c r="DV180" s="128" t="str">
        <f t="shared" si="509"/>
        <v>nie</v>
      </c>
      <c r="DW180" s="128">
        <f t="shared" si="510"/>
        <v>3000</v>
      </c>
      <c r="DX180" s="128">
        <f t="shared" si="511"/>
        <v>165115.77693420686</v>
      </c>
      <c r="DY180" s="128">
        <f t="shared" si="455"/>
        <v>0</v>
      </c>
      <c r="DZ180" s="130">
        <f t="shared" si="512"/>
        <v>4.4999999999999998E-2</v>
      </c>
      <c r="EA180" s="128">
        <f t="shared" si="513"/>
        <v>0</v>
      </c>
      <c r="EB180" s="128">
        <f t="shared" si="514"/>
        <v>165115.77693420686</v>
      </c>
    </row>
    <row r="181" spans="1:132">
      <c r="A181" s="212"/>
      <c r="B181" s="188">
        <f t="shared" si="515"/>
        <v>137</v>
      </c>
      <c r="C181" s="128">
        <f t="shared" si="516"/>
        <v>158571.91111224561</v>
      </c>
      <c r="D181" s="128">
        <f t="shared" si="517"/>
        <v>156113.46757963835</v>
      </c>
      <c r="E181" s="128">
        <f t="shared" si="518"/>
        <v>155866.43620106278</v>
      </c>
      <c r="F181" s="128">
        <f t="shared" si="519"/>
        <v>150389.28750645791</v>
      </c>
      <c r="G181" s="128">
        <f t="shared" si="520"/>
        <v>156900.59129130893</v>
      </c>
      <c r="H181" s="128">
        <f t="shared" si="521"/>
        <v>156713.71999981979</v>
      </c>
      <c r="I181" s="128">
        <f t="shared" si="522"/>
        <v>165115.77693420686</v>
      </c>
      <c r="J181" s="128">
        <f t="shared" si="523"/>
        <v>151513.83699351634</v>
      </c>
      <c r="K181" s="128">
        <f t="shared" si="524"/>
        <v>138607.07394606329</v>
      </c>
      <c r="M181" s="36"/>
      <c r="N181" s="32">
        <f t="shared" si="525"/>
        <v>137</v>
      </c>
      <c r="O181" s="25">
        <f t="shared" si="526"/>
        <v>0.585719111122456</v>
      </c>
      <c r="P181" s="25">
        <f t="shared" si="527"/>
        <v>0.56113467579638354</v>
      </c>
      <c r="Q181" s="25">
        <f t="shared" si="528"/>
        <v>0.55866436201062775</v>
      </c>
      <c r="R181" s="25">
        <f t="shared" si="457"/>
        <v>0.50389287506457903</v>
      </c>
      <c r="S181" s="25">
        <f t="shared" si="458"/>
        <v>0.56900591291308933</v>
      </c>
      <c r="T181" s="25">
        <f t="shared" si="459"/>
        <v>0.567137199998198</v>
      </c>
      <c r="U181" s="25">
        <f t="shared" si="460"/>
        <v>0.6511577693420687</v>
      </c>
      <c r="V181" s="25">
        <f t="shared" si="461"/>
        <v>0.51513836993516327</v>
      </c>
      <c r="W181" s="25">
        <f t="shared" si="462"/>
        <v>0.38607073946063286</v>
      </c>
      <c r="X181" s="36"/>
      <c r="Y181" s="36"/>
      <c r="AA181" s="124">
        <f t="shared" si="529"/>
        <v>138</v>
      </c>
      <c r="AB181" s="128">
        <f t="shared" si="463"/>
        <v>138938.04184597565</v>
      </c>
      <c r="AC181" s="124">
        <f t="shared" si="530"/>
        <v>138</v>
      </c>
      <c r="AD181" s="130">
        <f t="shared" si="531"/>
        <v>4.4999999999999998E-2</v>
      </c>
      <c r="AE181" s="127">
        <f t="shared" si="532"/>
        <v>1568</v>
      </c>
      <c r="AF181" s="128">
        <f t="shared" si="533"/>
        <v>156649</v>
      </c>
      <c r="AG181" s="128">
        <f t="shared" si="552"/>
        <v>156800</v>
      </c>
      <c r="AH181" s="128">
        <f t="shared" si="357"/>
        <v>156800</v>
      </c>
      <c r="AI181" s="130">
        <f t="shared" si="464"/>
        <v>4.4999999999999998E-2</v>
      </c>
      <c r="AJ181" s="128">
        <f t="shared" si="465"/>
        <v>157388</v>
      </c>
      <c r="AK181" s="128" t="str">
        <f t="shared" si="466"/>
        <v>nie</v>
      </c>
      <c r="AL181" s="128">
        <f t="shared" si="467"/>
        <v>784</v>
      </c>
      <c r="AM181" s="128">
        <f t="shared" si="361"/>
        <v>156641.24</v>
      </c>
      <c r="AN181" s="128">
        <f t="shared" si="468"/>
        <v>476.28000000000003</v>
      </c>
      <c r="AO181" s="130">
        <f t="shared" si="469"/>
        <v>4.4999999999999998E-2</v>
      </c>
      <c r="AP181" s="128">
        <f t="shared" si="470"/>
        <v>2890.5422262490633</v>
      </c>
      <c r="AQ181" s="128">
        <f t="shared" si="362"/>
        <v>159055.50222624905</v>
      </c>
      <c r="AS181" s="124">
        <f t="shared" si="534"/>
        <v>138</v>
      </c>
      <c r="AT181" s="130">
        <f t="shared" si="535"/>
        <v>4.4999999999999998E-2</v>
      </c>
      <c r="AU181" s="127">
        <f t="shared" si="536"/>
        <v>1488</v>
      </c>
      <c r="AV181" s="128">
        <f t="shared" si="537"/>
        <v>148662.1</v>
      </c>
      <c r="AW181" s="128">
        <f t="shared" si="363"/>
        <v>148800</v>
      </c>
      <c r="AX181" s="128">
        <f t="shared" si="358"/>
        <v>148800</v>
      </c>
      <c r="AY181" s="130">
        <f t="shared" si="471"/>
        <v>4.65E-2</v>
      </c>
      <c r="AZ181" s="128">
        <f t="shared" si="472"/>
        <v>149376.6</v>
      </c>
      <c r="BA181" s="128" t="str">
        <f t="shared" si="473"/>
        <v>nie</v>
      </c>
      <c r="BB181" s="128">
        <f t="shared" si="474"/>
        <v>1041.5999999999999</v>
      </c>
      <c r="BC181" s="128">
        <f t="shared" si="367"/>
        <v>148423.35</v>
      </c>
      <c r="BD181" s="128">
        <f t="shared" si="475"/>
        <v>467.04600000000477</v>
      </c>
      <c r="BE181" s="130">
        <f t="shared" si="476"/>
        <v>4.4999999999999998E-2</v>
      </c>
      <c r="BF181" s="128">
        <f t="shared" si="477"/>
        <v>8648.9869640115157</v>
      </c>
      <c r="BG181" s="128">
        <f t="shared" si="368"/>
        <v>156605.29096401151</v>
      </c>
      <c r="BI181" s="124">
        <f t="shared" si="538"/>
        <v>138</v>
      </c>
      <c r="BJ181" s="130">
        <f t="shared" si="558"/>
        <v>4.3200000000000002E-2</v>
      </c>
      <c r="BK181" s="127">
        <f t="shared" si="539"/>
        <v>1427</v>
      </c>
      <c r="BL181" s="128">
        <f t="shared" si="540"/>
        <v>142557.30000000002</v>
      </c>
      <c r="BM181" s="128">
        <f t="shared" si="553"/>
        <v>142700</v>
      </c>
      <c r="BN181" s="128">
        <f t="shared" si="541"/>
        <v>157027.22269999998</v>
      </c>
      <c r="BO181" s="130">
        <f t="shared" si="478"/>
        <v>4.9000000000000002E-2</v>
      </c>
      <c r="BP181" s="128">
        <f t="shared" si="479"/>
        <v>160874.38965614999</v>
      </c>
      <c r="BQ181" s="128" t="str">
        <f t="shared" si="480"/>
        <v>nie</v>
      </c>
      <c r="BR181" s="128">
        <f t="shared" si="481"/>
        <v>1427</v>
      </c>
      <c r="BS181" s="128">
        <f t="shared" si="364"/>
        <v>156265.38562148149</v>
      </c>
      <c r="BT181" s="128">
        <f t="shared" si="456"/>
        <v>0</v>
      </c>
      <c r="BU181" s="130">
        <f t="shared" si="482"/>
        <v>4.4999999999999998E-2</v>
      </c>
      <c r="BV181" s="128">
        <f t="shared" si="483"/>
        <v>120.78388869696886</v>
      </c>
      <c r="BW181" s="128">
        <f t="shared" si="365"/>
        <v>156386.16951017844</v>
      </c>
      <c r="BY181" s="130">
        <f t="shared" si="452"/>
        <v>2.9000000000000001E-2</v>
      </c>
      <c r="BZ181" s="127">
        <f t="shared" si="542"/>
        <v>1344</v>
      </c>
      <c r="CA181" s="128">
        <f t="shared" si="543"/>
        <v>134279.90000000002</v>
      </c>
      <c r="CB181" s="128">
        <f t="shared" si="366"/>
        <v>134400</v>
      </c>
      <c r="CC181" s="128">
        <f t="shared" si="359"/>
        <v>134400</v>
      </c>
      <c r="CD181" s="130">
        <f t="shared" si="484"/>
        <v>4.3999999999999997E-2</v>
      </c>
      <c r="CE181" s="128">
        <f t="shared" si="485"/>
        <v>137356.79999999999</v>
      </c>
      <c r="CF181" s="128" t="str">
        <f t="shared" si="486"/>
        <v>nie</v>
      </c>
      <c r="CG181" s="128">
        <f t="shared" si="487"/>
        <v>2688</v>
      </c>
      <c r="CH181" s="128">
        <f t="shared" si="369"/>
        <v>134617.728</v>
      </c>
      <c r="CI181" s="128">
        <f t="shared" si="488"/>
        <v>0</v>
      </c>
      <c r="CJ181" s="130">
        <f t="shared" si="489"/>
        <v>4.4999999999999998E-2</v>
      </c>
      <c r="CK181" s="128">
        <f t="shared" si="490"/>
        <v>16219.846091258774</v>
      </c>
      <c r="CL181" s="128">
        <f t="shared" si="491"/>
        <v>150837.57409125878</v>
      </c>
      <c r="CN181" s="127">
        <f t="shared" si="544"/>
        <v>1508</v>
      </c>
      <c r="CO181" s="128">
        <f t="shared" si="545"/>
        <v>150649.20000000001</v>
      </c>
      <c r="CP181" s="128">
        <f t="shared" si="546"/>
        <v>150800</v>
      </c>
      <c r="CQ181" s="128">
        <f t="shared" si="547"/>
        <v>159471.00000000003</v>
      </c>
      <c r="CR181" s="130">
        <f t="shared" si="492"/>
        <v>4.9000000000000002E-2</v>
      </c>
      <c r="CS181" s="128">
        <f t="shared" si="493"/>
        <v>163378.03950000001</v>
      </c>
      <c r="CT181" s="128" t="str">
        <f t="shared" si="494"/>
        <v>nie</v>
      </c>
      <c r="CU181" s="128">
        <f t="shared" si="495"/>
        <v>4524</v>
      </c>
      <c r="CV181" s="128">
        <f t="shared" si="496"/>
        <v>157323.77199500002</v>
      </c>
      <c r="CW181" s="128">
        <f t="shared" si="453"/>
        <v>0</v>
      </c>
      <c r="CX181" s="130">
        <f t="shared" si="497"/>
        <v>4.4999999999999998E-2</v>
      </c>
      <c r="CY181" s="128">
        <f t="shared" si="498"/>
        <v>104.58634780638687</v>
      </c>
      <c r="CZ181" s="128">
        <f t="shared" si="499"/>
        <v>157428.3583428064</v>
      </c>
      <c r="DA181" s="20"/>
      <c r="DB181" s="127">
        <f t="shared" si="554"/>
        <v>1274</v>
      </c>
      <c r="DC181" s="128">
        <f t="shared" si="555"/>
        <v>127400</v>
      </c>
      <c r="DD181" s="128">
        <f t="shared" si="548"/>
        <v>127400</v>
      </c>
      <c r="DE181" s="128">
        <f t="shared" si="549"/>
        <v>162673.93226179693</v>
      </c>
      <c r="DF181" s="130">
        <f t="shared" si="500"/>
        <v>4.9000000000000002E-2</v>
      </c>
      <c r="DG181" s="128">
        <f t="shared" si="501"/>
        <v>166659.44360221096</v>
      </c>
      <c r="DH181" s="128" t="str">
        <f t="shared" si="502"/>
        <v>nie</v>
      </c>
      <c r="DI181" s="128">
        <f t="shared" si="503"/>
        <v>2548</v>
      </c>
      <c r="DJ181" s="128">
        <f t="shared" si="559"/>
        <v>157136.26931779087</v>
      </c>
      <c r="DK181" s="128">
        <f t="shared" si="454"/>
        <v>0</v>
      </c>
      <c r="DL181" s="130">
        <f t="shared" si="504"/>
        <v>4.4999999999999998E-2</v>
      </c>
      <c r="DM181" s="128">
        <f t="shared" si="505"/>
        <v>115.84552817549431</v>
      </c>
      <c r="DN181" s="128">
        <f t="shared" si="506"/>
        <v>157252.11484596637</v>
      </c>
      <c r="DP181" s="127">
        <f t="shared" si="556"/>
        <v>1000</v>
      </c>
      <c r="DQ181" s="128">
        <f t="shared" si="557"/>
        <v>100000</v>
      </c>
      <c r="DR181" s="128">
        <f t="shared" si="550"/>
        <v>100000</v>
      </c>
      <c r="DS181" s="128">
        <f t="shared" si="551"/>
        <v>179354.37463757658</v>
      </c>
      <c r="DT181" s="130">
        <f t="shared" si="507"/>
        <v>5.4000000000000006E-2</v>
      </c>
      <c r="DU181" s="128">
        <f t="shared" si="508"/>
        <v>184196.94275279113</v>
      </c>
      <c r="DV181" s="128" t="str">
        <f t="shared" si="509"/>
        <v>nie</v>
      </c>
      <c r="DW181" s="128">
        <f t="shared" si="510"/>
        <v>3000</v>
      </c>
      <c r="DX181" s="128">
        <f t="shared" si="511"/>
        <v>165769.52362976081</v>
      </c>
      <c r="DY181" s="128">
        <f t="shared" si="455"/>
        <v>0</v>
      </c>
      <c r="DZ181" s="130">
        <f t="shared" si="512"/>
        <v>4.4999999999999998E-2</v>
      </c>
      <c r="EA181" s="128">
        <f t="shared" si="513"/>
        <v>0</v>
      </c>
      <c r="EB181" s="128">
        <f t="shared" si="514"/>
        <v>165769.52362976081</v>
      </c>
    </row>
    <row r="182" spans="1:132">
      <c r="A182" s="212"/>
      <c r="B182" s="188">
        <f t="shared" si="515"/>
        <v>138</v>
      </c>
      <c r="C182" s="128">
        <f t="shared" si="516"/>
        <v>159055.50222624905</v>
      </c>
      <c r="D182" s="128">
        <f t="shared" si="517"/>
        <v>156605.29096401151</v>
      </c>
      <c r="E182" s="128">
        <f t="shared" si="518"/>
        <v>156386.16951017844</v>
      </c>
      <c r="F182" s="128">
        <f t="shared" si="519"/>
        <v>150837.57409125878</v>
      </c>
      <c r="G182" s="128">
        <f t="shared" si="520"/>
        <v>157428.3583428064</v>
      </c>
      <c r="H182" s="128">
        <f t="shared" si="521"/>
        <v>157252.11484596637</v>
      </c>
      <c r="I182" s="128">
        <f t="shared" si="522"/>
        <v>165769.52362976081</v>
      </c>
      <c r="J182" s="128">
        <f t="shared" si="523"/>
        <v>151974.06027338415</v>
      </c>
      <c r="K182" s="128">
        <f t="shared" si="524"/>
        <v>138938.04184597565</v>
      </c>
      <c r="M182" s="36"/>
      <c r="N182" s="32">
        <f t="shared" si="525"/>
        <v>138</v>
      </c>
      <c r="O182" s="25">
        <f t="shared" si="526"/>
        <v>0.59055502226249046</v>
      </c>
      <c r="P182" s="25">
        <f t="shared" si="527"/>
        <v>0.56605290964011501</v>
      </c>
      <c r="Q182" s="25">
        <f t="shared" si="528"/>
        <v>0.56386169510178452</v>
      </c>
      <c r="R182" s="25">
        <f t="shared" si="457"/>
        <v>0.50837574091258775</v>
      </c>
      <c r="S182" s="25">
        <f t="shared" si="458"/>
        <v>0.57428358342806396</v>
      </c>
      <c r="T182" s="25">
        <f t="shared" si="459"/>
        <v>0.57252114845966373</v>
      </c>
      <c r="U182" s="25">
        <f t="shared" si="460"/>
        <v>0.65769523629760807</v>
      </c>
      <c r="V182" s="25">
        <f t="shared" si="461"/>
        <v>0.51974060273384159</v>
      </c>
      <c r="W182" s="25">
        <f t="shared" si="462"/>
        <v>0.38938041845975646</v>
      </c>
      <c r="X182" s="36"/>
      <c r="Y182" s="36"/>
      <c r="AA182" s="124">
        <f t="shared" si="529"/>
        <v>139</v>
      </c>
      <c r="AB182" s="128">
        <f t="shared" si="463"/>
        <v>139269.00974588803</v>
      </c>
      <c r="AC182" s="124">
        <f t="shared" si="530"/>
        <v>139</v>
      </c>
      <c r="AD182" s="130">
        <f t="shared" si="531"/>
        <v>4.4999999999999998E-2</v>
      </c>
      <c r="AE182" s="127">
        <f t="shared" si="532"/>
        <v>1568</v>
      </c>
      <c r="AF182" s="128">
        <f t="shared" si="533"/>
        <v>156649</v>
      </c>
      <c r="AG182" s="128">
        <f t="shared" si="552"/>
        <v>156800</v>
      </c>
      <c r="AH182" s="128">
        <f t="shared" ref="AH182:AH187" si="560">AG182</f>
        <v>156800</v>
      </c>
      <c r="AI182" s="130">
        <f t="shared" si="464"/>
        <v>4.4999999999999998E-2</v>
      </c>
      <c r="AJ182" s="128">
        <f t="shared" si="465"/>
        <v>157388</v>
      </c>
      <c r="AK182" s="128" t="str">
        <f t="shared" si="466"/>
        <v>nie</v>
      </c>
      <c r="AL182" s="128">
        <f t="shared" si="467"/>
        <v>784</v>
      </c>
      <c r="AM182" s="128">
        <f t="shared" si="361"/>
        <v>156641.24</v>
      </c>
      <c r="AN182" s="128">
        <f t="shared" si="468"/>
        <v>476.28000000000003</v>
      </c>
      <c r="AO182" s="130">
        <f t="shared" si="469"/>
        <v>4.4999999999999998E-2</v>
      </c>
      <c r="AP182" s="128">
        <f t="shared" si="470"/>
        <v>3375.6022482612952</v>
      </c>
      <c r="AQ182" s="128">
        <f t="shared" si="362"/>
        <v>159540.5622482613</v>
      </c>
      <c r="AS182" s="124">
        <f t="shared" si="534"/>
        <v>139</v>
      </c>
      <c r="AT182" s="130">
        <f t="shared" si="535"/>
        <v>4.4999999999999998E-2</v>
      </c>
      <c r="AU182" s="127">
        <f t="shared" si="536"/>
        <v>1488</v>
      </c>
      <c r="AV182" s="128">
        <f t="shared" si="537"/>
        <v>148662.1</v>
      </c>
      <c r="AW182" s="128">
        <f t="shared" si="363"/>
        <v>148800</v>
      </c>
      <c r="AX182" s="128">
        <f t="shared" ref="AX182:AX187" si="561">AW182</f>
        <v>148800</v>
      </c>
      <c r="AY182" s="130">
        <f t="shared" si="471"/>
        <v>4.65E-2</v>
      </c>
      <c r="AZ182" s="128">
        <f t="shared" si="472"/>
        <v>149376.6</v>
      </c>
      <c r="BA182" s="128" t="str">
        <f t="shared" si="473"/>
        <v>nie</v>
      </c>
      <c r="BB182" s="128">
        <f t="shared" si="474"/>
        <v>1041.5999999999999</v>
      </c>
      <c r="BC182" s="128">
        <f t="shared" si="367"/>
        <v>148423.35</v>
      </c>
      <c r="BD182" s="128">
        <f t="shared" si="475"/>
        <v>467.04600000000477</v>
      </c>
      <c r="BE182" s="130">
        <f t="shared" si="476"/>
        <v>4.4999999999999998E-2</v>
      </c>
      <c r="BF182" s="128">
        <f t="shared" si="477"/>
        <v>9142.3042619147054</v>
      </c>
      <c r="BG182" s="128">
        <f t="shared" si="368"/>
        <v>157098.60826191472</v>
      </c>
      <c r="BI182" s="124">
        <f t="shared" si="538"/>
        <v>139</v>
      </c>
      <c r="BJ182" s="130">
        <f t="shared" si="558"/>
        <v>4.3200000000000002E-2</v>
      </c>
      <c r="BK182" s="127">
        <f t="shared" si="539"/>
        <v>1427</v>
      </c>
      <c r="BL182" s="128">
        <f t="shared" si="540"/>
        <v>142557.30000000002</v>
      </c>
      <c r="BM182" s="128">
        <f t="shared" si="553"/>
        <v>142700</v>
      </c>
      <c r="BN182" s="128">
        <f t="shared" si="541"/>
        <v>157027.22269999998</v>
      </c>
      <c r="BO182" s="130">
        <f t="shared" si="478"/>
        <v>4.9000000000000002E-2</v>
      </c>
      <c r="BP182" s="128">
        <f t="shared" si="479"/>
        <v>161515.58414884165</v>
      </c>
      <c r="BQ182" s="128" t="str">
        <f t="shared" si="480"/>
        <v>nie</v>
      </c>
      <c r="BR182" s="128">
        <f t="shared" si="481"/>
        <v>1427</v>
      </c>
      <c r="BS182" s="128">
        <f t="shared" si="364"/>
        <v>156784.75316056173</v>
      </c>
      <c r="BT182" s="128">
        <f t="shared" si="456"/>
        <v>0</v>
      </c>
      <c r="BU182" s="130">
        <f t="shared" si="482"/>
        <v>4.4999999999999998E-2</v>
      </c>
      <c r="BV182" s="128">
        <f t="shared" si="483"/>
        <v>121.1507697588859</v>
      </c>
      <c r="BW182" s="128">
        <f t="shared" si="365"/>
        <v>156905.90393032061</v>
      </c>
      <c r="BY182" s="130">
        <f t="shared" si="452"/>
        <v>2.9000000000000001E-2</v>
      </c>
      <c r="BZ182" s="127">
        <f t="shared" si="542"/>
        <v>1344</v>
      </c>
      <c r="CA182" s="128">
        <f t="shared" si="543"/>
        <v>134279.90000000002</v>
      </c>
      <c r="CB182" s="128">
        <f t="shared" si="366"/>
        <v>134400</v>
      </c>
      <c r="CC182" s="128">
        <f t="shared" ref="CC182:CC187" si="562">CB182</f>
        <v>134400</v>
      </c>
      <c r="CD182" s="130">
        <f t="shared" si="484"/>
        <v>4.3999999999999997E-2</v>
      </c>
      <c r="CE182" s="128">
        <f t="shared" si="485"/>
        <v>137849.60000000001</v>
      </c>
      <c r="CF182" s="128" t="str">
        <f t="shared" si="486"/>
        <v>nie</v>
      </c>
      <c r="CG182" s="128">
        <f t="shared" si="487"/>
        <v>2688</v>
      </c>
      <c r="CH182" s="128">
        <f t="shared" si="369"/>
        <v>135016.89600000001</v>
      </c>
      <c r="CI182" s="128">
        <f t="shared" si="488"/>
        <v>0</v>
      </c>
      <c r="CJ182" s="130">
        <f t="shared" si="489"/>
        <v>4.4999999999999998E-2</v>
      </c>
      <c r="CK182" s="128">
        <f t="shared" si="490"/>
        <v>16269.113873760973</v>
      </c>
      <c r="CL182" s="128">
        <f t="shared" si="491"/>
        <v>151286.00987376098</v>
      </c>
      <c r="CN182" s="127">
        <f t="shared" si="544"/>
        <v>1508</v>
      </c>
      <c r="CO182" s="128">
        <f t="shared" si="545"/>
        <v>150649.20000000001</v>
      </c>
      <c r="CP182" s="128">
        <f t="shared" si="546"/>
        <v>150800</v>
      </c>
      <c r="CQ182" s="128">
        <f t="shared" si="547"/>
        <v>159471.00000000003</v>
      </c>
      <c r="CR182" s="130">
        <f t="shared" si="492"/>
        <v>4.9000000000000002E-2</v>
      </c>
      <c r="CS182" s="128">
        <f t="shared" si="493"/>
        <v>164029.21275000004</v>
      </c>
      <c r="CT182" s="128" t="str">
        <f t="shared" si="494"/>
        <v>nie</v>
      </c>
      <c r="CU182" s="128">
        <f t="shared" si="495"/>
        <v>4524</v>
      </c>
      <c r="CV182" s="128">
        <f t="shared" si="496"/>
        <v>157851.22232750003</v>
      </c>
      <c r="CW182" s="128">
        <f t="shared" si="453"/>
        <v>0</v>
      </c>
      <c r="CX182" s="130">
        <f t="shared" si="497"/>
        <v>4.4999999999999998E-2</v>
      </c>
      <c r="CY182" s="128">
        <f t="shared" si="498"/>
        <v>104.90402883784877</v>
      </c>
      <c r="CZ182" s="128">
        <f t="shared" si="499"/>
        <v>157956.12635633789</v>
      </c>
      <c r="DA182" s="20"/>
      <c r="DB182" s="127">
        <f t="shared" si="554"/>
        <v>1274</v>
      </c>
      <c r="DC182" s="128">
        <f t="shared" si="555"/>
        <v>127400</v>
      </c>
      <c r="DD182" s="128">
        <f t="shared" si="548"/>
        <v>127400</v>
      </c>
      <c r="DE182" s="128">
        <f t="shared" si="549"/>
        <v>162673.93226179693</v>
      </c>
      <c r="DF182" s="130">
        <f t="shared" si="500"/>
        <v>4.9000000000000002E-2</v>
      </c>
      <c r="DG182" s="128">
        <f t="shared" si="501"/>
        <v>167323.69549227998</v>
      </c>
      <c r="DH182" s="128" t="str">
        <f t="shared" si="502"/>
        <v>nie</v>
      </c>
      <c r="DI182" s="128">
        <f t="shared" si="503"/>
        <v>2548</v>
      </c>
      <c r="DJ182" s="128">
        <f t="shared" si="559"/>
        <v>157674.31334874677</v>
      </c>
      <c r="DK182" s="128">
        <f t="shared" si="454"/>
        <v>0</v>
      </c>
      <c r="DL182" s="130">
        <f t="shared" si="504"/>
        <v>4.4999999999999998E-2</v>
      </c>
      <c r="DM182" s="128">
        <f t="shared" si="505"/>
        <v>116.19740896732738</v>
      </c>
      <c r="DN182" s="128">
        <f t="shared" si="506"/>
        <v>157790.5107577141</v>
      </c>
      <c r="DP182" s="127">
        <f t="shared" si="556"/>
        <v>1000</v>
      </c>
      <c r="DQ182" s="128">
        <f t="shared" si="557"/>
        <v>100000</v>
      </c>
      <c r="DR182" s="128">
        <f t="shared" si="550"/>
        <v>100000</v>
      </c>
      <c r="DS182" s="128">
        <f t="shared" si="551"/>
        <v>179354.37463757658</v>
      </c>
      <c r="DT182" s="130">
        <f t="shared" si="507"/>
        <v>5.4000000000000006E-2</v>
      </c>
      <c r="DU182" s="128">
        <f t="shared" si="508"/>
        <v>185004.03743866025</v>
      </c>
      <c r="DV182" s="128" t="str">
        <f t="shared" si="509"/>
        <v>nie</v>
      </c>
      <c r="DW182" s="128">
        <f t="shared" si="510"/>
        <v>3000</v>
      </c>
      <c r="DX182" s="128">
        <f t="shared" si="511"/>
        <v>166423.27032531481</v>
      </c>
      <c r="DY182" s="128">
        <f t="shared" si="455"/>
        <v>0</v>
      </c>
      <c r="DZ182" s="130">
        <f t="shared" si="512"/>
        <v>4.4999999999999998E-2</v>
      </c>
      <c r="EA182" s="128">
        <f t="shared" si="513"/>
        <v>0</v>
      </c>
      <c r="EB182" s="128">
        <f t="shared" si="514"/>
        <v>166423.27032531481</v>
      </c>
    </row>
    <row r="183" spans="1:132">
      <c r="A183" s="212"/>
      <c r="B183" s="188">
        <f t="shared" si="515"/>
        <v>139</v>
      </c>
      <c r="C183" s="128">
        <f t="shared" si="516"/>
        <v>159540.5622482613</v>
      </c>
      <c r="D183" s="128">
        <f t="shared" si="517"/>
        <v>157098.60826191472</v>
      </c>
      <c r="E183" s="128">
        <f t="shared" si="518"/>
        <v>156905.90393032061</v>
      </c>
      <c r="F183" s="128">
        <f t="shared" si="519"/>
        <v>151286.00987376098</v>
      </c>
      <c r="G183" s="128">
        <f t="shared" si="520"/>
        <v>157956.12635633789</v>
      </c>
      <c r="H183" s="128">
        <f t="shared" si="521"/>
        <v>157790.5107577141</v>
      </c>
      <c r="I183" s="128">
        <f t="shared" si="522"/>
        <v>166423.27032531481</v>
      </c>
      <c r="J183" s="128">
        <f t="shared" si="523"/>
        <v>152435.68148146456</v>
      </c>
      <c r="K183" s="128">
        <f t="shared" si="524"/>
        <v>139269.00974588803</v>
      </c>
      <c r="M183" s="36"/>
      <c r="N183" s="32">
        <f t="shared" si="525"/>
        <v>139</v>
      </c>
      <c r="O183" s="25">
        <f t="shared" si="526"/>
        <v>0.59540562248261297</v>
      </c>
      <c r="P183" s="25">
        <f t="shared" si="527"/>
        <v>0.57098608261914729</v>
      </c>
      <c r="Q183" s="25">
        <f t="shared" si="528"/>
        <v>0.569059039303206</v>
      </c>
      <c r="R183" s="25">
        <f t="shared" si="457"/>
        <v>0.51286009873760974</v>
      </c>
      <c r="S183" s="25">
        <f t="shared" si="458"/>
        <v>0.57956126356337889</v>
      </c>
      <c r="T183" s="25">
        <f t="shared" si="459"/>
        <v>0.57790510757714109</v>
      </c>
      <c r="U183" s="25">
        <f t="shared" si="460"/>
        <v>0.66423270325314809</v>
      </c>
      <c r="V183" s="25">
        <f t="shared" si="461"/>
        <v>0.52435681481464558</v>
      </c>
      <c r="W183" s="25">
        <f t="shared" si="462"/>
        <v>0.39269009745888028</v>
      </c>
      <c r="X183" s="36"/>
      <c r="Y183" s="36"/>
      <c r="AA183" s="124">
        <f t="shared" si="529"/>
        <v>140</v>
      </c>
      <c r="AB183" s="128">
        <f t="shared" si="463"/>
        <v>139599.97764580042</v>
      </c>
      <c r="AC183" s="124">
        <f t="shared" si="530"/>
        <v>140</v>
      </c>
      <c r="AD183" s="130">
        <f t="shared" si="531"/>
        <v>4.4999999999999998E-2</v>
      </c>
      <c r="AE183" s="127">
        <f t="shared" si="532"/>
        <v>1568</v>
      </c>
      <c r="AF183" s="128">
        <f t="shared" si="533"/>
        <v>156649</v>
      </c>
      <c r="AG183" s="128">
        <f t="shared" si="552"/>
        <v>156800</v>
      </c>
      <c r="AH183" s="128">
        <f t="shared" si="560"/>
        <v>156800</v>
      </c>
      <c r="AI183" s="130">
        <f t="shared" si="464"/>
        <v>4.4999999999999998E-2</v>
      </c>
      <c r="AJ183" s="128">
        <f t="shared" si="465"/>
        <v>157388</v>
      </c>
      <c r="AK183" s="128" t="str">
        <f t="shared" si="466"/>
        <v>nie</v>
      </c>
      <c r="AL183" s="128">
        <f t="shared" si="467"/>
        <v>784</v>
      </c>
      <c r="AM183" s="128">
        <f t="shared" si="361"/>
        <v>156641.24</v>
      </c>
      <c r="AN183" s="128">
        <f t="shared" si="468"/>
        <v>476.28000000000003</v>
      </c>
      <c r="AO183" s="130">
        <f t="shared" si="469"/>
        <v>4.4999999999999998E-2</v>
      </c>
      <c r="AP183" s="128">
        <f t="shared" si="470"/>
        <v>3862.1356400903892</v>
      </c>
      <c r="AQ183" s="128">
        <f t="shared" si="362"/>
        <v>160027.09564009038</v>
      </c>
      <c r="AS183" s="124">
        <f t="shared" si="534"/>
        <v>140</v>
      </c>
      <c r="AT183" s="130">
        <f t="shared" si="535"/>
        <v>4.4999999999999998E-2</v>
      </c>
      <c r="AU183" s="127">
        <f t="shared" si="536"/>
        <v>1488</v>
      </c>
      <c r="AV183" s="128">
        <f t="shared" si="537"/>
        <v>148662.1</v>
      </c>
      <c r="AW183" s="128">
        <f t="shared" si="363"/>
        <v>148800</v>
      </c>
      <c r="AX183" s="128">
        <f t="shared" si="561"/>
        <v>148800</v>
      </c>
      <c r="AY183" s="130">
        <f t="shared" si="471"/>
        <v>4.65E-2</v>
      </c>
      <c r="AZ183" s="128">
        <f t="shared" si="472"/>
        <v>149376.6</v>
      </c>
      <c r="BA183" s="128" t="str">
        <f t="shared" si="473"/>
        <v>nie</v>
      </c>
      <c r="BB183" s="128">
        <f t="shared" si="474"/>
        <v>1041.5999999999999</v>
      </c>
      <c r="BC183" s="128">
        <f t="shared" si="367"/>
        <v>148423.35</v>
      </c>
      <c r="BD183" s="128">
        <f t="shared" si="475"/>
        <v>467.04600000000477</v>
      </c>
      <c r="BE183" s="130">
        <f t="shared" si="476"/>
        <v>4.4999999999999998E-2</v>
      </c>
      <c r="BF183" s="128">
        <f t="shared" si="477"/>
        <v>9637.1200111102753</v>
      </c>
      <c r="BG183" s="128">
        <f t="shared" si="368"/>
        <v>157593.42401111027</v>
      </c>
      <c r="BI183" s="124">
        <f t="shared" si="538"/>
        <v>140</v>
      </c>
      <c r="BJ183" s="130">
        <f t="shared" si="558"/>
        <v>4.3200000000000002E-2</v>
      </c>
      <c r="BK183" s="127">
        <f t="shared" si="539"/>
        <v>1427</v>
      </c>
      <c r="BL183" s="128">
        <f t="shared" si="540"/>
        <v>142557.30000000002</v>
      </c>
      <c r="BM183" s="128">
        <f t="shared" si="553"/>
        <v>142700</v>
      </c>
      <c r="BN183" s="128">
        <f t="shared" si="541"/>
        <v>157027.22269999998</v>
      </c>
      <c r="BO183" s="130">
        <f t="shared" si="478"/>
        <v>4.9000000000000002E-2</v>
      </c>
      <c r="BP183" s="128">
        <f t="shared" si="479"/>
        <v>162156.77864153331</v>
      </c>
      <c r="BQ183" s="128" t="str">
        <f t="shared" si="480"/>
        <v>nie</v>
      </c>
      <c r="BR183" s="128">
        <f t="shared" si="481"/>
        <v>1427</v>
      </c>
      <c r="BS183" s="128">
        <f t="shared" si="364"/>
        <v>157304.12069964199</v>
      </c>
      <c r="BT183" s="128">
        <f t="shared" si="456"/>
        <v>0</v>
      </c>
      <c r="BU183" s="130">
        <f t="shared" si="482"/>
        <v>4.4999999999999998E-2</v>
      </c>
      <c r="BV183" s="128">
        <f t="shared" si="483"/>
        <v>121.51876522202852</v>
      </c>
      <c r="BW183" s="128">
        <f t="shared" si="365"/>
        <v>157425.63946486401</v>
      </c>
      <c r="BY183" s="130">
        <f t="shared" si="452"/>
        <v>2.9000000000000001E-2</v>
      </c>
      <c r="BZ183" s="127">
        <f t="shared" si="542"/>
        <v>1344</v>
      </c>
      <c r="CA183" s="128">
        <f t="shared" si="543"/>
        <v>134279.90000000002</v>
      </c>
      <c r="CB183" s="128">
        <f t="shared" si="366"/>
        <v>134400</v>
      </c>
      <c r="CC183" s="128">
        <f t="shared" si="562"/>
        <v>134400</v>
      </c>
      <c r="CD183" s="130">
        <f t="shared" si="484"/>
        <v>4.3999999999999997E-2</v>
      </c>
      <c r="CE183" s="128">
        <f t="shared" si="485"/>
        <v>138342.40000000002</v>
      </c>
      <c r="CF183" s="128" t="str">
        <f t="shared" si="486"/>
        <v>nie</v>
      </c>
      <c r="CG183" s="128">
        <f t="shared" si="487"/>
        <v>2688</v>
      </c>
      <c r="CH183" s="128">
        <f t="shared" si="369"/>
        <v>135416.06400000001</v>
      </c>
      <c r="CI183" s="128">
        <f t="shared" si="488"/>
        <v>0</v>
      </c>
      <c r="CJ183" s="130">
        <f t="shared" si="489"/>
        <v>4.4999999999999998E-2</v>
      </c>
      <c r="CK183" s="128">
        <f t="shared" si="490"/>
        <v>16318.531307152522</v>
      </c>
      <c r="CL183" s="128">
        <f t="shared" si="491"/>
        <v>151734.59530715254</v>
      </c>
      <c r="CN183" s="127">
        <f t="shared" si="544"/>
        <v>1508</v>
      </c>
      <c r="CO183" s="128">
        <f t="shared" si="545"/>
        <v>150649.20000000001</v>
      </c>
      <c r="CP183" s="128">
        <f t="shared" si="546"/>
        <v>150800</v>
      </c>
      <c r="CQ183" s="128">
        <f t="shared" si="547"/>
        <v>159471.00000000003</v>
      </c>
      <c r="CR183" s="130">
        <f t="shared" si="492"/>
        <v>4.9000000000000002E-2</v>
      </c>
      <c r="CS183" s="128">
        <f t="shared" si="493"/>
        <v>164680.38600000003</v>
      </c>
      <c r="CT183" s="128" t="str">
        <f t="shared" si="494"/>
        <v>nie</v>
      </c>
      <c r="CU183" s="128">
        <f t="shared" si="495"/>
        <v>4524</v>
      </c>
      <c r="CV183" s="128">
        <f t="shared" si="496"/>
        <v>158378.67266000001</v>
      </c>
      <c r="CW183" s="128">
        <f t="shared" si="453"/>
        <v>0</v>
      </c>
      <c r="CX183" s="130">
        <f t="shared" si="497"/>
        <v>4.4999999999999998E-2</v>
      </c>
      <c r="CY183" s="128">
        <f t="shared" si="498"/>
        <v>105.22267482544373</v>
      </c>
      <c r="CZ183" s="128">
        <f t="shared" si="499"/>
        <v>158483.89533482544</v>
      </c>
      <c r="DA183" s="20"/>
      <c r="DB183" s="127">
        <f t="shared" si="554"/>
        <v>1274</v>
      </c>
      <c r="DC183" s="128">
        <f t="shared" si="555"/>
        <v>127400</v>
      </c>
      <c r="DD183" s="128">
        <f t="shared" si="548"/>
        <v>127400</v>
      </c>
      <c r="DE183" s="128">
        <f t="shared" si="549"/>
        <v>162673.93226179693</v>
      </c>
      <c r="DF183" s="130">
        <f t="shared" si="500"/>
        <v>4.9000000000000002E-2</v>
      </c>
      <c r="DG183" s="128">
        <f t="shared" si="501"/>
        <v>167987.94738234897</v>
      </c>
      <c r="DH183" s="128" t="str">
        <f t="shared" si="502"/>
        <v>nie</v>
      </c>
      <c r="DI183" s="128">
        <f t="shared" si="503"/>
        <v>2548</v>
      </c>
      <c r="DJ183" s="128">
        <f t="shared" si="559"/>
        <v>158212.35737970268</v>
      </c>
      <c r="DK183" s="128">
        <f t="shared" si="454"/>
        <v>0</v>
      </c>
      <c r="DL183" s="130">
        <f t="shared" si="504"/>
        <v>4.4999999999999998E-2</v>
      </c>
      <c r="DM183" s="128">
        <f t="shared" si="505"/>
        <v>116.55035859706564</v>
      </c>
      <c r="DN183" s="128">
        <f t="shared" si="506"/>
        <v>158328.90773829975</v>
      </c>
      <c r="DP183" s="127">
        <f t="shared" si="556"/>
        <v>1000</v>
      </c>
      <c r="DQ183" s="128">
        <f t="shared" si="557"/>
        <v>100000</v>
      </c>
      <c r="DR183" s="128">
        <f t="shared" si="550"/>
        <v>100000</v>
      </c>
      <c r="DS183" s="128">
        <f t="shared" si="551"/>
        <v>179354.37463757658</v>
      </c>
      <c r="DT183" s="130">
        <f t="shared" si="507"/>
        <v>5.4000000000000006E-2</v>
      </c>
      <c r="DU183" s="128">
        <f t="shared" si="508"/>
        <v>185811.13212452934</v>
      </c>
      <c r="DV183" s="128" t="str">
        <f t="shared" si="509"/>
        <v>nie</v>
      </c>
      <c r="DW183" s="128">
        <f t="shared" si="510"/>
        <v>3000</v>
      </c>
      <c r="DX183" s="128">
        <f t="shared" si="511"/>
        <v>167077.01702086878</v>
      </c>
      <c r="DY183" s="128">
        <f t="shared" si="455"/>
        <v>0</v>
      </c>
      <c r="DZ183" s="130">
        <f t="shared" si="512"/>
        <v>4.4999999999999998E-2</v>
      </c>
      <c r="EA183" s="128">
        <f t="shared" si="513"/>
        <v>0</v>
      </c>
      <c r="EB183" s="128">
        <f t="shared" si="514"/>
        <v>167077.01702086878</v>
      </c>
    </row>
    <row r="184" spans="1:132">
      <c r="A184" s="212"/>
      <c r="B184" s="188">
        <f t="shared" si="515"/>
        <v>140</v>
      </c>
      <c r="C184" s="128">
        <f t="shared" si="516"/>
        <v>160027.09564009038</v>
      </c>
      <c r="D184" s="128">
        <f t="shared" si="517"/>
        <v>157593.42401111027</v>
      </c>
      <c r="E184" s="128">
        <f t="shared" si="518"/>
        <v>157425.63946486401</v>
      </c>
      <c r="F184" s="128">
        <f t="shared" si="519"/>
        <v>151734.59530715254</v>
      </c>
      <c r="G184" s="128">
        <f t="shared" si="520"/>
        <v>158483.89533482544</v>
      </c>
      <c r="H184" s="128">
        <f t="shared" si="521"/>
        <v>158328.90773829975</v>
      </c>
      <c r="I184" s="128">
        <f t="shared" si="522"/>
        <v>167077.01702086878</v>
      </c>
      <c r="J184" s="128">
        <f t="shared" si="523"/>
        <v>152898.70486396452</v>
      </c>
      <c r="K184" s="128">
        <f t="shared" si="524"/>
        <v>139599.97764580042</v>
      </c>
      <c r="M184" s="36"/>
      <c r="N184" s="32">
        <f t="shared" si="525"/>
        <v>140</v>
      </c>
      <c r="O184" s="25">
        <f t="shared" si="526"/>
        <v>0.60027095640090389</v>
      </c>
      <c r="P184" s="25">
        <f t="shared" si="527"/>
        <v>0.57593424011110272</v>
      </c>
      <c r="Q184" s="25">
        <f t="shared" si="528"/>
        <v>0.57425639464864009</v>
      </c>
      <c r="R184" s="25">
        <f t="shared" si="457"/>
        <v>0.51734595307152542</v>
      </c>
      <c r="S184" s="25">
        <f t="shared" si="458"/>
        <v>0.58483895334825453</v>
      </c>
      <c r="T184" s="25">
        <f t="shared" si="459"/>
        <v>0.58328907738299751</v>
      </c>
      <c r="U184" s="25">
        <f t="shared" si="460"/>
        <v>0.67077017020868768</v>
      </c>
      <c r="V184" s="25">
        <f t="shared" si="461"/>
        <v>0.5289870486396453</v>
      </c>
      <c r="W184" s="25">
        <f t="shared" si="462"/>
        <v>0.3959997764580041</v>
      </c>
      <c r="X184" s="36"/>
      <c r="Y184" s="36"/>
      <c r="AA184" s="124">
        <f t="shared" si="529"/>
        <v>141</v>
      </c>
      <c r="AB184" s="128">
        <f t="shared" si="463"/>
        <v>139930.94554571278</v>
      </c>
      <c r="AC184" s="124">
        <f t="shared" si="530"/>
        <v>141</v>
      </c>
      <c r="AD184" s="130">
        <f t="shared" si="531"/>
        <v>4.4999999999999998E-2</v>
      </c>
      <c r="AE184" s="127">
        <f t="shared" si="532"/>
        <v>1568</v>
      </c>
      <c r="AF184" s="128">
        <f t="shared" si="533"/>
        <v>156649</v>
      </c>
      <c r="AG184" s="128">
        <f t="shared" si="552"/>
        <v>156800</v>
      </c>
      <c r="AH184" s="128">
        <f t="shared" si="560"/>
        <v>156800</v>
      </c>
      <c r="AI184" s="130">
        <f t="shared" si="464"/>
        <v>4.4999999999999998E-2</v>
      </c>
      <c r="AJ184" s="128">
        <f t="shared" si="465"/>
        <v>157388</v>
      </c>
      <c r="AK184" s="128" t="str">
        <f t="shared" si="466"/>
        <v>nie</v>
      </c>
      <c r="AL184" s="128">
        <f t="shared" si="467"/>
        <v>784</v>
      </c>
      <c r="AM184" s="128">
        <f t="shared" si="361"/>
        <v>156641.24</v>
      </c>
      <c r="AN184" s="128">
        <f t="shared" si="468"/>
        <v>476.28000000000003</v>
      </c>
      <c r="AO184" s="130">
        <f t="shared" si="469"/>
        <v>4.4999999999999998E-2</v>
      </c>
      <c r="AP184" s="128">
        <f t="shared" si="470"/>
        <v>4350.1468770971642</v>
      </c>
      <c r="AQ184" s="128">
        <f t="shared" si="362"/>
        <v>160515.10687709716</v>
      </c>
      <c r="AS184" s="124">
        <f t="shared" si="534"/>
        <v>141</v>
      </c>
      <c r="AT184" s="130">
        <f t="shared" si="535"/>
        <v>4.4999999999999998E-2</v>
      </c>
      <c r="AU184" s="127">
        <f t="shared" si="536"/>
        <v>1488</v>
      </c>
      <c r="AV184" s="128">
        <f t="shared" si="537"/>
        <v>148662.1</v>
      </c>
      <c r="AW184" s="128">
        <f t="shared" si="363"/>
        <v>148800</v>
      </c>
      <c r="AX184" s="128">
        <f t="shared" si="561"/>
        <v>148800</v>
      </c>
      <c r="AY184" s="130">
        <f t="shared" si="471"/>
        <v>4.65E-2</v>
      </c>
      <c r="AZ184" s="128">
        <f t="shared" si="472"/>
        <v>149376.6</v>
      </c>
      <c r="BA184" s="128" t="str">
        <f t="shared" si="473"/>
        <v>nie</v>
      </c>
      <c r="BB184" s="128">
        <f t="shared" si="474"/>
        <v>1041.5999999999999</v>
      </c>
      <c r="BC184" s="128">
        <f t="shared" si="367"/>
        <v>148423.35</v>
      </c>
      <c r="BD184" s="128">
        <f t="shared" si="475"/>
        <v>467.04600000000477</v>
      </c>
      <c r="BE184" s="130">
        <f t="shared" si="476"/>
        <v>4.4999999999999998E-2</v>
      </c>
      <c r="BF184" s="128">
        <f t="shared" si="477"/>
        <v>10133.438763144028</v>
      </c>
      <c r="BG184" s="128">
        <f t="shared" si="368"/>
        <v>158089.74276314402</v>
      </c>
      <c r="BI184" s="124">
        <f t="shared" si="538"/>
        <v>141</v>
      </c>
      <c r="BJ184" s="130">
        <f t="shared" si="558"/>
        <v>4.3200000000000002E-2</v>
      </c>
      <c r="BK184" s="127">
        <f t="shared" si="539"/>
        <v>1427</v>
      </c>
      <c r="BL184" s="128">
        <f t="shared" si="540"/>
        <v>142557.30000000002</v>
      </c>
      <c r="BM184" s="128">
        <f t="shared" si="553"/>
        <v>142700</v>
      </c>
      <c r="BN184" s="128">
        <f t="shared" si="541"/>
        <v>157027.22269999998</v>
      </c>
      <c r="BO184" s="130">
        <f t="shared" si="478"/>
        <v>4.9000000000000002E-2</v>
      </c>
      <c r="BP184" s="128">
        <f t="shared" si="479"/>
        <v>162797.973134225</v>
      </c>
      <c r="BQ184" s="128" t="str">
        <f t="shared" si="480"/>
        <v>nie</v>
      </c>
      <c r="BR184" s="128">
        <f t="shared" si="481"/>
        <v>1427</v>
      </c>
      <c r="BS184" s="128">
        <f t="shared" si="364"/>
        <v>157823.48823872226</v>
      </c>
      <c r="BT184" s="128">
        <f t="shared" si="456"/>
        <v>0</v>
      </c>
      <c r="BU184" s="130">
        <f t="shared" si="482"/>
        <v>4.4999999999999998E-2</v>
      </c>
      <c r="BV184" s="128">
        <f t="shared" si="483"/>
        <v>121.88787847139044</v>
      </c>
      <c r="BW184" s="128">
        <f t="shared" si="365"/>
        <v>157945.37611719366</v>
      </c>
      <c r="BY184" s="130">
        <f t="shared" si="452"/>
        <v>2.9000000000000001E-2</v>
      </c>
      <c r="BZ184" s="127">
        <f t="shared" si="542"/>
        <v>1344</v>
      </c>
      <c r="CA184" s="128">
        <f t="shared" si="543"/>
        <v>134279.90000000002</v>
      </c>
      <c r="CB184" s="128">
        <f t="shared" si="366"/>
        <v>134400</v>
      </c>
      <c r="CC184" s="128">
        <f t="shared" si="562"/>
        <v>134400</v>
      </c>
      <c r="CD184" s="130">
        <f t="shared" si="484"/>
        <v>4.3999999999999997E-2</v>
      </c>
      <c r="CE184" s="128">
        <f t="shared" si="485"/>
        <v>138835.19999999998</v>
      </c>
      <c r="CF184" s="128" t="str">
        <f t="shared" si="486"/>
        <v>nie</v>
      </c>
      <c r="CG184" s="128">
        <f t="shared" si="487"/>
        <v>2688</v>
      </c>
      <c r="CH184" s="128">
        <f t="shared" si="369"/>
        <v>135815.23199999999</v>
      </c>
      <c r="CI184" s="128">
        <f t="shared" si="488"/>
        <v>0</v>
      </c>
      <c r="CJ184" s="130">
        <f t="shared" si="489"/>
        <v>4.4999999999999998E-2</v>
      </c>
      <c r="CK184" s="128">
        <f t="shared" si="490"/>
        <v>16368.098845997998</v>
      </c>
      <c r="CL184" s="128">
        <f t="shared" si="491"/>
        <v>152183.33084599799</v>
      </c>
      <c r="CN184" s="127">
        <f t="shared" si="544"/>
        <v>1508</v>
      </c>
      <c r="CO184" s="128">
        <f t="shared" si="545"/>
        <v>150649.20000000001</v>
      </c>
      <c r="CP184" s="128">
        <f t="shared" si="546"/>
        <v>150800</v>
      </c>
      <c r="CQ184" s="128">
        <f t="shared" si="547"/>
        <v>159471.00000000003</v>
      </c>
      <c r="CR184" s="130">
        <f t="shared" si="492"/>
        <v>4.9000000000000002E-2</v>
      </c>
      <c r="CS184" s="128">
        <f t="shared" si="493"/>
        <v>165331.55925000005</v>
      </c>
      <c r="CT184" s="128" t="str">
        <f t="shared" si="494"/>
        <v>nie</v>
      </c>
      <c r="CU184" s="128">
        <f t="shared" si="495"/>
        <v>4524</v>
      </c>
      <c r="CV184" s="128">
        <f t="shared" si="496"/>
        <v>158906.12299250005</v>
      </c>
      <c r="CW184" s="128">
        <f t="shared" si="453"/>
        <v>0</v>
      </c>
      <c r="CX184" s="130">
        <f t="shared" si="497"/>
        <v>4.4999999999999998E-2</v>
      </c>
      <c r="CY184" s="128">
        <f t="shared" si="498"/>
        <v>105.54228870022602</v>
      </c>
      <c r="CZ184" s="128">
        <f t="shared" si="499"/>
        <v>159011.66528120029</v>
      </c>
      <c r="DA184" s="20"/>
      <c r="DB184" s="127">
        <f t="shared" si="554"/>
        <v>1274</v>
      </c>
      <c r="DC184" s="128">
        <f t="shared" si="555"/>
        <v>127400</v>
      </c>
      <c r="DD184" s="128">
        <f t="shared" si="548"/>
        <v>127400</v>
      </c>
      <c r="DE184" s="128">
        <f t="shared" si="549"/>
        <v>162673.93226179693</v>
      </c>
      <c r="DF184" s="130">
        <f t="shared" si="500"/>
        <v>4.9000000000000002E-2</v>
      </c>
      <c r="DG184" s="128">
        <f t="shared" si="501"/>
        <v>168652.19927241799</v>
      </c>
      <c r="DH184" s="128" t="str">
        <f t="shared" si="502"/>
        <v>nie</v>
      </c>
      <c r="DI184" s="128">
        <f t="shared" si="503"/>
        <v>2548</v>
      </c>
      <c r="DJ184" s="128">
        <f t="shared" si="559"/>
        <v>158750.40141065858</v>
      </c>
      <c r="DK184" s="128">
        <f t="shared" si="454"/>
        <v>0</v>
      </c>
      <c r="DL184" s="130">
        <f t="shared" si="504"/>
        <v>4.4999999999999998E-2</v>
      </c>
      <c r="DM184" s="128">
        <f t="shared" si="505"/>
        <v>116.90438031130422</v>
      </c>
      <c r="DN184" s="128">
        <f t="shared" si="506"/>
        <v>158867.3057909699</v>
      </c>
      <c r="DP184" s="127">
        <f t="shared" si="556"/>
        <v>1000</v>
      </c>
      <c r="DQ184" s="128">
        <f t="shared" si="557"/>
        <v>100000</v>
      </c>
      <c r="DR184" s="128">
        <f t="shared" si="550"/>
        <v>100000</v>
      </c>
      <c r="DS184" s="128">
        <f t="shared" si="551"/>
        <v>179354.37463757658</v>
      </c>
      <c r="DT184" s="130">
        <f t="shared" si="507"/>
        <v>5.4000000000000006E-2</v>
      </c>
      <c r="DU184" s="128">
        <f t="shared" si="508"/>
        <v>186618.22681039842</v>
      </c>
      <c r="DV184" s="128" t="str">
        <f t="shared" si="509"/>
        <v>nie</v>
      </c>
      <c r="DW184" s="128">
        <f t="shared" si="510"/>
        <v>3000</v>
      </c>
      <c r="DX184" s="128">
        <f t="shared" si="511"/>
        <v>167730.76371642272</v>
      </c>
      <c r="DY184" s="128">
        <f t="shared" si="455"/>
        <v>0</v>
      </c>
      <c r="DZ184" s="130">
        <f t="shared" si="512"/>
        <v>4.4999999999999998E-2</v>
      </c>
      <c r="EA184" s="128">
        <f t="shared" si="513"/>
        <v>0</v>
      </c>
      <c r="EB184" s="128">
        <f t="shared" si="514"/>
        <v>167730.76371642272</v>
      </c>
    </row>
    <row r="185" spans="1:132">
      <c r="A185" s="212"/>
      <c r="B185" s="188">
        <f t="shared" si="515"/>
        <v>141</v>
      </c>
      <c r="C185" s="128">
        <f t="shared" si="516"/>
        <v>160515.10687709716</v>
      </c>
      <c r="D185" s="128">
        <f t="shared" si="517"/>
        <v>158089.74276314402</v>
      </c>
      <c r="E185" s="128">
        <f t="shared" si="518"/>
        <v>157945.37611719366</v>
      </c>
      <c r="F185" s="128">
        <f t="shared" si="519"/>
        <v>152183.33084599799</v>
      </c>
      <c r="G185" s="128">
        <f t="shared" si="520"/>
        <v>159011.66528120029</v>
      </c>
      <c r="H185" s="128">
        <f t="shared" si="521"/>
        <v>158867.3057909699</v>
      </c>
      <c r="I185" s="128">
        <f t="shared" si="522"/>
        <v>167730.76371642272</v>
      </c>
      <c r="J185" s="128">
        <f t="shared" si="523"/>
        <v>153363.13467998881</v>
      </c>
      <c r="K185" s="128">
        <f t="shared" si="524"/>
        <v>139930.94554571278</v>
      </c>
      <c r="M185" s="36"/>
      <c r="N185" s="32">
        <f t="shared" si="525"/>
        <v>141</v>
      </c>
      <c r="O185" s="25">
        <f t="shared" si="526"/>
        <v>0.60515106877097158</v>
      </c>
      <c r="P185" s="25">
        <f t="shared" si="527"/>
        <v>0.58089742763144026</v>
      </c>
      <c r="Q185" s="25">
        <f t="shared" si="528"/>
        <v>0.57945376117193659</v>
      </c>
      <c r="R185" s="25">
        <f t="shared" si="457"/>
        <v>0.52183330845997999</v>
      </c>
      <c r="S185" s="25">
        <f t="shared" si="458"/>
        <v>0.59011665281200276</v>
      </c>
      <c r="T185" s="25">
        <f t="shared" si="459"/>
        <v>0.58867305790969904</v>
      </c>
      <c r="U185" s="25">
        <f t="shared" si="460"/>
        <v>0.67730763716422726</v>
      </c>
      <c r="V185" s="25">
        <f t="shared" si="461"/>
        <v>0.53363134679988811</v>
      </c>
      <c r="W185" s="25">
        <f t="shared" si="462"/>
        <v>0.3993094554571277</v>
      </c>
      <c r="X185" s="36"/>
      <c r="Y185" s="36"/>
      <c r="AA185" s="124">
        <f t="shared" si="529"/>
        <v>142</v>
      </c>
      <c r="AB185" s="128">
        <f t="shared" si="463"/>
        <v>140261.91344562516</v>
      </c>
      <c r="AC185" s="124">
        <f t="shared" si="530"/>
        <v>142</v>
      </c>
      <c r="AD185" s="130">
        <f t="shared" si="531"/>
        <v>4.4999999999999998E-2</v>
      </c>
      <c r="AE185" s="127">
        <f t="shared" si="532"/>
        <v>1568</v>
      </c>
      <c r="AF185" s="128">
        <f t="shared" si="533"/>
        <v>156649</v>
      </c>
      <c r="AG185" s="128">
        <f t="shared" si="552"/>
        <v>156800</v>
      </c>
      <c r="AH185" s="128">
        <f t="shared" si="560"/>
        <v>156800</v>
      </c>
      <c r="AI185" s="130">
        <f t="shared" si="464"/>
        <v>4.4999999999999998E-2</v>
      </c>
      <c r="AJ185" s="128">
        <f t="shared" si="465"/>
        <v>157388</v>
      </c>
      <c r="AK185" s="128" t="str">
        <f t="shared" si="466"/>
        <v>nie</v>
      </c>
      <c r="AL185" s="128">
        <f t="shared" si="467"/>
        <v>784</v>
      </c>
      <c r="AM185" s="128">
        <f t="shared" ref="AM185:AM187" si="563">AJ185-AL185
-(AJ185-AG185-AL185)*podatek_Belki</f>
        <v>156641.24</v>
      </c>
      <c r="AN185" s="128">
        <f t="shared" si="468"/>
        <v>476.28000000000003</v>
      </c>
      <c r="AO185" s="130">
        <f t="shared" si="469"/>
        <v>4.4999999999999998E-2</v>
      </c>
      <c r="AP185" s="128">
        <f t="shared" si="470"/>
        <v>4839.6404482363469</v>
      </c>
      <c r="AQ185" s="128">
        <f t="shared" ref="AQ185:AQ187" si="564">AP184*(1+AO185/12*(1-podatek_Belki))+AM185</f>
        <v>161004.60044823634</v>
      </c>
      <c r="AS185" s="124">
        <f t="shared" si="534"/>
        <v>142</v>
      </c>
      <c r="AT185" s="130">
        <f t="shared" si="535"/>
        <v>4.4999999999999998E-2</v>
      </c>
      <c r="AU185" s="127">
        <f t="shared" si="536"/>
        <v>1488</v>
      </c>
      <c r="AV185" s="128">
        <f t="shared" si="537"/>
        <v>148662.1</v>
      </c>
      <c r="AW185" s="128">
        <f t="shared" ref="AW185:AW187" si="565">IF(BA184="tak",
AU185*100,
AW184)</f>
        <v>148800</v>
      </c>
      <c r="AX185" s="128">
        <f t="shared" si="561"/>
        <v>148800</v>
      </c>
      <c r="AY185" s="130">
        <f t="shared" si="471"/>
        <v>4.65E-2</v>
      </c>
      <c r="AZ185" s="128">
        <f t="shared" si="472"/>
        <v>149376.6</v>
      </c>
      <c r="BA185" s="128" t="str">
        <f t="shared" si="473"/>
        <v>nie</v>
      </c>
      <c r="BB185" s="128">
        <f t="shared" si="474"/>
        <v>1041.5999999999999</v>
      </c>
      <c r="BC185" s="128">
        <f t="shared" si="367"/>
        <v>148423.35</v>
      </c>
      <c r="BD185" s="128">
        <f t="shared" si="475"/>
        <v>467.04600000000477</v>
      </c>
      <c r="BE185" s="130">
        <f t="shared" si="476"/>
        <v>4.4999999999999998E-2</v>
      </c>
      <c r="BF185" s="128">
        <f t="shared" si="477"/>
        <v>10631.265083387081</v>
      </c>
      <c r="BG185" s="128">
        <f t="shared" si="368"/>
        <v>158587.56908338709</v>
      </c>
      <c r="BI185" s="124">
        <f t="shared" si="538"/>
        <v>142</v>
      </c>
      <c r="BJ185" s="130">
        <f t="shared" si="558"/>
        <v>4.3200000000000002E-2</v>
      </c>
      <c r="BK185" s="127">
        <f t="shared" si="539"/>
        <v>1427</v>
      </c>
      <c r="BL185" s="128">
        <f t="shared" si="540"/>
        <v>142557.30000000002</v>
      </c>
      <c r="BM185" s="128">
        <f t="shared" si="553"/>
        <v>142700</v>
      </c>
      <c r="BN185" s="128">
        <f t="shared" si="541"/>
        <v>157027.22269999998</v>
      </c>
      <c r="BO185" s="130">
        <f t="shared" si="478"/>
        <v>4.9000000000000002E-2</v>
      </c>
      <c r="BP185" s="128">
        <f t="shared" si="479"/>
        <v>163439.16762691663</v>
      </c>
      <c r="BQ185" s="128" t="str">
        <f t="shared" si="480"/>
        <v>nie</v>
      </c>
      <c r="BR185" s="128">
        <f t="shared" si="481"/>
        <v>1427</v>
      </c>
      <c r="BS185" s="128">
        <f t="shared" ref="BS185:BS187" si="566">BP185-BR185
-(BP185-BM185-BR185)*podatek_Belki</f>
        <v>158342.85577780247</v>
      </c>
      <c r="BT185" s="128">
        <f t="shared" si="456"/>
        <v>0</v>
      </c>
      <c r="BU185" s="130">
        <f t="shared" si="482"/>
        <v>4.4999999999999998E-2</v>
      </c>
      <c r="BV185" s="128">
        <f t="shared" si="483"/>
        <v>122.25811290224729</v>
      </c>
      <c r="BW185" s="128">
        <f t="shared" ref="BW185:BW187" si="567">BV184*(1+BU185/12*(1-podatek_Belki))+BS185</f>
        <v>158465.11389070473</v>
      </c>
      <c r="BY185" s="130">
        <f t="shared" si="452"/>
        <v>2.9000000000000001E-2</v>
      </c>
      <c r="BZ185" s="127">
        <f t="shared" si="542"/>
        <v>1344</v>
      </c>
      <c r="CA185" s="128">
        <f t="shared" si="543"/>
        <v>134279.90000000002</v>
      </c>
      <c r="CB185" s="128">
        <f t="shared" ref="CB185:CB187" si="568">IF(CF184="tak",
BZ185*100,
CB184)</f>
        <v>134400</v>
      </c>
      <c r="CC185" s="128">
        <f t="shared" si="562"/>
        <v>134400</v>
      </c>
      <c r="CD185" s="130">
        <f t="shared" si="484"/>
        <v>4.3999999999999997E-2</v>
      </c>
      <c r="CE185" s="128">
        <f t="shared" si="485"/>
        <v>139328</v>
      </c>
      <c r="CF185" s="128" t="str">
        <f t="shared" si="486"/>
        <v>nie</v>
      </c>
      <c r="CG185" s="128">
        <f t="shared" si="487"/>
        <v>2688</v>
      </c>
      <c r="CH185" s="128">
        <f t="shared" si="369"/>
        <v>136214.39999999999</v>
      </c>
      <c r="CI185" s="128">
        <f t="shared" si="488"/>
        <v>0</v>
      </c>
      <c r="CJ185" s="130">
        <f t="shared" si="489"/>
        <v>4.4999999999999998E-2</v>
      </c>
      <c r="CK185" s="128">
        <f t="shared" si="490"/>
        <v>16417.816946242718</v>
      </c>
      <c r="CL185" s="128">
        <f t="shared" si="491"/>
        <v>152632.21694624273</v>
      </c>
      <c r="CN185" s="127">
        <f t="shared" si="544"/>
        <v>1508</v>
      </c>
      <c r="CO185" s="128">
        <f t="shared" si="545"/>
        <v>150649.20000000001</v>
      </c>
      <c r="CP185" s="128">
        <f t="shared" si="546"/>
        <v>150800</v>
      </c>
      <c r="CQ185" s="128">
        <f t="shared" si="547"/>
        <v>159471.00000000003</v>
      </c>
      <c r="CR185" s="130">
        <f t="shared" si="492"/>
        <v>4.9000000000000002E-2</v>
      </c>
      <c r="CS185" s="128">
        <f t="shared" si="493"/>
        <v>165982.73250000001</v>
      </c>
      <c r="CT185" s="128" t="str">
        <f t="shared" si="494"/>
        <v>nie</v>
      </c>
      <c r="CU185" s="128">
        <f t="shared" si="495"/>
        <v>4524</v>
      </c>
      <c r="CV185" s="128">
        <f t="shared" si="496"/>
        <v>159433.573325</v>
      </c>
      <c r="CW185" s="128">
        <f t="shared" si="453"/>
        <v>0</v>
      </c>
      <c r="CX185" s="130">
        <f t="shared" si="497"/>
        <v>4.4999999999999998E-2</v>
      </c>
      <c r="CY185" s="128">
        <f t="shared" si="498"/>
        <v>105.86287340215296</v>
      </c>
      <c r="CZ185" s="128">
        <f t="shared" si="499"/>
        <v>159539.43619840217</v>
      </c>
      <c r="DA185" s="20"/>
      <c r="DB185" s="127">
        <f t="shared" si="554"/>
        <v>1274</v>
      </c>
      <c r="DC185" s="128">
        <f t="shared" si="555"/>
        <v>127400</v>
      </c>
      <c r="DD185" s="128">
        <f t="shared" si="548"/>
        <v>127400</v>
      </c>
      <c r="DE185" s="128">
        <f t="shared" si="549"/>
        <v>162673.93226179693</v>
      </c>
      <c r="DF185" s="130">
        <f t="shared" si="500"/>
        <v>4.9000000000000002E-2</v>
      </c>
      <c r="DG185" s="128">
        <f t="shared" si="501"/>
        <v>169316.45116248695</v>
      </c>
      <c r="DH185" s="128" t="str">
        <f t="shared" si="502"/>
        <v>nie</v>
      </c>
      <c r="DI185" s="128">
        <f t="shared" si="503"/>
        <v>2548</v>
      </c>
      <c r="DJ185" s="128">
        <f t="shared" si="559"/>
        <v>159288.44544161443</v>
      </c>
      <c r="DK185" s="128">
        <f t="shared" si="454"/>
        <v>0</v>
      </c>
      <c r="DL185" s="130">
        <f t="shared" si="504"/>
        <v>4.4999999999999998E-2</v>
      </c>
      <c r="DM185" s="128">
        <f t="shared" si="505"/>
        <v>117.25947736649981</v>
      </c>
      <c r="DN185" s="128">
        <f t="shared" si="506"/>
        <v>159405.70491898092</v>
      </c>
      <c r="DP185" s="127">
        <f t="shared" si="556"/>
        <v>1000</v>
      </c>
      <c r="DQ185" s="128">
        <f t="shared" si="557"/>
        <v>100000</v>
      </c>
      <c r="DR185" s="128">
        <f t="shared" si="550"/>
        <v>100000</v>
      </c>
      <c r="DS185" s="128">
        <f t="shared" si="551"/>
        <v>179354.37463757658</v>
      </c>
      <c r="DT185" s="130">
        <f t="shared" si="507"/>
        <v>5.4000000000000006E-2</v>
      </c>
      <c r="DU185" s="128">
        <f t="shared" si="508"/>
        <v>187425.32149626751</v>
      </c>
      <c r="DV185" s="128" t="str">
        <f t="shared" si="509"/>
        <v>nie</v>
      </c>
      <c r="DW185" s="128">
        <f t="shared" si="510"/>
        <v>3000</v>
      </c>
      <c r="DX185" s="128">
        <f t="shared" si="511"/>
        <v>168384.51041197669</v>
      </c>
      <c r="DY185" s="128">
        <f t="shared" si="455"/>
        <v>0</v>
      </c>
      <c r="DZ185" s="130">
        <f t="shared" si="512"/>
        <v>4.4999999999999998E-2</v>
      </c>
      <c r="EA185" s="128">
        <f t="shared" si="513"/>
        <v>0</v>
      </c>
      <c r="EB185" s="128">
        <f t="shared" si="514"/>
        <v>168384.51041197669</v>
      </c>
    </row>
    <row r="186" spans="1:132">
      <c r="A186" s="212"/>
      <c r="B186" s="188">
        <f t="shared" si="515"/>
        <v>142</v>
      </c>
      <c r="C186" s="128">
        <f t="shared" si="516"/>
        <v>161004.60044823634</v>
      </c>
      <c r="D186" s="128">
        <f t="shared" si="517"/>
        <v>158587.56908338709</v>
      </c>
      <c r="E186" s="128">
        <f t="shared" si="518"/>
        <v>158465.11389070473</v>
      </c>
      <c r="F186" s="128">
        <f t="shared" si="519"/>
        <v>152632.21694624273</v>
      </c>
      <c r="G186" s="128">
        <f t="shared" si="520"/>
        <v>159539.43619840217</v>
      </c>
      <c r="H186" s="128">
        <f t="shared" si="521"/>
        <v>159405.70491898092</v>
      </c>
      <c r="I186" s="128">
        <f t="shared" si="522"/>
        <v>168384.51041197669</v>
      </c>
      <c r="J186" s="128">
        <f t="shared" si="523"/>
        <v>153828.97520157928</v>
      </c>
      <c r="K186" s="128">
        <f t="shared" si="524"/>
        <v>140261.91344562516</v>
      </c>
      <c r="M186" s="36"/>
      <c r="N186" s="32">
        <f t="shared" si="525"/>
        <v>142</v>
      </c>
      <c r="O186" s="25">
        <f t="shared" si="526"/>
        <v>0.61004600448236346</v>
      </c>
      <c r="P186" s="25">
        <f t="shared" si="527"/>
        <v>0.58587569083387092</v>
      </c>
      <c r="Q186" s="25">
        <f t="shared" si="528"/>
        <v>0.58465113890704723</v>
      </c>
      <c r="R186" s="25">
        <f t="shared" si="457"/>
        <v>0.52632216946242716</v>
      </c>
      <c r="S186" s="25">
        <f t="shared" si="458"/>
        <v>0.59539436198402163</v>
      </c>
      <c r="T186" s="25">
        <f t="shared" si="459"/>
        <v>0.59405704918980917</v>
      </c>
      <c r="U186" s="25">
        <f t="shared" si="460"/>
        <v>0.68384510411976684</v>
      </c>
      <c r="V186" s="25">
        <f t="shared" si="461"/>
        <v>0.53828975201579277</v>
      </c>
      <c r="W186" s="25">
        <f t="shared" si="462"/>
        <v>0.40261913445625153</v>
      </c>
      <c r="X186" s="36"/>
      <c r="Y186" s="36"/>
      <c r="AA186" s="124">
        <f t="shared" si="529"/>
        <v>143</v>
      </c>
      <c r="AB186" s="128">
        <f t="shared" si="463"/>
        <v>140592.88134553755</v>
      </c>
      <c r="AC186" s="124">
        <f t="shared" si="530"/>
        <v>143</v>
      </c>
      <c r="AD186" s="130">
        <f t="shared" si="531"/>
        <v>4.4999999999999998E-2</v>
      </c>
      <c r="AE186" s="127">
        <f t="shared" si="532"/>
        <v>1568</v>
      </c>
      <c r="AF186" s="128">
        <f t="shared" si="533"/>
        <v>156649</v>
      </c>
      <c r="AG186" s="128">
        <f t="shared" si="552"/>
        <v>156800</v>
      </c>
      <c r="AH186" s="128">
        <f t="shared" si="560"/>
        <v>156800</v>
      </c>
      <c r="AI186" s="130">
        <f t="shared" si="464"/>
        <v>4.4999999999999998E-2</v>
      </c>
      <c r="AJ186" s="128">
        <f t="shared" si="465"/>
        <v>157388</v>
      </c>
      <c r="AK186" s="128" t="str">
        <f t="shared" si="466"/>
        <v>nie</v>
      </c>
      <c r="AL186" s="128">
        <f t="shared" si="467"/>
        <v>784</v>
      </c>
      <c r="AM186" s="128">
        <f t="shared" si="563"/>
        <v>156641.24</v>
      </c>
      <c r="AN186" s="128">
        <f t="shared" si="468"/>
        <v>476.28000000000003</v>
      </c>
      <c r="AO186" s="130">
        <f t="shared" si="469"/>
        <v>4.4999999999999998E-2</v>
      </c>
      <c r="AP186" s="128">
        <f t="shared" si="470"/>
        <v>5330.6208560978648</v>
      </c>
      <c r="AQ186" s="128">
        <f t="shared" si="564"/>
        <v>161495.58085609786</v>
      </c>
      <c r="AS186" s="124">
        <f t="shared" si="534"/>
        <v>143</v>
      </c>
      <c r="AT186" s="130">
        <f t="shared" si="535"/>
        <v>4.4999999999999998E-2</v>
      </c>
      <c r="AU186" s="127">
        <f t="shared" si="536"/>
        <v>1488</v>
      </c>
      <c r="AV186" s="128">
        <f t="shared" si="537"/>
        <v>148662.1</v>
      </c>
      <c r="AW186" s="128">
        <f t="shared" si="565"/>
        <v>148800</v>
      </c>
      <c r="AX186" s="128">
        <f t="shared" si="561"/>
        <v>148800</v>
      </c>
      <c r="AY186" s="130">
        <f t="shared" si="471"/>
        <v>4.65E-2</v>
      </c>
      <c r="AZ186" s="128">
        <f t="shared" si="472"/>
        <v>149376.6</v>
      </c>
      <c r="BA186" s="128" t="str">
        <f t="shared" si="473"/>
        <v>nie</v>
      </c>
      <c r="BB186" s="128">
        <f t="shared" si="474"/>
        <v>1041.5999999999999</v>
      </c>
      <c r="BC186" s="128">
        <f t="shared" si="367"/>
        <v>148423.35</v>
      </c>
      <c r="BD186" s="128">
        <f t="shared" si="475"/>
        <v>467.04600000000477</v>
      </c>
      <c r="BE186" s="130">
        <f t="shared" si="476"/>
        <v>4.4999999999999998E-2</v>
      </c>
      <c r="BF186" s="128">
        <f t="shared" si="477"/>
        <v>11130.603551077873</v>
      </c>
      <c r="BG186" s="128">
        <f t="shared" si="368"/>
        <v>159086.90755107786</v>
      </c>
      <c r="BI186" s="124">
        <f t="shared" si="538"/>
        <v>143</v>
      </c>
      <c r="BJ186" s="130">
        <f t="shared" si="558"/>
        <v>4.3200000000000002E-2</v>
      </c>
      <c r="BK186" s="127">
        <f t="shared" si="539"/>
        <v>1427</v>
      </c>
      <c r="BL186" s="128">
        <f t="shared" si="540"/>
        <v>142557.30000000002</v>
      </c>
      <c r="BM186" s="128">
        <f t="shared" si="553"/>
        <v>142700</v>
      </c>
      <c r="BN186" s="128">
        <f t="shared" si="541"/>
        <v>157027.22269999998</v>
      </c>
      <c r="BO186" s="130">
        <f t="shared" si="478"/>
        <v>4.9000000000000002E-2</v>
      </c>
      <c r="BP186" s="128">
        <f t="shared" si="479"/>
        <v>164080.36211960833</v>
      </c>
      <c r="BQ186" s="128" t="str">
        <f t="shared" si="480"/>
        <v>nie</v>
      </c>
      <c r="BR186" s="128">
        <f t="shared" si="481"/>
        <v>1427</v>
      </c>
      <c r="BS186" s="128">
        <f t="shared" si="566"/>
        <v>158862.22331688274</v>
      </c>
      <c r="BT186" s="128">
        <f t="shared" si="456"/>
        <v>0</v>
      </c>
      <c r="BU186" s="130">
        <f t="shared" si="482"/>
        <v>4.4999999999999998E-2</v>
      </c>
      <c r="BV186" s="128">
        <f t="shared" si="483"/>
        <v>122.62947192018787</v>
      </c>
      <c r="BW186" s="128">
        <f t="shared" si="567"/>
        <v>158984.85278880293</v>
      </c>
      <c r="BY186" s="130">
        <f t="shared" si="452"/>
        <v>2.9000000000000001E-2</v>
      </c>
      <c r="BZ186" s="127">
        <f t="shared" si="542"/>
        <v>1344</v>
      </c>
      <c r="CA186" s="128">
        <f t="shared" si="543"/>
        <v>134279.90000000002</v>
      </c>
      <c r="CB186" s="128">
        <f t="shared" si="568"/>
        <v>134400</v>
      </c>
      <c r="CC186" s="128">
        <f t="shared" si="562"/>
        <v>134400</v>
      </c>
      <c r="CD186" s="130">
        <f t="shared" si="484"/>
        <v>4.3999999999999997E-2</v>
      </c>
      <c r="CE186" s="128">
        <f t="shared" si="485"/>
        <v>139820.79999999999</v>
      </c>
      <c r="CF186" s="128" t="str">
        <f t="shared" si="486"/>
        <v>nie</v>
      </c>
      <c r="CG186" s="128">
        <f t="shared" si="487"/>
        <v>2688</v>
      </c>
      <c r="CH186" s="128">
        <f t="shared" si="369"/>
        <v>136613.568</v>
      </c>
      <c r="CI186" s="128">
        <f t="shared" si="488"/>
        <v>0</v>
      </c>
      <c r="CJ186" s="130">
        <f t="shared" si="489"/>
        <v>4.4999999999999998E-2</v>
      </c>
      <c r="CK186" s="128">
        <f t="shared" si="490"/>
        <v>16467.686065216931</v>
      </c>
      <c r="CL186" s="128">
        <f t="shared" si="491"/>
        <v>153081.25406521693</v>
      </c>
      <c r="CN186" s="127">
        <f t="shared" si="544"/>
        <v>1508</v>
      </c>
      <c r="CO186" s="128">
        <f t="shared" si="545"/>
        <v>150649.20000000001</v>
      </c>
      <c r="CP186" s="128">
        <f t="shared" si="546"/>
        <v>150800</v>
      </c>
      <c r="CQ186" s="128">
        <f t="shared" si="547"/>
        <v>159471.00000000003</v>
      </c>
      <c r="CR186" s="130">
        <f t="shared" si="492"/>
        <v>4.9000000000000002E-2</v>
      </c>
      <c r="CS186" s="128">
        <f t="shared" si="493"/>
        <v>166633.90575000003</v>
      </c>
      <c r="CT186" s="128" t="str">
        <f t="shared" si="494"/>
        <v>nie</v>
      </c>
      <c r="CU186" s="128">
        <f t="shared" si="495"/>
        <v>4524</v>
      </c>
      <c r="CV186" s="128">
        <f t="shared" si="496"/>
        <v>159961.02365750002</v>
      </c>
      <c r="CW186" s="128">
        <f t="shared" si="453"/>
        <v>0</v>
      </c>
      <c r="CX186" s="130">
        <f t="shared" si="497"/>
        <v>4.4999999999999998E-2</v>
      </c>
      <c r="CY186" s="128">
        <f t="shared" si="498"/>
        <v>106.184431880112</v>
      </c>
      <c r="CZ186" s="128">
        <f t="shared" si="499"/>
        <v>160067.20808938012</v>
      </c>
      <c r="DA186" s="20"/>
      <c r="DB186" s="127">
        <f t="shared" si="554"/>
        <v>1274</v>
      </c>
      <c r="DC186" s="128">
        <f t="shared" si="555"/>
        <v>127400</v>
      </c>
      <c r="DD186" s="128">
        <f t="shared" si="548"/>
        <v>127400</v>
      </c>
      <c r="DE186" s="128">
        <f t="shared" si="549"/>
        <v>162673.93226179693</v>
      </c>
      <c r="DF186" s="130">
        <f t="shared" si="500"/>
        <v>4.9000000000000002E-2</v>
      </c>
      <c r="DG186" s="128">
        <f t="shared" si="501"/>
        <v>169980.703052556</v>
      </c>
      <c r="DH186" s="128" t="str">
        <f t="shared" si="502"/>
        <v>nie</v>
      </c>
      <c r="DI186" s="128">
        <f t="shared" si="503"/>
        <v>2548</v>
      </c>
      <c r="DJ186" s="128">
        <f t="shared" si="559"/>
        <v>159826.48947257036</v>
      </c>
      <c r="DK186" s="128">
        <f t="shared" si="454"/>
        <v>0</v>
      </c>
      <c r="DL186" s="130">
        <f t="shared" si="504"/>
        <v>4.4999999999999998E-2</v>
      </c>
      <c r="DM186" s="128">
        <f t="shared" si="505"/>
        <v>117.61565302900055</v>
      </c>
      <c r="DN186" s="128">
        <f t="shared" si="506"/>
        <v>159944.10512559937</v>
      </c>
      <c r="DP186" s="127">
        <f t="shared" si="556"/>
        <v>1000</v>
      </c>
      <c r="DQ186" s="128">
        <f t="shared" si="557"/>
        <v>100000</v>
      </c>
      <c r="DR186" s="128">
        <f t="shared" si="550"/>
        <v>100000</v>
      </c>
      <c r="DS186" s="128">
        <f t="shared" si="551"/>
        <v>179354.37463757658</v>
      </c>
      <c r="DT186" s="130">
        <f t="shared" si="507"/>
        <v>5.4000000000000006E-2</v>
      </c>
      <c r="DU186" s="128">
        <f t="shared" si="508"/>
        <v>188232.41618213663</v>
      </c>
      <c r="DV186" s="128" t="str">
        <f t="shared" si="509"/>
        <v>nie</v>
      </c>
      <c r="DW186" s="128">
        <f t="shared" si="510"/>
        <v>3000</v>
      </c>
      <c r="DX186" s="128">
        <f t="shared" si="511"/>
        <v>169038.25710753066</v>
      </c>
      <c r="DY186" s="128">
        <f t="shared" si="455"/>
        <v>0</v>
      </c>
      <c r="DZ186" s="130">
        <f t="shared" si="512"/>
        <v>4.4999999999999998E-2</v>
      </c>
      <c r="EA186" s="128">
        <f t="shared" si="513"/>
        <v>0</v>
      </c>
      <c r="EB186" s="128">
        <f t="shared" si="514"/>
        <v>169038.25710753066</v>
      </c>
    </row>
    <row r="187" spans="1:132">
      <c r="A187" s="212"/>
      <c r="B187" s="188">
        <f t="shared" si="515"/>
        <v>143</v>
      </c>
      <c r="C187" s="128">
        <f t="shared" si="516"/>
        <v>161495.58085609786</v>
      </c>
      <c r="D187" s="128">
        <f t="shared" si="517"/>
        <v>159086.90755107786</v>
      </c>
      <c r="E187" s="128">
        <f t="shared" si="518"/>
        <v>158984.85278880293</v>
      </c>
      <c r="F187" s="128">
        <f t="shared" si="519"/>
        <v>153081.25406521693</v>
      </c>
      <c r="G187" s="128">
        <f t="shared" si="520"/>
        <v>160067.20808938012</v>
      </c>
      <c r="H187" s="128">
        <f t="shared" si="521"/>
        <v>159944.10512559937</v>
      </c>
      <c r="I187" s="128">
        <f t="shared" si="522"/>
        <v>169038.25710753066</v>
      </c>
      <c r="J187" s="128">
        <f t="shared" si="523"/>
        <v>154296.23071375408</v>
      </c>
      <c r="K187" s="128">
        <f t="shared" si="524"/>
        <v>140592.88134553755</v>
      </c>
      <c r="M187" s="36"/>
      <c r="N187" s="32">
        <f t="shared" si="525"/>
        <v>143</v>
      </c>
      <c r="O187" s="25">
        <f t="shared" si="526"/>
        <v>0.61495580856097853</v>
      </c>
      <c r="P187" s="25">
        <f t="shared" si="527"/>
        <v>0.59086907551077861</v>
      </c>
      <c r="Q187" s="25">
        <f t="shared" si="528"/>
        <v>0.58984852788802944</v>
      </c>
      <c r="R187" s="25">
        <f t="shared" si="457"/>
        <v>0.53081254065216932</v>
      </c>
      <c r="S187" s="25">
        <f t="shared" si="458"/>
        <v>0.60067208089380109</v>
      </c>
      <c r="T187" s="25">
        <f t="shared" si="459"/>
        <v>0.59944105125599356</v>
      </c>
      <c r="U187" s="25">
        <f t="shared" si="460"/>
        <v>0.69038257107530665</v>
      </c>
      <c r="V187" s="25">
        <f t="shared" si="461"/>
        <v>0.54296230713754068</v>
      </c>
      <c r="W187" s="25">
        <f t="shared" si="462"/>
        <v>0.40592881345537557</v>
      </c>
      <c r="X187" s="36"/>
      <c r="Y187" s="36"/>
      <c r="AA187" s="124">
        <f t="shared" si="529"/>
        <v>144</v>
      </c>
      <c r="AB187" s="128">
        <f t="shared" si="463"/>
        <v>140923.84924544991</v>
      </c>
      <c r="AC187" s="124">
        <f t="shared" si="530"/>
        <v>144</v>
      </c>
      <c r="AD187" s="130">
        <f t="shared" si="531"/>
        <v>4.4999999999999998E-2</v>
      </c>
      <c r="AE187" s="127">
        <f t="shared" si="532"/>
        <v>1568</v>
      </c>
      <c r="AF187" s="128">
        <f t="shared" si="533"/>
        <v>156649</v>
      </c>
      <c r="AG187" s="128">
        <f t="shared" si="552"/>
        <v>156800</v>
      </c>
      <c r="AH187" s="128">
        <f t="shared" si="560"/>
        <v>156800</v>
      </c>
      <c r="AI187" s="130">
        <f t="shared" si="464"/>
        <v>4.4999999999999998E-2</v>
      </c>
      <c r="AJ187" s="128">
        <f t="shared" si="465"/>
        <v>157388</v>
      </c>
      <c r="AK187" s="128" t="str">
        <f t="shared" si="466"/>
        <v>tak</v>
      </c>
      <c r="AL187" s="128">
        <f t="shared" si="467"/>
        <v>0</v>
      </c>
      <c r="AM187" s="128">
        <f t="shared" si="563"/>
        <v>157276.28</v>
      </c>
      <c r="AN187" s="129"/>
      <c r="AO187" s="130">
        <f t="shared" si="469"/>
        <v>4.4999999999999998E-2</v>
      </c>
      <c r="AP187" s="128">
        <f t="shared" si="470"/>
        <v>5346.8126169482621</v>
      </c>
      <c r="AQ187" s="128">
        <f t="shared" si="564"/>
        <v>162623.09261694827</v>
      </c>
      <c r="AS187" s="124">
        <f t="shared" si="534"/>
        <v>144</v>
      </c>
      <c r="AT187" s="130">
        <f t="shared" si="535"/>
        <v>4.4999999999999998E-2</v>
      </c>
      <c r="AU187" s="127">
        <f t="shared" si="536"/>
        <v>1488</v>
      </c>
      <c r="AV187" s="128">
        <f t="shared" si="537"/>
        <v>148662.1</v>
      </c>
      <c r="AW187" s="128">
        <f t="shared" si="565"/>
        <v>148800</v>
      </c>
      <c r="AX187" s="128">
        <f t="shared" si="561"/>
        <v>148800</v>
      </c>
      <c r="AY187" s="130">
        <f t="shared" si="471"/>
        <v>4.65E-2</v>
      </c>
      <c r="AZ187" s="128">
        <f t="shared" si="472"/>
        <v>149376.6</v>
      </c>
      <c r="BA187" s="128" t="str">
        <f t="shared" si="473"/>
        <v>tak</v>
      </c>
      <c r="BB187" s="128">
        <f t="shared" si="474"/>
        <v>0</v>
      </c>
      <c r="BC187" s="128">
        <f t="shared" si="367"/>
        <v>149267.046</v>
      </c>
      <c r="BD187" s="129"/>
      <c r="BE187" s="130">
        <f t="shared" si="476"/>
        <v>4.4999999999999998E-2</v>
      </c>
      <c r="BF187" s="128">
        <f t="shared" si="477"/>
        <v>11164.412759364272</v>
      </c>
      <c r="BG187" s="128">
        <f t="shared" si="368"/>
        <v>160431.45875936426</v>
      </c>
      <c r="BI187" s="124">
        <f t="shared" si="538"/>
        <v>144</v>
      </c>
      <c r="BJ187" s="130">
        <f t="shared" si="558"/>
        <v>4.3200000000000002E-2</v>
      </c>
      <c r="BK187" s="127">
        <f t="shared" si="539"/>
        <v>1427</v>
      </c>
      <c r="BL187" s="128">
        <f t="shared" si="540"/>
        <v>142557.30000000002</v>
      </c>
      <c r="BM187" s="128">
        <f t="shared" si="553"/>
        <v>142700</v>
      </c>
      <c r="BN187" s="128">
        <f t="shared" si="541"/>
        <v>157027.22269999998</v>
      </c>
      <c r="BO187" s="130">
        <f t="shared" si="478"/>
        <v>4.9000000000000002E-2</v>
      </c>
      <c r="BP187" s="128">
        <f t="shared" si="479"/>
        <v>164721.55661229996</v>
      </c>
      <c r="BQ187" s="128" t="str">
        <f t="shared" si="480"/>
        <v>tak</v>
      </c>
      <c r="BR187" s="128">
        <f t="shared" si="481"/>
        <v>0</v>
      </c>
      <c r="BS187" s="128">
        <f t="shared" si="566"/>
        <v>160537.46085596297</v>
      </c>
      <c r="BT187" s="128" t="e">
        <f>IF(AND(BQ187="tak",#REF!&lt;&gt;""),
 BS187-#REF!,
0)</f>
        <v>#REF!</v>
      </c>
      <c r="BU187" s="130">
        <f t="shared" si="482"/>
        <v>4.4999999999999998E-2</v>
      </c>
      <c r="BV187" s="128" t="e">
        <f t="shared" si="483"/>
        <v>#REF!</v>
      </c>
      <c r="BW187" s="128">
        <f t="shared" si="567"/>
        <v>160660.46281490411</v>
      </c>
      <c r="BY187" s="130">
        <f t="shared" si="452"/>
        <v>2.9000000000000001E-2</v>
      </c>
      <c r="BZ187" s="127">
        <f t="shared" si="542"/>
        <v>1344</v>
      </c>
      <c r="CA187" s="128">
        <f t="shared" si="543"/>
        <v>134279.90000000002</v>
      </c>
      <c r="CB187" s="128">
        <f t="shared" si="568"/>
        <v>134400</v>
      </c>
      <c r="CC187" s="128">
        <f t="shared" si="562"/>
        <v>134400</v>
      </c>
      <c r="CD187" s="130">
        <f t="shared" si="484"/>
        <v>4.3999999999999997E-2</v>
      </c>
      <c r="CE187" s="128">
        <f t="shared" si="485"/>
        <v>140313.60000000001</v>
      </c>
      <c r="CF187" s="128" t="str">
        <f t="shared" si="486"/>
        <v>tak</v>
      </c>
      <c r="CG187" s="128">
        <f t="shared" si="487"/>
        <v>0</v>
      </c>
      <c r="CH187" s="128">
        <f t="shared" si="369"/>
        <v>139190.016</v>
      </c>
      <c r="CI187" s="129"/>
      <c r="CJ187" s="130">
        <f t="shared" si="489"/>
        <v>4.4999999999999998E-2</v>
      </c>
      <c r="CK187" s="128">
        <f t="shared" si="490"/>
        <v>16517.706661640026</v>
      </c>
      <c r="CL187" s="128">
        <f t="shared" si="491"/>
        <v>155707.72266164003</v>
      </c>
      <c r="CN187" s="127">
        <f t="shared" si="544"/>
        <v>1508</v>
      </c>
      <c r="CO187" s="128">
        <f t="shared" si="545"/>
        <v>150649.20000000001</v>
      </c>
      <c r="CP187" s="128">
        <f>IF(CT186="tak",
CN187*100,
CP186)</f>
        <v>150800</v>
      </c>
      <c r="CQ187" s="128">
        <f t="shared" si="547"/>
        <v>159471.00000000003</v>
      </c>
      <c r="CR187" s="130">
        <f t="shared" si="492"/>
        <v>4.9000000000000002E-2</v>
      </c>
      <c r="CS187" s="128">
        <f t="shared" si="493"/>
        <v>167285.07900000003</v>
      </c>
      <c r="CT187" s="128" t="str">
        <f t="shared" si="494"/>
        <v>nie</v>
      </c>
      <c r="CU187" s="128">
        <f t="shared" si="495"/>
        <v>4524</v>
      </c>
      <c r="CV187" s="128">
        <f t="shared" si="496"/>
        <v>160488.47399000003</v>
      </c>
      <c r="CW187" s="128" t="e">
        <f>IF(AND(CT187="tak",#REF!&lt;&gt;""),
 CV187-#REF!,
0)</f>
        <v>#REF!</v>
      </c>
      <c r="CX187" s="130">
        <f t="shared" si="497"/>
        <v>4.4999999999999998E-2</v>
      </c>
      <c r="CY187" s="128" t="e">
        <f t="shared" si="498"/>
        <v>#REF!</v>
      </c>
      <c r="CZ187" s="128">
        <f t="shared" si="499"/>
        <v>160594.98095709199</v>
      </c>
      <c r="DA187" s="20"/>
      <c r="DB187" s="127">
        <f t="shared" si="554"/>
        <v>1274</v>
      </c>
      <c r="DC187" s="128">
        <f t="shared" si="555"/>
        <v>127400</v>
      </c>
      <c r="DD187" s="128">
        <f t="shared" si="548"/>
        <v>127400</v>
      </c>
      <c r="DE187" s="128">
        <f t="shared" si="549"/>
        <v>162673.93226179693</v>
      </c>
      <c r="DF187" s="130">
        <f t="shared" si="500"/>
        <v>4.9000000000000002E-2</v>
      </c>
      <c r="DG187" s="128">
        <f t="shared" si="501"/>
        <v>170644.95494262496</v>
      </c>
      <c r="DH187" s="128" t="str">
        <f t="shared" si="502"/>
        <v>tak</v>
      </c>
      <c r="DI187" s="128">
        <f t="shared" si="503"/>
        <v>0</v>
      </c>
      <c r="DJ187" s="128">
        <f t="shared" si="559"/>
        <v>162428.41350352622</v>
      </c>
      <c r="DK187" s="128" t="e">
        <f>IF(AND(DH187="tak",#REF!&lt;&gt;""),
 DJ187-#REF!,
0)</f>
        <v>#REF!</v>
      </c>
      <c r="DL187" s="130">
        <f t="shared" si="504"/>
        <v>4.4999999999999998E-2</v>
      </c>
      <c r="DM187" s="128" t="e">
        <f t="shared" si="505"/>
        <v>#REF!</v>
      </c>
      <c r="DN187" s="128">
        <f t="shared" si="506"/>
        <v>162546.38641410129</v>
      </c>
      <c r="DP187" s="127">
        <f t="shared" si="556"/>
        <v>1000</v>
      </c>
      <c r="DQ187" s="128">
        <f t="shared" si="557"/>
        <v>100000</v>
      </c>
      <c r="DR187" s="128">
        <f t="shared" si="550"/>
        <v>100000</v>
      </c>
      <c r="DS187" s="128">
        <f t="shared" si="551"/>
        <v>179354.37463757658</v>
      </c>
      <c r="DT187" s="130">
        <f t="shared" si="507"/>
        <v>5.4000000000000006E-2</v>
      </c>
      <c r="DU187" s="128">
        <f t="shared" si="508"/>
        <v>189039.51086800572</v>
      </c>
      <c r="DV187" s="128" t="str">
        <f t="shared" si="509"/>
        <v>tak</v>
      </c>
      <c r="DW187" s="128">
        <f t="shared" si="510"/>
        <v>0</v>
      </c>
      <c r="DX187" s="128">
        <f t="shared" si="511"/>
        <v>172122.00380308463</v>
      </c>
      <c r="DY187" s="128" t="e">
        <f>IF(AND(DV187="tak",#REF!&lt;&gt;""),
 DX187-#REF!,
0)</f>
        <v>#REF!</v>
      </c>
      <c r="DZ187" s="130">
        <f t="shared" si="512"/>
        <v>4.4999999999999998E-2</v>
      </c>
      <c r="EA187" s="128" t="e">
        <f t="shared" si="513"/>
        <v>#REF!</v>
      </c>
      <c r="EB187" s="128">
        <f t="shared" si="514"/>
        <v>172122.00380308463</v>
      </c>
    </row>
    <row r="188" spans="1:132">
      <c r="A188" s="212"/>
      <c r="B188" s="188">
        <f t="shared" si="515"/>
        <v>144</v>
      </c>
      <c r="C188" s="128">
        <f t="shared" si="516"/>
        <v>162623.09261694827</v>
      </c>
      <c r="D188" s="128">
        <f t="shared" si="517"/>
        <v>160431.45875936426</v>
      </c>
      <c r="E188" s="128">
        <f t="shared" si="518"/>
        <v>160660.46281490411</v>
      </c>
      <c r="F188" s="128">
        <f t="shared" si="519"/>
        <v>155707.72266164003</v>
      </c>
      <c r="G188" s="128">
        <f t="shared" si="520"/>
        <v>160594.98095709199</v>
      </c>
      <c r="H188" s="128">
        <f t="shared" si="521"/>
        <v>162546.38641410129</v>
      </c>
      <c r="I188" s="128">
        <f t="shared" si="522"/>
        <v>172122.00380308463</v>
      </c>
      <c r="J188" s="128">
        <f t="shared" si="523"/>
        <v>154764.90551454711</v>
      </c>
      <c r="K188" s="128">
        <f t="shared" si="524"/>
        <v>140923.84924544991</v>
      </c>
      <c r="M188" s="36"/>
      <c r="N188" s="32">
        <f t="shared" si="525"/>
        <v>144</v>
      </c>
      <c r="O188" s="25">
        <f t="shared" si="526"/>
        <v>0.62623092616948273</v>
      </c>
      <c r="P188" s="25">
        <f t="shared" si="527"/>
        <v>0.60431458759364265</v>
      </c>
      <c r="Q188" s="25">
        <f t="shared" si="528"/>
        <v>0.60660462814904115</v>
      </c>
      <c r="R188" s="25">
        <f t="shared" si="457"/>
        <v>0.55707722661640036</v>
      </c>
      <c r="S188" s="25">
        <f t="shared" si="458"/>
        <v>0.60594980957091993</v>
      </c>
      <c r="T188" s="25">
        <f t="shared" si="459"/>
        <v>0.62546386414101285</v>
      </c>
      <c r="U188" s="25">
        <f t="shared" si="460"/>
        <v>0.72122003803084644</v>
      </c>
      <c r="V188" s="25">
        <f t="shared" si="461"/>
        <v>0.54764905514547113</v>
      </c>
      <c r="W188" s="25">
        <f t="shared" si="462"/>
        <v>0.40923849245449917</v>
      </c>
      <c r="X188" s="36"/>
      <c r="Y188" s="36"/>
    </row>
  </sheetData>
  <mergeCells count="19">
    <mergeCell ref="N42:W42"/>
    <mergeCell ref="B6:K6"/>
    <mergeCell ref="B2:K2"/>
    <mergeCell ref="B22:K22"/>
    <mergeCell ref="A69:A80"/>
    <mergeCell ref="A43:A44"/>
    <mergeCell ref="A45:A56"/>
    <mergeCell ref="A57:A68"/>
    <mergeCell ref="B41:K41"/>
    <mergeCell ref="B42:K42"/>
    <mergeCell ref="A81:A92"/>
    <mergeCell ref="A93:A104"/>
    <mergeCell ref="A165:A176"/>
    <mergeCell ref="A177:A188"/>
    <mergeCell ref="A105:A116"/>
    <mergeCell ref="A117:A128"/>
    <mergeCell ref="A129:A140"/>
    <mergeCell ref="A141:A152"/>
    <mergeCell ref="A153:A164"/>
  </mergeCells>
  <conditionalFormatting sqref="C9:J9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:J10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:J11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2:J12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3:J13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4:J14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5:J15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:J1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7:J1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41">
    <cfRule type="colorScale" priority="34">
      <colorScale>
        <cfvo type="min"/>
        <cfvo type="percentile" val="30"/>
        <cfvo type="max"/>
        <color rgb="FFF8696B"/>
        <color rgb="FFFFEB84"/>
        <color rgb="FF63BE7B"/>
      </colorScale>
    </cfRule>
  </conditionalFormatting>
  <dataValidations count="1">
    <dataValidation type="whole" allowBlank="1" showInputMessage="1" showErrorMessage="1" errorTitle="Uwaga" error="Wpisz liczbę z przedziału od 1 do 144. _x000a__x000a_Dziękuję :)" sqref="B4" xr:uid="{F842CB76-D0DB-4726-8E85-DDBE36F8108A}">
      <formula1>1</formula1>
      <formula2>144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171AD-6959-4519-95F7-5957D204C079}">
  <dimension ref="A1:DZ190"/>
  <sheetViews>
    <sheetView zoomScale="55" zoomScaleNormal="55" workbookViewId="0">
      <selection activeCell="DR15" sqref="DR15"/>
    </sheetView>
  </sheetViews>
  <sheetFormatPr defaultColWidth="8.85546875" defaultRowHeight="15"/>
  <cols>
    <col min="1" max="1" width="9.28515625" style="45" customWidth="1"/>
    <col min="2" max="2" width="4.42578125" style="45" customWidth="1"/>
    <col min="3" max="3" width="23.28515625" customWidth="1"/>
    <col min="4" max="11" width="20.42578125" customWidth="1"/>
    <col min="12" max="12" width="4.140625" style="45" customWidth="1"/>
    <col min="13" max="22" width="20.42578125" style="45" customWidth="1"/>
    <col min="23" max="23" width="8.140625" bestFit="1" customWidth="1"/>
    <col min="24" max="24" width="14.28515625" bestFit="1" customWidth="1"/>
    <col min="25" max="25" width="15.42578125" bestFit="1" customWidth="1"/>
    <col min="26" max="26" width="9" bestFit="1" customWidth="1"/>
    <col min="27" max="27" width="11" bestFit="1" customWidth="1"/>
    <col min="28" max="28" width="12.140625" bestFit="1" customWidth="1"/>
    <col min="29" max="29" width="12.42578125" bestFit="1" customWidth="1"/>
    <col min="30" max="30" width="10.85546875" bestFit="1" customWidth="1"/>
    <col min="31" max="31" width="12.140625" bestFit="1" customWidth="1"/>
    <col min="32" max="33" width="12.7109375" bestFit="1" customWidth="1"/>
    <col min="34" max="39" width="12.7109375" customWidth="1"/>
    <col min="40" max="41" width="18.28515625" customWidth="1"/>
    <col min="42" max="43" width="12.7109375" customWidth="1"/>
    <col min="44" max="45" width="19.140625" customWidth="1"/>
    <col min="46" max="46" width="20" customWidth="1"/>
    <col min="47" max="47" width="19.140625" customWidth="1"/>
    <col min="48" max="48" width="20" customWidth="1"/>
    <col min="49" max="50" width="19.140625" customWidth="1"/>
    <col min="51" max="51" width="13.42578125" bestFit="1" customWidth="1"/>
    <col min="52" max="52" width="11" bestFit="1" customWidth="1"/>
    <col min="53" max="53" width="19.140625" customWidth="1"/>
    <col min="54" max="55" width="12.7109375" customWidth="1"/>
    <col min="56" max="56" width="14.7109375" bestFit="1" customWidth="1"/>
    <col min="57" max="57" width="19.140625" customWidth="1"/>
    <col min="58" max="58" width="12.7109375" customWidth="1"/>
    <col min="59" max="59" width="14.7109375" bestFit="1" customWidth="1"/>
    <col min="60" max="60" width="8.85546875" style="45"/>
    <col min="61" max="61" width="15.42578125" bestFit="1" customWidth="1"/>
    <col min="62" max="62" width="9" bestFit="1" customWidth="1"/>
    <col min="63" max="63" width="12.42578125" bestFit="1" customWidth="1"/>
    <col min="64" max="64" width="12.140625" bestFit="1" customWidth="1"/>
    <col min="65" max="65" width="12.42578125" bestFit="1" customWidth="1"/>
    <col min="66" max="66" width="10.85546875" bestFit="1" customWidth="1"/>
    <col min="67" max="67" width="12.140625" bestFit="1" customWidth="1"/>
    <col min="68" max="69" width="12.7109375" bestFit="1" customWidth="1"/>
    <col min="70" max="75" width="12.7109375" customWidth="1"/>
    <col min="76" max="77" width="18.28515625" customWidth="1"/>
    <col min="78" max="79" width="12.7109375" customWidth="1"/>
    <col min="80" max="81" width="19.140625" customWidth="1"/>
    <col min="82" max="82" width="20" customWidth="1"/>
    <col min="83" max="83" width="19.140625" customWidth="1"/>
    <col min="84" max="84" width="20" customWidth="1"/>
    <col min="85" max="86" width="19.140625" customWidth="1"/>
    <col min="87" max="87" width="13.42578125" bestFit="1" customWidth="1"/>
    <col min="88" max="88" width="11" bestFit="1" customWidth="1"/>
    <col min="89" max="89" width="19.140625" customWidth="1"/>
    <col min="90" max="91" width="12.7109375" customWidth="1"/>
    <col min="92" max="92" width="14.7109375" bestFit="1" customWidth="1"/>
    <col min="93" max="93" width="19.140625" customWidth="1"/>
    <col min="94" max="94" width="12.7109375" customWidth="1"/>
    <col min="95" max="95" width="14.7109375" bestFit="1" customWidth="1"/>
    <col min="96" max="96" width="8.7109375" style="45"/>
    <col min="97" max="97" width="9" bestFit="1" customWidth="1"/>
    <col min="98" max="98" width="11" bestFit="1" customWidth="1"/>
    <col min="99" max="99" width="12.140625" bestFit="1" customWidth="1"/>
    <col min="100" max="100" width="12.42578125" bestFit="1" customWidth="1"/>
    <col min="101" max="101" width="10.85546875" bestFit="1" customWidth="1"/>
    <col min="102" max="102" width="12.140625" bestFit="1" customWidth="1"/>
    <col min="103" max="103" width="12.7109375" bestFit="1" customWidth="1"/>
    <col min="104" max="105" width="9.42578125" bestFit="1" customWidth="1"/>
    <col min="106" max="106" width="11.140625" bestFit="1" customWidth="1"/>
    <col min="107" max="108" width="9.42578125" customWidth="1"/>
    <col min="109" max="109" width="15.28515625" customWidth="1"/>
    <col min="110" max="110" width="12.7109375" bestFit="1" customWidth="1"/>
    <col min="111" max="111" width="12.7109375" customWidth="1"/>
    <col min="112" max="112" width="14.7109375" bestFit="1" customWidth="1"/>
    <col min="113" max="113" width="8.7109375" style="13"/>
    <col min="114" max="115" width="11.140625" style="13" bestFit="1" customWidth="1"/>
    <col min="116" max="130" width="8.7109375" style="13"/>
  </cols>
  <sheetData>
    <row r="1" spans="3:112" ht="25.5" customHeight="1">
      <c r="C1" s="45"/>
      <c r="D1" s="45"/>
      <c r="E1" s="45"/>
      <c r="F1" s="45"/>
      <c r="G1" s="45"/>
      <c r="H1" s="45"/>
      <c r="I1" s="45"/>
      <c r="J1" s="45"/>
      <c r="K1" s="45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</row>
    <row r="2" spans="3:112" ht="33" customHeight="1">
      <c r="C2" s="45"/>
      <c r="D2" s="45"/>
      <c r="E2" s="45"/>
      <c r="F2" s="45"/>
      <c r="G2" s="45"/>
      <c r="H2" s="45"/>
      <c r="I2" s="45"/>
      <c r="J2" s="45"/>
      <c r="K2" s="45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</row>
    <row r="3" spans="3:112" ht="18.75" customHeight="1">
      <c r="C3" s="45"/>
      <c r="D3" s="45"/>
      <c r="E3" s="45"/>
      <c r="F3" s="45"/>
      <c r="G3" s="45"/>
      <c r="H3" s="45"/>
      <c r="I3" s="45"/>
      <c r="J3" s="45"/>
      <c r="K3" s="45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</row>
    <row r="4" spans="3:112" ht="9" customHeight="1">
      <c r="C4" s="45"/>
      <c r="D4" s="45"/>
      <c r="E4" s="45"/>
      <c r="F4" s="45"/>
      <c r="G4" s="45"/>
      <c r="H4" s="45"/>
      <c r="I4" s="45"/>
      <c r="J4" s="45"/>
      <c r="K4" s="45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</row>
    <row r="5" spans="3:112" ht="9" customHeight="1">
      <c r="C5" s="45"/>
      <c r="D5" s="45"/>
      <c r="E5" s="45"/>
      <c r="F5" s="45"/>
      <c r="G5" s="45"/>
      <c r="H5" s="45"/>
      <c r="I5" s="45"/>
      <c r="J5" s="45"/>
      <c r="K5" s="45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</row>
    <row r="6" spans="3:112" ht="9" customHeight="1">
      <c r="C6" s="45"/>
      <c r="D6" s="45"/>
      <c r="E6" s="45"/>
      <c r="F6" s="45"/>
      <c r="G6" s="45"/>
      <c r="H6" s="45"/>
      <c r="I6" s="45"/>
      <c r="J6" s="45"/>
      <c r="K6" s="45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</row>
    <row r="7" spans="3:112" ht="9" customHeight="1">
      <c r="C7" s="45"/>
      <c r="D7" s="45"/>
      <c r="E7" s="45"/>
      <c r="F7" s="45"/>
      <c r="G7" s="45"/>
      <c r="H7" s="45"/>
      <c r="I7" s="45"/>
      <c r="J7" s="45"/>
      <c r="K7" s="45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</row>
    <row r="8" spans="3:112" ht="9" customHeight="1">
      <c r="C8" s="45"/>
      <c r="D8" s="45"/>
      <c r="E8" s="45"/>
      <c r="F8" s="45"/>
      <c r="G8" s="45"/>
      <c r="H8" s="45"/>
      <c r="I8" s="45"/>
      <c r="J8" s="45"/>
      <c r="K8" s="45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</row>
    <row r="9" spans="3:112" ht="33" customHeight="1">
      <c r="C9" s="45"/>
      <c r="D9" s="45"/>
      <c r="E9" s="45"/>
      <c r="F9" s="45"/>
      <c r="G9" s="45"/>
      <c r="H9" s="45"/>
      <c r="I9" s="45"/>
      <c r="J9" s="45"/>
      <c r="K9" s="45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</row>
    <row r="10" spans="3:112" ht="18.75" customHeight="1">
      <c r="C10" s="45"/>
      <c r="D10" s="45"/>
      <c r="E10" s="45"/>
      <c r="F10" s="45"/>
      <c r="G10" s="45"/>
      <c r="H10" s="45"/>
      <c r="I10" s="45"/>
      <c r="J10" s="45"/>
      <c r="K10" s="45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</row>
    <row r="11" spans="3:112" ht="45.95" customHeight="1">
      <c r="C11" s="45"/>
      <c r="D11" s="45"/>
      <c r="E11" s="45"/>
      <c r="F11" s="45"/>
      <c r="G11" s="45"/>
      <c r="H11" s="45"/>
      <c r="I11" s="45"/>
      <c r="J11" s="45"/>
      <c r="K11" s="45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</row>
    <row r="12" spans="3:112" ht="45.95" customHeight="1">
      <c r="C12" s="45"/>
      <c r="D12" s="45"/>
      <c r="E12" s="45"/>
      <c r="F12" s="45"/>
      <c r="G12" s="45"/>
      <c r="H12" s="45"/>
      <c r="I12" s="45"/>
      <c r="J12" s="45"/>
      <c r="K12" s="45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</row>
    <row r="13" spans="3:112" ht="45.95" customHeight="1">
      <c r="C13" s="45"/>
      <c r="D13" s="45"/>
      <c r="E13" s="45"/>
      <c r="F13" s="45"/>
      <c r="G13" s="45"/>
      <c r="H13" s="45"/>
      <c r="I13" s="45"/>
      <c r="J13" s="45"/>
      <c r="K13" s="45"/>
      <c r="X13" s="20"/>
      <c r="Y13" s="199" t="s">
        <v>108</v>
      </c>
      <c r="Z13" s="20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I13" s="199" t="s">
        <v>58</v>
      </c>
      <c r="BJ13" s="20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S13" s="199" t="s">
        <v>59</v>
      </c>
      <c r="CT13" s="20"/>
      <c r="CU13" s="20"/>
      <c r="CV13" s="20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</row>
    <row r="14" spans="3:112" ht="45.95" customHeight="1">
      <c r="C14" s="45"/>
      <c r="D14" s="45"/>
      <c r="E14" s="45"/>
      <c r="F14" s="45"/>
      <c r="G14" s="45"/>
      <c r="H14" s="45"/>
      <c r="I14" s="45"/>
      <c r="J14" s="45"/>
      <c r="K14" s="45"/>
      <c r="X14" s="20"/>
      <c r="Y14" s="21"/>
      <c r="Z14" s="20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I14" s="21"/>
      <c r="BJ14" s="20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S14" s="21"/>
      <c r="CT14" s="20"/>
      <c r="CU14" s="20"/>
      <c r="CV14" s="20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</row>
    <row r="15" spans="3:112" ht="45.95" customHeight="1" thickBot="1">
      <c r="C15" s="45"/>
      <c r="D15" s="45"/>
      <c r="E15" s="45"/>
      <c r="F15" s="45"/>
      <c r="G15" s="45"/>
      <c r="H15" s="45"/>
      <c r="I15" s="45"/>
      <c r="J15" s="45"/>
      <c r="K15" s="45"/>
      <c r="X15" s="20"/>
      <c r="Y15" s="21"/>
      <c r="Z15" s="20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I15" s="21"/>
      <c r="BJ15" s="20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S15" s="21"/>
      <c r="CT15" s="20"/>
      <c r="CU15" s="20"/>
      <c r="CV15" s="20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</row>
    <row r="16" spans="3:112" ht="51.75" customHeight="1" thickBot="1">
      <c r="C16" s="69" t="s">
        <v>98</v>
      </c>
      <c r="D16" s="65" t="s">
        <v>104</v>
      </c>
      <c r="E16" s="70" t="s">
        <v>105</v>
      </c>
      <c r="F16" s="42" t="s">
        <v>75</v>
      </c>
      <c r="G16" s="59" t="s">
        <v>74</v>
      </c>
      <c r="H16" s="43" t="s">
        <v>77</v>
      </c>
      <c r="I16" s="46" t="s">
        <v>76</v>
      </c>
      <c r="J16" s="56" t="s">
        <v>68</v>
      </c>
      <c r="K16" s="38" t="s">
        <v>67</v>
      </c>
      <c r="W16" s="15" t="s">
        <v>13</v>
      </c>
      <c r="X16" s="17" t="s">
        <v>21</v>
      </c>
      <c r="Y16" s="60" t="s">
        <v>82</v>
      </c>
      <c r="Z16" s="61" t="s">
        <v>25</v>
      </c>
      <c r="AA16" s="61" t="s">
        <v>23</v>
      </c>
      <c r="AB16" s="61" t="s">
        <v>14</v>
      </c>
      <c r="AC16" s="61" t="s">
        <v>15</v>
      </c>
      <c r="AD16" s="61" t="s">
        <v>17</v>
      </c>
      <c r="AE16" s="61" t="s">
        <v>18</v>
      </c>
      <c r="AF16" s="62" t="s">
        <v>8</v>
      </c>
      <c r="AG16" s="61" t="s">
        <v>16</v>
      </c>
      <c r="AH16" s="61" t="s">
        <v>29</v>
      </c>
      <c r="AI16" s="61" t="s">
        <v>30</v>
      </c>
      <c r="AJ16" s="61" t="s">
        <v>31</v>
      </c>
      <c r="AK16" s="61" t="s">
        <v>32</v>
      </c>
      <c r="AL16" s="61" t="s">
        <v>28</v>
      </c>
      <c r="AM16" s="61" t="s">
        <v>17</v>
      </c>
      <c r="AN16" s="61" t="s">
        <v>34</v>
      </c>
      <c r="AO16" s="61" t="s">
        <v>37</v>
      </c>
      <c r="AP16" s="61" t="s">
        <v>33</v>
      </c>
      <c r="AQ16" s="61" t="s">
        <v>17</v>
      </c>
      <c r="AR16" s="61" t="s">
        <v>35</v>
      </c>
      <c r="AS16" s="61" t="s">
        <v>38</v>
      </c>
      <c r="AT16" s="61" t="s">
        <v>41</v>
      </c>
      <c r="AU16" s="61" t="s">
        <v>36</v>
      </c>
      <c r="AV16" s="61" t="s">
        <v>46</v>
      </c>
      <c r="AW16" s="61" t="s">
        <v>40</v>
      </c>
      <c r="AX16" s="61" t="s">
        <v>46</v>
      </c>
      <c r="AY16" s="61" t="s">
        <v>78</v>
      </c>
      <c r="AZ16" s="61" t="s">
        <v>39</v>
      </c>
      <c r="BA16" s="61" t="s">
        <v>42</v>
      </c>
      <c r="BB16" s="62" t="s">
        <v>44</v>
      </c>
      <c r="BC16" s="61" t="s">
        <v>45</v>
      </c>
      <c r="BD16" s="61" t="s">
        <v>47</v>
      </c>
      <c r="BE16" s="61" t="s">
        <v>43</v>
      </c>
      <c r="BF16" s="62" t="s">
        <v>11</v>
      </c>
      <c r="BG16" s="61" t="s">
        <v>20</v>
      </c>
      <c r="BI16" s="16" t="s">
        <v>12</v>
      </c>
      <c r="BJ16" s="17" t="s">
        <v>25</v>
      </c>
      <c r="BK16" s="17" t="s">
        <v>23</v>
      </c>
      <c r="BL16" s="17" t="s">
        <v>14</v>
      </c>
      <c r="BM16" s="17" t="s">
        <v>15</v>
      </c>
      <c r="BN16" s="17" t="s">
        <v>17</v>
      </c>
      <c r="BO16" s="17" t="s">
        <v>18</v>
      </c>
      <c r="BP16" s="18" t="s">
        <v>8</v>
      </c>
      <c r="BQ16" s="17" t="s">
        <v>16</v>
      </c>
      <c r="BR16" s="17" t="s">
        <v>29</v>
      </c>
      <c r="BS16" s="17" t="s">
        <v>30</v>
      </c>
      <c r="BT16" s="17" t="s">
        <v>31</v>
      </c>
      <c r="BU16" s="17" t="s">
        <v>32</v>
      </c>
      <c r="BV16" s="17" t="s">
        <v>28</v>
      </c>
      <c r="BW16" s="17" t="s">
        <v>17</v>
      </c>
      <c r="BX16" s="17" t="s">
        <v>34</v>
      </c>
      <c r="BY16" s="17" t="s">
        <v>37</v>
      </c>
      <c r="BZ16" s="17" t="s">
        <v>33</v>
      </c>
      <c r="CA16" s="17" t="s">
        <v>17</v>
      </c>
      <c r="CB16" s="17" t="s">
        <v>35</v>
      </c>
      <c r="CC16" s="17" t="s">
        <v>38</v>
      </c>
      <c r="CD16" s="17" t="s">
        <v>41</v>
      </c>
      <c r="CE16" s="17" t="s">
        <v>36</v>
      </c>
      <c r="CF16" s="17" t="s">
        <v>46</v>
      </c>
      <c r="CG16" s="17" t="s">
        <v>40</v>
      </c>
      <c r="CH16" s="17" t="s">
        <v>46</v>
      </c>
      <c r="CI16" s="17" t="s">
        <v>78</v>
      </c>
      <c r="CJ16" s="17" t="s">
        <v>39</v>
      </c>
      <c r="CK16" s="17" t="s">
        <v>42</v>
      </c>
      <c r="CL16" s="18" t="s">
        <v>44</v>
      </c>
      <c r="CM16" s="17" t="s">
        <v>45</v>
      </c>
      <c r="CN16" s="17" t="s">
        <v>47</v>
      </c>
      <c r="CO16" s="17" t="s">
        <v>43</v>
      </c>
      <c r="CP16" s="18" t="s">
        <v>11</v>
      </c>
      <c r="CQ16" s="17" t="s">
        <v>20</v>
      </c>
      <c r="CS16" s="47" t="s">
        <v>25</v>
      </c>
      <c r="CT16" s="47" t="s">
        <v>23</v>
      </c>
      <c r="CU16" s="47" t="s">
        <v>14</v>
      </c>
      <c r="CV16" s="47" t="s">
        <v>15</v>
      </c>
      <c r="CW16" s="47" t="s">
        <v>17</v>
      </c>
      <c r="CX16" s="47" t="s">
        <v>18</v>
      </c>
      <c r="CY16" s="48" t="s">
        <v>8</v>
      </c>
      <c r="CZ16" s="47" t="s">
        <v>49</v>
      </c>
      <c r="DA16" s="47" t="s">
        <v>48</v>
      </c>
      <c r="DB16" s="47" t="s">
        <v>42</v>
      </c>
      <c r="DC16" s="48" t="s">
        <v>44</v>
      </c>
      <c r="DD16" s="47" t="s">
        <v>45</v>
      </c>
      <c r="DE16" s="47" t="s">
        <v>47</v>
      </c>
      <c r="DF16" s="47" t="s">
        <v>43</v>
      </c>
      <c r="DG16" s="48" t="s">
        <v>11</v>
      </c>
      <c r="DH16" s="47" t="s">
        <v>20</v>
      </c>
    </row>
    <row r="17" spans="2:112" ht="51.75" customHeight="1" thickBot="1">
      <c r="B17" s="69"/>
      <c r="C17" s="39">
        <v>50</v>
      </c>
      <c r="D17" s="195">
        <f>INDEX(IKE_wyniki_TOS_preferencje,MATCH(IKE_zakup_domyslny_mc,IKE_wyniki_mc,0))</f>
        <v>121006.15219627197</v>
      </c>
      <c r="E17" s="195">
        <f>INDEX(IKE_wyniki_TOS_I,MATCH(IKE_zakup_domyslny_mc,IKE_wyniki_mc,0))</f>
        <v>115986.06151697197</v>
      </c>
      <c r="F17" s="195">
        <f>INDEX(IKE_wyniki_COI_preferencje,MATCH(IKE_zakup_domyslny_mc,IKE_wyniki_mc,0))</f>
        <v>120503.034765</v>
      </c>
      <c r="G17" s="195">
        <f>INDEX(IKE_wyniki_COI_I,MATCH(IKE_zakup_domyslny_mc,IKE_wyniki_mc,0))</f>
        <v>115525.68926500001</v>
      </c>
      <c r="H17" s="195">
        <f>INDEX(IKE_wyniki_EDO_preferencje,MATCH(IKE_zakup_domyslny_mc,IKE_wyniki_mc,0))</f>
        <v>122543.36972153318</v>
      </c>
      <c r="I17" s="195">
        <f>INDEX(IKE_wyniki_EDO_I,MATCH(IKE_zakup_domyslny_mc,IKE_wyniki_mc,0))</f>
        <v>115730.77104910708</v>
      </c>
      <c r="J17" s="197">
        <f>INDEX(J37:J181,MATCH(IKE_zakup_domyslny_mc,C37:C181,0))</f>
        <v>116374.68069768684</v>
      </c>
      <c r="K17" s="196">
        <f>INDEX(IKE_wyniki_skumulowana_inflacja,MATCH(IKE_zakup_domyslny_mc,IKE_wyniki_mc,0))</f>
        <v>112656.31272201912</v>
      </c>
      <c r="W17" s="15"/>
      <c r="X17" s="17"/>
      <c r="Y17" s="60"/>
      <c r="Z17" s="61"/>
      <c r="AA17" s="61"/>
      <c r="AB17" s="61"/>
      <c r="AC17" s="61"/>
      <c r="AD17" s="61"/>
      <c r="AE17" s="61"/>
      <c r="AF17" s="62"/>
      <c r="AG17" s="61"/>
      <c r="AH17" s="7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2"/>
      <c r="BC17" s="61"/>
      <c r="BD17" s="61"/>
      <c r="BE17" s="61"/>
      <c r="BF17" s="62"/>
      <c r="BG17" s="61"/>
      <c r="BI17" s="16"/>
      <c r="BJ17" s="17"/>
      <c r="BK17" s="17"/>
      <c r="BL17" s="17"/>
      <c r="BM17" s="17"/>
      <c r="BN17" s="17"/>
      <c r="BO17" s="17"/>
      <c r="BP17" s="18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8"/>
      <c r="CM17" s="17"/>
      <c r="CN17" s="17"/>
      <c r="CO17" s="17"/>
      <c r="CP17" s="18"/>
      <c r="CQ17" s="17"/>
      <c r="CS17" s="47"/>
      <c r="CT17" s="47"/>
      <c r="CU17" s="47"/>
      <c r="CV17" s="47"/>
      <c r="CW17" s="47"/>
      <c r="CX17" s="47"/>
      <c r="CY17" s="48"/>
      <c r="CZ17" s="47"/>
      <c r="DA17" s="47"/>
      <c r="DB17" s="47"/>
      <c r="DC17" s="48"/>
      <c r="DD17" s="47"/>
      <c r="DE17" s="47"/>
      <c r="DF17" s="47"/>
      <c r="DG17" s="48"/>
      <c r="DH17" s="47"/>
    </row>
    <row r="18" spans="2:112" ht="9.75" customHeight="1" thickBot="1">
      <c r="B18" s="69"/>
      <c r="C18" s="45"/>
      <c r="D18" s="45"/>
      <c r="E18" s="45"/>
      <c r="F18" s="45"/>
      <c r="G18" s="45"/>
      <c r="H18" s="45"/>
      <c r="I18" s="45"/>
      <c r="J18" s="45"/>
      <c r="K18" s="45"/>
      <c r="W18" s="1"/>
      <c r="X18" s="4"/>
      <c r="Y18" s="6"/>
      <c r="Z18" s="5"/>
      <c r="AA18" s="5"/>
      <c r="AB18" s="2"/>
      <c r="AC18" s="2"/>
      <c r="AD18" s="2"/>
      <c r="AE18" s="2"/>
      <c r="AF18" s="1"/>
      <c r="AG18" s="1"/>
      <c r="AI18" s="1">
        <v>2</v>
      </c>
      <c r="AJ18" s="1">
        <v>3</v>
      </c>
      <c r="AK18" s="1">
        <v>4</v>
      </c>
      <c r="AL18" s="1"/>
      <c r="AM18" s="1"/>
      <c r="AN18" s="1"/>
      <c r="AO18" s="1"/>
      <c r="AP18" s="1"/>
      <c r="AQ18" s="1"/>
      <c r="AR18" s="1"/>
      <c r="AS18" s="1"/>
      <c r="AT18" s="2"/>
      <c r="AU18" s="1"/>
      <c r="AV18" s="2"/>
      <c r="AW18" s="1"/>
      <c r="AX18" s="1"/>
      <c r="AY18" s="2"/>
      <c r="AZ18" s="2"/>
      <c r="BA18" s="1"/>
      <c r="BB18" s="1"/>
      <c r="BC18" s="1"/>
      <c r="BD18" s="2"/>
      <c r="BE18" s="1"/>
      <c r="BF18" s="1"/>
      <c r="BG18" s="2"/>
      <c r="BI18" s="6"/>
      <c r="BJ18" s="5"/>
      <c r="BK18" s="5"/>
      <c r="BL18" s="2"/>
      <c r="BM18" s="2"/>
      <c r="BN18" s="2"/>
      <c r="BO18" s="2"/>
      <c r="BP18" s="1"/>
      <c r="BQ18" s="1"/>
      <c r="BR18" s="1"/>
      <c r="BS18" s="1">
        <v>2</v>
      </c>
      <c r="BT18" s="1">
        <v>3</v>
      </c>
      <c r="BU18" s="1">
        <v>4</v>
      </c>
      <c r="BV18" s="1"/>
      <c r="BW18" s="1"/>
      <c r="BX18" s="1"/>
      <c r="BY18" s="1"/>
      <c r="BZ18" s="1"/>
      <c r="CA18" s="1"/>
      <c r="CB18" s="1"/>
      <c r="CC18" s="1"/>
      <c r="CD18" s="2"/>
      <c r="CE18" s="1"/>
      <c r="CF18" s="2"/>
      <c r="CG18" s="1"/>
      <c r="CH18" s="1"/>
      <c r="CI18" s="2"/>
      <c r="CJ18" s="2"/>
      <c r="CK18" s="1"/>
      <c r="CL18" s="1"/>
      <c r="CM18" s="1"/>
      <c r="CN18" s="2"/>
      <c r="CO18" s="1"/>
      <c r="CP18" s="1"/>
      <c r="CQ18" s="2"/>
      <c r="CS18" s="5"/>
      <c r="CT18" s="5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1"/>
      <c r="DG18" s="1"/>
      <c r="DH18" s="2"/>
    </row>
    <row r="19" spans="2:112" ht="81.75" customHeight="1" thickBot="1">
      <c r="B19" s="69"/>
      <c r="C19" s="234" t="s">
        <v>62</v>
      </c>
      <c r="D19" s="229"/>
      <c r="E19" s="229"/>
      <c r="F19" s="229"/>
      <c r="G19" s="229"/>
      <c r="H19" s="229"/>
      <c r="I19" s="229"/>
      <c r="J19" s="229"/>
      <c r="K19" s="230"/>
      <c r="M19" s="227" t="s">
        <v>66</v>
      </c>
      <c r="N19" s="228"/>
      <c r="O19" s="228"/>
      <c r="P19" s="229"/>
      <c r="Q19" s="229"/>
      <c r="R19" s="229"/>
      <c r="S19" s="229"/>
      <c r="T19" s="229"/>
      <c r="U19" s="230"/>
      <c r="W19" s="1">
        <v>1</v>
      </c>
      <c r="X19" s="2">
        <f t="shared" ref="X19:X50" si="0">zakup_domyslny_wartosc*IFERROR((INDEX(scenariusz_I_inflacja_skumulowana,MATCH(ROUNDDOWN(W19/12,0),scenariusz_I_rok,0))+1),1)
*(1+MOD(W19,12)*INDEX(scenariusz_I_inflacja,MATCH(ROUNDUP(W19/12,0),scenariusz_I_rok,0))/12)</f>
        <v>100241.66666666667</v>
      </c>
      <c r="Y19" s="7"/>
      <c r="Z19" s="5">
        <f>zakup_domyslny_ilosc</f>
        <v>1000</v>
      </c>
      <c r="AA19" s="2">
        <f>zakup_domyslny_wartosc</f>
        <v>100000</v>
      </c>
      <c r="AB19" s="2">
        <f>zakup_domyslny_wartosc</f>
        <v>100000</v>
      </c>
      <c r="AC19" s="2">
        <f>zakup_domyslny_wartosc</f>
        <v>100000</v>
      </c>
      <c r="AD19" s="8">
        <f t="shared" ref="AD19:AD50" si="1">IF(AND(MOD($W19,zapadalnosc_TOS)&lt;=zmiana_oprocentowania_co_ile_mc_TOS,MOD($W19,zapadalnosc_TOS)&lt;&gt;0),proc_I_okres_TOS,(marza_TOS+$Y19))</f>
        <v>4.9000000000000002E-2</v>
      </c>
      <c r="AE19" s="2">
        <f t="shared" ref="AE19:AE82" si="2">AC19*(1+AD19*IF(MOD($W19,12)&lt;&gt;0,MOD($W19,12),12)/12)</f>
        <v>100408.33333333334</v>
      </c>
      <c r="AF19" s="2" t="str">
        <f t="shared" ref="AF19:AF50" si="3">IF(MOD($W19,zapadalnosc_TOS)=0,"tak","nie")</f>
        <v>nie</v>
      </c>
      <c r="AG19" s="2">
        <f t="shared" ref="AG19:AG50" si="4">IF(MOD($W19,zapadalnosc_TOS)=0,0,
IF(AND(MOD($W19,zapadalnosc_TOS)&lt;zapadalnosc_TOS,MOD($W19,zapadalnosc_TOS)&lt;=koszt_wczesniejszy_wykup_ochrona_TOS),
MIN(AE19-AB19,Z19*koszt_wczesniejszy_wykup_TOS),Z19*koszt_wczesniejszy_wykup_TOS))</f>
        <v>408.33333333334303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2">
        <f>IF(AND(AF19="tak",AA20&lt;&gt;""),
 AE19-AA20,
0)</f>
        <v>0</v>
      </c>
      <c r="AU19" s="6"/>
      <c r="AV19" s="2">
        <f t="shared" ref="AV19:AV29" si="5">AZ18+AT19+AU19</f>
        <v>0</v>
      </c>
      <c r="AW19" s="6"/>
      <c r="AX19" s="2">
        <f t="shared" ref="AX19:AX50" si="6">AV19-AW19*zamiana_TOS</f>
        <v>0</v>
      </c>
      <c r="AY19" s="1">
        <f t="shared" ref="AY19:AY29" si="7">ROUNDDOWN(AX19/100,0)</f>
        <v>0</v>
      </c>
      <c r="AZ19" s="2">
        <f>AX19-AY19*100</f>
        <v>0</v>
      </c>
      <c r="BA19" s="2">
        <f t="shared" ref="BA19:BA30" si="8">AE19+AN19+AR19+AZ18</f>
        <v>100408.33333333334</v>
      </c>
      <c r="BB19" s="2">
        <f t="shared" ref="BB19:BB50" si="9">MIN(IF(MOD($W19,12)=0,INDEX(IKE_oplata_wskaznik,MATCH(ROUNDUP($W19/12,0),IKE_oplata_rok,0)),0)*BA19,200)</f>
        <v>0</v>
      </c>
      <c r="BC19" s="2">
        <f>BB19+BC18</f>
        <v>0</v>
      </c>
      <c r="BD19" s="2">
        <f t="shared" ref="BD19:BD82" si="10">BA19-BC19</f>
        <v>100408.33333333334</v>
      </c>
      <c r="BE19" s="2">
        <f>AG19+AO19+AS19</f>
        <v>408.33333333334303</v>
      </c>
      <c r="BF19" s="2">
        <f t="shared" ref="BF19:BF82" si="11">(BA19-BE19-zakup_domyslny_wartosc)*podatek_Belki</f>
        <v>0</v>
      </c>
      <c r="BG19" s="2">
        <f t="shared" ref="BG19:BG82" si="12">BA19-BC19-BE19-BF19</f>
        <v>100000</v>
      </c>
      <c r="BI19" s="7"/>
      <c r="BJ19" s="5">
        <f>zakup_domyslny_ilosc</f>
        <v>1000</v>
      </c>
      <c r="BK19" s="2">
        <f>zakup_domyslny_wartosc</f>
        <v>100000</v>
      </c>
      <c r="BL19" s="2">
        <f>zakup_domyslny_wartosc</f>
        <v>100000</v>
      </c>
      <c r="BM19" s="2">
        <f t="shared" ref="BM19:BM50" si="13">BL19</f>
        <v>100000</v>
      </c>
      <c r="BN19" s="8">
        <f t="shared" ref="BN19:BN50" si="14">IF(AND(MOD($W19,zapadalnosc_COI)&lt;=zmiana_oprocentowania_co_ile_mc_COI,MOD($W19,zapadalnosc_COI)&lt;&gt;0),proc_I_okres_COI,(marza_COI+$BI19))</f>
        <v>5.2499999999999998E-2</v>
      </c>
      <c r="BO19" s="2">
        <f t="shared" ref="BO19:BO50" si="15">BM19*(1+BN19*IF(MOD($W19,12)&lt;&gt;0,MOD($W19,12),12)/12)</f>
        <v>100437.5</v>
      </c>
      <c r="BP19" s="2" t="str">
        <f t="shared" ref="BP19:BP50" si="16">IF(MOD($W19,zapadalnosc_COI)=0,"tak","nie")</f>
        <v>nie</v>
      </c>
      <c r="BQ19" s="2">
        <f t="shared" ref="BQ19:BQ50" si="17">IF(MOD($W19,zapadalnosc_COI)=0,0,
IF(AND(MOD($W19,zapadalnosc_COI)&lt;zapadalnosc_COI,MOD($W19,zapadalnosc_COI)&lt;=koszt_wczesniejszy_wykup_ochrona_COI),
MIN(BO19-BL19,BJ19*koszt_wczesniejszy_wykup_COI),BJ19*koszt_wczesniejszy_wykup_COI))</f>
        <v>437.5</v>
      </c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2">
        <f t="shared" ref="CD19:CD50" si="18">IF(MOD($W19,wyplata_odsetek_COI)=0, (BO19-BL19),0)
-IF(AND(BP19="tak",BK20&lt;&gt;""),BK20-BL19,0)</f>
        <v>0</v>
      </c>
      <c r="CE19" s="6"/>
      <c r="CF19" s="2">
        <f t="shared" ref="CF19:CF29" si="19">CJ18+CD19+CE19</f>
        <v>0</v>
      </c>
      <c r="CG19" s="6"/>
      <c r="CH19" s="2">
        <f t="shared" ref="CH19:CH50" si="20">CF19-CG19*zamiana_COI</f>
        <v>0</v>
      </c>
      <c r="CI19" s="1">
        <f t="shared" ref="CI19:CI29" si="21">ROUNDDOWN(CH19/100,0)</f>
        <v>0</v>
      </c>
      <c r="CJ19" s="2">
        <f>CH19-CI19*100</f>
        <v>0</v>
      </c>
      <c r="CK19" s="2">
        <f t="shared" ref="CK19:CK30" si="22">BO19+BX19+CB19+CJ18</f>
        <v>100437.5</v>
      </c>
      <c r="CL19" s="2">
        <f t="shared" ref="CL19:CL50" si="23">MIN(IF(MOD($W19,12)=0,INDEX(IKE_oplata_wskaznik,MATCH(ROUNDUP($W19/12,0),IKE_oplata_rok,0)),0)*CK19,200)</f>
        <v>0</v>
      </c>
      <c r="CM19" s="2">
        <f>CL19+CM18</f>
        <v>0</v>
      </c>
      <c r="CN19" s="2">
        <f t="shared" ref="CN19:CN50" si="24">CK19-CM19</f>
        <v>100437.5</v>
      </c>
      <c r="CO19" s="2">
        <f>BQ19+BY19+CC19</f>
        <v>437.5</v>
      </c>
      <c r="CP19" s="2">
        <f t="shared" ref="CP19:CP50" si="25">(CK19-CO19-zakup_domyslny_wartosc)*podatek_Belki</f>
        <v>0</v>
      </c>
      <c r="CQ19" s="2">
        <f t="shared" ref="CQ19:CQ50" si="26">CK19-CM19-CO19-CP19</f>
        <v>100000</v>
      </c>
      <c r="CS19" s="5">
        <f>zakup_domyslny_ilosc</f>
        <v>1000</v>
      </c>
      <c r="CT19" s="2">
        <f>zakup_domyslny_wartosc</f>
        <v>100000</v>
      </c>
      <c r="CU19" s="2">
        <f>zakup_domyslny_wartosc</f>
        <v>100000</v>
      </c>
      <c r="CV19" s="2">
        <f>zakup_domyslny_wartosc</f>
        <v>100000</v>
      </c>
      <c r="CW19" s="8">
        <f t="shared" ref="CW19:CW50" si="27">IF(AND(MOD($W19,zapadalnosc_EDO)&lt;=12,MOD($W19,zapadalnosc_EDO)&lt;&gt;0),proc_I_okres_EDO,(marza_EDO+$BI19))</f>
        <v>5.7500000000000002E-2</v>
      </c>
      <c r="CX19" s="2">
        <f t="shared" ref="CX19:CX50" si="28">CV19*(1+CW19*IF(MOD($W19,12)&lt;&gt;0,MOD($W19,12),12)/12)</f>
        <v>100479.16666666667</v>
      </c>
      <c r="CY19" s="2" t="str">
        <f t="shared" ref="CY19:CY50" si="29">IF(MOD($W19,zapadalnosc_EDO)=0,"tak","nie")</f>
        <v>nie</v>
      </c>
      <c r="CZ19" s="2">
        <f>IF(AND(CY19="tak",CT20&lt;&gt;""),
 CX19-CT20,
0)</f>
        <v>0</v>
      </c>
      <c r="DA19" s="2">
        <f>DA18+CZ19</f>
        <v>0</v>
      </c>
      <c r="DB19" s="2">
        <f>DA18+CX19</f>
        <v>100479.16666666667</v>
      </c>
      <c r="DC19" s="2">
        <f t="shared" ref="DC19:DC50" si="30">MIN(IF(MOD(W19,12)=0,INDEX(IKE_oplata_wskaznik,MATCH(ROUNDUP(W19/12,0),IKE_oplata_rok,0)),0)*DB19,200)</f>
        <v>0</v>
      </c>
      <c r="DD19" s="2">
        <f>DC19+DD18</f>
        <v>0</v>
      </c>
      <c r="DE19" s="2">
        <f t="shared" ref="DE19" si="31">DB19-DD19</f>
        <v>100479.16666666667</v>
      </c>
      <c r="DF19" s="2">
        <f t="shared" ref="DF19:DF50" si="32">IF(AND(MOD($W19,zapadalnosc_EDO)&lt;zapadalnosc_EDO,MOD($W19,zapadalnosc_EDO)&lt;&gt;0),MIN(CX19-CU19,CS19*koszt_wczesniejszy_wykup_EDO),0)</f>
        <v>479.16666666667152</v>
      </c>
      <c r="DG19" s="2">
        <f t="shared" ref="DG19:DG50" si="33">(CX19-DF19-zakup_domyslny_wartosc)*podatek_Belki</f>
        <v>0</v>
      </c>
      <c r="DH19" s="2">
        <f>DB19-DD19-DF19-DG19</f>
        <v>100000</v>
      </c>
    </row>
    <row r="20" spans="2:112" ht="64.5" customHeight="1">
      <c r="B20" s="69"/>
      <c r="C20" s="37" t="s">
        <v>7</v>
      </c>
      <c r="D20" s="65" t="s">
        <v>104</v>
      </c>
      <c r="E20" s="70" t="s">
        <v>105</v>
      </c>
      <c r="F20" s="42" t="s">
        <v>75</v>
      </c>
      <c r="G20" s="59" t="s">
        <v>74</v>
      </c>
      <c r="H20" s="43" t="s">
        <v>77</v>
      </c>
      <c r="I20" s="46" t="s">
        <v>76</v>
      </c>
      <c r="J20" s="56" t="s">
        <v>68</v>
      </c>
      <c r="K20" s="38" t="s">
        <v>67</v>
      </c>
      <c r="M20" s="37" t="s">
        <v>7</v>
      </c>
      <c r="N20" s="65" t="s">
        <v>104</v>
      </c>
      <c r="O20" s="70" t="s">
        <v>105</v>
      </c>
      <c r="P20" s="42" t="s">
        <v>75</v>
      </c>
      <c r="Q20" s="59" t="s">
        <v>74</v>
      </c>
      <c r="R20" s="43" t="s">
        <v>77</v>
      </c>
      <c r="S20" s="46" t="s">
        <v>76</v>
      </c>
      <c r="T20" s="56" t="s">
        <v>68</v>
      </c>
      <c r="U20" s="38" t="str">
        <f>OBLIGACJE!$K$23</f>
        <v>Skumulowana INFLACJA</v>
      </c>
      <c r="W20" s="1">
        <f t="shared" ref="W20:W51" si="34">W19+1</f>
        <v>2</v>
      </c>
      <c r="X20" s="2">
        <f t="shared" si="0"/>
        <v>100483.33333333333</v>
      </c>
      <c r="Y20" s="7"/>
      <c r="Z20" s="5">
        <f t="shared" ref="Z20:Z51" si="35">IF(AF19="tak",
ROUNDDOWN(AE19/zamiana_TOS,0),
Z19)</f>
        <v>1000</v>
      </c>
      <c r="AA20" s="2">
        <f t="shared" ref="AA20:AA51" si="36">IF(AF19="tak",
Z20*zamiana_TOS,
AA19)</f>
        <v>100000</v>
      </c>
      <c r="AB20" s="2">
        <f t="shared" ref="AB20:AB83" si="37">IF(AF19="tak",
Z20*100,
AB19)</f>
        <v>100000</v>
      </c>
      <c r="AC20" s="2">
        <f t="shared" ref="AC20:AC51" si="38">IF(AF19="tak",
 AB20,
IF(MOD($W20,kapitalizacja_odsetek_mc_TOS)&lt;&gt;1,AC19,AE19))</f>
        <v>100000</v>
      </c>
      <c r="AD20" s="8">
        <f t="shared" si="1"/>
        <v>4.9000000000000002E-2</v>
      </c>
      <c r="AE20" s="2">
        <f t="shared" si="2"/>
        <v>100816.66666666667</v>
      </c>
      <c r="AF20" s="2" t="str">
        <f t="shared" si="3"/>
        <v>nie</v>
      </c>
      <c r="AG20" s="2">
        <f t="shared" si="4"/>
        <v>816.66666666667152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2">
        <f t="shared" ref="AT20:AT83" si="39">IF(AND(AF20="tak",AA21&lt;&gt;""),
 AE20-AA21,
0)</f>
        <v>0</v>
      </c>
      <c r="AU20" s="6"/>
      <c r="AV20" s="2">
        <f t="shared" si="5"/>
        <v>0</v>
      </c>
      <c r="AW20" s="6"/>
      <c r="AX20" s="2">
        <f t="shared" si="6"/>
        <v>0</v>
      </c>
      <c r="AY20" s="1">
        <f t="shared" si="7"/>
        <v>0</v>
      </c>
      <c r="AZ20" s="2">
        <f t="shared" ref="AZ20:AZ83" si="40">AX20-AY20*100</f>
        <v>0</v>
      </c>
      <c r="BA20" s="2">
        <f t="shared" si="8"/>
        <v>100816.66666666667</v>
      </c>
      <c r="BB20" s="2">
        <f t="shared" si="9"/>
        <v>0</v>
      </c>
      <c r="BC20" s="2">
        <f t="shared" ref="BC20:BC83" si="41">BB20+BC19</f>
        <v>0</v>
      </c>
      <c r="BD20" s="2">
        <f t="shared" si="10"/>
        <v>100816.66666666667</v>
      </c>
      <c r="BE20" s="2">
        <f t="shared" ref="BE20:BE83" si="42">AG20+AO20+AS20</f>
        <v>816.66666666667152</v>
      </c>
      <c r="BF20" s="2">
        <f t="shared" si="11"/>
        <v>0</v>
      </c>
      <c r="BG20" s="2">
        <f t="shared" si="12"/>
        <v>100000</v>
      </c>
      <c r="BI20" s="7"/>
      <c r="BJ20" s="5">
        <f t="shared" ref="BJ20:BJ51" si="43">IF(BP19="tak",
ROUNDDOWN(BO19/zamiana_COI,0),
BJ19)</f>
        <v>1000</v>
      </c>
      <c r="BK20" s="2">
        <f t="shared" ref="BK20:BK51" si="44">IF(BP19="tak",
BJ20*zamiana_COI,
BK19)</f>
        <v>100000</v>
      </c>
      <c r="BL20" s="2">
        <f t="shared" ref="BL20:BL51" si="45">IF(BP19="tak",
BJ20*100,
BL19)</f>
        <v>100000</v>
      </c>
      <c r="BM20" s="2">
        <f t="shared" si="13"/>
        <v>100000</v>
      </c>
      <c r="BN20" s="8">
        <f t="shared" si="14"/>
        <v>5.2499999999999998E-2</v>
      </c>
      <c r="BO20" s="2">
        <f t="shared" si="15"/>
        <v>100875</v>
      </c>
      <c r="BP20" s="2" t="str">
        <f t="shared" si="16"/>
        <v>nie</v>
      </c>
      <c r="BQ20" s="2">
        <f t="shared" si="17"/>
        <v>875</v>
      </c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2">
        <f t="shared" si="18"/>
        <v>0</v>
      </c>
      <c r="CE20" s="6"/>
      <c r="CF20" s="2">
        <f t="shared" si="19"/>
        <v>0</v>
      </c>
      <c r="CG20" s="6"/>
      <c r="CH20" s="2">
        <f t="shared" si="20"/>
        <v>0</v>
      </c>
      <c r="CI20" s="1">
        <f t="shared" si="21"/>
        <v>0</v>
      </c>
      <c r="CJ20" s="2">
        <f t="shared" ref="CJ20:CJ31" si="46">CH20-CI20*100</f>
        <v>0</v>
      </c>
      <c r="CK20" s="2">
        <f t="shared" si="22"/>
        <v>100875</v>
      </c>
      <c r="CL20" s="2">
        <f t="shared" si="23"/>
        <v>0</v>
      </c>
      <c r="CM20" s="2">
        <f t="shared" ref="CM20:CM83" si="47">CL20+CM19</f>
        <v>0</v>
      </c>
      <c r="CN20" s="2">
        <f t="shared" si="24"/>
        <v>100875</v>
      </c>
      <c r="CO20" s="2">
        <f t="shared" ref="CO20:CO83" si="48">BQ20+BY20+CC20</f>
        <v>875</v>
      </c>
      <c r="CP20" s="2">
        <f t="shared" si="25"/>
        <v>0</v>
      </c>
      <c r="CQ20" s="2">
        <f t="shared" si="26"/>
        <v>100000</v>
      </c>
      <c r="CS20" s="5">
        <f t="shared" ref="CS20:CS51" si="49">IF(CY19="tak",
ROUNDDOWN(CX19/zamiana_EDO,0),
CS19)</f>
        <v>1000</v>
      </c>
      <c r="CT20" s="2">
        <f t="shared" ref="CT20:CT51" si="50">IF(CY19="tak",
CS20*zamiana_EDO,
CT19)</f>
        <v>100000</v>
      </c>
      <c r="CU20" s="2">
        <f t="shared" ref="CU20:CU51" si="51">IF(CY19="tak",
CS20*100,
CU19)</f>
        <v>100000</v>
      </c>
      <c r="CV20" s="2">
        <f t="shared" ref="CV20:CV51" si="52">IF(CY19="tak",
 CU20,
IF(MOD($W20,kapitalizacja_odsetek_mc_EDO)&lt;&gt;1,CV19,CX19))</f>
        <v>100000</v>
      </c>
      <c r="CW20" s="8">
        <f t="shared" si="27"/>
        <v>5.7500000000000002E-2</v>
      </c>
      <c r="CX20" s="2">
        <f t="shared" si="28"/>
        <v>100958.33333333333</v>
      </c>
      <c r="CY20" s="2" t="str">
        <f t="shared" si="29"/>
        <v>nie</v>
      </c>
      <c r="CZ20" s="2">
        <f t="shared" ref="CZ20:CZ83" si="53">IF(AND(CY20="tak",CT21&lt;&gt;""),
 CX20-CT21,
0)</f>
        <v>0</v>
      </c>
      <c r="DA20" s="2">
        <f t="shared" ref="DA20:DA83" si="54">DA19+CZ20</f>
        <v>0</v>
      </c>
      <c r="DB20" s="2">
        <f t="shared" ref="DB20:DB83" si="55">DA19+CX20</f>
        <v>100958.33333333333</v>
      </c>
      <c r="DC20" s="2">
        <f t="shared" si="30"/>
        <v>0</v>
      </c>
      <c r="DD20" s="2">
        <f t="shared" ref="DD20:DD83" si="56">DC20+DD19</f>
        <v>0</v>
      </c>
      <c r="DE20" s="2">
        <f t="shared" ref="DE20:DE83" si="57">DB20-DD20</f>
        <v>100958.33333333333</v>
      </c>
      <c r="DF20" s="2">
        <f t="shared" si="32"/>
        <v>958.33333333332848</v>
      </c>
      <c r="DG20" s="2">
        <f t="shared" si="33"/>
        <v>0</v>
      </c>
      <c r="DH20" s="2">
        <f t="shared" ref="DH20:DH83" si="58">DB20-DD20-DF20-DG20</f>
        <v>100000</v>
      </c>
    </row>
    <row r="21" spans="2:112">
      <c r="C21" s="51">
        <v>0</v>
      </c>
      <c r="D21" s="2">
        <f t="shared" ref="D21:K21" si="59">zakup_domyslny_wartosc</f>
        <v>100000</v>
      </c>
      <c r="E21" s="2">
        <f t="shared" si="59"/>
        <v>100000</v>
      </c>
      <c r="F21" s="2">
        <f t="shared" si="59"/>
        <v>100000</v>
      </c>
      <c r="G21" s="2">
        <f t="shared" si="59"/>
        <v>100000</v>
      </c>
      <c r="H21" s="2">
        <f t="shared" si="59"/>
        <v>100000</v>
      </c>
      <c r="I21" s="2">
        <f t="shared" si="59"/>
        <v>100000</v>
      </c>
      <c r="J21" s="52">
        <f t="shared" si="59"/>
        <v>100000</v>
      </c>
      <c r="K21" s="44">
        <f t="shared" si="59"/>
        <v>100000</v>
      </c>
      <c r="M21" s="51">
        <v>0</v>
      </c>
      <c r="N21" s="25">
        <f t="shared" ref="N21:N33" si="60">D21/zakup_domyslny_wartosc-1</f>
        <v>0</v>
      </c>
      <c r="O21" s="25">
        <f t="shared" ref="O21:O33" si="61">E21/zakup_domyslny_wartosc-1</f>
        <v>0</v>
      </c>
      <c r="P21" s="25">
        <f t="shared" ref="P21:P33" si="62">F21/zakup_domyslny_wartosc-1</f>
        <v>0</v>
      </c>
      <c r="Q21" s="25">
        <f t="shared" ref="Q21:Q33" si="63">G21/zakup_domyslny_wartosc-1</f>
        <v>0</v>
      </c>
      <c r="R21" s="25">
        <f t="shared" ref="R21:R33" si="64">H21/zakup_domyslny_wartosc-1</f>
        <v>0</v>
      </c>
      <c r="S21" s="25">
        <f t="shared" ref="S21:S33" si="65">I21/zakup_domyslny_wartosc-1</f>
        <v>0</v>
      </c>
      <c r="T21" s="25">
        <f t="shared" ref="T21:T33" si="66">J21/zakup_domyslny_wartosc-1</f>
        <v>0</v>
      </c>
      <c r="U21" s="27">
        <f t="shared" ref="U21:U33" si="67">K21/zakup_domyslny_wartosc-1</f>
        <v>0</v>
      </c>
      <c r="W21" s="1">
        <f t="shared" si="34"/>
        <v>3</v>
      </c>
      <c r="X21" s="2">
        <f t="shared" si="0"/>
        <v>100725</v>
      </c>
      <c r="Y21" s="7"/>
      <c r="Z21" s="5">
        <f t="shared" si="35"/>
        <v>1000</v>
      </c>
      <c r="AA21" s="2">
        <f t="shared" si="36"/>
        <v>100000</v>
      </c>
      <c r="AB21" s="2">
        <f t="shared" si="37"/>
        <v>100000</v>
      </c>
      <c r="AC21" s="2">
        <f t="shared" si="38"/>
        <v>100000</v>
      </c>
      <c r="AD21" s="8">
        <f t="shared" si="1"/>
        <v>4.9000000000000002E-2</v>
      </c>
      <c r="AE21" s="2">
        <f t="shared" si="2"/>
        <v>101225.00000000001</v>
      </c>
      <c r="AF21" s="2" t="str">
        <f t="shared" si="3"/>
        <v>nie</v>
      </c>
      <c r="AG21" s="2">
        <f t="shared" si="4"/>
        <v>1000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2">
        <f t="shared" si="39"/>
        <v>0</v>
      </c>
      <c r="AU21" s="6"/>
      <c r="AV21" s="2">
        <f t="shared" si="5"/>
        <v>0</v>
      </c>
      <c r="AW21" s="6"/>
      <c r="AX21" s="2">
        <f t="shared" si="6"/>
        <v>0</v>
      </c>
      <c r="AY21" s="1">
        <f t="shared" si="7"/>
        <v>0</v>
      </c>
      <c r="AZ21" s="2">
        <f t="shared" si="40"/>
        <v>0</v>
      </c>
      <c r="BA21" s="2">
        <f t="shared" si="8"/>
        <v>101225.00000000001</v>
      </c>
      <c r="BB21" s="2">
        <f t="shared" si="9"/>
        <v>0</v>
      </c>
      <c r="BC21" s="2">
        <f t="shared" si="41"/>
        <v>0</v>
      </c>
      <c r="BD21" s="2">
        <f t="shared" si="10"/>
        <v>101225.00000000001</v>
      </c>
      <c r="BE21" s="2">
        <f t="shared" si="42"/>
        <v>1000</v>
      </c>
      <c r="BF21" s="2">
        <f t="shared" si="11"/>
        <v>42.750000000002764</v>
      </c>
      <c r="BG21" s="2">
        <f t="shared" si="12"/>
        <v>100182.25000000001</v>
      </c>
      <c r="BI21" s="7"/>
      <c r="BJ21" s="5">
        <f t="shared" si="43"/>
        <v>1000</v>
      </c>
      <c r="BK21" s="2">
        <f t="shared" si="44"/>
        <v>100000</v>
      </c>
      <c r="BL21" s="2">
        <f t="shared" si="45"/>
        <v>100000</v>
      </c>
      <c r="BM21" s="2">
        <f t="shared" si="13"/>
        <v>100000</v>
      </c>
      <c r="BN21" s="8">
        <f t="shared" si="14"/>
        <v>5.2499999999999998E-2</v>
      </c>
      <c r="BO21" s="2">
        <f t="shared" si="15"/>
        <v>101312.5</v>
      </c>
      <c r="BP21" s="2" t="str">
        <f t="shared" si="16"/>
        <v>nie</v>
      </c>
      <c r="BQ21" s="2">
        <f t="shared" si="17"/>
        <v>1312.5</v>
      </c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2">
        <f t="shared" si="18"/>
        <v>0</v>
      </c>
      <c r="CE21" s="6"/>
      <c r="CF21" s="2">
        <f t="shared" si="19"/>
        <v>0</v>
      </c>
      <c r="CG21" s="6"/>
      <c r="CH21" s="2">
        <f t="shared" si="20"/>
        <v>0</v>
      </c>
      <c r="CI21" s="1">
        <f t="shared" si="21"/>
        <v>0</v>
      </c>
      <c r="CJ21" s="2">
        <f t="shared" si="46"/>
        <v>0</v>
      </c>
      <c r="CK21" s="2">
        <f t="shared" si="22"/>
        <v>101312.5</v>
      </c>
      <c r="CL21" s="2">
        <f t="shared" si="23"/>
        <v>0</v>
      </c>
      <c r="CM21" s="2">
        <f t="shared" si="47"/>
        <v>0</v>
      </c>
      <c r="CN21" s="2">
        <f t="shared" si="24"/>
        <v>101312.5</v>
      </c>
      <c r="CO21" s="2">
        <f t="shared" si="48"/>
        <v>1312.5</v>
      </c>
      <c r="CP21" s="2">
        <f t="shared" si="25"/>
        <v>0</v>
      </c>
      <c r="CQ21" s="2">
        <f t="shared" si="26"/>
        <v>100000</v>
      </c>
      <c r="CS21" s="5">
        <f t="shared" si="49"/>
        <v>1000</v>
      </c>
      <c r="CT21" s="2">
        <f t="shared" si="50"/>
        <v>100000</v>
      </c>
      <c r="CU21" s="2">
        <f t="shared" si="51"/>
        <v>100000</v>
      </c>
      <c r="CV21" s="2">
        <f t="shared" si="52"/>
        <v>100000</v>
      </c>
      <c r="CW21" s="8">
        <f t="shared" si="27"/>
        <v>5.7500000000000002E-2</v>
      </c>
      <c r="CX21" s="2">
        <f t="shared" si="28"/>
        <v>101437.5</v>
      </c>
      <c r="CY21" s="2" t="str">
        <f t="shared" si="29"/>
        <v>nie</v>
      </c>
      <c r="CZ21" s="2">
        <f t="shared" si="53"/>
        <v>0</v>
      </c>
      <c r="DA21" s="2">
        <f t="shared" si="54"/>
        <v>0</v>
      </c>
      <c r="DB21" s="2">
        <f t="shared" si="55"/>
        <v>101437.5</v>
      </c>
      <c r="DC21" s="2">
        <f t="shared" si="30"/>
        <v>0</v>
      </c>
      <c r="DD21" s="2">
        <f t="shared" si="56"/>
        <v>0</v>
      </c>
      <c r="DE21" s="2">
        <f t="shared" si="57"/>
        <v>101437.5</v>
      </c>
      <c r="DF21" s="2">
        <f t="shared" si="32"/>
        <v>1437.5</v>
      </c>
      <c r="DG21" s="2">
        <f t="shared" si="33"/>
        <v>0</v>
      </c>
      <c r="DH21" s="2">
        <f t="shared" si="58"/>
        <v>100000</v>
      </c>
    </row>
    <row r="22" spans="2:112">
      <c r="C22" s="23">
        <v>1</v>
      </c>
      <c r="D22" s="2">
        <f t="shared" ref="D22:D33" si="68">INDEX(IKE_wyniki_TOS_preferencje,MATCH(C22*12,IKE_wyniki_mc,0))</f>
        <v>104900</v>
      </c>
      <c r="E22" s="2">
        <f t="shared" ref="E22:E33" si="69">INDEX(IKE_wyniki_TOS_I,MATCH(C22*12,IKE_wyniki_mc,0))</f>
        <v>103159</v>
      </c>
      <c r="F22" s="2">
        <f t="shared" ref="F22:F33" si="70">INDEX(IKE_wyniki_COI_preferencje,MATCH(C22*12,IKE_wyniki_mc,0))</f>
        <v>105250</v>
      </c>
      <c r="G22" s="2">
        <f t="shared" ref="G22:G33" si="71">INDEX(IKE_wyniki_COI_I,MATCH(C22*12,IKE_wyniki_mc,0))</f>
        <v>102632.5</v>
      </c>
      <c r="H22" s="2">
        <f t="shared" ref="H22:H33" si="72">INDEX(IKE_wyniki_EDO_preferencje,MATCH(C22*12,IKE_wyniki_mc,0))</f>
        <v>105750.00000000001</v>
      </c>
      <c r="I22" s="2">
        <f t="shared" ref="I22:I33" si="73">INDEX(IKE_wyniki_EDO_I,MATCH(C22*12,IKE_wyniki_mc,0))</f>
        <v>102227.50000000001</v>
      </c>
      <c r="J22" s="52">
        <f t="shared" ref="J22:J33" si="74">FV(INDEX(scenariusz_I_konto,MATCH(C22,scenariusz_I_rok,0))/12*(1-podatek_Belki),12,0,-J21,1)</f>
        <v>103706.51507016462</v>
      </c>
      <c r="K22" s="44">
        <f t="shared" ref="K22:K33" si="75">INDEX(IKE_wyniki_skumulowana_inflacja,MATCH(C22*12,IKE_wyniki_mc,0))</f>
        <v>102899.99999999999</v>
      </c>
      <c r="M22" s="23">
        <v>1</v>
      </c>
      <c r="N22" s="25">
        <f t="shared" si="60"/>
        <v>4.8999999999999932E-2</v>
      </c>
      <c r="O22" s="25">
        <f t="shared" si="61"/>
        <v>3.1590000000000007E-2</v>
      </c>
      <c r="P22" s="25">
        <f t="shared" si="62"/>
        <v>5.2499999999999991E-2</v>
      </c>
      <c r="Q22" s="25">
        <f t="shared" si="63"/>
        <v>2.6324999999999932E-2</v>
      </c>
      <c r="R22" s="25">
        <f t="shared" si="64"/>
        <v>5.7500000000000107E-2</v>
      </c>
      <c r="S22" s="26">
        <f t="shared" si="65"/>
        <v>2.2275000000000045E-2</v>
      </c>
      <c r="T22" s="25">
        <f t="shared" si="66"/>
        <v>3.7065150701646177E-2</v>
      </c>
      <c r="U22" s="27">
        <f t="shared" si="67"/>
        <v>2.8999999999999915E-2</v>
      </c>
      <c r="W22" s="1">
        <f t="shared" si="34"/>
        <v>4</v>
      </c>
      <c r="X22" s="2">
        <f t="shared" si="0"/>
        <v>100966.66666666667</v>
      </c>
      <c r="Y22" s="7"/>
      <c r="Z22" s="5">
        <f t="shared" si="35"/>
        <v>1000</v>
      </c>
      <c r="AA22" s="2">
        <f t="shared" si="36"/>
        <v>100000</v>
      </c>
      <c r="AB22" s="2">
        <f t="shared" si="37"/>
        <v>100000</v>
      </c>
      <c r="AC22" s="2">
        <f t="shared" si="38"/>
        <v>100000</v>
      </c>
      <c r="AD22" s="8">
        <f t="shared" si="1"/>
        <v>4.9000000000000002E-2</v>
      </c>
      <c r="AE22" s="2">
        <f t="shared" si="2"/>
        <v>101633.33333333333</v>
      </c>
      <c r="AF22" s="2" t="str">
        <f t="shared" si="3"/>
        <v>nie</v>
      </c>
      <c r="AG22" s="2">
        <f t="shared" si="4"/>
        <v>1000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2">
        <f t="shared" si="39"/>
        <v>0</v>
      </c>
      <c r="AU22" s="6"/>
      <c r="AV22" s="2">
        <f t="shared" si="5"/>
        <v>0</v>
      </c>
      <c r="AW22" s="6"/>
      <c r="AX22" s="2">
        <f t="shared" si="6"/>
        <v>0</v>
      </c>
      <c r="AY22" s="1">
        <f t="shared" si="7"/>
        <v>0</v>
      </c>
      <c r="AZ22" s="2">
        <f t="shared" si="40"/>
        <v>0</v>
      </c>
      <c r="BA22" s="2">
        <f t="shared" si="8"/>
        <v>101633.33333333333</v>
      </c>
      <c r="BB22" s="2">
        <f t="shared" si="9"/>
        <v>0</v>
      </c>
      <c r="BC22" s="2">
        <f t="shared" si="41"/>
        <v>0</v>
      </c>
      <c r="BD22" s="2">
        <f t="shared" si="10"/>
        <v>101633.33333333333</v>
      </c>
      <c r="BE22" s="2">
        <f t="shared" si="42"/>
        <v>1000</v>
      </c>
      <c r="BF22" s="2">
        <f t="shared" si="11"/>
        <v>120.33333333333242</v>
      </c>
      <c r="BG22" s="2">
        <f t="shared" si="12"/>
        <v>100513</v>
      </c>
      <c r="BI22" s="7"/>
      <c r="BJ22" s="5">
        <f t="shared" si="43"/>
        <v>1000</v>
      </c>
      <c r="BK22" s="2">
        <f t="shared" si="44"/>
        <v>100000</v>
      </c>
      <c r="BL22" s="2">
        <f t="shared" si="45"/>
        <v>100000</v>
      </c>
      <c r="BM22" s="2">
        <f t="shared" si="13"/>
        <v>100000</v>
      </c>
      <c r="BN22" s="8">
        <f t="shared" si="14"/>
        <v>5.2499999999999998E-2</v>
      </c>
      <c r="BO22" s="2">
        <f t="shared" si="15"/>
        <v>101750</v>
      </c>
      <c r="BP22" s="2" t="str">
        <f t="shared" si="16"/>
        <v>nie</v>
      </c>
      <c r="BQ22" s="2">
        <f t="shared" si="17"/>
        <v>1750</v>
      </c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2">
        <f t="shared" si="18"/>
        <v>0</v>
      </c>
      <c r="CE22" s="6"/>
      <c r="CF22" s="2">
        <f t="shared" si="19"/>
        <v>0</v>
      </c>
      <c r="CG22" s="6"/>
      <c r="CH22" s="2">
        <f t="shared" si="20"/>
        <v>0</v>
      </c>
      <c r="CI22" s="1">
        <f t="shared" si="21"/>
        <v>0</v>
      </c>
      <c r="CJ22" s="2">
        <f t="shared" si="46"/>
        <v>0</v>
      </c>
      <c r="CK22" s="2">
        <f t="shared" si="22"/>
        <v>101750</v>
      </c>
      <c r="CL22" s="2">
        <f t="shared" si="23"/>
        <v>0</v>
      </c>
      <c r="CM22" s="2">
        <f t="shared" si="47"/>
        <v>0</v>
      </c>
      <c r="CN22" s="2">
        <f t="shared" si="24"/>
        <v>101750</v>
      </c>
      <c r="CO22" s="2">
        <f t="shared" si="48"/>
        <v>1750</v>
      </c>
      <c r="CP22" s="2">
        <f t="shared" si="25"/>
        <v>0</v>
      </c>
      <c r="CQ22" s="2">
        <f t="shared" si="26"/>
        <v>100000</v>
      </c>
      <c r="CS22" s="5">
        <f t="shared" si="49"/>
        <v>1000</v>
      </c>
      <c r="CT22" s="2">
        <f t="shared" si="50"/>
        <v>100000</v>
      </c>
      <c r="CU22" s="2">
        <f t="shared" si="51"/>
        <v>100000</v>
      </c>
      <c r="CV22" s="2">
        <f t="shared" si="52"/>
        <v>100000</v>
      </c>
      <c r="CW22" s="8">
        <f t="shared" si="27"/>
        <v>5.7500000000000002E-2</v>
      </c>
      <c r="CX22" s="2">
        <f t="shared" si="28"/>
        <v>101916.66666666667</v>
      </c>
      <c r="CY22" s="2" t="str">
        <f t="shared" si="29"/>
        <v>nie</v>
      </c>
      <c r="CZ22" s="2">
        <f t="shared" si="53"/>
        <v>0</v>
      </c>
      <c r="DA22" s="2">
        <f t="shared" si="54"/>
        <v>0</v>
      </c>
      <c r="DB22" s="2">
        <f t="shared" si="55"/>
        <v>101916.66666666667</v>
      </c>
      <c r="DC22" s="2">
        <f t="shared" si="30"/>
        <v>0</v>
      </c>
      <c r="DD22" s="2">
        <f t="shared" si="56"/>
        <v>0</v>
      </c>
      <c r="DE22" s="2">
        <f t="shared" si="57"/>
        <v>101916.66666666667</v>
      </c>
      <c r="DF22" s="2">
        <f t="shared" si="32"/>
        <v>1916.6666666666715</v>
      </c>
      <c r="DG22" s="2">
        <f t="shared" si="33"/>
        <v>0</v>
      </c>
      <c r="DH22" s="2">
        <f t="shared" si="58"/>
        <v>100000</v>
      </c>
    </row>
    <row r="23" spans="2:112">
      <c r="C23" s="23">
        <v>2</v>
      </c>
      <c r="D23" s="2">
        <f t="shared" si="68"/>
        <v>109864.03584</v>
      </c>
      <c r="E23" s="2">
        <f t="shared" si="69"/>
        <v>107146.41684000001</v>
      </c>
      <c r="F23" s="2">
        <f t="shared" si="70"/>
        <v>109747.1232</v>
      </c>
      <c r="G23" s="2">
        <f t="shared" si="71"/>
        <v>106157.5132</v>
      </c>
      <c r="H23" s="2">
        <f t="shared" si="72"/>
        <v>110754.25920000001</v>
      </c>
      <c r="I23" s="2">
        <f t="shared" si="73"/>
        <v>106247.22670000001</v>
      </c>
      <c r="J23" s="52">
        <f t="shared" si="74"/>
        <v>107550.41267998281</v>
      </c>
      <c r="K23" s="44">
        <f t="shared" si="75"/>
        <v>105884.09999999999</v>
      </c>
      <c r="M23" s="23">
        <v>2</v>
      </c>
      <c r="N23" s="25">
        <f t="shared" si="60"/>
        <v>9.8640358399999961E-2</v>
      </c>
      <c r="O23" s="25">
        <f t="shared" si="61"/>
        <v>7.1464168400000139E-2</v>
      </c>
      <c r="P23" s="25">
        <f t="shared" si="62"/>
        <v>9.7471231999999963E-2</v>
      </c>
      <c r="Q23" s="25">
        <f t="shared" si="63"/>
        <v>6.1575131999999977E-2</v>
      </c>
      <c r="R23" s="25">
        <f t="shared" si="64"/>
        <v>0.10754259200000016</v>
      </c>
      <c r="S23" s="26">
        <f t="shared" si="65"/>
        <v>6.2472267000000192E-2</v>
      </c>
      <c r="T23" s="53">
        <f t="shared" si="66"/>
        <v>7.5504126799827986E-2</v>
      </c>
      <c r="U23" s="27">
        <f t="shared" si="67"/>
        <v>5.8840999999999921E-2</v>
      </c>
      <c r="W23" s="1">
        <f t="shared" si="34"/>
        <v>5</v>
      </c>
      <c r="X23" s="2">
        <f t="shared" si="0"/>
        <v>101208.33333333334</v>
      </c>
      <c r="Y23" s="7"/>
      <c r="Z23" s="5">
        <f t="shared" si="35"/>
        <v>1000</v>
      </c>
      <c r="AA23" s="2">
        <f t="shared" si="36"/>
        <v>100000</v>
      </c>
      <c r="AB23" s="2">
        <f t="shared" si="37"/>
        <v>100000</v>
      </c>
      <c r="AC23" s="2">
        <f t="shared" si="38"/>
        <v>100000</v>
      </c>
      <c r="AD23" s="8">
        <f t="shared" si="1"/>
        <v>4.9000000000000002E-2</v>
      </c>
      <c r="AE23" s="2">
        <f t="shared" si="2"/>
        <v>102041.66666666667</v>
      </c>
      <c r="AF23" s="2" t="str">
        <f t="shared" si="3"/>
        <v>nie</v>
      </c>
      <c r="AG23" s="2">
        <f t="shared" si="4"/>
        <v>1000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2">
        <f t="shared" si="39"/>
        <v>0</v>
      </c>
      <c r="AU23" s="6"/>
      <c r="AV23" s="2">
        <f t="shared" si="5"/>
        <v>0</v>
      </c>
      <c r="AW23" s="6"/>
      <c r="AX23" s="2">
        <f t="shared" si="6"/>
        <v>0</v>
      </c>
      <c r="AY23" s="1">
        <f t="shared" si="7"/>
        <v>0</v>
      </c>
      <c r="AZ23" s="2">
        <f t="shared" si="40"/>
        <v>0</v>
      </c>
      <c r="BA23" s="2">
        <f t="shared" si="8"/>
        <v>102041.66666666667</v>
      </c>
      <c r="BB23" s="2">
        <f t="shared" si="9"/>
        <v>0</v>
      </c>
      <c r="BC23" s="2">
        <f t="shared" si="41"/>
        <v>0</v>
      </c>
      <c r="BD23" s="2">
        <f t="shared" si="10"/>
        <v>102041.66666666667</v>
      </c>
      <c r="BE23" s="2">
        <f t="shared" si="42"/>
        <v>1000</v>
      </c>
      <c r="BF23" s="2">
        <f t="shared" si="11"/>
        <v>197.9166666666676</v>
      </c>
      <c r="BG23" s="2">
        <f t="shared" si="12"/>
        <v>100843.75</v>
      </c>
      <c r="BI23" s="7"/>
      <c r="BJ23" s="5">
        <f t="shared" si="43"/>
        <v>1000</v>
      </c>
      <c r="BK23" s="2">
        <f t="shared" si="44"/>
        <v>100000</v>
      </c>
      <c r="BL23" s="2">
        <f t="shared" si="45"/>
        <v>100000</v>
      </c>
      <c r="BM23" s="2">
        <f t="shared" si="13"/>
        <v>100000</v>
      </c>
      <c r="BN23" s="8">
        <f t="shared" si="14"/>
        <v>5.2499999999999998E-2</v>
      </c>
      <c r="BO23" s="2">
        <f t="shared" si="15"/>
        <v>102187.50000000001</v>
      </c>
      <c r="BP23" s="2" t="str">
        <f t="shared" si="16"/>
        <v>nie</v>
      </c>
      <c r="BQ23" s="2">
        <f t="shared" si="17"/>
        <v>2000</v>
      </c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2">
        <f t="shared" si="18"/>
        <v>0</v>
      </c>
      <c r="CE23" s="6"/>
      <c r="CF23" s="2">
        <f t="shared" si="19"/>
        <v>0</v>
      </c>
      <c r="CG23" s="6"/>
      <c r="CH23" s="2">
        <f t="shared" si="20"/>
        <v>0</v>
      </c>
      <c r="CI23" s="1">
        <f t="shared" si="21"/>
        <v>0</v>
      </c>
      <c r="CJ23" s="2">
        <f t="shared" si="46"/>
        <v>0</v>
      </c>
      <c r="CK23" s="2">
        <f t="shared" si="22"/>
        <v>102187.50000000001</v>
      </c>
      <c r="CL23" s="2">
        <f t="shared" si="23"/>
        <v>0</v>
      </c>
      <c r="CM23" s="2">
        <f t="shared" si="47"/>
        <v>0</v>
      </c>
      <c r="CN23" s="2">
        <f t="shared" si="24"/>
        <v>102187.50000000001</v>
      </c>
      <c r="CO23" s="2">
        <f t="shared" si="48"/>
        <v>2000</v>
      </c>
      <c r="CP23" s="2">
        <f t="shared" si="25"/>
        <v>35.625000000002764</v>
      </c>
      <c r="CQ23" s="2">
        <f t="shared" si="26"/>
        <v>100151.87500000001</v>
      </c>
      <c r="CS23" s="5">
        <f t="shared" si="49"/>
        <v>1000</v>
      </c>
      <c r="CT23" s="2">
        <f t="shared" si="50"/>
        <v>100000</v>
      </c>
      <c r="CU23" s="2">
        <f t="shared" si="51"/>
        <v>100000</v>
      </c>
      <c r="CV23" s="2">
        <f t="shared" si="52"/>
        <v>100000</v>
      </c>
      <c r="CW23" s="8">
        <f t="shared" si="27"/>
        <v>5.7500000000000002E-2</v>
      </c>
      <c r="CX23" s="2">
        <f t="shared" si="28"/>
        <v>102395.83333333333</v>
      </c>
      <c r="CY23" s="2" t="str">
        <f t="shared" si="29"/>
        <v>nie</v>
      </c>
      <c r="CZ23" s="2">
        <f t="shared" si="53"/>
        <v>0</v>
      </c>
      <c r="DA23" s="2">
        <f t="shared" si="54"/>
        <v>0</v>
      </c>
      <c r="DB23" s="2">
        <f t="shared" si="55"/>
        <v>102395.83333333333</v>
      </c>
      <c r="DC23" s="2">
        <f t="shared" si="30"/>
        <v>0</v>
      </c>
      <c r="DD23" s="2">
        <f t="shared" si="56"/>
        <v>0</v>
      </c>
      <c r="DE23" s="2">
        <f t="shared" si="57"/>
        <v>102395.83333333333</v>
      </c>
      <c r="DF23" s="2">
        <f t="shared" si="32"/>
        <v>2395.8333333333285</v>
      </c>
      <c r="DG23" s="2">
        <f t="shared" si="33"/>
        <v>0</v>
      </c>
      <c r="DH23" s="2">
        <f t="shared" si="58"/>
        <v>100000</v>
      </c>
    </row>
    <row r="24" spans="2:112">
      <c r="C24" s="23">
        <v>3</v>
      </c>
      <c r="D24" s="2">
        <f t="shared" si="68"/>
        <v>114445.57741151999</v>
      </c>
      <c r="E24" s="2">
        <f t="shared" si="69"/>
        <v>111634.74927071999</v>
      </c>
      <c r="F24" s="2">
        <f t="shared" si="70"/>
        <v>114450.47537500001</v>
      </c>
      <c r="G24" s="2">
        <f t="shared" si="71"/>
        <v>109858.37087500001</v>
      </c>
      <c r="H24" s="2">
        <f t="shared" si="72"/>
        <v>116015.363841375</v>
      </c>
      <c r="I24" s="2">
        <f t="shared" si="73"/>
        <v>110475.55674887499</v>
      </c>
      <c r="J24" s="52">
        <f t="shared" si="74"/>
        <v>111536.78493399061</v>
      </c>
      <c r="K24" s="44">
        <f t="shared" si="75"/>
        <v>108954.73889999998</v>
      </c>
      <c r="M24" s="23">
        <v>3</v>
      </c>
      <c r="N24" s="25">
        <f t="shared" si="60"/>
        <v>0.14445577411519994</v>
      </c>
      <c r="O24" s="25">
        <f t="shared" si="61"/>
        <v>0.11634749270719991</v>
      </c>
      <c r="P24" s="25">
        <f t="shared" si="62"/>
        <v>0.14450475375000016</v>
      </c>
      <c r="Q24" s="25">
        <f t="shared" si="63"/>
        <v>9.858370875000011E-2</v>
      </c>
      <c r="R24" s="25">
        <f t="shared" si="64"/>
        <v>0.16015363841375008</v>
      </c>
      <c r="S24" s="26">
        <f t="shared" si="65"/>
        <v>0.10475556748874992</v>
      </c>
      <c r="T24" s="53">
        <f t="shared" si="66"/>
        <v>0.11536784933990618</v>
      </c>
      <c r="U24" s="27">
        <f t="shared" si="67"/>
        <v>8.9547388999999811E-2</v>
      </c>
      <c r="W24" s="1">
        <f t="shared" si="34"/>
        <v>6</v>
      </c>
      <c r="X24" s="2">
        <f t="shared" si="0"/>
        <v>101450</v>
      </c>
      <c r="Y24" s="7"/>
      <c r="Z24" s="5">
        <f t="shared" si="35"/>
        <v>1000</v>
      </c>
      <c r="AA24" s="2">
        <f t="shared" si="36"/>
        <v>100000</v>
      </c>
      <c r="AB24" s="2">
        <f t="shared" si="37"/>
        <v>100000</v>
      </c>
      <c r="AC24" s="2">
        <f t="shared" si="38"/>
        <v>100000</v>
      </c>
      <c r="AD24" s="8">
        <f t="shared" si="1"/>
        <v>4.9000000000000002E-2</v>
      </c>
      <c r="AE24" s="2">
        <f t="shared" si="2"/>
        <v>102450</v>
      </c>
      <c r="AF24" s="2" t="str">
        <f t="shared" si="3"/>
        <v>nie</v>
      </c>
      <c r="AG24" s="2">
        <f t="shared" si="4"/>
        <v>1000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2">
        <f t="shared" si="39"/>
        <v>0</v>
      </c>
      <c r="AU24" s="6"/>
      <c r="AV24" s="2">
        <f t="shared" si="5"/>
        <v>0</v>
      </c>
      <c r="AW24" s="6"/>
      <c r="AX24" s="2">
        <f t="shared" si="6"/>
        <v>0</v>
      </c>
      <c r="AY24" s="1">
        <f t="shared" si="7"/>
        <v>0</v>
      </c>
      <c r="AZ24" s="2">
        <f t="shared" si="40"/>
        <v>0</v>
      </c>
      <c r="BA24" s="2">
        <f t="shared" si="8"/>
        <v>102450</v>
      </c>
      <c r="BB24" s="2">
        <f t="shared" si="9"/>
        <v>0</v>
      </c>
      <c r="BC24" s="2">
        <f t="shared" si="41"/>
        <v>0</v>
      </c>
      <c r="BD24" s="2">
        <f t="shared" si="10"/>
        <v>102450</v>
      </c>
      <c r="BE24" s="2">
        <f t="shared" si="42"/>
        <v>1000</v>
      </c>
      <c r="BF24" s="2">
        <f t="shared" si="11"/>
        <v>275.5</v>
      </c>
      <c r="BG24" s="2">
        <f t="shared" si="12"/>
        <v>101174.5</v>
      </c>
      <c r="BI24" s="7"/>
      <c r="BJ24" s="5">
        <f t="shared" si="43"/>
        <v>1000</v>
      </c>
      <c r="BK24" s="2">
        <f t="shared" si="44"/>
        <v>100000</v>
      </c>
      <c r="BL24" s="2">
        <f t="shared" si="45"/>
        <v>100000</v>
      </c>
      <c r="BM24" s="2">
        <f t="shared" si="13"/>
        <v>100000</v>
      </c>
      <c r="BN24" s="8">
        <f t="shared" si="14"/>
        <v>5.2499999999999998E-2</v>
      </c>
      <c r="BO24" s="2">
        <f t="shared" si="15"/>
        <v>102625.00000000001</v>
      </c>
      <c r="BP24" s="2" t="str">
        <f t="shared" si="16"/>
        <v>nie</v>
      </c>
      <c r="BQ24" s="2">
        <f t="shared" si="17"/>
        <v>2000</v>
      </c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2">
        <f t="shared" si="18"/>
        <v>0</v>
      </c>
      <c r="CE24" s="6"/>
      <c r="CF24" s="2">
        <f t="shared" si="19"/>
        <v>0</v>
      </c>
      <c r="CG24" s="6"/>
      <c r="CH24" s="2">
        <f t="shared" si="20"/>
        <v>0</v>
      </c>
      <c r="CI24" s="1">
        <f t="shared" si="21"/>
        <v>0</v>
      </c>
      <c r="CJ24" s="2">
        <f t="shared" si="46"/>
        <v>0</v>
      </c>
      <c r="CK24" s="2">
        <f t="shared" si="22"/>
        <v>102625.00000000001</v>
      </c>
      <c r="CL24" s="2">
        <f t="shared" si="23"/>
        <v>0</v>
      </c>
      <c r="CM24" s="2">
        <f t="shared" si="47"/>
        <v>0</v>
      </c>
      <c r="CN24" s="2">
        <f t="shared" si="24"/>
        <v>102625.00000000001</v>
      </c>
      <c r="CO24" s="2">
        <f t="shared" si="48"/>
        <v>2000</v>
      </c>
      <c r="CP24" s="2">
        <f t="shared" si="25"/>
        <v>118.75000000000277</v>
      </c>
      <c r="CQ24" s="2">
        <f t="shared" si="26"/>
        <v>100506.25000000001</v>
      </c>
      <c r="CS24" s="5">
        <f t="shared" si="49"/>
        <v>1000</v>
      </c>
      <c r="CT24" s="2">
        <f t="shared" si="50"/>
        <v>100000</v>
      </c>
      <c r="CU24" s="2">
        <f t="shared" si="51"/>
        <v>100000</v>
      </c>
      <c r="CV24" s="2">
        <f t="shared" si="52"/>
        <v>100000</v>
      </c>
      <c r="CW24" s="8">
        <f t="shared" si="27"/>
        <v>5.7500000000000002E-2</v>
      </c>
      <c r="CX24" s="2">
        <f t="shared" si="28"/>
        <v>102875</v>
      </c>
      <c r="CY24" s="2" t="str">
        <f t="shared" si="29"/>
        <v>nie</v>
      </c>
      <c r="CZ24" s="2">
        <f t="shared" si="53"/>
        <v>0</v>
      </c>
      <c r="DA24" s="2">
        <f t="shared" si="54"/>
        <v>0</v>
      </c>
      <c r="DB24" s="2">
        <f t="shared" si="55"/>
        <v>102875</v>
      </c>
      <c r="DC24" s="2">
        <f t="shared" si="30"/>
        <v>0</v>
      </c>
      <c r="DD24" s="2">
        <f t="shared" si="56"/>
        <v>0</v>
      </c>
      <c r="DE24" s="2">
        <f t="shared" si="57"/>
        <v>102875</v>
      </c>
      <c r="DF24" s="2">
        <f t="shared" si="32"/>
        <v>2875</v>
      </c>
      <c r="DG24" s="2">
        <f t="shared" si="33"/>
        <v>0</v>
      </c>
      <c r="DH24" s="2">
        <f t="shared" si="58"/>
        <v>100000</v>
      </c>
    </row>
    <row r="25" spans="2:112">
      <c r="C25" s="23">
        <v>4</v>
      </c>
      <c r="D25" s="2">
        <f t="shared" si="68"/>
        <v>120021.82304627197</v>
      </c>
      <c r="E25" s="2">
        <f t="shared" si="69"/>
        <v>115188.75490547197</v>
      </c>
      <c r="F25" s="2">
        <f t="shared" si="70"/>
        <v>119370.23476500002</v>
      </c>
      <c r="G25" s="2">
        <f t="shared" si="71"/>
        <v>115353.72626500002</v>
      </c>
      <c r="H25" s="2">
        <f t="shared" si="72"/>
        <v>121546.46955104056</v>
      </c>
      <c r="I25" s="2">
        <f t="shared" si="73"/>
        <v>114923.28191100806</v>
      </c>
      <c r="J25" s="52">
        <f t="shared" si="74"/>
        <v>115670.91267634607</v>
      </c>
      <c r="K25" s="44">
        <f t="shared" si="75"/>
        <v>112114.42632809999</v>
      </c>
      <c r="M25" s="23">
        <v>4</v>
      </c>
      <c r="N25" s="25">
        <f t="shared" si="60"/>
        <v>0.20021823046271958</v>
      </c>
      <c r="O25" s="25">
        <f t="shared" si="61"/>
        <v>0.15188754905471979</v>
      </c>
      <c r="P25" s="25">
        <f t="shared" si="62"/>
        <v>0.19370234765000016</v>
      </c>
      <c r="Q25" s="25">
        <f t="shared" si="63"/>
        <v>0.15353726265000023</v>
      </c>
      <c r="R25" s="25">
        <f t="shared" si="64"/>
        <v>0.21546469551040559</v>
      </c>
      <c r="S25" s="26">
        <f t="shared" si="65"/>
        <v>0.14923281911008068</v>
      </c>
      <c r="T25" s="53">
        <f t="shared" si="66"/>
        <v>0.1567091267634606</v>
      </c>
      <c r="U25" s="27">
        <f t="shared" si="67"/>
        <v>0.12114426328099981</v>
      </c>
      <c r="W25" s="1">
        <f t="shared" si="34"/>
        <v>7</v>
      </c>
      <c r="X25" s="2">
        <f t="shared" si="0"/>
        <v>101691.66666666667</v>
      </c>
      <c r="Y25" s="8">
        <f t="shared" ref="Y25:Y56" si="76">MAX(INDEX(scenariusz_I_WIBOR6M,MATCH(ROUNDUP(W25/12,0),scenariusz_I_rok,0)),0)</f>
        <v>4.3200000000000002E-2</v>
      </c>
      <c r="Z25" s="5">
        <f t="shared" si="35"/>
        <v>1000</v>
      </c>
      <c r="AA25" s="2">
        <f t="shared" si="36"/>
        <v>100000</v>
      </c>
      <c r="AB25" s="2">
        <f t="shared" si="37"/>
        <v>100000</v>
      </c>
      <c r="AC25" s="2">
        <f t="shared" si="38"/>
        <v>100000</v>
      </c>
      <c r="AD25" s="8">
        <f t="shared" si="1"/>
        <v>4.9000000000000002E-2</v>
      </c>
      <c r="AE25" s="2">
        <f t="shared" si="2"/>
        <v>102858.33333333334</v>
      </c>
      <c r="AF25" s="2" t="str">
        <f t="shared" si="3"/>
        <v>nie</v>
      </c>
      <c r="AG25" s="2">
        <f t="shared" si="4"/>
        <v>1000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2">
        <f t="shared" si="39"/>
        <v>0</v>
      </c>
      <c r="AU25" s="6"/>
      <c r="AV25" s="2">
        <f t="shared" si="5"/>
        <v>0</v>
      </c>
      <c r="AW25" s="6"/>
      <c r="AX25" s="2">
        <f t="shared" si="6"/>
        <v>0</v>
      </c>
      <c r="AY25" s="1">
        <f t="shared" si="7"/>
        <v>0</v>
      </c>
      <c r="AZ25" s="2">
        <f t="shared" si="40"/>
        <v>0</v>
      </c>
      <c r="BA25" s="2">
        <f t="shared" si="8"/>
        <v>102858.33333333334</v>
      </c>
      <c r="BB25" s="2">
        <f t="shared" si="9"/>
        <v>0</v>
      </c>
      <c r="BC25" s="2">
        <f t="shared" si="41"/>
        <v>0</v>
      </c>
      <c r="BD25" s="2">
        <f t="shared" si="10"/>
        <v>102858.33333333334</v>
      </c>
      <c r="BE25" s="2">
        <f t="shared" si="42"/>
        <v>1000</v>
      </c>
      <c r="BF25" s="2">
        <f t="shared" si="11"/>
        <v>353.08333333333519</v>
      </c>
      <c r="BG25" s="2">
        <f t="shared" si="12"/>
        <v>101505.25000000001</v>
      </c>
      <c r="BI25" s="7"/>
      <c r="BJ25" s="5">
        <f t="shared" si="43"/>
        <v>1000</v>
      </c>
      <c r="BK25" s="2">
        <f t="shared" si="44"/>
        <v>100000</v>
      </c>
      <c r="BL25" s="2">
        <f t="shared" si="45"/>
        <v>100000</v>
      </c>
      <c r="BM25" s="2">
        <f t="shared" si="13"/>
        <v>100000</v>
      </c>
      <c r="BN25" s="8">
        <f t="shared" si="14"/>
        <v>5.2499999999999998E-2</v>
      </c>
      <c r="BO25" s="2">
        <f t="shared" si="15"/>
        <v>103062.49999999999</v>
      </c>
      <c r="BP25" s="2" t="str">
        <f t="shared" si="16"/>
        <v>nie</v>
      </c>
      <c r="BQ25" s="2">
        <f t="shared" si="17"/>
        <v>2000</v>
      </c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2">
        <f t="shared" si="18"/>
        <v>0</v>
      </c>
      <c r="CE25" s="6"/>
      <c r="CF25" s="2">
        <f t="shared" si="19"/>
        <v>0</v>
      </c>
      <c r="CG25" s="6"/>
      <c r="CH25" s="2">
        <f t="shared" si="20"/>
        <v>0</v>
      </c>
      <c r="CI25" s="1">
        <f t="shared" si="21"/>
        <v>0</v>
      </c>
      <c r="CJ25" s="2">
        <f t="shared" si="46"/>
        <v>0</v>
      </c>
      <c r="CK25" s="2">
        <f t="shared" si="22"/>
        <v>103062.49999999999</v>
      </c>
      <c r="CL25" s="2">
        <f t="shared" si="23"/>
        <v>0</v>
      </c>
      <c r="CM25" s="2">
        <f t="shared" si="47"/>
        <v>0</v>
      </c>
      <c r="CN25" s="2">
        <f t="shared" si="24"/>
        <v>103062.49999999999</v>
      </c>
      <c r="CO25" s="2">
        <f t="shared" si="48"/>
        <v>2000</v>
      </c>
      <c r="CP25" s="2">
        <f t="shared" si="25"/>
        <v>201.87499999999724</v>
      </c>
      <c r="CQ25" s="2">
        <f t="shared" si="26"/>
        <v>100860.62499999999</v>
      </c>
      <c r="CS25" s="5">
        <f t="shared" si="49"/>
        <v>1000</v>
      </c>
      <c r="CT25" s="2">
        <f t="shared" si="50"/>
        <v>100000</v>
      </c>
      <c r="CU25" s="2">
        <f t="shared" si="51"/>
        <v>100000</v>
      </c>
      <c r="CV25" s="2">
        <f t="shared" si="52"/>
        <v>100000</v>
      </c>
      <c r="CW25" s="8">
        <f t="shared" si="27"/>
        <v>5.7500000000000002E-2</v>
      </c>
      <c r="CX25" s="2">
        <f t="shared" si="28"/>
        <v>103354.16666666666</v>
      </c>
      <c r="CY25" s="2" t="str">
        <f t="shared" si="29"/>
        <v>nie</v>
      </c>
      <c r="CZ25" s="2">
        <f t="shared" si="53"/>
        <v>0</v>
      </c>
      <c r="DA25" s="2">
        <f t="shared" si="54"/>
        <v>0</v>
      </c>
      <c r="DB25" s="2">
        <f t="shared" si="55"/>
        <v>103354.16666666666</v>
      </c>
      <c r="DC25" s="2">
        <f t="shared" si="30"/>
        <v>0</v>
      </c>
      <c r="DD25" s="2">
        <f t="shared" si="56"/>
        <v>0</v>
      </c>
      <c r="DE25" s="2">
        <f t="shared" si="57"/>
        <v>103354.16666666666</v>
      </c>
      <c r="DF25" s="2">
        <f t="shared" si="32"/>
        <v>3000</v>
      </c>
      <c r="DG25" s="2">
        <f t="shared" si="33"/>
        <v>67.291666666664824</v>
      </c>
      <c r="DH25" s="2">
        <f t="shared" si="58"/>
        <v>100286.87499999999</v>
      </c>
    </row>
    <row r="26" spans="2:112" ht="14.45" customHeight="1">
      <c r="C26" s="23">
        <v>5</v>
      </c>
      <c r="D26" s="2">
        <f t="shared" si="68"/>
        <v>125763.41969688596</v>
      </c>
      <c r="E26" s="2">
        <f t="shared" si="69"/>
        <v>119808.21632508597</v>
      </c>
      <c r="F26" s="2">
        <f t="shared" si="70"/>
        <v>125480.52618</v>
      </c>
      <c r="G26" s="2">
        <f t="shared" si="71"/>
        <v>118567.66068</v>
      </c>
      <c r="H26" s="2">
        <f t="shared" si="72"/>
        <v>127361.40452144518</v>
      </c>
      <c r="I26" s="2">
        <f t="shared" si="73"/>
        <v>119601.75068705108</v>
      </c>
      <c r="J26" s="52">
        <f t="shared" si="74"/>
        <v>119958.27248649178</v>
      </c>
      <c r="K26" s="44">
        <f t="shared" si="75"/>
        <v>115365.74469161486</v>
      </c>
      <c r="M26" s="23">
        <v>5</v>
      </c>
      <c r="N26" s="25">
        <f t="shared" si="60"/>
        <v>0.25763419696885959</v>
      </c>
      <c r="O26" s="25">
        <f t="shared" si="61"/>
        <v>0.19808216325085981</v>
      </c>
      <c r="P26" s="25">
        <f t="shared" si="62"/>
        <v>0.25480526180000007</v>
      </c>
      <c r="Q26" s="25">
        <f t="shared" si="63"/>
        <v>0.18567660679999998</v>
      </c>
      <c r="R26" s="25">
        <f t="shared" si="64"/>
        <v>0.27361404521445176</v>
      </c>
      <c r="S26" s="26">
        <f t="shared" si="65"/>
        <v>0.19601750687051078</v>
      </c>
      <c r="T26" s="53">
        <f t="shared" si="66"/>
        <v>0.19958272486491779</v>
      </c>
      <c r="U26" s="27">
        <f t="shared" si="67"/>
        <v>0.15365744691614869</v>
      </c>
      <c r="W26" s="1">
        <f t="shared" si="34"/>
        <v>8</v>
      </c>
      <c r="X26" s="2">
        <f t="shared" si="0"/>
        <v>101933.33333333334</v>
      </c>
      <c r="Y26" s="8">
        <f t="shared" si="76"/>
        <v>4.3200000000000002E-2</v>
      </c>
      <c r="Z26" s="5">
        <f t="shared" si="35"/>
        <v>1000</v>
      </c>
      <c r="AA26" s="2">
        <f t="shared" si="36"/>
        <v>100000</v>
      </c>
      <c r="AB26" s="2">
        <f t="shared" si="37"/>
        <v>100000</v>
      </c>
      <c r="AC26" s="2">
        <f t="shared" si="38"/>
        <v>100000</v>
      </c>
      <c r="AD26" s="8">
        <f t="shared" si="1"/>
        <v>4.9000000000000002E-2</v>
      </c>
      <c r="AE26" s="2">
        <f t="shared" si="2"/>
        <v>103266.66666666666</v>
      </c>
      <c r="AF26" s="2" t="str">
        <f t="shared" si="3"/>
        <v>nie</v>
      </c>
      <c r="AG26" s="2">
        <f t="shared" si="4"/>
        <v>1000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2">
        <f t="shared" si="39"/>
        <v>0</v>
      </c>
      <c r="AU26" s="6"/>
      <c r="AV26" s="2">
        <f t="shared" si="5"/>
        <v>0</v>
      </c>
      <c r="AW26" s="6"/>
      <c r="AX26" s="2">
        <f t="shared" si="6"/>
        <v>0</v>
      </c>
      <c r="AY26" s="1">
        <f t="shared" si="7"/>
        <v>0</v>
      </c>
      <c r="AZ26" s="2">
        <f t="shared" si="40"/>
        <v>0</v>
      </c>
      <c r="BA26" s="2">
        <f t="shared" si="8"/>
        <v>103266.66666666666</v>
      </c>
      <c r="BB26" s="2">
        <f t="shared" si="9"/>
        <v>0</v>
      </c>
      <c r="BC26" s="2">
        <f t="shared" si="41"/>
        <v>0</v>
      </c>
      <c r="BD26" s="2">
        <f t="shared" si="10"/>
        <v>103266.66666666666</v>
      </c>
      <c r="BE26" s="2">
        <f t="shared" si="42"/>
        <v>1000</v>
      </c>
      <c r="BF26" s="2">
        <f t="shared" si="11"/>
        <v>430.66666666666481</v>
      </c>
      <c r="BG26" s="2">
        <f t="shared" si="12"/>
        <v>101835.99999999999</v>
      </c>
      <c r="BI26" s="7"/>
      <c r="BJ26" s="5">
        <f t="shared" si="43"/>
        <v>1000</v>
      </c>
      <c r="BK26" s="2">
        <f t="shared" si="44"/>
        <v>100000</v>
      </c>
      <c r="BL26" s="2">
        <f t="shared" si="45"/>
        <v>100000</v>
      </c>
      <c r="BM26" s="2">
        <f t="shared" si="13"/>
        <v>100000</v>
      </c>
      <c r="BN26" s="8">
        <f t="shared" si="14"/>
        <v>5.2499999999999998E-2</v>
      </c>
      <c r="BO26" s="2">
        <f t="shared" si="15"/>
        <v>103499.99999999999</v>
      </c>
      <c r="BP26" s="2" t="str">
        <f t="shared" si="16"/>
        <v>nie</v>
      </c>
      <c r="BQ26" s="2">
        <f t="shared" si="17"/>
        <v>2000</v>
      </c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2">
        <f t="shared" si="18"/>
        <v>0</v>
      </c>
      <c r="CE26" s="6"/>
      <c r="CF26" s="2">
        <f t="shared" si="19"/>
        <v>0</v>
      </c>
      <c r="CG26" s="6"/>
      <c r="CH26" s="2">
        <f t="shared" si="20"/>
        <v>0</v>
      </c>
      <c r="CI26" s="1">
        <f t="shared" si="21"/>
        <v>0</v>
      </c>
      <c r="CJ26" s="2">
        <f t="shared" si="46"/>
        <v>0</v>
      </c>
      <c r="CK26" s="2">
        <f t="shared" si="22"/>
        <v>103499.99999999999</v>
      </c>
      <c r="CL26" s="2">
        <f t="shared" si="23"/>
        <v>0</v>
      </c>
      <c r="CM26" s="2">
        <f t="shared" si="47"/>
        <v>0</v>
      </c>
      <c r="CN26" s="2">
        <f t="shared" si="24"/>
        <v>103499.99999999999</v>
      </c>
      <c r="CO26" s="2">
        <f t="shared" si="48"/>
        <v>2000</v>
      </c>
      <c r="CP26" s="2">
        <f t="shared" si="25"/>
        <v>284.99999999999721</v>
      </c>
      <c r="CQ26" s="2">
        <f t="shared" si="26"/>
        <v>101214.99999999999</v>
      </c>
      <c r="CS26" s="5">
        <f t="shared" si="49"/>
        <v>1000</v>
      </c>
      <c r="CT26" s="2">
        <f t="shared" si="50"/>
        <v>100000</v>
      </c>
      <c r="CU26" s="2">
        <f t="shared" si="51"/>
        <v>100000</v>
      </c>
      <c r="CV26" s="2">
        <f t="shared" si="52"/>
        <v>100000</v>
      </c>
      <c r="CW26" s="8">
        <f t="shared" si="27"/>
        <v>5.7500000000000002E-2</v>
      </c>
      <c r="CX26" s="2">
        <f t="shared" si="28"/>
        <v>103833.33333333333</v>
      </c>
      <c r="CY26" s="2" t="str">
        <f t="shared" si="29"/>
        <v>nie</v>
      </c>
      <c r="CZ26" s="2">
        <f t="shared" si="53"/>
        <v>0</v>
      </c>
      <c r="DA26" s="2">
        <f t="shared" si="54"/>
        <v>0</v>
      </c>
      <c r="DB26" s="2">
        <f t="shared" si="55"/>
        <v>103833.33333333333</v>
      </c>
      <c r="DC26" s="2">
        <f t="shared" si="30"/>
        <v>0</v>
      </c>
      <c r="DD26" s="2">
        <f t="shared" si="56"/>
        <v>0</v>
      </c>
      <c r="DE26" s="2">
        <f t="shared" si="57"/>
        <v>103833.33333333333</v>
      </c>
      <c r="DF26" s="2">
        <f t="shared" si="32"/>
        <v>3000</v>
      </c>
      <c r="DG26" s="2">
        <f t="shared" si="33"/>
        <v>158.3333333333324</v>
      </c>
      <c r="DH26" s="2">
        <f t="shared" si="58"/>
        <v>100675</v>
      </c>
    </row>
    <row r="27" spans="2:112" ht="15" customHeight="1">
      <c r="C27" s="23">
        <v>6</v>
      </c>
      <c r="D27" s="2">
        <f t="shared" si="68"/>
        <v>131067.16991777912</v>
      </c>
      <c r="E27" s="2">
        <f t="shared" si="69"/>
        <v>125004.86924319992</v>
      </c>
      <c r="F27" s="2">
        <f t="shared" si="70"/>
        <v>130972.85303999999</v>
      </c>
      <c r="G27" s="2">
        <f t="shared" si="71"/>
        <v>122885.95253999998</v>
      </c>
      <c r="H27" s="2">
        <f t="shared" si="72"/>
        <v>133474.70383533242</v>
      </c>
      <c r="I27" s="2">
        <f t="shared" si="73"/>
        <v>124522.89696305302</v>
      </c>
      <c r="J27" s="52">
        <f t="shared" si="74"/>
        <v>124404.54393411273</v>
      </c>
      <c r="K27" s="44">
        <f t="shared" si="75"/>
        <v>118711.3512876717</v>
      </c>
      <c r="M27" s="23">
        <v>6</v>
      </c>
      <c r="N27" s="25">
        <f t="shared" si="60"/>
        <v>0.31067169917779114</v>
      </c>
      <c r="O27" s="25">
        <f t="shared" si="61"/>
        <v>0.25004869243199912</v>
      </c>
      <c r="P27" s="25">
        <f t="shared" si="62"/>
        <v>0.30972853039999992</v>
      </c>
      <c r="Q27" s="25">
        <f t="shared" si="63"/>
        <v>0.22885952539999987</v>
      </c>
      <c r="R27" s="25">
        <f t="shared" si="64"/>
        <v>0.3347470383533242</v>
      </c>
      <c r="S27" s="26">
        <f t="shared" si="65"/>
        <v>0.24522896963053009</v>
      </c>
      <c r="T27" s="53">
        <f t="shared" si="66"/>
        <v>0.24404543934112732</v>
      </c>
      <c r="U27" s="27">
        <f t="shared" si="67"/>
        <v>0.18711351287671696</v>
      </c>
      <c r="W27" s="1">
        <f t="shared" si="34"/>
        <v>9</v>
      </c>
      <c r="X27" s="2">
        <f t="shared" si="0"/>
        <v>102175</v>
      </c>
      <c r="Y27" s="8">
        <f t="shared" si="76"/>
        <v>4.3200000000000002E-2</v>
      </c>
      <c r="Z27" s="5">
        <f t="shared" si="35"/>
        <v>1000</v>
      </c>
      <c r="AA27" s="2">
        <f t="shared" si="36"/>
        <v>100000</v>
      </c>
      <c r="AB27" s="2">
        <f t="shared" si="37"/>
        <v>100000</v>
      </c>
      <c r="AC27" s="2">
        <f t="shared" si="38"/>
        <v>100000</v>
      </c>
      <c r="AD27" s="8">
        <f t="shared" si="1"/>
        <v>4.9000000000000002E-2</v>
      </c>
      <c r="AE27" s="2">
        <f t="shared" si="2"/>
        <v>103675</v>
      </c>
      <c r="AF27" s="2" t="str">
        <f t="shared" si="3"/>
        <v>nie</v>
      </c>
      <c r="AG27" s="2">
        <f t="shared" si="4"/>
        <v>1000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2">
        <f t="shared" si="39"/>
        <v>0</v>
      </c>
      <c r="AU27" s="6"/>
      <c r="AV27" s="2">
        <f t="shared" si="5"/>
        <v>0</v>
      </c>
      <c r="AW27" s="6"/>
      <c r="AX27" s="2">
        <f t="shared" si="6"/>
        <v>0</v>
      </c>
      <c r="AY27" s="1">
        <f t="shared" si="7"/>
        <v>0</v>
      </c>
      <c r="AZ27" s="2">
        <f t="shared" si="40"/>
        <v>0</v>
      </c>
      <c r="BA27" s="2">
        <f t="shared" si="8"/>
        <v>103675</v>
      </c>
      <c r="BB27" s="2">
        <f t="shared" si="9"/>
        <v>0</v>
      </c>
      <c r="BC27" s="2">
        <f t="shared" si="41"/>
        <v>0</v>
      </c>
      <c r="BD27" s="2">
        <f t="shared" si="10"/>
        <v>103675</v>
      </c>
      <c r="BE27" s="2">
        <f t="shared" si="42"/>
        <v>1000</v>
      </c>
      <c r="BF27" s="2">
        <f t="shared" si="11"/>
        <v>508.25</v>
      </c>
      <c r="BG27" s="2">
        <f t="shared" si="12"/>
        <v>102166.75</v>
      </c>
      <c r="BI27" s="7"/>
      <c r="BJ27" s="5">
        <f t="shared" si="43"/>
        <v>1000</v>
      </c>
      <c r="BK27" s="2">
        <f t="shared" si="44"/>
        <v>100000</v>
      </c>
      <c r="BL27" s="2">
        <f t="shared" si="45"/>
        <v>100000</v>
      </c>
      <c r="BM27" s="2">
        <f t="shared" si="13"/>
        <v>100000</v>
      </c>
      <c r="BN27" s="8">
        <f t="shared" si="14"/>
        <v>5.2499999999999998E-2</v>
      </c>
      <c r="BO27" s="2">
        <f t="shared" si="15"/>
        <v>103937.5</v>
      </c>
      <c r="BP27" s="2" t="str">
        <f t="shared" si="16"/>
        <v>nie</v>
      </c>
      <c r="BQ27" s="2">
        <f t="shared" si="17"/>
        <v>2000</v>
      </c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2">
        <f t="shared" si="18"/>
        <v>0</v>
      </c>
      <c r="CE27" s="6"/>
      <c r="CF27" s="2">
        <f t="shared" si="19"/>
        <v>0</v>
      </c>
      <c r="CG27" s="6"/>
      <c r="CH27" s="2">
        <f t="shared" si="20"/>
        <v>0</v>
      </c>
      <c r="CI27" s="1">
        <f t="shared" si="21"/>
        <v>0</v>
      </c>
      <c r="CJ27" s="2">
        <f t="shared" si="46"/>
        <v>0</v>
      </c>
      <c r="CK27" s="2">
        <f t="shared" si="22"/>
        <v>103937.5</v>
      </c>
      <c r="CL27" s="2">
        <f t="shared" si="23"/>
        <v>0</v>
      </c>
      <c r="CM27" s="2">
        <f t="shared" si="47"/>
        <v>0</v>
      </c>
      <c r="CN27" s="2">
        <f t="shared" si="24"/>
        <v>103937.5</v>
      </c>
      <c r="CO27" s="2">
        <f t="shared" si="48"/>
        <v>2000</v>
      </c>
      <c r="CP27" s="2">
        <f t="shared" si="25"/>
        <v>368.125</v>
      </c>
      <c r="CQ27" s="2">
        <f t="shared" si="26"/>
        <v>101569.375</v>
      </c>
      <c r="CS27" s="5">
        <f t="shared" si="49"/>
        <v>1000</v>
      </c>
      <c r="CT27" s="2">
        <f t="shared" si="50"/>
        <v>100000</v>
      </c>
      <c r="CU27" s="2">
        <f t="shared" si="51"/>
        <v>100000</v>
      </c>
      <c r="CV27" s="2">
        <f t="shared" si="52"/>
        <v>100000</v>
      </c>
      <c r="CW27" s="8">
        <f t="shared" si="27"/>
        <v>5.7500000000000002E-2</v>
      </c>
      <c r="CX27" s="2">
        <f t="shared" si="28"/>
        <v>104312.50000000001</v>
      </c>
      <c r="CY27" s="2" t="str">
        <f t="shared" si="29"/>
        <v>nie</v>
      </c>
      <c r="CZ27" s="2">
        <f t="shared" si="53"/>
        <v>0</v>
      </c>
      <c r="DA27" s="2">
        <f t="shared" si="54"/>
        <v>0</v>
      </c>
      <c r="DB27" s="2">
        <f t="shared" si="55"/>
        <v>104312.50000000001</v>
      </c>
      <c r="DC27" s="2">
        <f t="shared" si="30"/>
        <v>0</v>
      </c>
      <c r="DD27" s="2">
        <f t="shared" si="56"/>
        <v>0</v>
      </c>
      <c r="DE27" s="2">
        <f t="shared" si="57"/>
        <v>104312.50000000001</v>
      </c>
      <c r="DF27" s="2">
        <f t="shared" si="32"/>
        <v>3000</v>
      </c>
      <c r="DG27" s="2">
        <f t="shared" si="33"/>
        <v>249.37500000000276</v>
      </c>
      <c r="DH27" s="2">
        <f t="shared" si="58"/>
        <v>101063.12500000001</v>
      </c>
    </row>
    <row r="28" spans="2:112">
      <c r="C28" s="23">
        <v>7</v>
      </c>
      <c r="D28" s="2">
        <f t="shared" si="68"/>
        <v>137514.81238755787</v>
      </c>
      <c r="E28" s="2">
        <f t="shared" si="69"/>
        <v>129129.31171297868</v>
      </c>
      <c r="F28" s="2">
        <f t="shared" si="70"/>
        <v>136713.67946499999</v>
      </c>
      <c r="G28" s="2">
        <f t="shared" si="71"/>
        <v>127414.901965</v>
      </c>
      <c r="H28" s="2">
        <f t="shared" si="72"/>
        <v>139901.64553949959</v>
      </c>
      <c r="I28" s="2">
        <f t="shared" si="73"/>
        <v>129699.2701304785</v>
      </c>
      <c r="J28" s="52">
        <f t="shared" si="74"/>
        <v>129015.61710300019</v>
      </c>
      <c r="K28" s="44">
        <f t="shared" si="75"/>
        <v>122153.98047501416</v>
      </c>
      <c r="M28" s="23">
        <v>7</v>
      </c>
      <c r="N28" s="25">
        <f t="shared" si="60"/>
        <v>0.37514812387557872</v>
      </c>
      <c r="O28" s="25">
        <f t="shared" si="61"/>
        <v>0.29129311712978678</v>
      </c>
      <c r="P28" s="25">
        <f t="shared" si="62"/>
        <v>0.36713679464999993</v>
      </c>
      <c r="Q28" s="25">
        <f t="shared" si="63"/>
        <v>0.27414901965000005</v>
      </c>
      <c r="R28" s="25">
        <f t="shared" si="64"/>
        <v>0.39901645539499597</v>
      </c>
      <c r="S28" s="26">
        <f t="shared" si="65"/>
        <v>0.29699270130478506</v>
      </c>
      <c r="T28" s="53">
        <f t="shared" si="66"/>
        <v>0.2901561710300018</v>
      </c>
      <c r="U28" s="27">
        <f t="shared" si="67"/>
        <v>0.22153980475014157</v>
      </c>
      <c r="W28" s="1">
        <f t="shared" si="34"/>
        <v>10</v>
      </c>
      <c r="X28" s="2">
        <f t="shared" si="0"/>
        <v>102416.66666666667</v>
      </c>
      <c r="Y28" s="8">
        <f t="shared" si="76"/>
        <v>4.3200000000000002E-2</v>
      </c>
      <c r="Z28" s="5">
        <f t="shared" si="35"/>
        <v>1000</v>
      </c>
      <c r="AA28" s="2">
        <f t="shared" si="36"/>
        <v>100000</v>
      </c>
      <c r="AB28" s="2">
        <f t="shared" si="37"/>
        <v>100000</v>
      </c>
      <c r="AC28" s="2">
        <f t="shared" si="38"/>
        <v>100000</v>
      </c>
      <c r="AD28" s="8">
        <f t="shared" si="1"/>
        <v>4.9000000000000002E-2</v>
      </c>
      <c r="AE28" s="2">
        <f t="shared" si="2"/>
        <v>104083.33333333333</v>
      </c>
      <c r="AF28" s="2" t="str">
        <f t="shared" si="3"/>
        <v>nie</v>
      </c>
      <c r="AG28" s="2">
        <f t="shared" si="4"/>
        <v>1000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2">
        <f t="shared" si="39"/>
        <v>0</v>
      </c>
      <c r="AU28" s="6"/>
      <c r="AV28" s="2">
        <f t="shared" si="5"/>
        <v>0</v>
      </c>
      <c r="AW28" s="6"/>
      <c r="AX28" s="2">
        <f t="shared" si="6"/>
        <v>0</v>
      </c>
      <c r="AY28" s="1">
        <f t="shared" si="7"/>
        <v>0</v>
      </c>
      <c r="AZ28" s="2">
        <f t="shared" si="40"/>
        <v>0</v>
      </c>
      <c r="BA28" s="2">
        <f t="shared" si="8"/>
        <v>104083.33333333333</v>
      </c>
      <c r="BB28" s="2">
        <f t="shared" si="9"/>
        <v>0</v>
      </c>
      <c r="BC28" s="2">
        <f t="shared" si="41"/>
        <v>0</v>
      </c>
      <c r="BD28" s="2">
        <f t="shared" si="10"/>
        <v>104083.33333333333</v>
      </c>
      <c r="BE28" s="2">
        <f t="shared" si="42"/>
        <v>1000</v>
      </c>
      <c r="BF28" s="2">
        <f t="shared" si="11"/>
        <v>585.83333333333246</v>
      </c>
      <c r="BG28" s="2">
        <f t="shared" si="12"/>
        <v>102497.5</v>
      </c>
      <c r="BI28" s="7"/>
      <c r="BJ28" s="5">
        <f t="shared" si="43"/>
        <v>1000</v>
      </c>
      <c r="BK28" s="2">
        <f t="shared" si="44"/>
        <v>100000</v>
      </c>
      <c r="BL28" s="2">
        <f t="shared" si="45"/>
        <v>100000</v>
      </c>
      <c r="BM28" s="2">
        <f t="shared" si="13"/>
        <v>100000</v>
      </c>
      <c r="BN28" s="8">
        <f t="shared" si="14"/>
        <v>5.2499999999999998E-2</v>
      </c>
      <c r="BO28" s="2">
        <f t="shared" si="15"/>
        <v>104375</v>
      </c>
      <c r="BP28" s="2" t="str">
        <f t="shared" si="16"/>
        <v>nie</v>
      </c>
      <c r="BQ28" s="2">
        <f t="shared" si="17"/>
        <v>2000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2">
        <f t="shared" si="18"/>
        <v>0</v>
      </c>
      <c r="CE28" s="6"/>
      <c r="CF28" s="2">
        <f t="shared" si="19"/>
        <v>0</v>
      </c>
      <c r="CG28" s="6"/>
      <c r="CH28" s="2">
        <f t="shared" si="20"/>
        <v>0</v>
      </c>
      <c r="CI28" s="1">
        <f t="shared" si="21"/>
        <v>0</v>
      </c>
      <c r="CJ28" s="2">
        <f t="shared" si="46"/>
        <v>0</v>
      </c>
      <c r="CK28" s="2">
        <f t="shared" si="22"/>
        <v>104375</v>
      </c>
      <c r="CL28" s="2">
        <f t="shared" si="23"/>
        <v>0</v>
      </c>
      <c r="CM28" s="2">
        <f t="shared" si="47"/>
        <v>0</v>
      </c>
      <c r="CN28" s="2">
        <f t="shared" si="24"/>
        <v>104375</v>
      </c>
      <c r="CO28" s="2">
        <f t="shared" si="48"/>
        <v>2000</v>
      </c>
      <c r="CP28" s="2">
        <f t="shared" si="25"/>
        <v>451.25</v>
      </c>
      <c r="CQ28" s="2">
        <f t="shared" si="26"/>
        <v>101923.75</v>
      </c>
      <c r="CS28" s="5">
        <f t="shared" si="49"/>
        <v>1000</v>
      </c>
      <c r="CT28" s="2">
        <f t="shared" si="50"/>
        <v>100000</v>
      </c>
      <c r="CU28" s="2">
        <f t="shared" si="51"/>
        <v>100000</v>
      </c>
      <c r="CV28" s="2">
        <f t="shared" si="52"/>
        <v>100000</v>
      </c>
      <c r="CW28" s="8">
        <f t="shared" si="27"/>
        <v>5.7500000000000002E-2</v>
      </c>
      <c r="CX28" s="2">
        <f t="shared" si="28"/>
        <v>104791.66666666666</v>
      </c>
      <c r="CY28" s="2" t="str">
        <f t="shared" si="29"/>
        <v>nie</v>
      </c>
      <c r="CZ28" s="2">
        <f t="shared" si="53"/>
        <v>0</v>
      </c>
      <c r="DA28" s="2">
        <f t="shared" si="54"/>
        <v>0</v>
      </c>
      <c r="DB28" s="2">
        <f t="shared" si="55"/>
        <v>104791.66666666666</v>
      </c>
      <c r="DC28" s="2">
        <f t="shared" si="30"/>
        <v>0</v>
      </c>
      <c r="DD28" s="2">
        <f t="shared" si="56"/>
        <v>0</v>
      </c>
      <c r="DE28" s="2">
        <f t="shared" si="57"/>
        <v>104791.66666666666</v>
      </c>
      <c r="DF28" s="2">
        <f t="shared" si="32"/>
        <v>3000</v>
      </c>
      <c r="DG28" s="2">
        <f t="shared" si="33"/>
        <v>340.41666666666481</v>
      </c>
      <c r="DH28" s="2">
        <f t="shared" si="58"/>
        <v>101451.24999999999</v>
      </c>
    </row>
    <row r="29" spans="2:112">
      <c r="C29" s="23">
        <v>8</v>
      </c>
      <c r="D29" s="2">
        <f t="shared" si="68"/>
        <v>144154.45260990219</v>
      </c>
      <c r="E29" s="2">
        <f t="shared" si="69"/>
        <v>134479.814855323</v>
      </c>
      <c r="F29" s="2">
        <f t="shared" si="70"/>
        <v>142724.37166499998</v>
      </c>
      <c r="G29" s="2">
        <f t="shared" si="71"/>
        <v>133853.549665</v>
      </c>
      <c r="H29" s="2">
        <f t="shared" si="72"/>
        <v>146658.28855654152</v>
      </c>
      <c r="I29" s="2">
        <f t="shared" si="73"/>
        <v>135144.06675247839</v>
      </c>
      <c r="J29" s="52">
        <f t="shared" si="74"/>
        <v>133797.60039378877</v>
      </c>
      <c r="K29" s="44">
        <f t="shared" si="75"/>
        <v>125696.44590878957</v>
      </c>
      <c r="M29" s="23">
        <v>8</v>
      </c>
      <c r="N29" s="25">
        <f t="shared" si="60"/>
        <v>0.44154452609902184</v>
      </c>
      <c r="O29" s="25">
        <f t="shared" si="61"/>
        <v>0.34479814855322988</v>
      </c>
      <c r="P29" s="25">
        <f t="shared" si="62"/>
        <v>0.42724371664999983</v>
      </c>
      <c r="Q29" s="25">
        <f t="shared" si="63"/>
        <v>0.33853549665000005</v>
      </c>
      <c r="R29" s="25">
        <f t="shared" si="64"/>
        <v>0.46658288556541527</v>
      </c>
      <c r="S29" s="26">
        <f t="shared" si="65"/>
        <v>0.35144066752478387</v>
      </c>
      <c r="T29" s="53">
        <f t="shared" si="66"/>
        <v>0.33797600393788763</v>
      </c>
      <c r="U29" s="27">
        <f t="shared" si="67"/>
        <v>0.25696445908789567</v>
      </c>
      <c r="W29" s="1">
        <f t="shared" si="34"/>
        <v>11</v>
      </c>
      <c r="X29" s="2">
        <f t="shared" si="0"/>
        <v>102658.33333333334</v>
      </c>
      <c r="Y29" s="8">
        <f t="shared" si="76"/>
        <v>4.3200000000000002E-2</v>
      </c>
      <c r="Z29" s="5">
        <f t="shared" si="35"/>
        <v>1000</v>
      </c>
      <c r="AA29" s="2">
        <f t="shared" si="36"/>
        <v>100000</v>
      </c>
      <c r="AB29" s="2">
        <f t="shared" si="37"/>
        <v>100000</v>
      </c>
      <c r="AC29" s="2">
        <f t="shared" si="38"/>
        <v>100000</v>
      </c>
      <c r="AD29" s="8">
        <f t="shared" si="1"/>
        <v>4.9000000000000002E-2</v>
      </c>
      <c r="AE29" s="2">
        <f t="shared" si="2"/>
        <v>104491.66666666667</v>
      </c>
      <c r="AF29" s="2" t="str">
        <f t="shared" si="3"/>
        <v>nie</v>
      </c>
      <c r="AG29" s="2">
        <f t="shared" si="4"/>
        <v>1000</v>
      </c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2">
        <f t="shared" si="39"/>
        <v>0</v>
      </c>
      <c r="AU29" s="6"/>
      <c r="AV29" s="2">
        <f t="shared" si="5"/>
        <v>0</v>
      </c>
      <c r="AW29" s="6"/>
      <c r="AX29" s="2">
        <f t="shared" si="6"/>
        <v>0</v>
      </c>
      <c r="AY29" s="1">
        <f t="shared" si="7"/>
        <v>0</v>
      </c>
      <c r="AZ29" s="2">
        <f t="shared" si="40"/>
        <v>0</v>
      </c>
      <c r="BA29" s="2">
        <f t="shared" si="8"/>
        <v>104491.66666666667</v>
      </c>
      <c r="BB29" s="2">
        <f t="shared" si="9"/>
        <v>0</v>
      </c>
      <c r="BC29" s="2">
        <f t="shared" si="41"/>
        <v>0</v>
      </c>
      <c r="BD29" s="2">
        <f t="shared" si="10"/>
        <v>104491.66666666667</v>
      </c>
      <c r="BE29" s="2">
        <f t="shared" si="42"/>
        <v>1000</v>
      </c>
      <c r="BF29" s="2">
        <f t="shared" si="11"/>
        <v>663.41666666666765</v>
      </c>
      <c r="BG29" s="2">
        <f t="shared" si="12"/>
        <v>102828.25</v>
      </c>
      <c r="BI29" s="7"/>
      <c r="BJ29" s="5">
        <f t="shared" si="43"/>
        <v>1000</v>
      </c>
      <c r="BK29" s="2">
        <f t="shared" si="44"/>
        <v>100000</v>
      </c>
      <c r="BL29" s="2">
        <f t="shared" si="45"/>
        <v>100000</v>
      </c>
      <c r="BM29" s="2">
        <f t="shared" si="13"/>
        <v>100000</v>
      </c>
      <c r="BN29" s="8">
        <f t="shared" si="14"/>
        <v>5.2499999999999998E-2</v>
      </c>
      <c r="BO29" s="2">
        <f t="shared" si="15"/>
        <v>104812.5</v>
      </c>
      <c r="BP29" s="2" t="str">
        <f t="shared" si="16"/>
        <v>nie</v>
      </c>
      <c r="BQ29" s="2">
        <f t="shared" si="17"/>
        <v>2000</v>
      </c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2">
        <f t="shared" si="18"/>
        <v>0</v>
      </c>
      <c r="CE29" s="6"/>
      <c r="CF29" s="2">
        <f t="shared" si="19"/>
        <v>0</v>
      </c>
      <c r="CG29" s="6"/>
      <c r="CH29" s="2">
        <f t="shared" si="20"/>
        <v>0</v>
      </c>
      <c r="CI29" s="1">
        <f t="shared" si="21"/>
        <v>0</v>
      </c>
      <c r="CJ29" s="2">
        <f t="shared" si="46"/>
        <v>0</v>
      </c>
      <c r="CK29" s="2">
        <f t="shared" si="22"/>
        <v>104812.5</v>
      </c>
      <c r="CL29" s="2">
        <f t="shared" si="23"/>
        <v>0</v>
      </c>
      <c r="CM29" s="2">
        <f t="shared" si="47"/>
        <v>0</v>
      </c>
      <c r="CN29" s="2">
        <f t="shared" si="24"/>
        <v>104812.5</v>
      </c>
      <c r="CO29" s="2">
        <f t="shared" si="48"/>
        <v>2000</v>
      </c>
      <c r="CP29" s="2">
        <f t="shared" si="25"/>
        <v>534.375</v>
      </c>
      <c r="CQ29" s="2">
        <f t="shared" si="26"/>
        <v>102278.125</v>
      </c>
      <c r="CS29" s="5">
        <f t="shared" si="49"/>
        <v>1000</v>
      </c>
      <c r="CT29" s="2">
        <f t="shared" si="50"/>
        <v>100000</v>
      </c>
      <c r="CU29" s="2">
        <f t="shared" si="51"/>
        <v>100000</v>
      </c>
      <c r="CV29" s="2">
        <f t="shared" si="52"/>
        <v>100000</v>
      </c>
      <c r="CW29" s="8">
        <f t="shared" si="27"/>
        <v>5.7500000000000002E-2</v>
      </c>
      <c r="CX29" s="2">
        <f t="shared" si="28"/>
        <v>105270.83333333333</v>
      </c>
      <c r="CY29" s="2" t="str">
        <f t="shared" si="29"/>
        <v>nie</v>
      </c>
      <c r="CZ29" s="2">
        <f t="shared" si="53"/>
        <v>0</v>
      </c>
      <c r="DA29" s="2">
        <f t="shared" si="54"/>
        <v>0</v>
      </c>
      <c r="DB29" s="2">
        <f t="shared" si="55"/>
        <v>105270.83333333333</v>
      </c>
      <c r="DC29" s="2">
        <f t="shared" si="30"/>
        <v>0</v>
      </c>
      <c r="DD29" s="2">
        <f t="shared" si="56"/>
        <v>0</v>
      </c>
      <c r="DE29" s="2">
        <f t="shared" si="57"/>
        <v>105270.83333333333</v>
      </c>
      <c r="DF29" s="2">
        <f t="shared" si="32"/>
        <v>3000</v>
      </c>
      <c r="DG29" s="2">
        <f t="shared" si="33"/>
        <v>431.4583333333324</v>
      </c>
      <c r="DH29" s="2">
        <f t="shared" si="58"/>
        <v>101839.375</v>
      </c>
    </row>
    <row r="30" spans="2:112">
      <c r="C30" s="23">
        <v>9</v>
      </c>
      <c r="D30" s="2">
        <f t="shared" si="68"/>
        <v>150277.8125679841</v>
      </c>
      <c r="E30" s="2">
        <f t="shared" si="69"/>
        <v>140480.13874754892</v>
      </c>
      <c r="F30" s="2">
        <f t="shared" si="70"/>
        <v>149961.52546500001</v>
      </c>
      <c r="G30" s="2">
        <f t="shared" si="71"/>
        <v>137893.567465</v>
      </c>
      <c r="H30" s="2">
        <f t="shared" si="72"/>
        <v>153746.00708141853</v>
      </c>
      <c r="I30" s="2">
        <f t="shared" si="73"/>
        <v>140855.65840895631</v>
      </c>
      <c r="J30" s="52">
        <f t="shared" si="74"/>
        <v>138756.82861590318</v>
      </c>
      <c r="K30" s="44">
        <f t="shared" si="75"/>
        <v>129341.64284014444</v>
      </c>
      <c r="M30" s="23">
        <v>9</v>
      </c>
      <c r="N30" s="25">
        <f t="shared" si="60"/>
        <v>0.50277812567984093</v>
      </c>
      <c r="O30" s="25">
        <f t="shared" si="61"/>
        <v>0.40480138747548922</v>
      </c>
      <c r="P30" s="25">
        <f t="shared" si="62"/>
        <v>0.49961525465000012</v>
      </c>
      <c r="Q30" s="25">
        <f t="shared" si="63"/>
        <v>0.37893567465000011</v>
      </c>
      <c r="R30" s="25">
        <f t="shared" si="64"/>
        <v>0.53746007081418523</v>
      </c>
      <c r="S30" s="26">
        <f t="shared" si="65"/>
        <v>0.40855658408956308</v>
      </c>
      <c r="T30" s="53">
        <f t="shared" si="66"/>
        <v>0.38756828615903194</v>
      </c>
      <c r="U30" s="27">
        <f t="shared" si="67"/>
        <v>0.29341642840144444</v>
      </c>
      <c r="W30" s="1">
        <f t="shared" si="34"/>
        <v>12</v>
      </c>
      <c r="X30" s="2">
        <f t="shared" si="0"/>
        <v>102899.99999999999</v>
      </c>
      <c r="Y30" s="8">
        <f t="shared" si="76"/>
        <v>4.3200000000000002E-2</v>
      </c>
      <c r="Z30" s="5">
        <f t="shared" si="35"/>
        <v>1000</v>
      </c>
      <c r="AA30" s="2">
        <f t="shared" si="36"/>
        <v>100000</v>
      </c>
      <c r="AB30" s="2">
        <f t="shared" si="37"/>
        <v>100000</v>
      </c>
      <c r="AC30" s="2">
        <f t="shared" si="38"/>
        <v>100000</v>
      </c>
      <c r="AD30" s="8">
        <f t="shared" si="1"/>
        <v>4.9000000000000002E-2</v>
      </c>
      <c r="AE30" s="2">
        <f t="shared" si="2"/>
        <v>104900</v>
      </c>
      <c r="AF30" s="2" t="str">
        <f t="shared" si="3"/>
        <v>nie</v>
      </c>
      <c r="AG30" s="2">
        <f t="shared" si="4"/>
        <v>1000</v>
      </c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2">
        <f t="shared" si="39"/>
        <v>0</v>
      </c>
      <c r="AU30" s="6"/>
      <c r="AV30" s="2">
        <f>AZ29+AT30+AU30</f>
        <v>0</v>
      </c>
      <c r="AW30" s="1">
        <f t="shared" ref="AW30:AW61" si="77">IF(AT30&lt;&gt;0,MIN(IF(AK30&lt;&gt;"",AK30,0),ROUNDDOWN(AV30/zamiana_TOS,0)),0)</f>
        <v>0</v>
      </c>
      <c r="AX30" s="2">
        <f t="shared" si="6"/>
        <v>0</v>
      </c>
      <c r="AY30" s="1">
        <f>ROUNDDOWN(AX30/100,0)</f>
        <v>0</v>
      </c>
      <c r="AZ30" s="2">
        <f t="shared" si="40"/>
        <v>0</v>
      </c>
      <c r="BA30" s="2">
        <f t="shared" si="8"/>
        <v>104900</v>
      </c>
      <c r="BB30" s="2">
        <f t="shared" si="9"/>
        <v>0</v>
      </c>
      <c r="BC30" s="2">
        <f t="shared" si="41"/>
        <v>0</v>
      </c>
      <c r="BD30" s="2">
        <f t="shared" si="10"/>
        <v>104900</v>
      </c>
      <c r="BE30" s="2">
        <f t="shared" si="42"/>
        <v>1000</v>
      </c>
      <c r="BF30" s="2">
        <f t="shared" si="11"/>
        <v>741</v>
      </c>
      <c r="BG30" s="2">
        <f t="shared" si="12"/>
        <v>103159</v>
      </c>
      <c r="BI30" s="7"/>
      <c r="BJ30" s="5">
        <f t="shared" si="43"/>
        <v>1000</v>
      </c>
      <c r="BK30" s="2">
        <f t="shared" si="44"/>
        <v>100000</v>
      </c>
      <c r="BL30" s="2">
        <f t="shared" si="45"/>
        <v>100000</v>
      </c>
      <c r="BM30" s="2">
        <f t="shared" si="13"/>
        <v>100000</v>
      </c>
      <c r="BN30" s="8">
        <f t="shared" si="14"/>
        <v>5.2499999999999998E-2</v>
      </c>
      <c r="BO30" s="2">
        <f t="shared" si="15"/>
        <v>105250</v>
      </c>
      <c r="BP30" s="2" t="str">
        <f t="shared" si="16"/>
        <v>nie</v>
      </c>
      <c r="BQ30" s="2">
        <f t="shared" si="17"/>
        <v>2000</v>
      </c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2">
        <f t="shared" si="18"/>
        <v>5250</v>
      </c>
      <c r="CE30" s="6"/>
      <c r="CF30" s="2">
        <f>CJ29+CD30+CE30</f>
        <v>5250</v>
      </c>
      <c r="CG30" s="1">
        <f t="shared" ref="CG30:CG61" si="78">IF(CD30&lt;&gt;0,MIN(IF(BU30&lt;&gt;"",BU30,0),ROUNDDOWN(CF30/zamiana_COI,0)),0)</f>
        <v>0</v>
      </c>
      <c r="CH30" s="2">
        <f t="shared" si="20"/>
        <v>5250</v>
      </c>
      <c r="CI30" s="1">
        <f>ROUNDDOWN(CH30/100,0)</f>
        <v>52</v>
      </c>
      <c r="CJ30" s="2">
        <f t="shared" si="46"/>
        <v>50</v>
      </c>
      <c r="CK30" s="2">
        <f t="shared" si="22"/>
        <v>105250</v>
      </c>
      <c r="CL30" s="2">
        <f t="shared" si="23"/>
        <v>0</v>
      </c>
      <c r="CM30" s="2">
        <f t="shared" si="47"/>
        <v>0</v>
      </c>
      <c r="CN30" s="2">
        <f t="shared" si="24"/>
        <v>105250</v>
      </c>
      <c r="CO30" s="2">
        <f t="shared" si="48"/>
        <v>2000</v>
      </c>
      <c r="CP30" s="2">
        <f t="shared" si="25"/>
        <v>617.5</v>
      </c>
      <c r="CQ30" s="2">
        <f t="shared" si="26"/>
        <v>102632.5</v>
      </c>
      <c r="CS30" s="5">
        <f t="shared" si="49"/>
        <v>1000</v>
      </c>
      <c r="CT30" s="2">
        <f t="shared" si="50"/>
        <v>100000</v>
      </c>
      <c r="CU30" s="2">
        <f t="shared" si="51"/>
        <v>100000</v>
      </c>
      <c r="CV30" s="2">
        <f t="shared" si="52"/>
        <v>100000</v>
      </c>
      <c r="CW30" s="8">
        <f t="shared" si="27"/>
        <v>5.7500000000000002E-2</v>
      </c>
      <c r="CX30" s="2">
        <f t="shared" si="28"/>
        <v>105750.00000000001</v>
      </c>
      <c r="CY30" s="2" t="str">
        <f t="shared" si="29"/>
        <v>nie</v>
      </c>
      <c r="CZ30" s="2">
        <f t="shared" si="53"/>
        <v>0</v>
      </c>
      <c r="DA30" s="2">
        <f t="shared" si="54"/>
        <v>0</v>
      </c>
      <c r="DB30" s="2">
        <f t="shared" si="55"/>
        <v>105750.00000000001</v>
      </c>
      <c r="DC30" s="2">
        <f t="shared" si="30"/>
        <v>0</v>
      </c>
      <c r="DD30" s="2">
        <f t="shared" si="56"/>
        <v>0</v>
      </c>
      <c r="DE30" s="2">
        <f t="shared" si="57"/>
        <v>105750.00000000001</v>
      </c>
      <c r="DF30" s="2">
        <f t="shared" si="32"/>
        <v>3000</v>
      </c>
      <c r="DG30" s="2">
        <f t="shared" si="33"/>
        <v>522.50000000000273</v>
      </c>
      <c r="DH30" s="2">
        <f t="shared" si="58"/>
        <v>102227.50000000001</v>
      </c>
    </row>
    <row r="31" spans="2:112">
      <c r="C31" s="23">
        <v>10</v>
      </c>
      <c r="D31" s="2">
        <f t="shared" si="68"/>
        <v>157703.56096366601</v>
      </c>
      <c r="E31" s="2">
        <f t="shared" si="69"/>
        <v>145235.98614323081</v>
      </c>
      <c r="F31" s="2">
        <f t="shared" si="70"/>
        <v>156626.606115</v>
      </c>
      <c r="G31" s="2">
        <f t="shared" si="71"/>
        <v>143143.989615</v>
      </c>
      <c r="H31" s="2">
        <f t="shared" si="72"/>
        <v>161181.02381401448</v>
      </c>
      <c r="I31" s="2">
        <f t="shared" si="73"/>
        <v>149277.11805660161</v>
      </c>
      <c r="J31" s="52">
        <f t="shared" si="74"/>
        <v>143899.87137943413</v>
      </c>
      <c r="K31" s="44">
        <f t="shared" si="75"/>
        <v>133092.55048250864</v>
      </c>
      <c r="M31" s="23">
        <v>10</v>
      </c>
      <c r="N31" s="25">
        <f t="shared" si="60"/>
        <v>0.57703560963666001</v>
      </c>
      <c r="O31" s="25">
        <f t="shared" si="61"/>
        <v>0.45235986143230811</v>
      </c>
      <c r="P31" s="25">
        <f t="shared" si="62"/>
        <v>0.56626606115000011</v>
      </c>
      <c r="Q31" s="25">
        <f t="shared" si="63"/>
        <v>0.43143989614999989</v>
      </c>
      <c r="R31" s="25">
        <f t="shared" si="64"/>
        <v>0.6118102381401449</v>
      </c>
      <c r="S31" s="26">
        <f t="shared" si="65"/>
        <v>0.49277118056601621</v>
      </c>
      <c r="T31" s="53">
        <f t="shared" si="66"/>
        <v>0.43899871379434141</v>
      </c>
      <c r="U31" s="27">
        <f t="shared" si="67"/>
        <v>0.33092550482508631</v>
      </c>
      <c r="W31" s="1">
        <f t="shared" si="34"/>
        <v>13</v>
      </c>
      <c r="X31" s="2">
        <f t="shared" si="0"/>
        <v>103148.67499999999</v>
      </c>
      <c r="Y31" s="8">
        <f t="shared" si="76"/>
        <v>4.3200000000000002E-2</v>
      </c>
      <c r="Z31" s="5">
        <f t="shared" si="35"/>
        <v>1000</v>
      </c>
      <c r="AA31" s="2">
        <f t="shared" si="36"/>
        <v>100000</v>
      </c>
      <c r="AB31" s="2">
        <f t="shared" si="37"/>
        <v>100000</v>
      </c>
      <c r="AC31" s="2">
        <f t="shared" si="38"/>
        <v>104900</v>
      </c>
      <c r="AD31" s="8">
        <f t="shared" si="1"/>
        <v>4.9000000000000002E-2</v>
      </c>
      <c r="AE31" s="2">
        <f t="shared" si="2"/>
        <v>105328.34166666667</v>
      </c>
      <c r="AF31" s="2" t="str">
        <f t="shared" si="3"/>
        <v>nie</v>
      </c>
      <c r="AG31" s="2">
        <f t="shared" si="4"/>
        <v>1000</v>
      </c>
      <c r="AH31" s="1">
        <f t="shared" ref="AH31:AH94" si="79">IF(AT30&lt;&gt;0,AW30+AY30,AH30)</f>
        <v>0</v>
      </c>
      <c r="AI31" s="6"/>
      <c r="AJ31" s="6"/>
      <c r="AK31" s="6"/>
      <c r="AL31" s="2">
        <f>AH31*100</f>
        <v>0</v>
      </c>
      <c r="AM31" s="8">
        <f t="shared" ref="AM31:AM62" si="80">proc_I_okres_TOS</f>
        <v>4.9000000000000002E-2</v>
      </c>
      <c r="AN31" s="2">
        <f>AL31*(1+AM31*IF(MOD($W31,12)&lt;&gt;0,MOD($W31,12),12)/12)</f>
        <v>0</v>
      </c>
      <c r="AO31" s="2">
        <f t="shared" ref="AO31:AO62" si="81">MIN(AH31*koszt_wczesniejszy_wykup_TOS,AN31-AL31)</f>
        <v>0</v>
      </c>
      <c r="AP31" s="6"/>
      <c r="AQ31" s="6"/>
      <c r="AR31" s="6"/>
      <c r="AS31" s="6"/>
      <c r="AT31" s="2">
        <f t="shared" si="39"/>
        <v>0</v>
      </c>
      <c r="AU31" s="2">
        <f>IF(MOD($W31,12)=0,AN31-AL31+AR31-AP31+AK31*100,0)</f>
        <v>0</v>
      </c>
      <c r="AV31" s="2">
        <f t="shared" ref="AV31:AV94" si="82">AZ30+AT31+AU31</f>
        <v>0</v>
      </c>
      <c r="AW31" s="1">
        <f t="shared" si="77"/>
        <v>0</v>
      </c>
      <c r="AX31" s="2">
        <f t="shared" si="6"/>
        <v>0</v>
      </c>
      <c r="AY31" s="1">
        <f t="shared" ref="AY31:AY94" si="83">ROUNDDOWN(AX31/100,0)</f>
        <v>0</v>
      </c>
      <c r="AZ31" s="2">
        <f t="shared" si="40"/>
        <v>0</v>
      </c>
      <c r="BA31" s="2">
        <f>AE31+AN31+AR31+AZ30</f>
        <v>105328.34166666667</v>
      </c>
      <c r="BB31" s="2">
        <f t="shared" si="9"/>
        <v>0</v>
      </c>
      <c r="BC31" s="2">
        <f t="shared" si="41"/>
        <v>0</v>
      </c>
      <c r="BD31" s="2">
        <f t="shared" si="10"/>
        <v>105328.34166666667</v>
      </c>
      <c r="BE31" s="2">
        <f t="shared" si="42"/>
        <v>1000</v>
      </c>
      <c r="BF31" s="2">
        <f t="shared" si="11"/>
        <v>822.38491666666812</v>
      </c>
      <c r="BG31" s="2">
        <f t="shared" si="12"/>
        <v>103505.95675000001</v>
      </c>
      <c r="BI31" s="8">
        <f t="shared" ref="BI31:BI62" si="84">MAX(INDEX(scenariusz_I_inflacja,MATCH(ROUNDUP(W31/12,0)-1,scenariusz_I_rok,0)),0)</f>
        <v>2.9000000000000001E-2</v>
      </c>
      <c r="BJ31" s="5">
        <f t="shared" si="43"/>
        <v>1000</v>
      </c>
      <c r="BK31" s="2">
        <f t="shared" si="44"/>
        <v>100000</v>
      </c>
      <c r="BL31" s="2">
        <f t="shared" si="45"/>
        <v>100000</v>
      </c>
      <c r="BM31" s="2">
        <f t="shared" si="13"/>
        <v>100000</v>
      </c>
      <c r="BN31" s="8">
        <f t="shared" si="14"/>
        <v>4.3999999999999997E-2</v>
      </c>
      <c r="BO31" s="2">
        <f t="shared" si="15"/>
        <v>100366.66666666667</v>
      </c>
      <c r="BP31" s="2" t="str">
        <f t="shared" si="16"/>
        <v>nie</v>
      </c>
      <c r="BQ31" s="2">
        <f t="shared" si="17"/>
        <v>2000</v>
      </c>
      <c r="BR31" s="1">
        <f t="shared" ref="BR31:BR62" si="85">IF(CD30&lt;&gt;0,CG30+CI30,BR30)</f>
        <v>52</v>
      </c>
      <c r="BS31" s="6"/>
      <c r="BT31" s="6"/>
      <c r="BU31" s="6"/>
      <c r="BV31" s="2">
        <f>BR31*100</f>
        <v>5200</v>
      </c>
      <c r="BW31" s="8">
        <f t="shared" ref="BW31:BW62" si="86">proc_I_okres_COI</f>
        <v>5.2499999999999998E-2</v>
      </c>
      <c r="BX31" s="2">
        <f>BV31*(1+BW31*IF(MOD($W31,12)&lt;&gt;0,MOD($W31,12),12)/12)</f>
        <v>5222.75</v>
      </c>
      <c r="BY31" s="2">
        <f t="shared" ref="BY31:BY62" si="87">MIN(BR31*koszt_wczesniejszy_wykup_COI,BX31-BV31)</f>
        <v>22.75</v>
      </c>
      <c r="BZ31" s="6"/>
      <c r="CA31" s="6"/>
      <c r="CB31" s="6"/>
      <c r="CC31" s="6"/>
      <c r="CD31" s="2">
        <f t="shared" si="18"/>
        <v>0</v>
      </c>
      <c r="CE31" s="2">
        <f>IF(MOD($W31,12)=0,BX31-BV31+CB31-BZ31+BU31*100,0)</f>
        <v>0</v>
      </c>
      <c r="CF31" s="2">
        <f t="shared" ref="CF31" si="88">CJ30+CD31+CE31</f>
        <v>50</v>
      </c>
      <c r="CG31" s="1">
        <f t="shared" si="78"/>
        <v>0</v>
      </c>
      <c r="CH31" s="2">
        <f t="shared" si="20"/>
        <v>50</v>
      </c>
      <c r="CI31" s="1">
        <f t="shared" ref="CI31:CI94" si="89">ROUNDDOWN(CH31/100,0)</f>
        <v>0</v>
      </c>
      <c r="CJ31" s="2">
        <f t="shared" si="46"/>
        <v>50</v>
      </c>
      <c r="CK31" s="2">
        <f>BO31+BX31+CB31+CJ30</f>
        <v>105639.41666666667</v>
      </c>
      <c r="CL31" s="2">
        <f t="shared" si="23"/>
        <v>0</v>
      </c>
      <c r="CM31" s="2">
        <f t="shared" si="47"/>
        <v>0</v>
      </c>
      <c r="CN31" s="2">
        <f t="shared" si="24"/>
        <v>105639.41666666667</v>
      </c>
      <c r="CO31" s="2">
        <f t="shared" si="48"/>
        <v>2022.75</v>
      </c>
      <c r="CP31" s="2">
        <f t="shared" si="25"/>
        <v>687.16666666666765</v>
      </c>
      <c r="CQ31" s="2">
        <f t="shared" si="26"/>
        <v>102929.5</v>
      </c>
      <c r="CS31" s="5">
        <f t="shared" si="49"/>
        <v>1000</v>
      </c>
      <c r="CT31" s="2">
        <f t="shared" si="50"/>
        <v>100000</v>
      </c>
      <c r="CU31" s="2">
        <f t="shared" si="51"/>
        <v>100000</v>
      </c>
      <c r="CV31" s="2">
        <f t="shared" si="52"/>
        <v>105750.00000000001</v>
      </c>
      <c r="CW31" s="8">
        <f t="shared" si="27"/>
        <v>4.9000000000000002E-2</v>
      </c>
      <c r="CX31" s="2">
        <f t="shared" si="28"/>
        <v>106181.81250000003</v>
      </c>
      <c r="CY31" s="2" t="str">
        <f t="shared" si="29"/>
        <v>nie</v>
      </c>
      <c r="CZ31" s="2">
        <f t="shared" si="53"/>
        <v>0</v>
      </c>
      <c r="DA31" s="2">
        <f t="shared" si="54"/>
        <v>0</v>
      </c>
      <c r="DB31" s="2">
        <f t="shared" si="55"/>
        <v>106181.81250000003</v>
      </c>
      <c r="DC31" s="2">
        <f t="shared" si="30"/>
        <v>0</v>
      </c>
      <c r="DD31" s="2">
        <f t="shared" si="56"/>
        <v>0</v>
      </c>
      <c r="DE31" s="2">
        <f t="shared" si="57"/>
        <v>106181.81250000003</v>
      </c>
      <c r="DF31" s="2">
        <f t="shared" si="32"/>
        <v>3000</v>
      </c>
      <c r="DG31" s="2">
        <f t="shared" si="33"/>
        <v>604.54437500000552</v>
      </c>
      <c r="DH31" s="2">
        <f t="shared" si="58"/>
        <v>102577.26812500002</v>
      </c>
    </row>
    <row r="32" spans="2:112" ht="15.75" customHeight="1">
      <c r="C32" s="23">
        <v>11</v>
      </c>
      <c r="D32" s="2">
        <f t="shared" si="68"/>
        <v>165438.11934774794</v>
      </c>
      <c r="E32" s="2">
        <f t="shared" si="69"/>
        <v>151468.42832331275</v>
      </c>
      <c r="F32" s="2">
        <f t="shared" si="70"/>
        <v>163570.028165</v>
      </c>
      <c r="G32" s="2">
        <f t="shared" si="71"/>
        <v>148626.617665</v>
      </c>
      <c r="H32" s="2">
        <f t="shared" si="72"/>
        <v>170532.64787844918</v>
      </c>
      <c r="I32" s="2">
        <f t="shared" si="73"/>
        <v>152866.01787844917</v>
      </c>
      <c r="J32" s="52">
        <f t="shared" si="74"/>
        <v>149233.54179806035</v>
      </c>
      <c r="K32" s="44">
        <f t="shared" si="75"/>
        <v>136952.23444650139</v>
      </c>
      <c r="M32" s="23">
        <v>11</v>
      </c>
      <c r="N32" s="25">
        <f t="shared" si="60"/>
        <v>0.65438119347747947</v>
      </c>
      <c r="O32" s="25">
        <f t="shared" si="61"/>
        <v>0.51468428323312754</v>
      </c>
      <c r="P32" s="25">
        <f t="shared" si="62"/>
        <v>0.63570028164999992</v>
      </c>
      <c r="Q32" s="25">
        <f t="shared" si="63"/>
        <v>0.48626617665000005</v>
      </c>
      <c r="R32" s="25">
        <f t="shared" si="64"/>
        <v>0.70532647878449173</v>
      </c>
      <c r="S32" s="26">
        <f t="shared" si="65"/>
        <v>0.52866017878449179</v>
      </c>
      <c r="T32" s="53">
        <f t="shared" si="66"/>
        <v>0.49233541798060343</v>
      </c>
      <c r="U32" s="27">
        <f t="shared" si="67"/>
        <v>0.36952234446501397</v>
      </c>
      <c r="W32" s="1">
        <f t="shared" si="34"/>
        <v>14</v>
      </c>
      <c r="X32" s="2">
        <f t="shared" si="0"/>
        <v>103397.34999999998</v>
      </c>
      <c r="Y32" s="8">
        <f t="shared" si="76"/>
        <v>4.3200000000000002E-2</v>
      </c>
      <c r="Z32" s="5">
        <f t="shared" si="35"/>
        <v>1000</v>
      </c>
      <c r="AA32" s="2">
        <f t="shared" si="36"/>
        <v>100000</v>
      </c>
      <c r="AB32" s="2">
        <f t="shared" si="37"/>
        <v>100000</v>
      </c>
      <c r="AC32" s="2">
        <f t="shared" si="38"/>
        <v>104900</v>
      </c>
      <c r="AD32" s="8">
        <f t="shared" si="1"/>
        <v>4.9000000000000002E-2</v>
      </c>
      <c r="AE32" s="2">
        <f t="shared" si="2"/>
        <v>105756.68333333333</v>
      </c>
      <c r="AF32" s="2" t="str">
        <f t="shared" si="3"/>
        <v>nie</v>
      </c>
      <c r="AG32" s="2">
        <f t="shared" si="4"/>
        <v>1000</v>
      </c>
      <c r="AH32" s="1">
        <f t="shared" si="79"/>
        <v>0</v>
      </c>
      <c r="AI32" s="6"/>
      <c r="AJ32" s="6"/>
      <c r="AK32" s="6"/>
      <c r="AL32" s="2">
        <f t="shared" ref="AL32:AL95" si="90">AH32*100</f>
        <v>0</v>
      </c>
      <c r="AM32" s="8">
        <f t="shared" si="80"/>
        <v>4.9000000000000002E-2</v>
      </c>
      <c r="AN32" s="2">
        <f t="shared" ref="AN32:AN95" si="91">AL32*(1+AM32*IF(MOD($W32,12)&lt;&gt;0,MOD($W32,12),12)/12)</f>
        <v>0</v>
      </c>
      <c r="AO32" s="2">
        <f t="shared" si="81"/>
        <v>0</v>
      </c>
      <c r="AP32" s="6"/>
      <c r="AQ32" s="6"/>
      <c r="AR32" s="6"/>
      <c r="AS32" s="6"/>
      <c r="AT32" s="2">
        <f t="shared" si="39"/>
        <v>0</v>
      </c>
      <c r="AU32" s="2">
        <f t="shared" ref="AU32:AU95" si="92">IF(MOD($W32,12)=0,AN32-AL32+AR32-AP32+AK32*100,0)</f>
        <v>0</v>
      </c>
      <c r="AV32" s="2">
        <f t="shared" si="82"/>
        <v>0</v>
      </c>
      <c r="AW32" s="1">
        <f t="shared" si="77"/>
        <v>0</v>
      </c>
      <c r="AX32" s="2">
        <f t="shared" si="6"/>
        <v>0</v>
      </c>
      <c r="AY32" s="1">
        <f t="shared" si="83"/>
        <v>0</v>
      </c>
      <c r="AZ32" s="2">
        <f t="shared" si="40"/>
        <v>0</v>
      </c>
      <c r="BA32" s="2">
        <f t="shared" ref="BA32:BA95" si="93">AE32+AN32+AR32+AZ31</f>
        <v>105756.68333333333</v>
      </c>
      <c r="BB32" s="2">
        <f t="shared" si="9"/>
        <v>0</v>
      </c>
      <c r="BC32" s="2">
        <f t="shared" si="41"/>
        <v>0</v>
      </c>
      <c r="BD32" s="2">
        <f t="shared" si="10"/>
        <v>105756.68333333333</v>
      </c>
      <c r="BE32" s="2">
        <f t="shared" si="42"/>
        <v>1000</v>
      </c>
      <c r="BF32" s="2">
        <f t="shared" si="11"/>
        <v>903.76983333333351</v>
      </c>
      <c r="BG32" s="2">
        <f t="shared" si="12"/>
        <v>103852.9135</v>
      </c>
      <c r="BI32" s="8">
        <f t="shared" si="84"/>
        <v>2.9000000000000001E-2</v>
      </c>
      <c r="BJ32" s="5">
        <f t="shared" si="43"/>
        <v>1000</v>
      </c>
      <c r="BK32" s="2">
        <f t="shared" si="44"/>
        <v>100000</v>
      </c>
      <c r="BL32" s="2">
        <f t="shared" si="45"/>
        <v>100000</v>
      </c>
      <c r="BM32" s="2">
        <f t="shared" si="13"/>
        <v>100000</v>
      </c>
      <c r="BN32" s="8">
        <f t="shared" si="14"/>
        <v>4.3999999999999997E-2</v>
      </c>
      <c r="BO32" s="2">
        <f t="shared" si="15"/>
        <v>100733.33333333334</v>
      </c>
      <c r="BP32" s="2" t="str">
        <f t="shared" si="16"/>
        <v>nie</v>
      </c>
      <c r="BQ32" s="2">
        <f t="shared" si="17"/>
        <v>2000</v>
      </c>
      <c r="BR32" s="1">
        <f t="shared" si="85"/>
        <v>52</v>
      </c>
      <c r="BS32" s="6"/>
      <c r="BT32" s="6"/>
      <c r="BU32" s="6"/>
      <c r="BV32" s="2">
        <f t="shared" ref="BV32:BV95" si="94">BR32*100</f>
        <v>5200</v>
      </c>
      <c r="BW32" s="8">
        <f t="shared" si="86"/>
        <v>5.2499999999999998E-2</v>
      </c>
      <c r="BX32" s="2">
        <f t="shared" ref="BX32:BX95" si="95">BV32*(1+BW32*IF(MOD($W32,12)&lt;&gt;0,MOD($W32,12),12)/12)</f>
        <v>5245.5</v>
      </c>
      <c r="BY32" s="2">
        <f t="shared" si="87"/>
        <v>45.5</v>
      </c>
      <c r="BZ32" s="6"/>
      <c r="CA32" s="6"/>
      <c r="CB32" s="6"/>
      <c r="CC32" s="6"/>
      <c r="CD32" s="2">
        <f t="shared" si="18"/>
        <v>0</v>
      </c>
      <c r="CE32" s="2">
        <f t="shared" ref="CE32:CE95" si="96">IF(MOD($W32,12)=0,BX32-BV32+CB32-BZ32+BU32*100,0)</f>
        <v>0</v>
      </c>
      <c r="CF32" s="2">
        <f t="shared" ref="CF32:CF95" si="97">CJ31+CD32+CE32</f>
        <v>50</v>
      </c>
      <c r="CG32" s="1">
        <f t="shared" si="78"/>
        <v>0</v>
      </c>
      <c r="CH32" s="2">
        <f t="shared" si="20"/>
        <v>50</v>
      </c>
      <c r="CI32" s="1">
        <f t="shared" si="89"/>
        <v>0</v>
      </c>
      <c r="CJ32" s="2">
        <f t="shared" ref="CJ32:CJ95" si="98">CH32-CI32*100</f>
        <v>50</v>
      </c>
      <c r="CK32" s="2">
        <f t="shared" ref="CK32:CK95" si="99">BO32+BX32+CB32+CJ31</f>
        <v>106028.83333333334</v>
      </c>
      <c r="CL32" s="2">
        <f t="shared" si="23"/>
        <v>0</v>
      </c>
      <c r="CM32" s="2">
        <f t="shared" si="47"/>
        <v>0</v>
      </c>
      <c r="CN32" s="2">
        <f t="shared" si="24"/>
        <v>106028.83333333334</v>
      </c>
      <c r="CO32" s="2">
        <f t="shared" si="48"/>
        <v>2045.5</v>
      </c>
      <c r="CP32" s="2">
        <f t="shared" si="25"/>
        <v>756.83333333333519</v>
      </c>
      <c r="CQ32" s="2">
        <f t="shared" si="26"/>
        <v>103226.50000000001</v>
      </c>
      <c r="CS32" s="5">
        <f t="shared" si="49"/>
        <v>1000</v>
      </c>
      <c r="CT32" s="2">
        <f t="shared" si="50"/>
        <v>100000</v>
      </c>
      <c r="CU32" s="2">
        <f t="shared" si="51"/>
        <v>100000</v>
      </c>
      <c r="CV32" s="2">
        <f t="shared" si="52"/>
        <v>105750.00000000001</v>
      </c>
      <c r="CW32" s="8">
        <f t="shared" si="27"/>
        <v>4.9000000000000002E-2</v>
      </c>
      <c r="CX32" s="2">
        <f t="shared" si="28"/>
        <v>106613.62500000001</v>
      </c>
      <c r="CY32" s="2" t="str">
        <f t="shared" si="29"/>
        <v>nie</v>
      </c>
      <c r="CZ32" s="2">
        <f t="shared" si="53"/>
        <v>0</v>
      </c>
      <c r="DA32" s="2">
        <f t="shared" si="54"/>
        <v>0</v>
      </c>
      <c r="DB32" s="2">
        <f t="shared" si="55"/>
        <v>106613.62500000001</v>
      </c>
      <c r="DC32" s="2">
        <f t="shared" si="30"/>
        <v>0</v>
      </c>
      <c r="DD32" s="2">
        <f t="shared" si="56"/>
        <v>0</v>
      </c>
      <c r="DE32" s="2">
        <f t="shared" si="57"/>
        <v>106613.62500000001</v>
      </c>
      <c r="DF32" s="2">
        <f t="shared" si="32"/>
        <v>3000</v>
      </c>
      <c r="DG32" s="2">
        <f t="shared" si="33"/>
        <v>686.58875000000273</v>
      </c>
      <c r="DH32" s="2">
        <f t="shared" si="58"/>
        <v>102927.03625</v>
      </c>
    </row>
    <row r="33" spans="2:112" ht="15" customHeight="1" thickBot="1">
      <c r="C33" s="57">
        <v>12</v>
      </c>
      <c r="D33" s="66">
        <f t="shared" si="68"/>
        <v>172583.94413075273</v>
      </c>
      <c r="E33" s="66">
        <f t="shared" si="69"/>
        <v>158450.56544886474</v>
      </c>
      <c r="F33" s="66">
        <f t="shared" si="70"/>
        <v>170823.82381500001</v>
      </c>
      <c r="G33" s="66">
        <f t="shared" si="71"/>
        <v>156123.417315</v>
      </c>
      <c r="H33" s="66">
        <f t="shared" si="72"/>
        <v>178787.92505388384</v>
      </c>
      <c r="I33" s="66">
        <f t="shared" si="73"/>
        <v>159518.47614388383</v>
      </c>
      <c r="J33" s="58">
        <f t="shared" si="74"/>
        <v>154764.90551454588</v>
      </c>
      <c r="K33" s="67">
        <f t="shared" si="75"/>
        <v>140923.84924544991</v>
      </c>
      <c r="M33" s="28">
        <v>12</v>
      </c>
      <c r="N33" s="29">
        <f t="shared" si="60"/>
        <v>0.72583944130752731</v>
      </c>
      <c r="O33" s="29">
        <f t="shared" si="61"/>
        <v>0.58450565448864733</v>
      </c>
      <c r="P33" s="29">
        <f t="shared" si="62"/>
        <v>0.70823823815000009</v>
      </c>
      <c r="Q33" s="29">
        <f t="shared" si="63"/>
        <v>0.5612341731499999</v>
      </c>
      <c r="R33" s="29">
        <f t="shared" si="64"/>
        <v>0.78787925053883834</v>
      </c>
      <c r="S33" s="30">
        <f t="shared" si="65"/>
        <v>0.59518476143883836</v>
      </c>
      <c r="T33" s="54">
        <f t="shared" si="66"/>
        <v>0.54764905514545892</v>
      </c>
      <c r="U33" s="31">
        <f t="shared" si="67"/>
        <v>0.40923849245449917</v>
      </c>
      <c r="W33" s="1">
        <f t="shared" si="34"/>
        <v>15</v>
      </c>
      <c r="X33" s="2">
        <f t="shared" si="0"/>
        <v>103646.02499999998</v>
      </c>
      <c r="Y33" s="8">
        <f t="shared" si="76"/>
        <v>4.3200000000000002E-2</v>
      </c>
      <c r="Z33" s="5">
        <f t="shared" si="35"/>
        <v>1000</v>
      </c>
      <c r="AA33" s="2">
        <f t="shared" si="36"/>
        <v>100000</v>
      </c>
      <c r="AB33" s="2">
        <f t="shared" si="37"/>
        <v>100000</v>
      </c>
      <c r="AC33" s="2">
        <f t="shared" si="38"/>
        <v>104900</v>
      </c>
      <c r="AD33" s="8">
        <f t="shared" si="1"/>
        <v>4.9000000000000002E-2</v>
      </c>
      <c r="AE33" s="2">
        <f t="shared" si="2"/>
        <v>106185.02500000001</v>
      </c>
      <c r="AF33" s="2" t="str">
        <f t="shared" si="3"/>
        <v>nie</v>
      </c>
      <c r="AG33" s="2">
        <f t="shared" si="4"/>
        <v>1000</v>
      </c>
      <c r="AH33" s="1">
        <f t="shared" si="79"/>
        <v>0</v>
      </c>
      <c r="AI33" s="6"/>
      <c r="AJ33" s="6"/>
      <c r="AK33" s="6"/>
      <c r="AL33" s="2">
        <f t="shared" si="90"/>
        <v>0</v>
      </c>
      <c r="AM33" s="8">
        <f t="shared" si="80"/>
        <v>4.9000000000000002E-2</v>
      </c>
      <c r="AN33" s="2">
        <f t="shared" si="91"/>
        <v>0</v>
      </c>
      <c r="AO33" s="2">
        <f t="shared" si="81"/>
        <v>0</v>
      </c>
      <c r="AP33" s="6"/>
      <c r="AQ33" s="6"/>
      <c r="AR33" s="6"/>
      <c r="AS33" s="6"/>
      <c r="AT33" s="2">
        <f t="shared" si="39"/>
        <v>0</v>
      </c>
      <c r="AU33" s="2">
        <f t="shared" si="92"/>
        <v>0</v>
      </c>
      <c r="AV33" s="2">
        <f t="shared" si="82"/>
        <v>0</v>
      </c>
      <c r="AW33" s="1">
        <f t="shared" si="77"/>
        <v>0</v>
      </c>
      <c r="AX33" s="2">
        <f t="shared" si="6"/>
        <v>0</v>
      </c>
      <c r="AY33" s="1">
        <f t="shared" si="83"/>
        <v>0</v>
      </c>
      <c r="AZ33" s="2">
        <f t="shared" si="40"/>
        <v>0</v>
      </c>
      <c r="BA33" s="2">
        <f t="shared" si="93"/>
        <v>106185.02500000001</v>
      </c>
      <c r="BB33" s="2">
        <f t="shared" si="9"/>
        <v>0</v>
      </c>
      <c r="BC33" s="2">
        <f t="shared" si="41"/>
        <v>0</v>
      </c>
      <c r="BD33" s="2">
        <f t="shared" si="10"/>
        <v>106185.02500000001</v>
      </c>
      <c r="BE33" s="2">
        <f t="shared" si="42"/>
        <v>1000</v>
      </c>
      <c r="BF33" s="2">
        <f t="shared" si="11"/>
        <v>985.15475000000163</v>
      </c>
      <c r="BG33" s="2">
        <f t="shared" si="12"/>
        <v>104199.87025000001</v>
      </c>
      <c r="BI33" s="8">
        <f t="shared" si="84"/>
        <v>2.9000000000000001E-2</v>
      </c>
      <c r="BJ33" s="5">
        <f t="shared" si="43"/>
        <v>1000</v>
      </c>
      <c r="BK33" s="2">
        <f t="shared" si="44"/>
        <v>100000</v>
      </c>
      <c r="BL33" s="2">
        <f t="shared" si="45"/>
        <v>100000</v>
      </c>
      <c r="BM33" s="2">
        <f t="shared" si="13"/>
        <v>100000</v>
      </c>
      <c r="BN33" s="8">
        <f t="shared" si="14"/>
        <v>4.3999999999999997E-2</v>
      </c>
      <c r="BO33" s="2">
        <f t="shared" si="15"/>
        <v>101099.99999999999</v>
      </c>
      <c r="BP33" s="2" t="str">
        <f t="shared" si="16"/>
        <v>nie</v>
      </c>
      <c r="BQ33" s="2">
        <f t="shared" si="17"/>
        <v>2000</v>
      </c>
      <c r="BR33" s="1">
        <f t="shared" si="85"/>
        <v>52</v>
      </c>
      <c r="BS33" s="6"/>
      <c r="BT33" s="6"/>
      <c r="BU33" s="6"/>
      <c r="BV33" s="2">
        <f t="shared" si="94"/>
        <v>5200</v>
      </c>
      <c r="BW33" s="8">
        <f t="shared" si="86"/>
        <v>5.2499999999999998E-2</v>
      </c>
      <c r="BX33" s="2">
        <f t="shared" si="95"/>
        <v>5268.25</v>
      </c>
      <c r="BY33" s="2">
        <f t="shared" si="87"/>
        <v>68.25</v>
      </c>
      <c r="BZ33" s="6"/>
      <c r="CA33" s="6"/>
      <c r="CB33" s="6"/>
      <c r="CC33" s="6"/>
      <c r="CD33" s="2">
        <f t="shared" si="18"/>
        <v>0</v>
      </c>
      <c r="CE33" s="2">
        <f t="shared" si="96"/>
        <v>0</v>
      </c>
      <c r="CF33" s="2">
        <f t="shared" si="97"/>
        <v>50</v>
      </c>
      <c r="CG33" s="1">
        <f t="shared" si="78"/>
        <v>0</v>
      </c>
      <c r="CH33" s="2">
        <f t="shared" si="20"/>
        <v>50</v>
      </c>
      <c r="CI33" s="1">
        <f t="shared" si="89"/>
        <v>0</v>
      </c>
      <c r="CJ33" s="2">
        <f t="shared" si="98"/>
        <v>50</v>
      </c>
      <c r="CK33" s="2">
        <f t="shared" si="99"/>
        <v>106418.24999999999</v>
      </c>
      <c r="CL33" s="2">
        <f t="shared" si="23"/>
        <v>0</v>
      </c>
      <c r="CM33" s="2">
        <f t="shared" si="47"/>
        <v>0</v>
      </c>
      <c r="CN33" s="2">
        <f t="shared" si="24"/>
        <v>106418.24999999999</v>
      </c>
      <c r="CO33" s="2">
        <f t="shared" si="48"/>
        <v>2068.25</v>
      </c>
      <c r="CP33" s="2">
        <f t="shared" si="25"/>
        <v>826.49999999999727</v>
      </c>
      <c r="CQ33" s="2">
        <f t="shared" si="26"/>
        <v>103523.49999999999</v>
      </c>
      <c r="CS33" s="5">
        <f t="shared" si="49"/>
        <v>1000</v>
      </c>
      <c r="CT33" s="2">
        <f t="shared" si="50"/>
        <v>100000</v>
      </c>
      <c r="CU33" s="2">
        <f t="shared" si="51"/>
        <v>100000</v>
      </c>
      <c r="CV33" s="2">
        <f t="shared" si="52"/>
        <v>105750.00000000001</v>
      </c>
      <c r="CW33" s="8">
        <f t="shared" si="27"/>
        <v>4.9000000000000002E-2</v>
      </c>
      <c r="CX33" s="2">
        <f t="shared" si="28"/>
        <v>107045.43750000003</v>
      </c>
      <c r="CY33" s="2" t="str">
        <f t="shared" si="29"/>
        <v>nie</v>
      </c>
      <c r="CZ33" s="2">
        <f t="shared" si="53"/>
        <v>0</v>
      </c>
      <c r="DA33" s="2">
        <f t="shared" si="54"/>
        <v>0</v>
      </c>
      <c r="DB33" s="2">
        <f t="shared" si="55"/>
        <v>107045.43750000003</v>
      </c>
      <c r="DC33" s="2">
        <f t="shared" si="30"/>
        <v>0</v>
      </c>
      <c r="DD33" s="2">
        <f t="shared" si="56"/>
        <v>0</v>
      </c>
      <c r="DE33" s="2">
        <f t="shared" si="57"/>
        <v>107045.43750000003</v>
      </c>
      <c r="DF33" s="2">
        <f t="shared" si="32"/>
        <v>3000</v>
      </c>
      <c r="DG33" s="2">
        <f t="shared" si="33"/>
        <v>768.63312500000552</v>
      </c>
      <c r="DH33" s="2">
        <f t="shared" si="58"/>
        <v>103276.80437500002</v>
      </c>
    </row>
    <row r="34" spans="2:112" ht="23.45" customHeight="1" thickBot="1">
      <c r="M34" s="49">
        <f>zakup_domyslny_mc</f>
        <v>50</v>
      </c>
      <c r="N34" s="40">
        <f t="shared" ref="N34:U34" si="100">D17/zakup_domyslny_wartosc-1</f>
        <v>0.21006152196271977</v>
      </c>
      <c r="O34" s="40">
        <f t="shared" si="100"/>
        <v>0.15986061516971972</v>
      </c>
      <c r="P34" s="40">
        <f t="shared" si="100"/>
        <v>0.20503034764999994</v>
      </c>
      <c r="Q34" s="40">
        <f t="shared" si="100"/>
        <v>0.15525689264999998</v>
      </c>
      <c r="R34" s="40">
        <f t="shared" si="100"/>
        <v>0.22543369721533169</v>
      </c>
      <c r="S34" s="40">
        <f t="shared" si="100"/>
        <v>0.15730771049107073</v>
      </c>
      <c r="T34" s="40">
        <f t="shared" si="100"/>
        <v>0.16374680697686839</v>
      </c>
      <c r="U34" s="41">
        <f t="shared" si="100"/>
        <v>0.12656312722019125</v>
      </c>
      <c r="W34" s="1">
        <f t="shared" si="34"/>
        <v>16</v>
      </c>
      <c r="X34" s="2">
        <f t="shared" si="0"/>
        <v>103894.7</v>
      </c>
      <c r="Y34" s="8">
        <f t="shared" si="76"/>
        <v>4.3200000000000002E-2</v>
      </c>
      <c r="Z34" s="5">
        <f t="shared" si="35"/>
        <v>1000</v>
      </c>
      <c r="AA34" s="2">
        <f t="shared" si="36"/>
        <v>100000</v>
      </c>
      <c r="AB34" s="2">
        <f t="shared" si="37"/>
        <v>100000</v>
      </c>
      <c r="AC34" s="2">
        <f t="shared" si="38"/>
        <v>104900</v>
      </c>
      <c r="AD34" s="8">
        <f t="shared" si="1"/>
        <v>4.9000000000000002E-2</v>
      </c>
      <c r="AE34" s="2">
        <f t="shared" si="2"/>
        <v>106613.36666666667</v>
      </c>
      <c r="AF34" s="2" t="str">
        <f t="shared" si="3"/>
        <v>nie</v>
      </c>
      <c r="AG34" s="2">
        <f t="shared" si="4"/>
        <v>1000</v>
      </c>
      <c r="AH34" s="1">
        <f t="shared" si="79"/>
        <v>0</v>
      </c>
      <c r="AI34" s="6"/>
      <c r="AJ34" s="6"/>
      <c r="AK34" s="6"/>
      <c r="AL34" s="2">
        <f t="shared" si="90"/>
        <v>0</v>
      </c>
      <c r="AM34" s="8">
        <f t="shared" si="80"/>
        <v>4.9000000000000002E-2</v>
      </c>
      <c r="AN34" s="2">
        <f t="shared" si="91"/>
        <v>0</v>
      </c>
      <c r="AO34" s="2">
        <f t="shared" si="81"/>
        <v>0</v>
      </c>
      <c r="AP34" s="6"/>
      <c r="AQ34" s="6"/>
      <c r="AR34" s="6"/>
      <c r="AS34" s="6"/>
      <c r="AT34" s="2">
        <f t="shared" si="39"/>
        <v>0</v>
      </c>
      <c r="AU34" s="2">
        <f t="shared" si="92"/>
        <v>0</v>
      </c>
      <c r="AV34" s="2">
        <f t="shared" si="82"/>
        <v>0</v>
      </c>
      <c r="AW34" s="1">
        <f t="shared" si="77"/>
        <v>0</v>
      </c>
      <c r="AX34" s="2">
        <f t="shared" si="6"/>
        <v>0</v>
      </c>
      <c r="AY34" s="1">
        <f t="shared" si="83"/>
        <v>0</v>
      </c>
      <c r="AZ34" s="2">
        <f t="shared" si="40"/>
        <v>0</v>
      </c>
      <c r="BA34" s="2">
        <f t="shared" si="93"/>
        <v>106613.36666666667</v>
      </c>
      <c r="BB34" s="2">
        <f t="shared" si="9"/>
        <v>0</v>
      </c>
      <c r="BC34" s="2">
        <f t="shared" si="41"/>
        <v>0</v>
      </c>
      <c r="BD34" s="2">
        <f t="shared" si="10"/>
        <v>106613.36666666667</v>
      </c>
      <c r="BE34" s="2">
        <f t="shared" si="42"/>
        <v>1000</v>
      </c>
      <c r="BF34" s="2">
        <f t="shared" si="11"/>
        <v>1066.539666666667</v>
      </c>
      <c r="BG34" s="2">
        <f t="shared" si="12"/>
        <v>104546.827</v>
      </c>
      <c r="BI34" s="8">
        <f t="shared" si="84"/>
        <v>2.9000000000000001E-2</v>
      </c>
      <c r="BJ34" s="5">
        <f t="shared" si="43"/>
        <v>1000</v>
      </c>
      <c r="BK34" s="2">
        <f t="shared" si="44"/>
        <v>100000</v>
      </c>
      <c r="BL34" s="2">
        <f t="shared" si="45"/>
        <v>100000</v>
      </c>
      <c r="BM34" s="2">
        <f t="shared" si="13"/>
        <v>100000</v>
      </c>
      <c r="BN34" s="8">
        <f t="shared" si="14"/>
        <v>4.3999999999999997E-2</v>
      </c>
      <c r="BO34" s="2">
        <f t="shared" si="15"/>
        <v>101466.66666666666</v>
      </c>
      <c r="BP34" s="2" t="str">
        <f t="shared" si="16"/>
        <v>nie</v>
      </c>
      <c r="BQ34" s="2">
        <f t="shared" si="17"/>
        <v>2000</v>
      </c>
      <c r="BR34" s="1">
        <f t="shared" si="85"/>
        <v>52</v>
      </c>
      <c r="BS34" s="6"/>
      <c r="BT34" s="6"/>
      <c r="BU34" s="6"/>
      <c r="BV34" s="2">
        <f t="shared" si="94"/>
        <v>5200</v>
      </c>
      <c r="BW34" s="8">
        <f t="shared" si="86"/>
        <v>5.2499999999999998E-2</v>
      </c>
      <c r="BX34" s="2">
        <f t="shared" si="95"/>
        <v>5291</v>
      </c>
      <c r="BY34" s="2">
        <f t="shared" si="87"/>
        <v>91</v>
      </c>
      <c r="BZ34" s="6"/>
      <c r="CA34" s="6"/>
      <c r="CB34" s="6"/>
      <c r="CC34" s="6"/>
      <c r="CD34" s="2">
        <f t="shared" si="18"/>
        <v>0</v>
      </c>
      <c r="CE34" s="2">
        <f t="shared" si="96"/>
        <v>0</v>
      </c>
      <c r="CF34" s="2">
        <f t="shared" si="97"/>
        <v>50</v>
      </c>
      <c r="CG34" s="1">
        <f t="shared" si="78"/>
        <v>0</v>
      </c>
      <c r="CH34" s="2">
        <f t="shared" si="20"/>
        <v>50</v>
      </c>
      <c r="CI34" s="1">
        <f t="shared" si="89"/>
        <v>0</v>
      </c>
      <c r="CJ34" s="2">
        <f t="shared" si="98"/>
        <v>50</v>
      </c>
      <c r="CK34" s="2">
        <f t="shared" si="99"/>
        <v>106807.66666666666</v>
      </c>
      <c r="CL34" s="2">
        <f t="shared" si="23"/>
        <v>0</v>
      </c>
      <c r="CM34" s="2">
        <f t="shared" si="47"/>
        <v>0</v>
      </c>
      <c r="CN34" s="2">
        <f t="shared" si="24"/>
        <v>106807.66666666666</v>
      </c>
      <c r="CO34" s="2">
        <f t="shared" si="48"/>
        <v>2091</v>
      </c>
      <c r="CP34" s="2">
        <f t="shared" si="25"/>
        <v>896.16666666666481</v>
      </c>
      <c r="CQ34" s="2">
        <f t="shared" si="26"/>
        <v>103820.49999999999</v>
      </c>
      <c r="CS34" s="5">
        <f t="shared" si="49"/>
        <v>1000</v>
      </c>
      <c r="CT34" s="2">
        <f t="shared" si="50"/>
        <v>100000</v>
      </c>
      <c r="CU34" s="2">
        <f t="shared" si="51"/>
        <v>100000</v>
      </c>
      <c r="CV34" s="2">
        <f t="shared" si="52"/>
        <v>105750.00000000001</v>
      </c>
      <c r="CW34" s="8">
        <f t="shared" si="27"/>
        <v>4.9000000000000002E-2</v>
      </c>
      <c r="CX34" s="2">
        <f t="shared" si="28"/>
        <v>107477.25000000001</v>
      </c>
      <c r="CY34" s="2" t="str">
        <f t="shared" si="29"/>
        <v>nie</v>
      </c>
      <c r="CZ34" s="2">
        <f t="shared" si="53"/>
        <v>0</v>
      </c>
      <c r="DA34" s="2">
        <f t="shared" si="54"/>
        <v>0</v>
      </c>
      <c r="DB34" s="2">
        <f t="shared" si="55"/>
        <v>107477.25000000001</v>
      </c>
      <c r="DC34" s="2">
        <f t="shared" si="30"/>
        <v>0</v>
      </c>
      <c r="DD34" s="2">
        <f t="shared" si="56"/>
        <v>0</v>
      </c>
      <c r="DE34" s="2">
        <f t="shared" si="57"/>
        <v>107477.25000000001</v>
      </c>
      <c r="DF34" s="2">
        <f t="shared" si="32"/>
        <v>3000</v>
      </c>
      <c r="DG34" s="2">
        <f t="shared" si="33"/>
        <v>850.67750000000274</v>
      </c>
      <c r="DH34" s="2">
        <f t="shared" si="58"/>
        <v>103626.57250000001</v>
      </c>
    </row>
    <row r="35" spans="2:112">
      <c r="W35" s="1">
        <f t="shared" si="34"/>
        <v>17</v>
      </c>
      <c r="X35" s="2">
        <f t="shared" si="0"/>
        <v>104143.375</v>
      </c>
      <c r="Y35" s="8">
        <f t="shared" si="76"/>
        <v>4.3200000000000002E-2</v>
      </c>
      <c r="Z35" s="5">
        <f t="shared" si="35"/>
        <v>1000</v>
      </c>
      <c r="AA35" s="2">
        <f t="shared" si="36"/>
        <v>100000</v>
      </c>
      <c r="AB35" s="2">
        <f t="shared" si="37"/>
        <v>100000</v>
      </c>
      <c r="AC35" s="2">
        <f t="shared" si="38"/>
        <v>104900</v>
      </c>
      <c r="AD35" s="8">
        <f t="shared" si="1"/>
        <v>4.9000000000000002E-2</v>
      </c>
      <c r="AE35" s="2">
        <f t="shared" si="2"/>
        <v>107041.70833333334</v>
      </c>
      <c r="AF35" s="2" t="str">
        <f t="shared" si="3"/>
        <v>nie</v>
      </c>
      <c r="AG35" s="2">
        <f t="shared" si="4"/>
        <v>1000</v>
      </c>
      <c r="AH35" s="1">
        <f t="shared" si="79"/>
        <v>0</v>
      </c>
      <c r="AI35" s="6"/>
      <c r="AJ35" s="6"/>
      <c r="AK35" s="6"/>
      <c r="AL35" s="2">
        <f t="shared" si="90"/>
        <v>0</v>
      </c>
      <c r="AM35" s="8">
        <f t="shared" si="80"/>
        <v>4.9000000000000002E-2</v>
      </c>
      <c r="AN35" s="2">
        <f t="shared" si="91"/>
        <v>0</v>
      </c>
      <c r="AO35" s="2">
        <f t="shared" si="81"/>
        <v>0</v>
      </c>
      <c r="AP35" s="6"/>
      <c r="AQ35" s="6"/>
      <c r="AR35" s="6"/>
      <c r="AS35" s="6"/>
      <c r="AT35" s="2">
        <f t="shared" si="39"/>
        <v>0</v>
      </c>
      <c r="AU35" s="2">
        <f t="shared" si="92"/>
        <v>0</v>
      </c>
      <c r="AV35" s="2">
        <f t="shared" si="82"/>
        <v>0</v>
      </c>
      <c r="AW35" s="1">
        <f t="shared" si="77"/>
        <v>0</v>
      </c>
      <c r="AX35" s="2">
        <f t="shared" si="6"/>
        <v>0</v>
      </c>
      <c r="AY35" s="1">
        <f t="shared" si="83"/>
        <v>0</v>
      </c>
      <c r="AZ35" s="2">
        <f t="shared" si="40"/>
        <v>0</v>
      </c>
      <c r="BA35" s="2">
        <f t="shared" si="93"/>
        <v>107041.70833333334</v>
      </c>
      <c r="BB35" s="2">
        <f t="shared" si="9"/>
        <v>0</v>
      </c>
      <c r="BC35" s="2">
        <f t="shared" si="41"/>
        <v>0</v>
      </c>
      <c r="BD35" s="2">
        <f t="shared" si="10"/>
        <v>107041.70833333334</v>
      </c>
      <c r="BE35" s="2">
        <f t="shared" si="42"/>
        <v>1000</v>
      </c>
      <c r="BF35" s="2">
        <f t="shared" si="11"/>
        <v>1147.9245833333352</v>
      </c>
      <c r="BG35" s="2">
        <f t="shared" si="12"/>
        <v>104893.78375</v>
      </c>
      <c r="BI35" s="8">
        <f t="shared" si="84"/>
        <v>2.9000000000000001E-2</v>
      </c>
      <c r="BJ35" s="5">
        <f t="shared" si="43"/>
        <v>1000</v>
      </c>
      <c r="BK35" s="2">
        <f t="shared" si="44"/>
        <v>100000</v>
      </c>
      <c r="BL35" s="2">
        <f t="shared" si="45"/>
        <v>100000</v>
      </c>
      <c r="BM35" s="2">
        <f t="shared" si="13"/>
        <v>100000</v>
      </c>
      <c r="BN35" s="8">
        <f t="shared" si="14"/>
        <v>4.3999999999999997E-2</v>
      </c>
      <c r="BO35" s="2">
        <f t="shared" si="15"/>
        <v>101833.33333333333</v>
      </c>
      <c r="BP35" s="2" t="str">
        <f t="shared" si="16"/>
        <v>nie</v>
      </c>
      <c r="BQ35" s="2">
        <f t="shared" si="17"/>
        <v>2000</v>
      </c>
      <c r="BR35" s="1">
        <f t="shared" si="85"/>
        <v>52</v>
      </c>
      <c r="BS35" s="6"/>
      <c r="BT35" s="6"/>
      <c r="BU35" s="6"/>
      <c r="BV35" s="2">
        <f t="shared" si="94"/>
        <v>5200</v>
      </c>
      <c r="BW35" s="8">
        <f t="shared" si="86"/>
        <v>5.2499999999999998E-2</v>
      </c>
      <c r="BX35" s="2">
        <f t="shared" si="95"/>
        <v>5313.7500000000009</v>
      </c>
      <c r="BY35" s="2">
        <f t="shared" si="87"/>
        <v>104</v>
      </c>
      <c r="BZ35" s="6"/>
      <c r="CA35" s="6"/>
      <c r="CB35" s="6"/>
      <c r="CC35" s="6"/>
      <c r="CD35" s="2">
        <f t="shared" si="18"/>
        <v>0</v>
      </c>
      <c r="CE35" s="2">
        <f t="shared" si="96"/>
        <v>0</v>
      </c>
      <c r="CF35" s="2">
        <f t="shared" si="97"/>
        <v>50</v>
      </c>
      <c r="CG35" s="1">
        <f t="shared" si="78"/>
        <v>0</v>
      </c>
      <c r="CH35" s="2">
        <f t="shared" si="20"/>
        <v>50</v>
      </c>
      <c r="CI35" s="1">
        <f t="shared" si="89"/>
        <v>0</v>
      </c>
      <c r="CJ35" s="2">
        <f t="shared" si="98"/>
        <v>50</v>
      </c>
      <c r="CK35" s="2">
        <f t="shared" si="99"/>
        <v>107197.08333333333</v>
      </c>
      <c r="CL35" s="2">
        <f t="shared" si="23"/>
        <v>0</v>
      </c>
      <c r="CM35" s="2">
        <f t="shared" si="47"/>
        <v>0</v>
      </c>
      <c r="CN35" s="2">
        <f t="shared" si="24"/>
        <v>107197.08333333333</v>
      </c>
      <c r="CO35" s="2">
        <f t="shared" si="48"/>
        <v>2104</v>
      </c>
      <c r="CP35" s="2">
        <f t="shared" si="25"/>
        <v>967.68583333333243</v>
      </c>
      <c r="CQ35" s="2">
        <f t="shared" si="26"/>
        <v>104125.39749999999</v>
      </c>
      <c r="CS35" s="5">
        <f t="shared" si="49"/>
        <v>1000</v>
      </c>
      <c r="CT35" s="2">
        <f t="shared" si="50"/>
        <v>100000</v>
      </c>
      <c r="CU35" s="2">
        <f t="shared" si="51"/>
        <v>100000</v>
      </c>
      <c r="CV35" s="2">
        <f t="shared" si="52"/>
        <v>105750.00000000001</v>
      </c>
      <c r="CW35" s="8">
        <f t="shared" si="27"/>
        <v>4.9000000000000002E-2</v>
      </c>
      <c r="CX35" s="2">
        <f t="shared" si="28"/>
        <v>107909.06250000003</v>
      </c>
      <c r="CY35" s="2" t="str">
        <f t="shared" si="29"/>
        <v>nie</v>
      </c>
      <c r="CZ35" s="2">
        <f t="shared" si="53"/>
        <v>0</v>
      </c>
      <c r="DA35" s="2">
        <f t="shared" si="54"/>
        <v>0</v>
      </c>
      <c r="DB35" s="2">
        <f t="shared" si="55"/>
        <v>107909.06250000003</v>
      </c>
      <c r="DC35" s="2">
        <f t="shared" si="30"/>
        <v>0</v>
      </c>
      <c r="DD35" s="2">
        <f t="shared" si="56"/>
        <v>0</v>
      </c>
      <c r="DE35" s="2">
        <f t="shared" si="57"/>
        <v>107909.06250000003</v>
      </c>
      <c r="DF35" s="2">
        <f t="shared" si="32"/>
        <v>3000</v>
      </c>
      <c r="DG35" s="2">
        <f t="shared" si="33"/>
        <v>932.72187500000553</v>
      </c>
      <c r="DH35" s="2">
        <f t="shared" si="58"/>
        <v>103976.34062500003</v>
      </c>
    </row>
    <row r="36" spans="2:112" ht="30">
      <c r="C36" s="9" t="s">
        <v>13</v>
      </c>
      <c r="D36" s="63" t="s">
        <v>106</v>
      </c>
      <c r="E36" s="64" t="s">
        <v>107</v>
      </c>
      <c r="F36" s="12" t="s">
        <v>50</v>
      </c>
      <c r="G36" s="11" t="s">
        <v>0</v>
      </c>
      <c r="H36" s="12" t="s">
        <v>51</v>
      </c>
      <c r="I36" s="11" t="s">
        <v>1</v>
      </c>
      <c r="J36" s="11" t="s">
        <v>65</v>
      </c>
      <c r="K36" s="12" t="s">
        <v>52</v>
      </c>
      <c r="W36" s="1">
        <f t="shared" si="34"/>
        <v>18</v>
      </c>
      <c r="X36" s="2">
        <f t="shared" si="0"/>
        <v>104392.04999999997</v>
      </c>
      <c r="Y36" s="8">
        <f t="shared" si="76"/>
        <v>4.3200000000000002E-2</v>
      </c>
      <c r="Z36" s="5">
        <f t="shared" si="35"/>
        <v>1000</v>
      </c>
      <c r="AA36" s="2">
        <f t="shared" si="36"/>
        <v>100000</v>
      </c>
      <c r="AB36" s="2">
        <f t="shared" si="37"/>
        <v>100000</v>
      </c>
      <c r="AC36" s="2">
        <f t="shared" si="38"/>
        <v>104900</v>
      </c>
      <c r="AD36" s="8">
        <f t="shared" si="1"/>
        <v>4.9000000000000002E-2</v>
      </c>
      <c r="AE36" s="2">
        <f t="shared" si="2"/>
        <v>107470.05</v>
      </c>
      <c r="AF36" s="2" t="str">
        <f t="shared" si="3"/>
        <v>nie</v>
      </c>
      <c r="AG36" s="2">
        <f t="shared" si="4"/>
        <v>1000</v>
      </c>
      <c r="AH36" s="1">
        <f t="shared" si="79"/>
        <v>0</v>
      </c>
      <c r="AI36" s="6"/>
      <c r="AJ36" s="6"/>
      <c r="AK36" s="6"/>
      <c r="AL36" s="2">
        <f t="shared" si="90"/>
        <v>0</v>
      </c>
      <c r="AM36" s="8">
        <f t="shared" si="80"/>
        <v>4.9000000000000002E-2</v>
      </c>
      <c r="AN36" s="2">
        <f t="shared" si="91"/>
        <v>0</v>
      </c>
      <c r="AO36" s="2">
        <f t="shared" si="81"/>
        <v>0</v>
      </c>
      <c r="AP36" s="6"/>
      <c r="AQ36" s="6"/>
      <c r="AR36" s="6"/>
      <c r="AS36" s="6"/>
      <c r="AT36" s="2">
        <f t="shared" si="39"/>
        <v>0</v>
      </c>
      <c r="AU36" s="2">
        <f t="shared" si="92"/>
        <v>0</v>
      </c>
      <c r="AV36" s="2">
        <f t="shared" si="82"/>
        <v>0</v>
      </c>
      <c r="AW36" s="1">
        <f t="shared" si="77"/>
        <v>0</v>
      </c>
      <c r="AX36" s="2">
        <f t="shared" si="6"/>
        <v>0</v>
      </c>
      <c r="AY36" s="1">
        <f t="shared" si="83"/>
        <v>0</v>
      </c>
      <c r="AZ36" s="2">
        <f t="shared" si="40"/>
        <v>0</v>
      </c>
      <c r="BA36" s="2">
        <f t="shared" si="93"/>
        <v>107470.05</v>
      </c>
      <c r="BB36" s="2">
        <f t="shared" si="9"/>
        <v>0</v>
      </c>
      <c r="BC36" s="2">
        <f t="shared" si="41"/>
        <v>0</v>
      </c>
      <c r="BD36" s="2">
        <f t="shared" si="10"/>
        <v>107470.05</v>
      </c>
      <c r="BE36" s="2">
        <f t="shared" si="42"/>
        <v>1000</v>
      </c>
      <c r="BF36" s="2">
        <f t="shared" si="11"/>
        <v>1229.3095000000005</v>
      </c>
      <c r="BG36" s="2">
        <f t="shared" si="12"/>
        <v>105240.7405</v>
      </c>
      <c r="BI36" s="8">
        <f t="shared" si="84"/>
        <v>2.9000000000000001E-2</v>
      </c>
      <c r="BJ36" s="5">
        <f t="shared" si="43"/>
        <v>1000</v>
      </c>
      <c r="BK36" s="2">
        <f t="shared" si="44"/>
        <v>100000</v>
      </c>
      <c r="BL36" s="2">
        <f t="shared" si="45"/>
        <v>100000</v>
      </c>
      <c r="BM36" s="2">
        <f t="shared" si="13"/>
        <v>100000</v>
      </c>
      <c r="BN36" s="8">
        <f t="shared" si="14"/>
        <v>4.3999999999999997E-2</v>
      </c>
      <c r="BO36" s="2">
        <f t="shared" si="15"/>
        <v>102200</v>
      </c>
      <c r="BP36" s="2" t="str">
        <f t="shared" si="16"/>
        <v>nie</v>
      </c>
      <c r="BQ36" s="2">
        <f t="shared" si="17"/>
        <v>2000</v>
      </c>
      <c r="BR36" s="1">
        <f t="shared" si="85"/>
        <v>52</v>
      </c>
      <c r="BS36" s="6"/>
      <c r="BT36" s="6"/>
      <c r="BU36" s="6"/>
      <c r="BV36" s="2">
        <f t="shared" si="94"/>
        <v>5200</v>
      </c>
      <c r="BW36" s="8">
        <f t="shared" si="86"/>
        <v>5.2499999999999998E-2</v>
      </c>
      <c r="BX36" s="2">
        <f t="shared" si="95"/>
        <v>5336.5000000000009</v>
      </c>
      <c r="BY36" s="2">
        <f t="shared" si="87"/>
        <v>104</v>
      </c>
      <c r="BZ36" s="6"/>
      <c r="CA36" s="6"/>
      <c r="CB36" s="6"/>
      <c r="CC36" s="6"/>
      <c r="CD36" s="2">
        <f t="shared" si="18"/>
        <v>0</v>
      </c>
      <c r="CE36" s="2">
        <f t="shared" si="96"/>
        <v>0</v>
      </c>
      <c r="CF36" s="2">
        <f t="shared" si="97"/>
        <v>50</v>
      </c>
      <c r="CG36" s="1">
        <f t="shared" si="78"/>
        <v>0</v>
      </c>
      <c r="CH36" s="2">
        <f t="shared" si="20"/>
        <v>50</v>
      </c>
      <c r="CI36" s="1">
        <f t="shared" si="89"/>
        <v>0</v>
      </c>
      <c r="CJ36" s="2">
        <f t="shared" si="98"/>
        <v>50</v>
      </c>
      <c r="CK36" s="2">
        <f t="shared" si="99"/>
        <v>107586.5</v>
      </c>
      <c r="CL36" s="2">
        <f t="shared" si="23"/>
        <v>0</v>
      </c>
      <c r="CM36" s="2">
        <f t="shared" si="47"/>
        <v>0</v>
      </c>
      <c r="CN36" s="2">
        <f t="shared" si="24"/>
        <v>107586.5</v>
      </c>
      <c r="CO36" s="2">
        <f t="shared" si="48"/>
        <v>2104</v>
      </c>
      <c r="CP36" s="2">
        <f t="shared" si="25"/>
        <v>1041.675</v>
      </c>
      <c r="CQ36" s="2">
        <f t="shared" si="26"/>
        <v>104440.825</v>
      </c>
      <c r="CS36" s="5">
        <f t="shared" si="49"/>
        <v>1000</v>
      </c>
      <c r="CT36" s="2">
        <f t="shared" si="50"/>
        <v>100000</v>
      </c>
      <c r="CU36" s="2">
        <f t="shared" si="51"/>
        <v>100000</v>
      </c>
      <c r="CV36" s="2">
        <f t="shared" si="52"/>
        <v>105750.00000000001</v>
      </c>
      <c r="CW36" s="8">
        <f t="shared" si="27"/>
        <v>4.9000000000000002E-2</v>
      </c>
      <c r="CX36" s="2">
        <f t="shared" si="28"/>
        <v>108340.87500000001</v>
      </c>
      <c r="CY36" s="2" t="str">
        <f t="shared" si="29"/>
        <v>nie</v>
      </c>
      <c r="CZ36" s="2">
        <f t="shared" si="53"/>
        <v>0</v>
      </c>
      <c r="DA36" s="2">
        <f t="shared" si="54"/>
        <v>0</v>
      </c>
      <c r="DB36" s="2">
        <f t="shared" si="55"/>
        <v>108340.87500000001</v>
      </c>
      <c r="DC36" s="2">
        <f t="shared" si="30"/>
        <v>0</v>
      </c>
      <c r="DD36" s="2">
        <f t="shared" si="56"/>
        <v>0</v>
      </c>
      <c r="DE36" s="2">
        <f t="shared" si="57"/>
        <v>108340.87500000001</v>
      </c>
      <c r="DF36" s="2">
        <f t="shared" si="32"/>
        <v>3000</v>
      </c>
      <c r="DG36" s="2">
        <f t="shared" si="33"/>
        <v>1014.7662500000027</v>
      </c>
      <c r="DH36" s="2">
        <f t="shared" si="58"/>
        <v>104326.10875000001</v>
      </c>
    </row>
    <row r="37" spans="2:112">
      <c r="B37" s="231">
        <f>ROUNDUP(C38/12,0)</f>
        <v>1</v>
      </c>
      <c r="C37" s="1">
        <v>0</v>
      </c>
      <c r="D37" s="2">
        <f t="shared" ref="D37:K37" si="101">zakup_domyslny_wartosc</f>
        <v>100000</v>
      </c>
      <c r="E37" s="2">
        <f t="shared" si="101"/>
        <v>100000</v>
      </c>
      <c r="F37" s="2">
        <f t="shared" si="101"/>
        <v>100000</v>
      </c>
      <c r="G37" s="2">
        <f t="shared" si="101"/>
        <v>100000</v>
      </c>
      <c r="H37" s="2">
        <f t="shared" si="101"/>
        <v>100000</v>
      </c>
      <c r="I37" s="2">
        <f t="shared" si="101"/>
        <v>100000</v>
      </c>
      <c r="J37" s="24">
        <f t="shared" si="101"/>
        <v>100000</v>
      </c>
      <c r="K37" s="2">
        <f t="shared" si="101"/>
        <v>100000</v>
      </c>
      <c r="W37" s="1">
        <f t="shared" si="34"/>
        <v>19</v>
      </c>
      <c r="X37" s="2">
        <f t="shared" si="0"/>
        <v>104640.72499999999</v>
      </c>
      <c r="Y37" s="8">
        <f t="shared" si="76"/>
        <v>4.3200000000000002E-2</v>
      </c>
      <c r="Z37" s="5">
        <f t="shared" si="35"/>
        <v>1000</v>
      </c>
      <c r="AA37" s="2">
        <f t="shared" si="36"/>
        <v>100000</v>
      </c>
      <c r="AB37" s="2">
        <f t="shared" si="37"/>
        <v>100000</v>
      </c>
      <c r="AC37" s="2">
        <f t="shared" si="38"/>
        <v>104900</v>
      </c>
      <c r="AD37" s="8">
        <f t="shared" si="1"/>
        <v>4.9000000000000002E-2</v>
      </c>
      <c r="AE37" s="2">
        <f t="shared" si="2"/>
        <v>107898.39166666668</v>
      </c>
      <c r="AF37" s="2" t="str">
        <f t="shared" si="3"/>
        <v>nie</v>
      </c>
      <c r="AG37" s="2">
        <f t="shared" si="4"/>
        <v>1000</v>
      </c>
      <c r="AH37" s="1">
        <f t="shared" si="79"/>
        <v>0</v>
      </c>
      <c r="AI37" s="6"/>
      <c r="AJ37" s="6"/>
      <c r="AK37" s="6"/>
      <c r="AL37" s="2">
        <f t="shared" si="90"/>
        <v>0</v>
      </c>
      <c r="AM37" s="8">
        <f t="shared" si="80"/>
        <v>4.9000000000000002E-2</v>
      </c>
      <c r="AN37" s="2">
        <f t="shared" si="91"/>
        <v>0</v>
      </c>
      <c r="AO37" s="2">
        <f t="shared" si="81"/>
        <v>0</v>
      </c>
      <c r="AP37" s="6"/>
      <c r="AQ37" s="6"/>
      <c r="AR37" s="6"/>
      <c r="AS37" s="6"/>
      <c r="AT37" s="2">
        <f t="shared" si="39"/>
        <v>0</v>
      </c>
      <c r="AU37" s="2">
        <f t="shared" si="92"/>
        <v>0</v>
      </c>
      <c r="AV37" s="2">
        <f t="shared" si="82"/>
        <v>0</v>
      </c>
      <c r="AW37" s="1">
        <f t="shared" si="77"/>
        <v>0</v>
      </c>
      <c r="AX37" s="2">
        <f t="shared" si="6"/>
        <v>0</v>
      </c>
      <c r="AY37" s="1">
        <f t="shared" si="83"/>
        <v>0</v>
      </c>
      <c r="AZ37" s="2">
        <f t="shared" si="40"/>
        <v>0</v>
      </c>
      <c r="BA37" s="2">
        <f t="shared" si="93"/>
        <v>107898.39166666668</v>
      </c>
      <c r="BB37" s="2">
        <f t="shared" si="9"/>
        <v>0</v>
      </c>
      <c r="BC37" s="2">
        <f t="shared" si="41"/>
        <v>0</v>
      </c>
      <c r="BD37" s="2">
        <f t="shared" si="10"/>
        <v>107898.39166666668</v>
      </c>
      <c r="BE37" s="2">
        <f t="shared" si="42"/>
        <v>1000</v>
      </c>
      <c r="BF37" s="2">
        <f t="shared" si="11"/>
        <v>1310.6944166666688</v>
      </c>
      <c r="BG37" s="2">
        <f t="shared" si="12"/>
        <v>105587.69725000001</v>
      </c>
      <c r="BI37" s="8">
        <f t="shared" si="84"/>
        <v>2.9000000000000001E-2</v>
      </c>
      <c r="BJ37" s="5">
        <f t="shared" si="43"/>
        <v>1000</v>
      </c>
      <c r="BK37" s="2">
        <f t="shared" si="44"/>
        <v>100000</v>
      </c>
      <c r="BL37" s="2">
        <f t="shared" si="45"/>
        <v>100000</v>
      </c>
      <c r="BM37" s="2">
        <f t="shared" si="13"/>
        <v>100000</v>
      </c>
      <c r="BN37" s="8">
        <f t="shared" si="14"/>
        <v>4.3999999999999997E-2</v>
      </c>
      <c r="BO37" s="2">
        <f t="shared" si="15"/>
        <v>102566.66666666667</v>
      </c>
      <c r="BP37" s="2" t="str">
        <f t="shared" si="16"/>
        <v>nie</v>
      </c>
      <c r="BQ37" s="2">
        <f t="shared" si="17"/>
        <v>2000</v>
      </c>
      <c r="BR37" s="1">
        <f t="shared" si="85"/>
        <v>52</v>
      </c>
      <c r="BS37" s="6"/>
      <c r="BT37" s="6"/>
      <c r="BU37" s="6"/>
      <c r="BV37" s="2">
        <f t="shared" si="94"/>
        <v>5200</v>
      </c>
      <c r="BW37" s="8">
        <f t="shared" si="86"/>
        <v>5.2499999999999998E-2</v>
      </c>
      <c r="BX37" s="2">
        <f t="shared" si="95"/>
        <v>5359.2499999999991</v>
      </c>
      <c r="BY37" s="2">
        <f t="shared" si="87"/>
        <v>104</v>
      </c>
      <c r="BZ37" s="6"/>
      <c r="CA37" s="6"/>
      <c r="CB37" s="6"/>
      <c r="CC37" s="6"/>
      <c r="CD37" s="2">
        <f t="shared" si="18"/>
        <v>0</v>
      </c>
      <c r="CE37" s="2">
        <f t="shared" si="96"/>
        <v>0</v>
      </c>
      <c r="CF37" s="2">
        <f t="shared" si="97"/>
        <v>50</v>
      </c>
      <c r="CG37" s="1">
        <f t="shared" si="78"/>
        <v>0</v>
      </c>
      <c r="CH37" s="2">
        <f t="shared" si="20"/>
        <v>50</v>
      </c>
      <c r="CI37" s="1">
        <f t="shared" si="89"/>
        <v>0</v>
      </c>
      <c r="CJ37" s="2">
        <f t="shared" si="98"/>
        <v>50</v>
      </c>
      <c r="CK37" s="2">
        <f t="shared" si="99"/>
        <v>107975.91666666667</v>
      </c>
      <c r="CL37" s="2">
        <f t="shared" si="23"/>
        <v>0</v>
      </c>
      <c r="CM37" s="2">
        <f t="shared" si="47"/>
        <v>0</v>
      </c>
      <c r="CN37" s="2">
        <f t="shared" si="24"/>
        <v>107975.91666666667</v>
      </c>
      <c r="CO37" s="2">
        <f t="shared" si="48"/>
        <v>2104</v>
      </c>
      <c r="CP37" s="2">
        <f t="shared" si="25"/>
        <v>1115.6641666666676</v>
      </c>
      <c r="CQ37" s="2">
        <f t="shared" si="26"/>
        <v>104756.2525</v>
      </c>
      <c r="CS37" s="5">
        <f t="shared" si="49"/>
        <v>1000</v>
      </c>
      <c r="CT37" s="2">
        <f t="shared" si="50"/>
        <v>100000</v>
      </c>
      <c r="CU37" s="2">
        <f t="shared" si="51"/>
        <v>100000</v>
      </c>
      <c r="CV37" s="2">
        <f t="shared" si="52"/>
        <v>105750.00000000001</v>
      </c>
      <c r="CW37" s="8">
        <f t="shared" si="27"/>
        <v>4.9000000000000002E-2</v>
      </c>
      <c r="CX37" s="2">
        <f t="shared" si="28"/>
        <v>108772.68750000003</v>
      </c>
      <c r="CY37" s="2" t="str">
        <f t="shared" si="29"/>
        <v>nie</v>
      </c>
      <c r="CZ37" s="2">
        <f t="shared" si="53"/>
        <v>0</v>
      </c>
      <c r="DA37" s="2">
        <f t="shared" si="54"/>
        <v>0</v>
      </c>
      <c r="DB37" s="2">
        <f t="shared" si="55"/>
        <v>108772.68750000003</v>
      </c>
      <c r="DC37" s="2">
        <f t="shared" si="30"/>
        <v>0</v>
      </c>
      <c r="DD37" s="2">
        <f t="shared" si="56"/>
        <v>0</v>
      </c>
      <c r="DE37" s="2">
        <f t="shared" si="57"/>
        <v>108772.68750000003</v>
      </c>
      <c r="DF37" s="2">
        <f t="shared" si="32"/>
        <v>3000</v>
      </c>
      <c r="DG37" s="2">
        <f t="shared" si="33"/>
        <v>1096.8106250000055</v>
      </c>
      <c r="DH37" s="2">
        <f t="shared" si="58"/>
        <v>104675.87687500002</v>
      </c>
    </row>
    <row r="38" spans="2:112">
      <c r="B38" s="232"/>
      <c r="C38" s="1">
        <f t="shared" ref="C38:C69" si="102">W19</f>
        <v>1</v>
      </c>
      <c r="D38" s="2">
        <f>BD19</f>
        <v>100408.33333333334</v>
      </c>
      <c r="E38" s="2">
        <f>BG19</f>
        <v>100000</v>
      </c>
      <c r="F38" s="2">
        <f>CN19</f>
        <v>100437.5</v>
      </c>
      <c r="G38" s="2">
        <f>CQ19</f>
        <v>100000</v>
      </c>
      <c r="H38" s="2">
        <f>DE19</f>
        <v>100479.16666666667</v>
      </c>
      <c r="I38" s="2">
        <f>DH19</f>
        <v>100000</v>
      </c>
      <c r="J38" s="24">
        <f t="shared" ref="J38:J69" si="103">FV(INDEX(scenariusz_I_konto,MATCH(ROUNDUP(C38/12,0),scenariusz_I_rok,0))/12*(1-podatek_Belki),1,0,-J37,1)</f>
        <v>100303.75</v>
      </c>
      <c r="K38" s="2">
        <f t="shared" ref="K38:K69" si="104">X19</f>
        <v>100241.66666666667</v>
      </c>
      <c r="W38" s="1">
        <f t="shared" si="34"/>
        <v>20</v>
      </c>
      <c r="X38" s="2">
        <f t="shared" si="0"/>
        <v>104889.4</v>
      </c>
      <c r="Y38" s="8">
        <f t="shared" si="76"/>
        <v>4.3200000000000002E-2</v>
      </c>
      <c r="Z38" s="5">
        <f t="shared" si="35"/>
        <v>1000</v>
      </c>
      <c r="AA38" s="2">
        <f t="shared" si="36"/>
        <v>100000</v>
      </c>
      <c r="AB38" s="2">
        <f t="shared" si="37"/>
        <v>100000</v>
      </c>
      <c r="AC38" s="2">
        <f t="shared" si="38"/>
        <v>104900</v>
      </c>
      <c r="AD38" s="8">
        <f t="shared" si="1"/>
        <v>4.9000000000000002E-2</v>
      </c>
      <c r="AE38" s="2">
        <f t="shared" si="2"/>
        <v>108326.73333333332</v>
      </c>
      <c r="AF38" s="2" t="str">
        <f t="shared" si="3"/>
        <v>nie</v>
      </c>
      <c r="AG38" s="2">
        <f t="shared" si="4"/>
        <v>1000</v>
      </c>
      <c r="AH38" s="1">
        <f t="shared" si="79"/>
        <v>0</v>
      </c>
      <c r="AI38" s="6"/>
      <c r="AJ38" s="6"/>
      <c r="AK38" s="6"/>
      <c r="AL38" s="2">
        <f t="shared" si="90"/>
        <v>0</v>
      </c>
      <c r="AM38" s="8">
        <f t="shared" si="80"/>
        <v>4.9000000000000002E-2</v>
      </c>
      <c r="AN38" s="2">
        <f t="shared" si="91"/>
        <v>0</v>
      </c>
      <c r="AO38" s="2">
        <f t="shared" si="81"/>
        <v>0</v>
      </c>
      <c r="AP38" s="6"/>
      <c r="AQ38" s="6"/>
      <c r="AR38" s="6"/>
      <c r="AS38" s="6"/>
      <c r="AT38" s="2">
        <f t="shared" si="39"/>
        <v>0</v>
      </c>
      <c r="AU38" s="2">
        <f t="shared" si="92"/>
        <v>0</v>
      </c>
      <c r="AV38" s="2">
        <f t="shared" si="82"/>
        <v>0</v>
      </c>
      <c r="AW38" s="1">
        <f t="shared" si="77"/>
        <v>0</v>
      </c>
      <c r="AX38" s="2">
        <f t="shared" si="6"/>
        <v>0</v>
      </c>
      <c r="AY38" s="1">
        <f t="shared" si="83"/>
        <v>0</v>
      </c>
      <c r="AZ38" s="2">
        <f t="shared" si="40"/>
        <v>0</v>
      </c>
      <c r="BA38" s="2">
        <f t="shared" si="93"/>
        <v>108326.73333333332</v>
      </c>
      <c r="BB38" s="2">
        <f t="shared" si="9"/>
        <v>0</v>
      </c>
      <c r="BC38" s="2">
        <f t="shared" si="41"/>
        <v>0</v>
      </c>
      <c r="BD38" s="2">
        <f t="shared" si="10"/>
        <v>108326.73333333332</v>
      </c>
      <c r="BE38" s="2">
        <f t="shared" si="42"/>
        <v>1000</v>
      </c>
      <c r="BF38" s="2">
        <f t="shared" si="11"/>
        <v>1392.0793333333313</v>
      </c>
      <c r="BG38" s="2">
        <f t="shared" si="12"/>
        <v>105934.65399999999</v>
      </c>
      <c r="BI38" s="8">
        <f t="shared" si="84"/>
        <v>2.9000000000000001E-2</v>
      </c>
      <c r="BJ38" s="5">
        <f t="shared" si="43"/>
        <v>1000</v>
      </c>
      <c r="BK38" s="2">
        <f t="shared" si="44"/>
        <v>100000</v>
      </c>
      <c r="BL38" s="2">
        <f t="shared" si="45"/>
        <v>100000</v>
      </c>
      <c r="BM38" s="2">
        <f t="shared" si="13"/>
        <v>100000</v>
      </c>
      <c r="BN38" s="8">
        <f t="shared" si="14"/>
        <v>4.3999999999999997E-2</v>
      </c>
      <c r="BO38" s="2">
        <f t="shared" si="15"/>
        <v>102933.33333333334</v>
      </c>
      <c r="BP38" s="2" t="str">
        <f t="shared" si="16"/>
        <v>nie</v>
      </c>
      <c r="BQ38" s="2">
        <f t="shared" si="17"/>
        <v>2000</v>
      </c>
      <c r="BR38" s="1">
        <f t="shared" si="85"/>
        <v>52</v>
      </c>
      <c r="BS38" s="6"/>
      <c r="BT38" s="6"/>
      <c r="BU38" s="6"/>
      <c r="BV38" s="2">
        <f t="shared" si="94"/>
        <v>5200</v>
      </c>
      <c r="BW38" s="8">
        <f t="shared" si="86"/>
        <v>5.2499999999999998E-2</v>
      </c>
      <c r="BX38" s="2">
        <f t="shared" si="95"/>
        <v>5382</v>
      </c>
      <c r="BY38" s="2">
        <f t="shared" si="87"/>
        <v>104</v>
      </c>
      <c r="BZ38" s="6"/>
      <c r="CA38" s="6"/>
      <c r="CB38" s="6"/>
      <c r="CC38" s="6"/>
      <c r="CD38" s="2">
        <f t="shared" si="18"/>
        <v>0</v>
      </c>
      <c r="CE38" s="2">
        <f t="shared" si="96"/>
        <v>0</v>
      </c>
      <c r="CF38" s="2">
        <f t="shared" si="97"/>
        <v>50</v>
      </c>
      <c r="CG38" s="1">
        <f t="shared" si="78"/>
        <v>0</v>
      </c>
      <c r="CH38" s="2">
        <f t="shared" si="20"/>
        <v>50</v>
      </c>
      <c r="CI38" s="1">
        <f t="shared" si="89"/>
        <v>0</v>
      </c>
      <c r="CJ38" s="2">
        <f t="shared" si="98"/>
        <v>50</v>
      </c>
      <c r="CK38" s="2">
        <f t="shared" si="99"/>
        <v>108365.33333333334</v>
      </c>
      <c r="CL38" s="2">
        <f t="shared" si="23"/>
        <v>0</v>
      </c>
      <c r="CM38" s="2">
        <f t="shared" si="47"/>
        <v>0</v>
      </c>
      <c r="CN38" s="2">
        <f t="shared" si="24"/>
        <v>108365.33333333334</v>
      </c>
      <c r="CO38" s="2">
        <f t="shared" si="48"/>
        <v>2104</v>
      </c>
      <c r="CP38" s="2">
        <f t="shared" si="25"/>
        <v>1189.6533333333352</v>
      </c>
      <c r="CQ38" s="2">
        <f t="shared" si="26"/>
        <v>105071.68000000001</v>
      </c>
      <c r="CS38" s="5">
        <f t="shared" si="49"/>
        <v>1000</v>
      </c>
      <c r="CT38" s="2">
        <f t="shared" si="50"/>
        <v>100000</v>
      </c>
      <c r="CU38" s="2">
        <f t="shared" si="51"/>
        <v>100000</v>
      </c>
      <c r="CV38" s="2">
        <f t="shared" si="52"/>
        <v>105750.00000000001</v>
      </c>
      <c r="CW38" s="8">
        <f t="shared" si="27"/>
        <v>4.9000000000000002E-2</v>
      </c>
      <c r="CX38" s="2">
        <f t="shared" si="28"/>
        <v>109204.50000000001</v>
      </c>
      <c r="CY38" s="2" t="str">
        <f t="shared" si="29"/>
        <v>nie</v>
      </c>
      <c r="CZ38" s="2">
        <f t="shared" si="53"/>
        <v>0</v>
      </c>
      <c r="DA38" s="2">
        <f t="shared" si="54"/>
        <v>0</v>
      </c>
      <c r="DB38" s="2">
        <f t="shared" si="55"/>
        <v>109204.50000000001</v>
      </c>
      <c r="DC38" s="2">
        <f t="shared" si="30"/>
        <v>0</v>
      </c>
      <c r="DD38" s="2">
        <f t="shared" si="56"/>
        <v>0</v>
      </c>
      <c r="DE38" s="2">
        <f t="shared" si="57"/>
        <v>109204.50000000001</v>
      </c>
      <c r="DF38" s="2">
        <f t="shared" si="32"/>
        <v>3000</v>
      </c>
      <c r="DG38" s="2">
        <f t="shared" si="33"/>
        <v>1178.8550000000027</v>
      </c>
      <c r="DH38" s="2">
        <f t="shared" si="58"/>
        <v>105025.64500000002</v>
      </c>
    </row>
    <row r="39" spans="2:112">
      <c r="B39" s="232"/>
      <c r="C39" s="1">
        <f t="shared" si="102"/>
        <v>2</v>
      </c>
      <c r="D39" s="2">
        <f t="shared" ref="D39:D102" si="105">BD20</f>
        <v>100816.66666666667</v>
      </c>
      <c r="E39" s="2">
        <f t="shared" ref="E39:E102" si="106">BG20</f>
        <v>100000</v>
      </c>
      <c r="F39" s="2">
        <f t="shared" ref="F39:F102" si="107">CN20</f>
        <v>100875</v>
      </c>
      <c r="G39" s="2">
        <f t="shared" ref="G39:G102" si="108">CQ20</f>
        <v>100000</v>
      </c>
      <c r="H39" s="2">
        <f t="shared" ref="H39:H102" si="109">DE20</f>
        <v>100958.33333333333</v>
      </c>
      <c r="I39" s="2">
        <f t="shared" ref="I39:I102" si="110">DH20</f>
        <v>100000</v>
      </c>
      <c r="J39" s="24">
        <f t="shared" si="103"/>
        <v>100608.42264062501</v>
      </c>
      <c r="K39" s="2">
        <f t="shared" si="104"/>
        <v>100483.33333333333</v>
      </c>
      <c r="W39" s="1">
        <f t="shared" si="34"/>
        <v>21</v>
      </c>
      <c r="X39" s="2">
        <f t="shared" si="0"/>
        <v>105138.07499999998</v>
      </c>
      <c r="Y39" s="8">
        <f t="shared" si="76"/>
        <v>4.3200000000000002E-2</v>
      </c>
      <c r="Z39" s="5">
        <f t="shared" si="35"/>
        <v>1000</v>
      </c>
      <c r="AA39" s="2">
        <f t="shared" si="36"/>
        <v>100000</v>
      </c>
      <c r="AB39" s="2">
        <f t="shared" si="37"/>
        <v>100000</v>
      </c>
      <c r="AC39" s="2">
        <f t="shared" si="38"/>
        <v>104900</v>
      </c>
      <c r="AD39" s="8">
        <f t="shared" si="1"/>
        <v>4.9000000000000002E-2</v>
      </c>
      <c r="AE39" s="2">
        <f t="shared" si="2"/>
        <v>108755.07500000001</v>
      </c>
      <c r="AF39" s="2" t="str">
        <f t="shared" si="3"/>
        <v>nie</v>
      </c>
      <c r="AG39" s="2">
        <f t="shared" si="4"/>
        <v>1000</v>
      </c>
      <c r="AH39" s="1">
        <f t="shared" si="79"/>
        <v>0</v>
      </c>
      <c r="AI39" s="6"/>
      <c r="AJ39" s="6"/>
      <c r="AK39" s="6"/>
      <c r="AL39" s="2">
        <f t="shared" si="90"/>
        <v>0</v>
      </c>
      <c r="AM39" s="8">
        <f t="shared" si="80"/>
        <v>4.9000000000000002E-2</v>
      </c>
      <c r="AN39" s="2">
        <f t="shared" si="91"/>
        <v>0</v>
      </c>
      <c r="AO39" s="2">
        <f t="shared" si="81"/>
        <v>0</v>
      </c>
      <c r="AP39" s="6"/>
      <c r="AQ39" s="6"/>
      <c r="AR39" s="6"/>
      <c r="AS39" s="6"/>
      <c r="AT39" s="2">
        <f t="shared" si="39"/>
        <v>0</v>
      </c>
      <c r="AU39" s="2">
        <f t="shared" si="92"/>
        <v>0</v>
      </c>
      <c r="AV39" s="2">
        <f t="shared" si="82"/>
        <v>0</v>
      </c>
      <c r="AW39" s="1">
        <f t="shared" si="77"/>
        <v>0</v>
      </c>
      <c r="AX39" s="2">
        <f t="shared" si="6"/>
        <v>0</v>
      </c>
      <c r="AY39" s="1">
        <f t="shared" si="83"/>
        <v>0</v>
      </c>
      <c r="AZ39" s="2">
        <f t="shared" si="40"/>
        <v>0</v>
      </c>
      <c r="BA39" s="2">
        <f t="shared" si="93"/>
        <v>108755.07500000001</v>
      </c>
      <c r="BB39" s="2">
        <f t="shared" si="9"/>
        <v>0</v>
      </c>
      <c r="BC39" s="2">
        <f t="shared" si="41"/>
        <v>0</v>
      </c>
      <c r="BD39" s="2">
        <f t="shared" si="10"/>
        <v>108755.07500000001</v>
      </c>
      <c r="BE39" s="2">
        <f t="shared" si="42"/>
        <v>1000</v>
      </c>
      <c r="BF39" s="2">
        <f t="shared" si="11"/>
        <v>1473.4642500000023</v>
      </c>
      <c r="BG39" s="2">
        <f t="shared" si="12"/>
        <v>106281.61075000001</v>
      </c>
      <c r="BI39" s="8">
        <f t="shared" si="84"/>
        <v>2.9000000000000001E-2</v>
      </c>
      <c r="BJ39" s="5">
        <f t="shared" si="43"/>
        <v>1000</v>
      </c>
      <c r="BK39" s="2">
        <f t="shared" si="44"/>
        <v>100000</v>
      </c>
      <c r="BL39" s="2">
        <f t="shared" si="45"/>
        <v>100000</v>
      </c>
      <c r="BM39" s="2">
        <f t="shared" si="13"/>
        <v>100000</v>
      </c>
      <c r="BN39" s="8">
        <f t="shared" si="14"/>
        <v>4.3999999999999997E-2</v>
      </c>
      <c r="BO39" s="2">
        <f t="shared" si="15"/>
        <v>103299.99999999999</v>
      </c>
      <c r="BP39" s="2" t="str">
        <f t="shared" si="16"/>
        <v>nie</v>
      </c>
      <c r="BQ39" s="2">
        <f t="shared" si="17"/>
        <v>2000</v>
      </c>
      <c r="BR39" s="1">
        <f t="shared" si="85"/>
        <v>52</v>
      </c>
      <c r="BS39" s="6"/>
      <c r="BT39" s="6"/>
      <c r="BU39" s="6"/>
      <c r="BV39" s="2">
        <f t="shared" si="94"/>
        <v>5200</v>
      </c>
      <c r="BW39" s="8">
        <f t="shared" si="86"/>
        <v>5.2499999999999998E-2</v>
      </c>
      <c r="BX39" s="2">
        <f t="shared" si="95"/>
        <v>5404.75</v>
      </c>
      <c r="BY39" s="2">
        <f t="shared" si="87"/>
        <v>104</v>
      </c>
      <c r="BZ39" s="6"/>
      <c r="CA39" s="6"/>
      <c r="CB39" s="6"/>
      <c r="CC39" s="6"/>
      <c r="CD39" s="2">
        <f t="shared" si="18"/>
        <v>0</v>
      </c>
      <c r="CE39" s="2">
        <f t="shared" si="96"/>
        <v>0</v>
      </c>
      <c r="CF39" s="2">
        <f t="shared" si="97"/>
        <v>50</v>
      </c>
      <c r="CG39" s="1">
        <f t="shared" si="78"/>
        <v>0</v>
      </c>
      <c r="CH39" s="2">
        <f t="shared" si="20"/>
        <v>50</v>
      </c>
      <c r="CI39" s="1">
        <f t="shared" si="89"/>
        <v>0</v>
      </c>
      <c r="CJ39" s="2">
        <f t="shared" si="98"/>
        <v>50</v>
      </c>
      <c r="CK39" s="2">
        <f t="shared" si="99"/>
        <v>108754.74999999999</v>
      </c>
      <c r="CL39" s="2">
        <f t="shared" si="23"/>
        <v>0</v>
      </c>
      <c r="CM39" s="2">
        <f t="shared" si="47"/>
        <v>0</v>
      </c>
      <c r="CN39" s="2">
        <f t="shared" si="24"/>
        <v>108754.74999999999</v>
      </c>
      <c r="CO39" s="2">
        <f t="shared" si="48"/>
        <v>2104</v>
      </c>
      <c r="CP39" s="2">
        <f t="shared" si="25"/>
        <v>1263.6424999999972</v>
      </c>
      <c r="CQ39" s="2">
        <f t="shared" si="26"/>
        <v>105387.10749999998</v>
      </c>
      <c r="CS39" s="5">
        <f t="shared" si="49"/>
        <v>1000</v>
      </c>
      <c r="CT39" s="2">
        <f t="shared" si="50"/>
        <v>100000</v>
      </c>
      <c r="CU39" s="2">
        <f t="shared" si="51"/>
        <v>100000</v>
      </c>
      <c r="CV39" s="2">
        <f t="shared" si="52"/>
        <v>105750.00000000001</v>
      </c>
      <c r="CW39" s="8">
        <f t="shared" si="27"/>
        <v>4.9000000000000002E-2</v>
      </c>
      <c r="CX39" s="2">
        <f t="shared" si="28"/>
        <v>109636.31250000001</v>
      </c>
      <c r="CY39" s="2" t="str">
        <f t="shared" si="29"/>
        <v>nie</v>
      </c>
      <c r="CZ39" s="2">
        <f t="shared" si="53"/>
        <v>0</v>
      </c>
      <c r="DA39" s="2">
        <f t="shared" si="54"/>
        <v>0</v>
      </c>
      <c r="DB39" s="2">
        <f t="shared" si="55"/>
        <v>109636.31250000001</v>
      </c>
      <c r="DC39" s="2">
        <f t="shared" si="30"/>
        <v>0</v>
      </c>
      <c r="DD39" s="2">
        <f t="shared" si="56"/>
        <v>0</v>
      </c>
      <c r="DE39" s="2">
        <f t="shared" si="57"/>
        <v>109636.31250000001</v>
      </c>
      <c r="DF39" s="2">
        <f t="shared" si="32"/>
        <v>3000</v>
      </c>
      <c r="DG39" s="2">
        <f t="shared" si="33"/>
        <v>1260.8993750000027</v>
      </c>
      <c r="DH39" s="2">
        <f t="shared" si="58"/>
        <v>105375.41312500001</v>
      </c>
    </row>
    <row r="40" spans="2:112">
      <c r="B40" s="232"/>
      <c r="C40" s="1">
        <f t="shared" si="102"/>
        <v>3</v>
      </c>
      <c r="D40" s="2">
        <f t="shared" si="105"/>
        <v>101225.00000000001</v>
      </c>
      <c r="E40" s="2">
        <f t="shared" si="106"/>
        <v>100182.25000000001</v>
      </c>
      <c r="F40" s="2">
        <f t="shared" si="107"/>
        <v>101312.5</v>
      </c>
      <c r="G40" s="2">
        <f t="shared" si="108"/>
        <v>100000</v>
      </c>
      <c r="H40" s="2">
        <f t="shared" si="109"/>
        <v>101437.5</v>
      </c>
      <c r="I40" s="2">
        <f t="shared" si="110"/>
        <v>100000</v>
      </c>
      <c r="J40" s="2">
        <f t="shared" si="103"/>
        <v>100914.02072439592</v>
      </c>
      <c r="K40" s="2">
        <f t="shared" si="104"/>
        <v>100725</v>
      </c>
      <c r="W40" s="1">
        <f t="shared" si="34"/>
        <v>22</v>
      </c>
      <c r="X40" s="2">
        <f t="shared" si="0"/>
        <v>105386.74999999999</v>
      </c>
      <c r="Y40" s="8">
        <f t="shared" si="76"/>
        <v>4.3200000000000002E-2</v>
      </c>
      <c r="Z40" s="5">
        <f t="shared" si="35"/>
        <v>1000</v>
      </c>
      <c r="AA40" s="2">
        <f t="shared" si="36"/>
        <v>100000</v>
      </c>
      <c r="AB40" s="2">
        <f t="shared" si="37"/>
        <v>100000</v>
      </c>
      <c r="AC40" s="2">
        <f t="shared" si="38"/>
        <v>104900</v>
      </c>
      <c r="AD40" s="8">
        <f t="shared" si="1"/>
        <v>4.9000000000000002E-2</v>
      </c>
      <c r="AE40" s="2">
        <f t="shared" si="2"/>
        <v>109183.41666666666</v>
      </c>
      <c r="AF40" s="2" t="str">
        <f t="shared" si="3"/>
        <v>nie</v>
      </c>
      <c r="AG40" s="2">
        <f t="shared" si="4"/>
        <v>1000</v>
      </c>
      <c r="AH40" s="1">
        <f t="shared" si="79"/>
        <v>0</v>
      </c>
      <c r="AI40" s="6"/>
      <c r="AJ40" s="6"/>
      <c r="AK40" s="6"/>
      <c r="AL40" s="2">
        <f t="shared" si="90"/>
        <v>0</v>
      </c>
      <c r="AM40" s="8">
        <f t="shared" si="80"/>
        <v>4.9000000000000002E-2</v>
      </c>
      <c r="AN40" s="2">
        <f t="shared" si="91"/>
        <v>0</v>
      </c>
      <c r="AO40" s="2">
        <f t="shared" si="81"/>
        <v>0</v>
      </c>
      <c r="AP40" s="6"/>
      <c r="AQ40" s="6"/>
      <c r="AR40" s="6"/>
      <c r="AS40" s="6"/>
      <c r="AT40" s="2">
        <f t="shared" si="39"/>
        <v>0</v>
      </c>
      <c r="AU40" s="2">
        <f t="shared" si="92"/>
        <v>0</v>
      </c>
      <c r="AV40" s="2">
        <f t="shared" si="82"/>
        <v>0</v>
      </c>
      <c r="AW40" s="1">
        <f t="shared" si="77"/>
        <v>0</v>
      </c>
      <c r="AX40" s="2">
        <f t="shared" si="6"/>
        <v>0</v>
      </c>
      <c r="AY40" s="1">
        <f t="shared" si="83"/>
        <v>0</v>
      </c>
      <c r="AZ40" s="2">
        <f t="shared" si="40"/>
        <v>0</v>
      </c>
      <c r="BA40" s="2">
        <f t="shared" si="93"/>
        <v>109183.41666666666</v>
      </c>
      <c r="BB40" s="2">
        <f t="shared" si="9"/>
        <v>0</v>
      </c>
      <c r="BC40" s="2">
        <f t="shared" si="41"/>
        <v>0</v>
      </c>
      <c r="BD40" s="2">
        <f t="shared" si="10"/>
        <v>109183.41666666666</v>
      </c>
      <c r="BE40" s="2">
        <f t="shared" si="42"/>
        <v>1000</v>
      </c>
      <c r="BF40" s="2">
        <f t="shared" si="11"/>
        <v>1554.8491666666648</v>
      </c>
      <c r="BG40" s="2">
        <f t="shared" si="12"/>
        <v>106628.56749999999</v>
      </c>
      <c r="BI40" s="8">
        <f t="shared" si="84"/>
        <v>2.9000000000000001E-2</v>
      </c>
      <c r="BJ40" s="5">
        <f t="shared" si="43"/>
        <v>1000</v>
      </c>
      <c r="BK40" s="2">
        <f t="shared" si="44"/>
        <v>100000</v>
      </c>
      <c r="BL40" s="2">
        <f t="shared" si="45"/>
        <v>100000</v>
      </c>
      <c r="BM40" s="2">
        <f t="shared" si="13"/>
        <v>100000</v>
      </c>
      <c r="BN40" s="8">
        <f t="shared" si="14"/>
        <v>4.3999999999999997E-2</v>
      </c>
      <c r="BO40" s="2">
        <f t="shared" si="15"/>
        <v>103666.66666666666</v>
      </c>
      <c r="BP40" s="2" t="str">
        <f t="shared" si="16"/>
        <v>nie</v>
      </c>
      <c r="BQ40" s="2">
        <f t="shared" si="17"/>
        <v>2000</v>
      </c>
      <c r="BR40" s="1">
        <f t="shared" si="85"/>
        <v>52</v>
      </c>
      <c r="BS40" s="6"/>
      <c r="BT40" s="6"/>
      <c r="BU40" s="6"/>
      <c r="BV40" s="2">
        <f t="shared" si="94"/>
        <v>5200</v>
      </c>
      <c r="BW40" s="8">
        <f t="shared" si="86"/>
        <v>5.2499999999999998E-2</v>
      </c>
      <c r="BX40" s="2">
        <f t="shared" si="95"/>
        <v>5427.5</v>
      </c>
      <c r="BY40" s="2">
        <f t="shared" si="87"/>
        <v>104</v>
      </c>
      <c r="BZ40" s="6"/>
      <c r="CA40" s="6"/>
      <c r="CB40" s="6"/>
      <c r="CC40" s="6"/>
      <c r="CD40" s="2">
        <f t="shared" si="18"/>
        <v>0</v>
      </c>
      <c r="CE40" s="2">
        <f t="shared" si="96"/>
        <v>0</v>
      </c>
      <c r="CF40" s="2">
        <f t="shared" si="97"/>
        <v>50</v>
      </c>
      <c r="CG40" s="1">
        <f t="shared" si="78"/>
        <v>0</v>
      </c>
      <c r="CH40" s="2">
        <f t="shared" si="20"/>
        <v>50</v>
      </c>
      <c r="CI40" s="1">
        <f t="shared" si="89"/>
        <v>0</v>
      </c>
      <c r="CJ40" s="2">
        <f t="shared" si="98"/>
        <v>50</v>
      </c>
      <c r="CK40" s="2">
        <f t="shared" si="99"/>
        <v>109144.16666666666</v>
      </c>
      <c r="CL40" s="2">
        <f t="shared" si="23"/>
        <v>0</v>
      </c>
      <c r="CM40" s="2">
        <f t="shared" si="47"/>
        <v>0</v>
      </c>
      <c r="CN40" s="2">
        <f t="shared" si="24"/>
        <v>109144.16666666666</v>
      </c>
      <c r="CO40" s="2">
        <f t="shared" si="48"/>
        <v>2104</v>
      </c>
      <c r="CP40" s="2">
        <f t="shared" si="25"/>
        <v>1337.6316666666648</v>
      </c>
      <c r="CQ40" s="2">
        <f t="shared" si="26"/>
        <v>105702.53499999999</v>
      </c>
      <c r="CS40" s="5">
        <f t="shared" si="49"/>
        <v>1000</v>
      </c>
      <c r="CT40" s="2">
        <f t="shared" si="50"/>
        <v>100000</v>
      </c>
      <c r="CU40" s="2">
        <f t="shared" si="51"/>
        <v>100000</v>
      </c>
      <c r="CV40" s="2">
        <f t="shared" si="52"/>
        <v>105750.00000000001</v>
      </c>
      <c r="CW40" s="8">
        <f t="shared" si="27"/>
        <v>4.9000000000000002E-2</v>
      </c>
      <c r="CX40" s="2">
        <f t="shared" si="28"/>
        <v>110068.12500000001</v>
      </c>
      <c r="CY40" s="2" t="str">
        <f t="shared" si="29"/>
        <v>nie</v>
      </c>
      <c r="CZ40" s="2">
        <f t="shared" si="53"/>
        <v>0</v>
      </c>
      <c r="DA40" s="2">
        <f t="shared" si="54"/>
        <v>0</v>
      </c>
      <c r="DB40" s="2">
        <f t="shared" si="55"/>
        <v>110068.12500000001</v>
      </c>
      <c r="DC40" s="2">
        <f t="shared" si="30"/>
        <v>0</v>
      </c>
      <c r="DD40" s="2">
        <f t="shared" si="56"/>
        <v>0</v>
      </c>
      <c r="DE40" s="2">
        <f t="shared" si="57"/>
        <v>110068.12500000001</v>
      </c>
      <c r="DF40" s="2">
        <f t="shared" si="32"/>
        <v>3000</v>
      </c>
      <c r="DG40" s="2">
        <f t="shared" si="33"/>
        <v>1342.9437500000029</v>
      </c>
      <c r="DH40" s="2">
        <f t="shared" si="58"/>
        <v>105725.18125000001</v>
      </c>
    </row>
    <row r="41" spans="2:112">
      <c r="B41" s="232"/>
      <c r="C41" s="1">
        <f t="shared" si="102"/>
        <v>4</v>
      </c>
      <c r="D41" s="2">
        <f t="shared" si="105"/>
        <v>101633.33333333333</v>
      </c>
      <c r="E41" s="2">
        <f t="shared" si="106"/>
        <v>100513</v>
      </c>
      <c r="F41" s="2">
        <f t="shared" si="107"/>
        <v>101750</v>
      </c>
      <c r="G41" s="2">
        <f t="shared" si="108"/>
        <v>100000</v>
      </c>
      <c r="H41" s="2">
        <f t="shared" si="109"/>
        <v>101916.66666666667</v>
      </c>
      <c r="I41" s="2">
        <f t="shared" si="110"/>
        <v>100000</v>
      </c>
      <c r="J41" s="2">
        <f t="shared" si="103"/>
        <v>101220.54706234628</v>
      </c>
      <c r="K41" s="2">
        <f t="shared" si="104"/>
        <v>100966.66666666667</v>
      </c>
      <c r="W41" s="1">
        <f t="shared" si="34"/>
        <v>23</v>
      </c>
      <c r="X41" s="2">
        <f t="shared" si="0"/>
        <v>105635.42499999999</v>
      </c>
      <c r="Y41" s="8">
        <f t="shared" si="76"/>
        <v>4.3200000000000002E-2</v>
      </c>
      <c r="Z41" s="5">
        <f t="shared" si="35"/>
        <v>1000</v>
      </c>
      <c r="AA41" s="2">
        <f t="shared" si="36"/>
        <v>100000</v>
      </c>
      <c r="AB41" s="2">
        <f t="shared" si="37"/>
        <v>100000</v>
      </c>
      <c r="AC41" s="2">
        <f t="shared" si="38"/>
        <v>104900</v>
      </c>
      <c r="AD41" s="8">
        <f t="shared" si="1"/>
        <v>4.9000000000000002E-2</v>
      </c>
      <c r="AE41" s="2">
        <f t="shared" si="2"/>
        <v>109611.75833333333</v>
      </c>
      <c r="AF41" s="2" t="str">
        <f t="shared" si="3"/>
        <v>nie</v>
      </c>
      <c r="AG41" s="2">
        <f t="shared" si="4"/>
        <v>1000</v>
      </c>
      <c r="AH41" s="1">
        <f t="shared" si="79"/>
        <v>0</v>
      </c>
      <c r="AI41" s="6"/>
      <c r="AJ41" s="6"/>
      <c r="AK41" s="6"/>
      <c r="AL41" s="2">
        <f t="shared" si="90"/>
        <v>0</v>
      </c>
      <c r="AM41" s="8">
        <f t="shared" si="80"/>
        <v>4.9000000000000002E-2</v>
      </c>
      <c r="AN41" s="2">
        <f t="shared" si="91"/>
        <v>0</v>
      </c>
      <c r="AO41" s="2">
        <f t="shared" si="81"/>
        <v>0</v>
      </c>
      <c r="AP41" s="6"/>
      <c r="AQ41" s="6"/>
      <c r="AR41" s="6"/>
      <c r="AS41" s="6"/>
      <c r="AT41" s="2">
        <f t="shared" si="39"/>
        <v>0</v>
      </c>
      <c r="AU41" s="2">
        <f t="shared" si="92"/>
        <v>0</v>
      </c>
      <c r="AV41" s="2">
        <f t="shared" si="82"/>
        <v>0</v>
      </c>
      <c r="AW41" s="1">
        <f t="shared" si="77"/>
        <v>0</v>
      </c>
      <c r="AX41" s="2">
        <f t="shared" si="6"/>
        <v>0</v>
      </c>
      <c r="AY41" s="1">
        <f t="shared" si="83"/>
        <v>0</v>
      </c>
      <c r="AZ41" s="2">
        <f t="shared" si="40"/>
        <v>0</v>
      </c>
      <c r="BA41" s="2">
        <f t="shared" si="93"/>
        <v>109611.75833333333</v>
      </c>
      <c r="BB41" s="2">
        <f t="shared" si="9"/>
        <v>0</v>
      </c>
      <c r="BC41" s="2">
        <f t="shared" si="41"/>
        <v>0</v>
      </c>
      <c r="BD41" s="2">
        <f t="shared" si="10"/>
        <v>109611.75833333333</v>
      </c>
      <c r="BE41" s="2">
        <f t="shared" si="42"/>
        <v>1000</v>
      </c>
      <c r="BF41" s="2">
        <f t="shared" si="11"/>
        <v>1636.234083333333</v>
      </c>
      <c r="BG41" s="2">
        <f t="shared" si="12"/>
        <v>106975.52425</v>
      </c>
      <c r="BI41" s="8">
        <f t="shared" si="84"/>
        <v>2.9000000000000001E-2</v>
      </c>
      <c r="BJ41" s="5">
        <f t="shared" si="43"/>
        <v>1000</v>
      </c>
      <c r="BK41" s="2">
        <f t="shared" si="44"/>
        <v>100000</v>
      </c>
      <c r="BL41" s="2">
        <f t="shared" si="45"/>
        <v>100000</v>
      </c>
      <c r="BM41" s="2">
        <f t="shared" si="13"/>
        <v>100000</v>
      </c>
      <c r="BN41" s="8">
        <f t="shared" si="14"/>
        <v>4.3999999999999997E-2</v>
      </c>
      <c r="BO41" s="2">
        <f t="shared" si="15"/>
        <v>104033.33333333333</v>
      </c>
      <c r="BP41" s="2" t="str">
        <f t="shared" si="16"/>
        <v>nie</v>
      </c>
      <c r="BQ41" s="2">
        <f t="shared" si="17"/>
        <v>2000</v>
      </c>
      <c r="BR41" s="1">
        <f t="shared" si="85"/>
        <v>52</v>
      </c>
      <c r="BS41" s="6"/>
      <c r="BT41" s="6"/>
      <c r="BU41" s="6"/>
      <c r="BV41" s="2">
        <f t="shared" si="94"/>
        <v>5200</v>
      </c>
      <c r="BW41" s="8">
        <f t="shared" si="86"/>
        <v>5.2499999999999998E-2</v>
      </c>
      <c r="BX41" s="2">
        <f t="shared" si="95"/>
        <v>5450.25</v>
      </c>
      <c r="BY41" s="2">
        <f t="shared" si="87"/>
        <v>104</v>
      </c>
      <c r="BZ41" s="6"/>
      <c r="CA41" s="6"/>
      <c r="CB41" s="6"/>
      <c r="CC41" s="6"/>
      <c r="CD41" s="2">
        <f t="shared" si="18"/>
        <v>0</v>
      </c>
      <c r="CE41" s="2">
        <f t="shared" si="96"/>
        <v>0</v>
      </c>
      <c r="CF41" s="2">
        <f t="shared" si="97"/>
        <v>50</v>
      </c>
      <c r="CG41" s="1">
        <f t="shared" si="78"/>
        <v>0</v>
      </c>
      <c r="CH41" s="2">
        <f t="shared" si="20"/>
        <v>50</v>
      </c>
      <c r="CI41" s="1">
        <f t="shared" si="89"/>
        <v>0</v>
      </c>
      <c r="CJ41" s="2">
        <f t="shared" si="98"/>
        <v>50</v>
      </c>
      <c r="CK41" s="2">
        <f t="shared" si="99"/>
        <v>109533.58333333333</v>
      </c>
      <c r="CL41" s="2">
        <f t="shared" si="23"/>
        <v>0</v>
      </c>
      <c r="CM41" s="2">
        <f t="shared" si="47"/>
        <v>0</v>
      </c>
      <c r="CN41" s="2">
        <f t="shared" si="24"/>
        <v>109533.58333333333</v>
      </c>
      <c r="CO41" s="2">
        <f t="shared" si="48"/>
        <v>2104</v>
      </c>
      <c r="CP41" s="2">
        <f t="shared" si="25"/>
        <v>1411.6208333333325</v>
      </c>
      <c r="CQ41" s="2">
        <f t="shared" si="26"/>
        <v>106017.96249999999</v>
      </c>
      <c r="CS41" s="5">
        <f t="shared" si="49"/>
        <v>1000</v>
      </c>
      <c r="CT41" s="2">
        <f t="shared" si="50"/>
        <v>100000</v>
      </c>
      <c r="CU41" s="2">
        <f t="shared" si="51"/>
        <v>100000</v>
      </c>
      <c r="CV41" s="2">
        <f t="shared" si="52"/>
        <v>105750.00000000001</v>
      </c>
      <c r="CW41" s="8">
        <f t="shared" si="27"/>
        <v>4.9000000000000002E-2</v>
      </c>
      <c r="CX41" s="2">
        <f t="shared" si="28"/>
        <v>110499.93750000001</v>
      </c>
      <c r="CY41" s="2" t="str">
        <f t="shared" si="29"/>
        <v>nie</v>
      </c>
      <c r="CZ41" s="2">
        <f t="shared" si="53"/>
        <v>0</v>
      </c>
      <c r="DA41" s="2">
        <f t="shared" si="54"/>
        <v>0</v>
      </c>
      <c r="DB41" s="2">
        <f t="shared" si="55"/>
        <v>110499.93750000001</v>
      </c>
      <c r="DC41" s="2">
        <f t="shared" si="30"/>
        <v>0</v>
      </c>
      <c r="DD41" s="2">
        <f t="shared" si="56"/>
        <v>0</v>
      </c>
      <c r="DE41" s="2">
        <f t="shared" si="57"/>
        <v>110499.93750000001</v>
      </c>
      <c r="DF41" s="2">
        <f t="shared" si="32"/>
        <v>3000</v>
      </c>
      <c r="DG41" s="2">
        <f t="shared" si="33"/>
        <v>1424.9881250000028</v>
      </c>
      <c r="DH41" s="2">
        <f t="shared" si="58"/>
        <v>106074.94937500001</v>
      </c>
    </row>
    <row r="42" spans="2:112">
      <c r="B42" s="232"/>
      <c r="C42" s="1">
        <f t="shared" si="102"/>
        <v>5</v>
      </c>
      <c r="D42" s="2">
        <f t="shared" si="105"/>
        <v>102041.66666666667</v>
      </c>
      <c r="E42" s="2">
        <f t="shared" si="106"/>
        <v>100843.75</v>
      </c>
      <c r="F42" s="2">
        <f t="shared" si="107"/>
        <v>102187.50000000001</v>
      </c>
      <c r="G42" s="2">
        <f t="shared" si="108"/>
        <v>100151.87500000001</v>
      </c>
      <c r="H42" s="2">
        <f t="shared" si="109"/>
        <v>102395.83333333333</v>
      </c>
      <c r="I42" s="2">
        <f t="shared" si="110"/>
        <v>100000</v>
      </c>
      <c r="J42" s="2">
        <f t="shared" si="103"/>
        <v>101528.00447404815</v>
      </c>
      <c r="K42" s="2">
        <f t="shared" si="104"/>
        <v>101208.33333333334</v>
      </c>
      <c r="W42" s="1">
        <f t="shared" si="34"/>
        <v>24</v>
      </c>
      <c r="X42" s="2">
        <f t="shared" si="0"/>
        <v>105884.09999999999</v>
      </c>
      <c r="Y42" s="8">
        <f t="shared" si="76"/>
        <v>4.3200000000000002E-2</v>
      </c>
      <c r="Z42" s="5">
        <f t="shared" si="35"/>
        <v>1000</v>
      </c>
      <c r="AA42" s="2">
        <f t="shared" si="36"/>
        <v>100000</v>
      </c>
      <c r="AB42" s="2">
        <f t="shared" si="37"/>
        <v>100000</v>
      </c>
      <c r="AC42" s="2">
        <f t="shared" si="38"/>
        <v>104900</v>
      </c>
      <c r="AD42" s="8">
        <f t="shared" si="1"/>
        <v>4.9000000000000002E-2</v>
      </c>
      <c r="AE42" s="2">
        <f t="shared" si="2"/>
        <v>110040.09999999999</v>
      </c>
      <c r="AF42" s="2" t="str">
        <f t="shared" si="3"/>
        <v>nie</v>
      </c>
      <c r="AG42" s="2">
        <f t="shared" si="4"/>
        <v>1000</v>
      </c>
      <c r="AH42" s="1">
        <f t="shared" si="79"/>
        <v>0</v>
      </c>
      <c r="AI42" s="6"/>
      <c r="AJ42" s="6"/>
      <c r="AK42" s="6"/>
      <c r="AL42" s="2">
        <f t="shared" si="90"/>
        <v>0</v>
      </c>
      <c r="AM42" s="8">
        <f t="shared" si="80"/>
        <v>4.9000000000000002E-2</v>
      </c>
      <c r="AN42" s="2">
        <f t="shared" si="91"/>
        <v>0</v>
      </c>
      <c r="AO42" s="2">
        <f t="shared" si="81"/>
        <v>0</v>
      </c>
      <c r="AP42" s="6"/>
      <c r="AQ42" s="6"/>
      <c r="AR42" s="6"/>
      <c r="AS42" s="6"/>
      <c r="AT42" s="2">
        <f t="shared" si="39"/>
        <v>0</v>
      </c>
      <c r="AU42" s="2">
        <f t="shared" si="92"/>
        <v>0</v>
      </c>
      <c r="AV42" s="2">
        <f t="shared" si="82"/>
        <v>0</v>
      </c>
      <c r="AW42" s="1">
        <f t="shared" si="77"/>
        <v>0</v>
      </c>
      <c r="AX42" s="2">
        <f t="shared" si="6"/>
        <v>0</v>
      </c>
      <c r="AY42" s="1">
        <f t="shared" si="83"/>
        <v>0</v>
      </c>
      <c r="AZ42" s="2">
        <f t="shared" si="40"/>
        <v>0</v>
      </c>
      <c r="BA42" s="2">
        <f t="shared" si="93"/>
        <v>110040.09999999999</v>
      </c>
      <c r="BB42" s="2">
        <f t="shared" si="9"/>
        <v>176.06415999999999</v>
      </c>
      <c r="BC42" s="2">
        <f t="shared" si="41"/>
        <v>176.06415999999999</v>
      </c>
      <c r="BD42" s="2">
        <f t="shared" si="10"/>
        <v>109864.03584</v>
      </c>
      <c r="BE42" s="2">
        <f t="shared" si="42"/>
        <v>1000</v>
      </c>
      <c r="BF42" s="2">
        <f t="shared" si="11"/>
        <v>1717.6189999999983</v>
      </c>
      <c r="BG42" s="2">
        <f t="shared" si="12"/>
        <v>107146.41684000001</v>
      </c>
      <c r="BI42" s="8">
        <f t="shared" si="84"/>
        <v>2.9000000000000001E-2</v>
      </c>
      <c r="BJ42" s="5">
        <f t="shared" si="43"/>
        <v>1000</v>
      </c>
      <c r="BK42" s="2">
        <f t="shared" si="44"/>
        <v>100000</v>
      </c>
      <c r="BL42" s="2">
        <f t="shared" si="45"/>
        <v>100000</v>
      </c>
      <c r="BM42" s="2">
        <f t="shared" si="13"/>
        <v>100000</v>
      </c>
      <c r="BN42" s="8">
        <f t="shared" si="14"/>
        <v>4.3999999999999997E-2</v>
      </c>
      <c r="BO42" s="2">
        <f t="shared" si="15"/>
        <v>104400</v>
      </c>
      <c r="BP42" s="2" t="str">
        <f t="shared" si="16"/>
        <v>nie</v>
      </c>
      <c r="BQ42" s="2">
        <f t="shared" si="17"/>
        <v>2000</v>
      </c>
      <c r="BR42" s="1">
        <f t="shared" si="85"/>
        <v>52</v>
      </c>
      <c r="BS42" s="6"/>
      <c r="BT42" s="6"/>
      <c r="BU42" s="6"/>
      <c r="BV42" s="2">
        <f t="shared" si="94"/>
        <v>5200</v>
      </c>
      <c r="BW42" s="8">
        <f t="shared" si="86"/>
        <v>5.2499999999999998E-2</v>
      </c>
      <c r="BX42" s="2">
        <f t="shared" si="95"/>
        <v>5473</v>
      </c>
      <c r="BY42" s="2">
        <f t="shared" si="87"/>
        <v>104</v>
      </c>
      <c r="BZ42" s="6"/>
      <c r="CA42" s="6"/>
      <c r="CB42" s="6"/>
      <c r="CC42" s="6"/>
      <c r="CD42" s="2">
        <f t="shared" si="18"/>
        <v>4400</v>
      </c>
      <c r="CE42" s="2">
        <f t="shared" si="96"/>
        <v>273</v>
      </c>
      <c r="CF42" s="2">
        <f t="shared" si="97"/>
        <v>4723</v>
      </c>
      <c r="CG42" s="1">
        <f t="shared" si="78"/>
        <v>0</v>
      </c>
      <c r="CH42" s="2">
        <f t="shared" si="20"/>
        <v>4723</v>
      </c>
      <c r="CI42" s="1">
        <f t="shared" si="89"/>
        <v>47</v>
      </c>
      <c r="CJ42" s="2">
        <f t="shared" si="98"/>
        <v>23</v>
      </c>
      <c r="CK42" s="2">
        <f t="shared" si="99"/>
        <v>109923</v>
      </c>
      <c r="CL42" s="2">
        <f t="shared" si="23"/>
        <v>175.8768</v>
      </c>
      <c r="CM42" s="2">
        <f t="shared" si="47"/>
        <v>175.8768</v>
      </c>
      <c r="CN42" s="2">
        <f t="shared" si="24"/>
        <v>109747.1232</v>
      </c>
      <c r="CO42" s="2">
        <f t="shared" si="48"/>
        <v>2104</v>
      </c>
      <c r="CP42" s="2">
        <f t="shared" si="25"/>
        <v>1485.6100000000001</v>
      </c>
      <c r="CQ42" s="2">
        <f t="shared" si="26"/>
        <v>106157.5132</v>
      </c>
      <c r="CS42" s="5">
        <f t="shared" si="49"/>
        <v>1000</v>
      </c>
      <c r="CT42" s="2">
        <f t="shared" si="50"/>
        <v>100000</v>
      </c>
      <c r="CU42" s="2">
        <f t="shared" si="51"/>
        <v>100000</v>
      </c>
      <c r="CV42" s="2">
        <f t="shared" si="52"/>
        <v>105750.00000000001</v>
      </c>
      <c r="CW42" s="8">
        <f t="shared" si="27"/>
        <v>4.9000000000000002E-2</v>
      </c>
      <c r="CX42" s="2">
        <f t="shared" si="28"/>
        <v>110931.75000000001</v>
      </c>
      <c r="CY42" s="2" t="str">
        <f t="shared" si="29"/>
        <v>nie</v>
      </c>
      <c r="CZ42" s="2">
        <f t="shared" si="53"/>
        <v>0</v>
      </c>
      <c r="DA42" s="2">
        <f t="shared" si="54"/>
        <v>0</v>
      </c>
      <c r="DB42" s="2">
        <f t="shared" si="55"/>
        <v>110931.75000000001</v>
      </c>
      <c r="DC42" s="2">
        <f t="shared" si="30"/>
        <v>177.49080000000004</v>
      </c>
      <c r="DD42" s="2">
        <f t="shared" si="56"/>
        <v>177.49080000000004</v>
      </c>
      <c r="DE42" s="2">
        <f t="shared" si="57"/>
        <v>110754.25920000001</v>
      </c>
      <c r="DF42" s="2">
        <f t="shared" si="32"/>
        <v>3000</v>
      </c>
      <c r="DG42" s="2">
        <f t="shared" si="33"/>
        <v>1507.0325000000028</v>
      </c>
      <c r="DH42" s="2">
        <f t="shared" si="58"/>
        <v>106247.22670000001</v>
      </c>
    </row>
    <row r="43" spans="2:112">
      <c r="B43" s="232"/>
      <c r="C43" s="1">
        <f t="shared" si="102"/>
        <v>6</v>
      </c>
      <c r="D43" s="2">
        <f t="shared" si="105"/>
        <v>102450</v>
      </c>
      <c r="E43" s="2">
        <f t="shared" si="106"/>
        <v>101174.5</v>
      </c>
      <c r="F43" s="2">
        <f t="shared" si="107"/>
        <v>102625.00000000001</v>
      </c>
      <c r="G43" s="2">
        <f t="shared" si="108"/>
        <v>100506.25000000001</v>
      </c>
      <c r="H43" s="2">
        <f t="shared" si="109"/>
        <v>102875</v>
      </c>
      <c r="I43" s="2">
        <f t="shared" si="110"/>
        <v>100000</v>
      </c>
      <c r="J43" s="2">
        <f t="shared" si="103"/>
        <v>101836.39578763807</v>
      </c>
      <c r="K43" s="2">
        <f t="shared" si="104"/>
        <v>101450</v>
      </c>
      <c r="W43" s="1">
        <f t="shared" si="34"/>
        <v>25</v>
      </c>
      <c r="X43" s="2">
        <f t="shared" si="0"/>
        <v>106139.986575</v>
      </c>
      <c r="Y43" s="8">
        <f t="shared" si="76"/>
        <v>4.3200000000000002E-2</v>
      </c>
      <c r="Z43" s="5">
        <f t="shared" si="35"/>
        <v>1000</v>
      </c>
      <c r="AA43" s="2">
        <f t="shared" si="36"/>
        <v>100000</v>
      </c>
      <c r="AB43" s="2">
        <f t="shared" si="37"/>
        <v>100000</v>
      </c>
      <c r="AC43" s="2">
        <f t="shared" si="38"/>
        <v>110040.09999999999</v>
      </c>
      <c r="AD43" s="8">
        <f t="shared" si="1"/>
        <v>4.9000000000000002E-2</v>
      </c>
      <c r="AE43" s="2">
        <f t="shared" si="2"/>
        <v>110489.43040833334</v>
      </c>
      <c r="AF43" s="2" t="str">
        <f t="shared" si="3"/>
        <v>nie</v>
      </c>
      <c r="AG43" s="2">
        <f t="shared" si="4"/>
        <v>1000</v>
      </c>
      <c r="AH43" s="1">
        <f t="shared" si="79"/>
        <v>0</v>
      </c>
      <c r="AI43" s="1">
        <f t="shared" ref="AI43:AI74" si="111">IF(zapadalnosc_TOS/12&gt;=AI$18,AH31,0)</f>
        <v>0</v>
      </c>
      <c r="AJ43" s="6"/>
      <c r="AK43" s="6"/>
      <c r="AL43" s="2">
        <f t="shared" si="90"/>
        <v>0</v>
      </c>
      <c r="AM43" s="8">
        <f t="shared" si="80"/>
        <v>4.9000000000000002E-2</v>
      </c>
      <c r="AN43" s="2">
        <f t="shared" si="91"/>
        <v>0</v>
      </c>
      <c r="AO43" s="2">
        <f t="shared" si="81"/>
        <v>0</v>
      </c>
      <c r="AP43" s="2">
        <f>SUM(AI43:AK43)*100</f>
        <v>0</v>
      </c>
      <c r="AQ43" s="8">
        <f t="shared" ref="AQ43:AQ74" si="112">marza_TOS+Y43</f>
        <v>4.3200000000000002E-2</v>
      </c>
      <c r="AR43" s="2">
        <f t="shared" ref="AR43:AR106" si="113">AP43*(1+AQ43*IF(MOD($W43,12)&lt;&gt;0,MOD($W43,12),12)/12)</f>
        <v>0</v>
      </c>
      <c r="AS43" s="2">
        <f t="shared" ref="AS43:AS74" si="114">SUM(AI43:AK43)*koszt_wczesniejszy_wykup_TOS</f>
        <v>0</v>
      </c>
      <c r="AT43" s="2">
        <f t="shared" si="39"/>
        <v>0</v>
      </c>
      <c r="AU43" s="2">
        <f t="shared" si="92"/>
        <v>0</v>
      </c>
      <c r="AV43" s="2">
        <f t="shared" si="82"/>
        <v>0</v>
      </c>
      <c r="AW43" s="1">
        <f t="shared" si="77"/>
        <v>0</v>
      </c>
      <c r="AX43" s="2">
        <f t="shared" si="6"/>
        <v>0</v>
      </c>
      <c r="AY43" s="1">
        <f t="shared" si="83"/>
        <v>0</v>
      </c>
      <c r="AZ43" s="2">
        <f t="shared" si="40"/>
        <v>0</v>
      </c>
      <c r="BA43" s="2">
        <f t="shared" si="93"/>
        <v>110489.43040833334</v>
      </c>
      <c r="BB43" s="2">
        <f t="shared" si="9"/>
        <v>0</v>
      </c>
      <c r="BC43" s="2">
        <f t="shared" si="41"/>
        <v>176.06415999999999</v>
      </c>
      <c r="BD43" s="2">
        <f t="shared" si="10"/>
        <v>110313.36624833335</v>
      </c>
      <c r="BE43" s="2">
        <f t="shared" si="42"/>
        <v>1000</v>
      </c>
      <c r="BF43" s="2">
        <f t="shared" si="11"/>
        <v>1802.9917775833349</v>
      </c>
      <c r="BG43" s="2">
        <f t="shared" si="12"/>
        <v>107510.37447075002</v>
      </c>
      <c r="BI43" s="8">
        <f t="shared" si="84"/>
        <v>2.9000000000000001E-2</v>
      </c>
      <c r="BJ43" s="5">
        <f t="shared" si="43"/>
        <v>1000</v>
      </c>
      <c r="BK43" s="2">
        <f t="shared" si="44"/>
        <v>100000</v>
      </c>
      <c r="BL43" s="2">
        <f t="shared" si="45"/>
        <v>100000</v>
      </c>
      <c r="BM43" s="2">
        <f t="shared" si="13"/>
        <v>100000</v>
      </c>
      <c r="BN43" s="8">
        <f t="shared" si="14"/>
        <v>4.3999999999999997E-2</v>
      </c>
      <c r="BO43" s="2">
        <f t="shared" si="15"/>
        <v>100366.66666666667</v>
      </c>
      <c r="BP43" s="2" t="str">
        <f t="shared" si="16"/>
        <v>nie</v>
      </c>
      <c r="BQ43" s="2">
        <f t="shared" si="17"/>
        <v>2000</v>
      </c>
      <c r="BR43" s="1">
        <f t="shared" si="85"/>
        <v>47</v>
      </c>
      <c r="BS43" s="1">
        <f t="shared" ref="BS43:BS74" si="115">IF(zapadalnosc_COI/12&gt;=BS$18,BR31,0)</f>
        <v>52</v>
      </c>
      <c r="BT43" s="6"/>
      <c r="BU43" s="6"/>
      <c r="BV43" s="2">
        <f t="shared" si="94"/>
        <v>4700</v>
      </c>
      <c r="BW43" s="8">
        <f t="shared" si="86"/>
        <v>5.2499999999999998E-2</v>
      </c>
      <c r="BX43" s="2">
        <f t="shared" si="95"/>
        <v>4720.5625</v>
      </c>
      <c r="BY43" s="2">
        <f t="shared" si="87"/>
        <v>20.5625</v>
      </c>
      <c r="BZ43" s="2">
        <f>SUM(BS43:BU43)*100</f>
        <v>5200</v>
      </c>
      <c r="CA43" s="8">
        <f t="shared" ref="CA43:CA74" si="116">marza_COI+BI43</f>
        <v>4.3999999999999997E-2</v>
      </c>
      <c r="CB43" s="2">
        <f t="shared" ref="CB43:CB95" si="117">BZ43*(1+CA43*IF(MOD($W43,12)&lt;&gt;0,MOD($W43,12),12)/12)</f>
        <v>5219.0666666666666</v>
      </c>
      <c r="CC43" s="2">
        <f t="shared" ref="CC43:CC74" si="118">SUM(BS43:BU43)*koszt_wczesniejszy_wykup_COI</f>
        <v>104</v>
      </c>
      <c r="CD43" s="2">
        <f t="shared" si="18"/>
        <v>0</v>
      </c>
      <c r="CE43" s="2">
        <f t="shared" si="96"/>
        <v>0</v>
      </c>
      <c r="CF43" s="2">
        <f t="shared" si="97"/>
        <v>23</v>
      </c>
      <c r="CG43" s="1">
        <f t="shared" si="78"/>
        <v>0</v>
      </c>
      <c r="CH43" s="2">
        <f t="shared" si="20"/>
        <v>23</v>
      </c>
      <c r="CI43" s="1">
        <f t="shared" si="89"/>
        <v>0</v>
      </c>
      <c r="CJ43" s="2">
        <f t="shared" si="98"/>
        <v>23</v>
      </c>
      <c r="CK43" s="2">
        <f t="shared" si="99"/>
        <v>110329.29583333334</v>
      </c>
      <c r="CL43" s="2">
        <f t="shared" si="23"/>
        <v>0</v>
      </c>
      <c r="CM43" s="2">
        <f t="shared" si="47"/>
        <v>175.8768</v>
      </c>
      <c r="CN43" s="2">
        <f t="shared" si="24"/>
        <v>110153.41903333334</v>
      </c>
      <c r="CO43" s="2">
        <f t="shared" si="48"/>
        <v>2124.5625</v>
      </c>
      <c r="CP43" s="2">
        <f t="shared" si="25"/>
        <v>1558.8993333333342</v>
      </c>
      <c r="CQ43" s="2">
        <f t="shared" si="26"/>
        <v>106469.9572</v>
      </c>
      <c r="CS43" s="5">
        <f t="shared" si="49"/>
        <v>1000</v>
      </c>
      <c r="CT43" s="2">
        <f t="shared" si="50"/>
        <v>100000</v>
      </c>
      <c r="CU43" s="2">
        <f t="shared" si="51"/>
        <v>100000</v>
      </c>
      <c r="CV43" s="2">
        <f t="shared" si="52"/>
        <v>110931.75000000001</v>
      </c>
      <c r="CW43" s="8">
        <f t="shared" si="27"/>
        <v>4.9000000000000002E-2</v>
      </c>
      <c r="CX43" s="2">
        <f t="shared" si="28"/>
        <v>111384.72131250003</v>
      </c>
      <c r="CY43" s="2" t="str">
        <f t="shared" si="29"/>
        <v>nie</v>
      </c>
      <c r="CZ43" s="2">
        <f t="shared" si="53"/>
        <v>0</v>
      </c>
      <c r="DA43" s="2">
        <f t="shared" si="54"/>
        <v>0</v>
      </c>
      <c r="DB43" s="2">
        <f t="shared" si="55"/>
        <v>111384.72131250003</v>
      </c>
      <c r="DC43" s="2">
        <f t="shared" si="30"/>
        <v>0</v>
      </c>
      <c r="DD43" s="2">
        <f t="shared" si="56"/>
        <v>177.49080000000004</v>
      </c>
      <c r="DE43" s="2">
        <f t="shared" si="57"/>
        <v>111207.23051250003</v>
      </c>
      <c r="DF43" s="2">
        <f t="shared" si="32"/>
        <v>3000</v>
      </c>
      <c r="DG43" s="2">
        <f t="shared" si="33"/>
        <v>1593.0970493750051</v>
      </c>
      <c r="DH43" s="2">
        <f t="shared" si="58"/>
        <v>106614.13346312502</v>
      </c>
    </row>
    <row r="44" spans="2:112">
      <c r="B44" s="232"/>
      <c r="C44" s="1">
        <f t="shared" si="102"/>
        <v>7</v>
      </c>
      <c r="D44" s="2">
        <f t="shared" si="105"/>
        <v>102858.33333333334</v>
      </c>
      <c r="E44" s="2">
        <f t="shared" si="106"/>
        <v>101505.25000000001</v>
      </c>
      <c r="F44" s="2">
        <f t="shared" si="107"/>
        <v>103062.49999999999</v>
      </c>
      <c r="G44" s="2">
        <f t="shared" si="108"/>
        <v>100860.62499999999</v>
      </c>
      <c r="H44" s="2">
        <f t="shared" si="109"/>
        <v>103354.16666666666</v>
      </c>
      <c r="I44" s="2">
        <f t="shared" si="110"/>
        <v>100286.87499999999</v>
      </c>
      <c r="J44" s="2">
        <f t="shared" si="103"/>
        <v>102145.72383984302</v>
      </c>
      <c r="K44" s="2">
        <f t="shared" si="104"/>
        <v>101691.66666666667</v>
      </c>
      <c r="W44" s="1">
        <f t="shared" si="34"/>
        <v>26</v>
      </c>
      <c r="X44" s="2">
        <f t="shared" si="0"/>
        <v>106395.87314999998</v>
      </c>
      <c r="Y44" s="8">
        <f t="shared" si="76"/>
        <v>4.3200000000000002E-2</v>
      </c>
      <c r="Z44" s="5">
        <f t="shared" si="35"/>
        <v>1000</v>
      </c>
      <c r="AA44" s="2">
        <f t="shared" si="36"/>
        <v>100000</v>
      </c>
      <c r="AB44" s="2">
        <f t="shared" si="37"/>
        <v>100000</v>
      </c>
      <c r="AC44" s="2">
        <f t="shared" si="38"/>
        <v>110040.09999999999</v>
      </c>
      <c r="AD44" s="8">
        <f t="shared" si="1"/>
        <v>4.9000000000000002E-2</v>
      </c>
      <c r="AE44" s="2">
        <f t="shared" si="2"/>
        <v>110938.76081666666</v>
      </c>
      <c r="AF44" s="2" t="str">
        <f t="shared" si="3"/>
        <v>nie</v>
      </c>
      <c r="AG44" s="2">
        <f t="shared" si="4"/>
        <v>1000</v>
      </c>
      <c r="AH44" s="1">
        <f t="shared" si="79"/>
        <v>0</v>
      </c>
      <c r="AI44" s="1">
        <f t="shared" si="111"/>
        <v>0</v>
      </c>
      <c r="AJ44" s="6"/>
      <c r="AK44" s="6"/>
      <c r="AL44" s="2">
        <f t="shared" si="90"/>
        <v>0</v>
      </c>
      <c r="AM44" s="8">
        <f t="shared" si="80"/>
        <v>4.9000000000000002E-2</v>
      </c>
      <c r="AN44" s="2">
        <f t="shared" si="91"/>
        <v>0</v>
      </c>
      <c r="AO44" s="2">
        <f t="shared" si="81"/>
        <v>0</v>
      </c>
      <c r="AP44" s="2">
        <f t="shared" ref="AP44:AP107" si="119">SUM(AI44:AK44)*100</f>
        <v>0</v>
      </c>
      <c r="AQ44" s="8">
        <f t="shared" si="112"/>
        <v>4.3200000000000002E-2</v>
      </c>
      <c r="AR44" s="2">
        <f t="shared" si="113"/>
        <v>0</v>
      </c>
      <c r="AS44" s="2">
        <f t="shared" si="114"/>
        <v>0</v>
      </c>
      <c r="AT44" s="2">
        <f t="shared" si="39"/>
        <v>0</v>
      </c>
      <c r="AU44" s="2">
        <f t="shared" si="92"/>
        <v>0</v>
      </c>
      <c r="AV44" s="2">
        <f t="shared" si="82"/>
        <v>0</v>
      </c>
      <c r="AW44" s="1">
        <f t="shared" si="77"/>
        <v>0</v>
      </c>
      <c r="AX44" s="2">
        <f t="shared" si="6"/>
        <v>0</v>
      </c>
      <c r="AY44" s="1">
        <f t="shared" si="83"/>
        <v>0</v>
      </c>
      <c r="AZ44" s="2">
        <f t="shared" si="40"/>
        <v>0</v>
      </c>
      <c r="BA44" s="2">
        <f t="shared" si="93"/>
        <v>110938.76081666666</v>
      </c>
      <c r="BB44" s="2">
        <f t="shared" si="9"/>
        <v>0</v>
      </c>
      <c r="BC44" s="2">
        <f t="shared" si="41"/>
        <v>176.06415999999999</v>
      </c>
      <c r="BD44" s="2">
        <f t="shared" si="10"/>
        <v>110762.69665666667</v>
      </c>
      <c r="BE44" s="2">
        <f t="shared" si="42"/>
        <v>1000</v>
      </c>
      <c r="BF44" s="2">
        <f t="shared" si="11"/>
        <v>1888.3645551666657</v>
      </c>
      <c r="BG44" s="2">
        <f t="shared" si="12"/>
        <v>107874.3321015</v>
      </c>
      <c r="BI44" s="8">
        <f t="shared" si="84"/>
        <v>2.9000000000000001E-2</v>
      </c>
      <c r="BJ44" s="5">
        <f t="shared" si="43"/>
        <v>1000</v>
      </c>
      <c r="BK44" s="2">
        <f t="shared" si="44"/>
        <v>100000</v>
      </c>
      <c r="BL44" s="2">
        <f t="shared" si="45"/>
        <v>100000</v>
      </c>
      <c r="BM44" s="2">
        <f t="shared" si="13"/>
        <v>100000</v>
      </c>
      <c r="BN44" s="8">
        <f t="shared" si="14"/>
        <v>4.3999999999999997E-2</v>
      </c>
      <c r="BO44" s="2">
        <f t="shared" si="15"/>
        <v>100733.33333333334</v>
      </c>
      <c r="BP44" s="2" t="str">
        <f t="shared" si="16"/>
        <v>nie</v>
      </c>
      <c r="BQ44" s="2">
        <f t="shared" si="17"/>
        <v>2000</v>
      </c>
      <c r="BR44" s="1">
        <f t="shared" si="85"/>
        <v>47</v>
      </c>
      <c r="BS44" s="1">
        <f t="shared" si="115"/>
        <v>52</v>
      </c>
      <c r="BT44" s="6"/>
      <c r="BU44" s="6"/>
      <c r="BV44" s="2">
        <f t="shared" si="94"/>
        <v>4700</v>
      </c>
      <c r="BW44" s="8">
        <f t="shared" si="86"/>
        <v>5.2499999999999998E-2</v>
      </c>
      <c r="BX44" s="2">
        <f t="shared" si="95"/>
        <v>4741.125</v>
      </c>
      <c r="BY44" s="2">
        <f t="shared" si="87"/>
        <v>41.125</v>
      </c>
      <c r="BZ44" s="2">
        <f t="shared" ref="BZ44:BZ107" si="120">SUM(BS44:BU44)*100</f>
        <v>5200</v>
      </c>
      <c r="CA44" s="8">
        <f t="shared" si="116"/>
        <v>4.3999999999999997E-2</v>
      </c>
      <c r="CB44" s="2">
        <f t="shared" si="117"/>
        <v>5238.1333333333341</v>
      </c>
      <c r="CC44" s="2">
        <f t="shared" si="118"/>
        <v>104</v>
      </c>
      <c r="CD44" s="2">
        <f t="shared" si="18"/>
        <v>0</v>
      </c>
      <c r="CE44" s="2">
        <f t="shared" si="96"/>
        <v>0</v>
      </c>
      <c r="CF44" s="2">
        <f t="shared" si="97"/>
        <v>23</v>
      </c>
      <c r="CG44" s="1">
        <f t="shared" si="78"/>
        <v>0</v>
      </c>
      <c r="CH44" s="2">
        <f t="shared" si="20"/>
        <v>23</v>
      </c>
      <c r="CI44" s="1">
        <f t="shared" si="89"/>
        <v>0</v>
      </c>
      <c r="CJ44" s="2">
        <f t="shared" si="98"/>
        <v>23</v>
      </c>
      <c r="CK44" s="2">
        <f t="shared" si="99"/>
        <v>110735.59166666667</v>
      </c>
      <c r="CL44" s="2">
        <f t="shared" si="23"/>
        <v>0</v>
      </c>
      <c r="CM44" s="2">
        <f t="shared" si="47"/>
        <v>175.8768</v>
      </c>
      <c r="CN44" s="2">
        <f t="shared" si="24"/>
        <v>110559.71486666668</v>
      </c>
      <c r="CO44" s="2">
        <f t="shared" si="48"/>
        <v>2145.125</v>
      </c>
      <c r="CP44" s="2">
        <f t="shared" si="25"/>
        <v>1632.1886666666683</v>
      </c>
      <c r="CQ44" s="2">
        <f t="shared" si="26"/>
        <v>106782.40120000001</v>
      </c>
      <c r="CS44" s="5">
        <f t="shared" si="49"/>
        <v>1000</v>
      </c>
      <c r="CT44" s="2">
        <f t="shared" si="50"/>
        <v>100000</v>
      </c>
      <c r="CU44" s="2">
        <f t="shared" si="51"/>
        <v>100000</v>
      </c>
      <c r="CV44" s="2">
        <f t="shared" si="52"/>
        <v>110931.75000000001</v>
      </c>
      <c r="CW44" s="8">
        <f t="shared" si="27"/>
        <v>4.9000000000000002E-2</v>
      </c>
      <c r="CX44" s="2">
        <f t="shared" si="28"/>
        <v>111837.69262500001</v>
      </c>
      <c r="CY44" s="2" t="str">
        <f t="shared" si="29"/>
        <v>nie</v>
      </c>
      <c r="CZ44" s="2">
        <f t="shared" si="53"/>
        <v>0</v>
      </c>
      <c r="DA44" s="2">
        <f t="shared" si="54"/>
        <v>0</v>
      </c>
      <c r="DB44" s="2">
        <f t="shared" si="55"/>
        <v>111837.69262500001</v>
      </c>
      <c r="DC44" s="2">
        <f t="shared" si="30"/>
        <v>0</v>
      </c>
      <c r="DD44" s="2">
        <f t="shared" si="56"/>
        <v>177.49080000000004</v>
      </c>
      <c r="DE44" s="2">
        <f t="shared" si="57"/>
        <v>111660.20182500001</v>
      </c>
      <c r="DF44" s="2">
        <f t="shared" si="32"/>
        <v>3000</v>
      </c>
      <c r="DG44" s="2">
        <f t="shared" si="33"/>
        <v>1679.161598750002</v>
      </c>
      <c r="DH44" s="2">
        <f t="shared" si="58"/>
        <v>106981.04022625001</v>
      </c>
    </row>
    <row r="45" spans="2:112">
      <c r="B45" s="232"/>
      <c r="C45" s="1">
        <f t="shared" si="102"/>
        <v>8</v>
      </c>
      <c r="D45" s="2">
        <f t="shared" si="105"/>
        <v>103266.66666666666</v>
      </c>
      <c r="E45" s="2">
        <f t="shared" si="106"/>
        <v>101835.99999999999</v>
      </c>
      <c r="F45" s="2">
        <f t="shared" si="107"/>
        <v>103499.99999999999</v>
      </c>
      <c r="G45" s="2">
        <f t="shared" si="108"/>
        <v>101214.99999999999</v>
      </c>
      <c r="H45" s="2">
        <f t="shared" si="109"/>
        <v>103833.33333333333</v>
      </c>
      <c r="I45" s="2">
        <f t="shared" si="110"/>
        <v>100675</v>
      </c>
      <c r="J45" s="2">
        <f t="shared" si="103"/>
        <v>102455.99147600654</v>
      </c>
      <c r="K45" s="2">
        <f t="shared" si="104"/>
        <v>101933.33333333334</v>
      </c>
      <c r="W45" s="1">
        <f t="shared" si="34"/>
        <v>27</v>
      </c>
      <c r="X45" s="2">
        <f t="shared" si="0"/>
        <v>106651.75972499998</v>
      </c>
      <c r="Y45" s="8">
        <f t="shared" si="76"/>
        <v>4.3200000000000002E-2</v>
      </c>
      <c r="Z45" s="5">
        <f t="shared" si="35"/>
        <v>1000</v>
      </c>
      <c r="AA45" s="2">
        <f t="shared" si="36"/>
        <v>100000</v>
      </c>
      <c r="AB45" s="2">
        <f t="shared" si="37"/>
        <v>100000</v>
      </c>
      <c r="AC45" s="2">
        <f t="shared" si="38"/>
        <v>110040.09999999999</v>
      </c>
      <c r="AD45" s="8">
        <f t="shared" si="1"/>
        <v>4.9000000000000002E-2</v>
      </c>
      <c r="AE45" s="2">
        <f t="shared" si="2"/>
        <v>111388.091225</v>
      </c>
      <c r="AF45" s="2" t="str">
        <f t="shared" si="3"/>
        <v>nie</v>
      </c>
      <c r="AG45" s="2">
        <f t="shared" si="4"/>
        <v>1000</v>
      </c>
      <c r="AH45" s="1">
        <f t="shared" si="79"/>
        <v>0</v>
      </c>
      <c r="AI45" s="1">
        <f t="shared" si="111"/>
        <v>0</v>
      </c>
      <c r="AJ45" s="6"/>
      <c r="AK45" s="6"/>
      <c r="AL45" s="2">
        <f t="shared" si="90"/>
        <v>0</v>
      </c>
      <c r="AM45" s="8">
        <f t="shared" si="80"/>
        <v>4.9000000000000002E-2</v>
      </c>
      <c r="AN45" s="2">
        <f t="shared" si="91"/>
        <v>0</v>
      </c>
      <c r="AO45" s="2">
        <f t="shared" si="81"/>
        <v>0</v>
      </c>
      <c r="AP45" s="2">
        <f t="shared" si="119"/>
        <v>0</v>
      </c>
      <c r="AQ45" s="8">
        <f t="shared" si="112"/>
        <v>4.3200000000000002E-2</v>
      </c>
      <c r="AR45" s="2">
        <f t="shared" si="113"/>
        <v>0</v>
      </c>
      <c r="AS45" s="2">
        <f t="shared" si="114"/>
        <v>0</v>
      </c>
      <c r="AT45" s="2">
        <f t="shared" si="39"/>
        <v>0</v>
      </c>
      <c r="AU45" s="2">
        <f t="shared" si="92"/>
        <v>0</v>
      </c>
      <c r="AV45" s="2">
        <f t="shared" si="82"/>
        <v>0</v>
      </c>
      <c r="AW45" s="1">
        <f t="shared" si="77"/>
        <v>0</v>
      </c>
      <c r="AX45" s="2">
        <f t="shared" si="6"/>
        <v>0</v>
      </c>
      <c r="AY45" s="1">
        <f t="shared" si="83"/>
        <v>0</v>
      </c>
      <c r="AZ45" s="2">
        <f t="shared" si="40"/>
        <v>0</v>
      </c>
      <c r="BA45" s="2">
        <f t="shared" si="93"/>
        <v>111388.091225</v>
      </c>
      <c r="BB45" s="2">
        <f t="shared" si="9"/>
        <v>0</v>
      </c>
      <c r="BC45" s="2">
        <f t="shared" si="41"/>
        <v>176.06415999999999</v>
      </c>
      <c r="BD45" s="2">
        <f t="shared" si="10"/>
        <v>111212.027065</v>
      </c>
      <c r="BE45" s="2">
        <f t="shared" si="42"/>
        <v>1000</v>
      </c>
      <c r="BF45" s="2">
        <f t="shared" si="11"/>
        <v>1973.7373327499993</v>
      </c>
      <c r="BG45" s="2">
        <f t="shared" si="12"/>
        <v>108238.28973225001</v>
      </c>
      <c r="BI45" s="8">
        <f t="shared" si="84"/>
        <v>2.9000000000000001E-2</v>
      </c>
      <c r="BJ45" s="5">
        <f t="shared" si="43"/>
        <v>1000</v>
      </c>
      <c r="BK45" s="2">
        <f t="shared" si="44"/>
        <v>100000</v>
      </c>
      <c r="BL45" s="2">
        <f t="shared" si="45"/>
        <v>100000</v>
      </c>
      <c r="BM45" s="2">
        <f t="shared" si="13"/>
        <v>100000</v>
      </c>
      <c r="BN45" s="8">
        <f t="shared" si="14"/>
        <v>4.3999999999999997E-2</v>
      </c>
      <c r="BO45" s="2">
        <f t="shared" si="15"/>
        <v>101099.99999999999</v>
      </c>
      <c r="BP45" s="2" t="str">
        <f t="shared" si="16"/>
        <v>nie</v>
      </c>
      <c r="BQ45" s="2">
        <f t="shared" si="17"/>
        <v>2000</v>
      </c>
      <c r="BR45" s="1">
        <f t="shared" si="85"/>
        <v>47</v>
      </c>
      <c r="BS45" s="1">
        <f t="shared" si="115"/>
        <v>52</v>
      </c>
      <c r="BT45" s="6"/>
      <c r="BU45" s="6"/>
      <c r="BV45" s="2">
        <f t="shared" si="94"/>
        <v>4700</v>
      </c>
      <c r="BW45" s="8">
        <f t="shared" si="86"/>
        <v>5.2499999999999998E-2</v>
      </c>
      <c r="BX45" s="2">
        <f t="shared" si="95"/>
        <v>4761.6875</v>
      </c>
      <c r="BY45" s="2">
        <f t="shared" si="87"/>
        <v>61.6875</v>
      </c>
      <c r="BZ45" s="2">
        <f t="shared" si="120"/>
        <v>5200</v>
      </c>
      <c r="CA45" s="8">
        <f t="shared" si="116"/>
        <v>4.3999999999999997E-2</v>
      </c>
      <c r="CB45" s="2">
        <f t="shared" si="117"/>
        <v>5257.2</v>
      </c>
      <c r="CC45" s="2">
        <f t="shared" si="118"/>
        <v>104</v>
      </c>
      <c r="CD45" s="2">
        <f t="shared" si="18"/>
        <v>0</v>
      </c>
      <c r="CE45" s="2">
        <f t="shared" si="96"/>
        <v>0</v>
      </c>
      <c r="CF45" s="2">
        <f t="shared" si="97"/>
        <v>23</v>
      </c>
      <c r="CG45" s="1">
        <f t="shared" si="78"/>
        <v>0</v>
      </c>
      <c r="CH45" s="2">
        <f t="shared" si="20"/>
        <v>23</v>
      </c>
      <c r="CI45" s="1">
        <f t="shared" si="89"/>
        <v>0</v>
      </c>
      <c r="CJ45" s="2">
        <f t="shared" si="98"/>
        <v>23</v>
      </c>
      <c r="CK45" s="2">
        <f t="shared" si="99"/>
        <v>111141.88749999998</v>
      </c>
      <c r="CL45" s="2">
        <f t="shared" si="23"/>
        <v>0</v>
      </c>
      <c r="CM45" s="2">
        <f t="shared" si="47"/>
        <v>175.8768</v>
      </c>
      <c r="CN45" s="2">
        <f t="shared" si="24"/>
        <v>110966.01069999998</v>
      </c>
      <c r="CO45" s="2">
        <f t="shared" si="48"/>
        <v>2165.6875</v>
      </c>
      <c r="CP45" s="2">
        <f t="shared" si="25"/>
        <v>1705.4779999999967</v>
      </c>
      <c r="CQ45" s="2">
        <f t="shared" si="26"/>
        <v>107094.84519999998</v>
      </c>
      <c r="CS45" s="5">
        <f t="shared" si="49"/>
        <v>1000</v>
      </c>
      <c r="CT45" s="2">
        <f t="shared" si="50"/>
        <v>100000</v>
      </c>
      <c r="CU45" s="2">
        <f t="shared" si="51"/>
        <v>100000</v>
      </c>
      <c r="CV45" s="2">
        <f t="shared" si="52"/>
        <v>110931.75000000001</v>
      </c>
      <c r="CW45" s="8">
        <f t="shared" si="27"/>
        <v>4.9000000000000002E-2</v>
      </c>
      <c r="CX45" s="2">
        <f t="shared" si="28"/>
        <v>112290.66393750002</v>
      </c>
      <c r="CY45" s="2" t="str">
        <f t="shared" si="29"/>
        <v>nie</v>
      </c>
      <c r="CZ45" s="2">
        <f t="shared" si="53"/>
        <v>0</v>
      </c>
      <c r="DA45" s="2">
        <f t="shared" si="54"/>
        <v>0</v>
      </c>
      <c r="DB45" s="2">
        <f t="shared" si="55"/>
        <v>112290.66393750002</v>
      </c>
      <c r="DC45" s="2">
        <f t="shared" si="30"/>
        <v>0</v>
      </c>
      <c r="DD45" s="2">
        <f t="shared" si="56"/>
        <v>177.49080000000004</v>
      </c>
      <c r="DE45" s="2">
        <f t="shared" si="57"/>
        <v>112113.17313750002</v>
      </c>
      <c r="DF45" s="2">
        <f t="shared" si="32"/>
        <v>3000</v>
      </c>
      <c r="DG45" s="2">
        <f t="shared" si="33"/>
        <v>1765.2261481250043</v>
      </c>
      <c r="DH45" s="2">
        <f t="shared" si="58"/>
        <v>107347.94698937502</v>
      </c>
    </row>
    <row r="46" spans="2:112">
      <c r="B46" s="232"/>
      <c r="C46" s="1">
        <f t="shared" si="102"/>
        <v>9</v>
      </c>
      <c r="D46" s="2">
        <f t="shared" si="105"/>
        <v>103675</v>
      </c>
      <c r="E46" s="2">
        <f t="shared" si="106"/>
        <v>102166.75</v>
      </c>
      <c r="F46" s="2">
        <f t="shared" si="107"/>
        <v>103937.5</v>
      </c>
      <c r="G46" s="2">
        <f t="shared" si="108"/>
        <v>101569.375</v>
      </c>
      <c r="H46" s="2">
        <f t="shared" si="109"/>
        <v>104312.50000000001</v>
      </c>
      <c r="I46" s="2">
        <f t="shared" si="110"/>
        <v>101063.12500000001</v>
      </c>
      <c r="J46" s="2">
        <f t="shared" si="103"/>
        <v>102767.20155011491</v>
      </c>
      <c r="K46" s="2">
        <f t="shared" si="104"/>
        <v>102175</v>
      </c>
      <c r="W46" s="1">
        <f t="shared" si="34"/>
        <v>28</v>
      </c>
      <c r="X46" s="2">
        <f t="shared" si="0"/>
        <v>106907.64629999999</v>
      </c>
      <c r="Y46" s="8">
        <f t="shared" si="76"/>
        <v>4.3200000000000002E-2</v>
      </c>
      <c r="Z46" s="5">
        <f t="shared" si="35"/>
        <v>1000</v>
      </c>
      <c r="AA46" s="2">
        <f t="shared" si="36"/>
        <v>100000</v>
      </c>
      <c r="AB46" s="2">
        <f t="shared" si="37"/>
        <v>100000</v>
      </c>
      <c r="AC46" s="2">
        <f t="shared" si="38"/>
        <v>110040.09999999999</v>
      </c>
      <c r="AD46" s="8">
        <f t="shared" si="1"/>
        <v>4.9000000000000002E-2</v>
      </c>
      <c r="AE46" s="2">
        <f t="shared" si="2"/>
        <v>111837.42163333332</v>
      </c>
      <c r="AF46" s="2" t="str">
        <f t="shared" si="3"/>
        <v>nie</v>
      </c>
      <c r="AG46" s="2">
        <f t="shared" si="4"/>
        <v>1000</v>
      </c>
      <c r="AH46" s="1">
        <f t="shared" si="79"/>
        <v>0</v>
      </c>
      <c r="AI46" s="1">
        <f t="shared" si="111"/>
        <v>0</v>
      </c>
      <c r="AJ46" s="6"/>
      <c r="AK46" s="6"/>
      <c r="AL46" s="2">
        <f t="shared" si="90"/>
        <v>0</v>
      </c>
      <c r="AM46" s="8">
        <f t="shared" si="80"/>
        <v>4.9000000000000002E-2</v>
      </c>
      <c r="AN46" s="2">
        <f t="shared" si="91"/>
        <v>0</v>
      </c>
      <c r="AO46" s="2">
        <f t="shared" si="81"/>
        <v>0</v>
      </c>
      <c r="AP46" s="2">
        <f t="shared" si="119"/>
        <v>0</v>
      </c>
      <c r="AQ46" s="8">
        <f t="shared" si="112"/>
        <v>4.3200000000000002E-2</v>
      </c>
      <c r="AR46" s="2">
        <f t="shared" si="113"/>
        <v>0</v>
      </c>
      <c r="AS46" s="2">
        <f t="shared" si="114"/>
        <v>0</v>
      </c>
      <c r="AT46" s="2">
        <f t="shared" si="39"/>
        <v>0</v>
      </c>
      <c r="AU46" s="2">
        <f t="shared" si="92"/>
        <v>0</v>
      </c>
      <c r="AV46" s="2">
        <f t="shared" si="82"/>
        <v>0</v>
      </c>
      <c r="AW46" s="1">
        <f t="shared" si="77"/>
        <v>0</v>
      </c>
      <c r="AX46" s="2">
        <f t="shared" si="6"/>
        <v>0</v>
      </c>
      <c r="AY46" s="1">
        <f t="shared" si="83"/>
        <v>0</v>
      </c>
      <c r="AZ46" s="2">
        <f t="shared" si="40"/>
        <v>0</v>
      </c>
      <c r="BA46" s="2">
        <f t="shared" si="93"/>
        <v>111837.42163333332</v>
      </c>
      <c r="BB46" s="2">
        <f t="shared" si="9"/>
        <v>0</v>
      </c>
      <c r="BC46" s="2">
        <f t="shared" si="41"/>
        <v>176.06415999999999</v>
      </c>
      <c r="BD46" s="2">
        <f t="shared" si="10"/>
        <v>111661.35747333332</v>
      </c>
      <c r="BE46" s="2">
        <f t="shared" si="42"/>
        <v>1000</v>
      </c>
      <c r="BF46" s="2">
        <f t="shared" si="11"/>
        <v>2059.1101103333303</v>
      </c>
      <c r="BG46" s="2">
        <f t="shared" si="12"/>
        <v>108602.24736299999</v>
      </c>
      <c r="BI46" s="8">
        <f t="shared" si="84"/>
        <v>2.9000000000000001E-2</v>
      </c>
      <c r="BJ46" s="5">
        <f t="shared" si="43"/>
        <v>1000</v>
      </c>
      <c r="BK46" s="2">
        <f t="shared" si="44"/>
        <v>100000</v>
      </c>
      <c r="BL46" s="2">
        <f t="shared" si="45"/>
        <v>100000</v>
      </c>
      <c r="BM46" s="2">
        <f t="shared" si="13"/>
        <v>100000</v>
      </c>
      <c r="BN46" s="8">
        <f t="shared" si="14"/>
        <v>4.3999999999999997E-2</v>
      </c>
      <c r="BO46" s="2">
        <f t="shared" si="15"/>
        <v>101466.66666666666</v>
      </c>
      <c r="BP46" s="2" t="str">
        <f t="shared" si="16"/>
        <v>nie</v>
      </c>
      <c r="BQ46" s="2">
        <f t="shared" si="17"/>
        <v>2000</v>
      </c>
      <c r="BR46" s="1">
        <f t="shared" si="85"/>
        <v>47</v>
      </c>
      <c r="BS46" s="1">
        <f t="shared" si="115"/>
        <v>52</v>
      </c>
      <c r="BT46" s="6"/>
      <c r="BU46" s="6"/>
      <c r="BV46" s="2">
        <f t="shared" si="94"/>
        <v>4700</v>
      </c>
      <c r="BW46" s="8">
        <f t="shared" si="86"/>
        <v>5.2499999999999998E-2</v>
      </c>
      <c r="BX46" s="2">
        <f t="shared" si="95"/>
        <v>4782.25</v>
      </c>
      <c r="BY46" s="2">
        <f t="shared" si="87"/>
        <v>82.25</v>
      </c>
      <c r="BZ46" s="2">
        <f t="shared" si="120"/>
        <v>5200</v>
      </c>
      <c r="CA46" s="8">
        <f t="shared" si="116"/>
        <v>4.3999999999999997E-2</v>
      </c>
      <c r="CB46" s="2">
        <f t="shared" si="117"/>
        <v>5276.2666666666664</v>
      </c>
      <c r="CC46" s="2">
        <f t="shared" si="118"/>
        <v>104</v>
      </c>
      <c r="CD46" s="2">
        <f t="shared" si="18"/>
        <v>0</v>
      </c>
      <c r="CE46" s="2">
        <f t="shared" si="96"/>
        <v>0</v>
      </c>
      <c r="CF46" s="2">
        <f t="shared" si="97"/>
        <v>23</v>
      </c>
      <c r="CG46" s="1">
        <f t="shared" si="78"/>
        <v>0</v>
      </c>
      <c r="CH46" s="2">
        <f t="shared" si="20"/>
        <v>23</v>
      </c>
      <c r="CI46" s="1">
        <f t="shared" si="89"/>
        <v>0</v>
      </c>
      <c r="CJ46" s="2">
        <f t="shared" si="98"/>
        <v>23</v>
      </c>
      <c r="CK46" s="2">
        <f t="shared" si="99"/>
        <v>111548.18333333332</v>
      </c>
      <c r="CL46" s="2">
        <f t="shared" si="23"/>
        <v>0</v>
      </c>
      <c r="CM46" s="2">
        <f t="shared" si="47"/>
        <v>175.8768</v>
      </c>
      <c r="CN46" s="2">
        <f t="shared" si="24"/>
        <v>111372.30653333332</v>
      </c>
      <c r="CO46" s="2">
        <f t="shared" si="48"/>
        <v>2186.25</v>
      </c>
      <c r="CP46" s="2">
        <f t="shared" si="25"/>
        <v>1778.7673333333307</v>
      </c>
      <c r="CQ46" s="2">
        <f t="shared" si="26"/>
        <v>107407.28919999998</v>
      </c>
      <c r="CS46" s="5">
        <f t="shared" si="49"/>
        <v>1000</v>
      </c>
      <c r="CT46" s="2">
        <f t="shared" si="50"/>
        <v>100000</v>
      </c>
      <c r="CU46" s="2">
        <f t="shared" si="51"/>
        <v>100000</v>
      </c>
      <c r="CV46" s="2">
        <f t="shared" si="52"/>
        <v>110931.75000000001</v>
      </c>
      <c r="CW46" s="8">
        <f t="shared" si="27"/>
        <v>4.9000000000000002E-2</v>
      </c>
      <c r="CX46" s="2">
        <f t="shared" si="28"/>
        <v>112743.63525000001</v>
      </c>
      <c r="CY46" s="2" t="str">
        <f t="shared" si="29"/>
        <v>nie</v>
      </c>
      <c r="CZ46" s="2">
        <f t="shared" si="53"/>
        <v>0</v>
      </c>
      <c r="DA46" s="2">
        <f t="shared" si="54"/>
        <v>0</v>
      </c>
      <c r="DB46" s="2">
        <f t="shared" si="55"/>
        <v>112743.63525000001</v>
      </c>
      <c r="DC46" s="2">
        <f t="shared" si="30"/>
        <v>0</v>
      </c>
      <c r="DD46" s="2">
        <f t="shared" si="56"/>
        <v>177.49080000000004</v>
      </c>
      <c r="DE46" s="2">
        <f t="shared" si="57"/>
        <v>112566.14445000001</v>
      </c>
      <c r="DF46" s="2">
        <f t="shared" si="32"/>
        <v>3000</v>
      </c>
      <c r="DG46" s="2">
        <f t="shared" si="33"/>
        <v>1851.2906975000012</v>
      </c>
      <c r="DH46" s="2">
        <f t="shared" si="58"/>
        <v>107714.8537525</v>
      </c>
    </row>
    <row r="47" spans="2:112">
      <c r="B47" s="232"/>
      <c r="C47" s="1">
        <f t="shared" si="102"/>
        <v>10</v>
      </c>
      <c r="D47" s="2">
        <f t="shared" si="105"/>
        <v>104083.33333333333</v>
      </c>
      <c r="E47" s="2">
        <f t="shared" si="106"/>
        <v>102497.5</v>
      </c>
      <c r="F47" s="2">
        <f t="shared" si="107"/>
        <v>104375</v>
      </c>
      <c r="G47" s="2">
        <f t="shared" si="108"/>
        <v>101923.75</v>
      </c>
      <c r="H47" s="2">
        <f t="shared" si="109"/>
        <v>104791.66666666666</v>
      </c>
      <c r="I47" s="2">
        <f t="shared" si="110"/>
        <v>101451.24999999999</v>
      </c>
      <c r="J47" s="2">
        <f t="shared" si="103"/>
        <v>103079.3569248234</v>
      </c>
      <c r="K47" s="2">
        <f t="shared" si="104"/>
        <v>102416.66666666667</v>
      </c>
      <c r="W47" s="1">
        <f t="shared" si="34"/>
        <v>29</v>
      </c>
      <c r="X47" s="2">
        <f t="shared" si="0"/>
        <v>107163.532875</v>
      </c>
      <c r="Y47" s="8">
        <f t="shared" si="76"/>
        <v>4.3200000000000002E-2</v>
      </c>
      <c r="Z47" s="5">
        <f t="shared" si="35"/>
        <v>1000</v>
      </c>
      <c r="AA47" s="2">
        <f t="shared" si="36"/>
        <v>100000</v>
      </c>
      <c r="AB47" s="2">
        <f t="shared" si="37"/>
        <v>100000</v>
      </c>
      <c r="AC47" s="2">
        <f t="shared" si="38"/>
        <v>110040.09999999999</v>
      </c>
      <c r="AD47" s="8">
        <f t="shared" si="1"/>
        <v>4.9000000000000002E-2</v>
      </c>
      <c r="AE47" s="2">
        <f t="shared" si="2"/>
        <v>112286.75204166667</v>
      </c>
      <c r="AF47" s="2" t="str">
        <f t="shared" si="3"/>
        <v>nie</v>
      </c>
      <c r="AG47" s="2">
        <f t="shared" si="4"/>
        <v>1000</v>
      </c>
      <c r="AH47" s="1">
        <f t="shared" si="79"/>
        <v>0</v>
      </c>
      <c r="AI47" s="1">
        <f t="shared" si="111"/>
        <v>0</v>
      </c>
      <c r="AJ47" s="6"/>
      <c r="AK47" s="6"/>
      <c r="AL47" s="2">
        <f t="shared" si="90"/>
        <v>0</v>
      </c>
      <c r="AM47" s="8">
        <f t="shared" si="80"/>
        <v>4.9000000000000002E-2</v>
      </c>
      <c r="AN47" s="2">
        <f t="shared" si="91"/>
        <v>0</v>
      </c>
      <c r="AO47" s="2">
        <f t="shared" si="81"/>
        <v>0</v>
      </c>
      <c r="AP47" s="2">
        <f t="shared" si="119"/>
        <v>0</v>
      </c>
      <c r="AQ47" s="8">
        <f t="shared" si="112"/>
        <v>4.3200000000000002E-2</v>
      </c>
      <c r="AR47" s="2">
        <f t="shared" si="113"/>
        <v>0</v>
      </c>
      <c r="AS47" s="2">
        <f t="shared" si="114"/>
        <v>0</v>
      </c>
      <c r="AT47" s="2">
        <f t="shared" si="39"/>
        <v>0</v>
      </c>
      <c r="AU47" s="2">
        <f t="shared" si="92"/>
        <v>0</v>
      </c>
      <c r="AV47" s="2">
        <f t="shared" si="82"/>
        <v>0</v>
      </c>
      <c r="AW47" s="1">
        <f t="shared" si="77"/>
        <v>0</v>
      </c>
      <c r="AX47" s="2">
        <f t="shared" si="6"/>
        <v>0</v>
      </c>
      <c r="AY47" s="1">
        <f t="shared" si="83"/>
        <v>0</v>
      </c>
      <c r="AZ47" s="2">
        <f t="shared" si="40"/>
        <v>0</v>
      </c>
      <c r="BA47" s="2">
        <f t="shared" si="93"/>
        <v>112286.75204166667</v>
      </c>
      <c r="BB47" s="2">
        <f t="shared" si="9"/>
        <v>0</v>
      </c>
      <c r="BC47" s="2">
        <f t="shared" si="41"/>
        <v>176.06415999999999</v>
      </c>
      <c r="BD47" s="2">
        <f t="shared" si="10"/>
        <v>112110.68788166667</v>
      </c>
      <c r="BE47" s="2">
        <f t="shared" si="42"/>
        <v>1000</v>
      </c>
      <c r="BF47" s="2">
        <f t="shared" si="11"/>
        <v>2144.4828879166666</v>
      </c>
      <c r="BG47" s="2">
        <f t="shared" si="12"/>
        <v>108966.20499375001</v>
      </c>
      <c r="BI47" s="8">
        <f t="shared" si="84"/>
        <v>2.9000000000000001E-2</v>
      </c>
      <c r="BJ47" s="5">
        <f t="shared" si="43"/>
        <v>1000</v>
      </c>
      <c r="BK47" s="2">
        <f t="shared" si="44"/>
        <v>100000</v>
      </c>
      <c r="BL47" s="2">
        <f t="shared" si="45"/>
        <v>100000</v>
      </c>
      <c r="BM47" s="2">
        <f t="shared" si="13"/>
        <v>100000</v>
      </c>
      <c r="BN47" s="8">
        <f t="shared" si="14"/>
        <v>4.3999999999999997E-2</v>
      </c>
      <c r="BO47" s="2">
        <f t="shared" si="15"/>
        <v>101833.33333333333</v>
      </c>
      <c r="BP47" s="2" t="str">
        <f t="shared" si="16"/>
        <v>nie</v>
      </c>
      <c r="BQ47" s="2">
        <f t="shared" si="17"/>
        <v>2000</v>
      </c>
      <c r="BR47" s="1">
        <f t="shared" si="85"/>
        <v>47</v>
      </c>
      <c r="BS47" s="1">
        <f t="shared" si="115"/>
        <v>52</v>
      </c>
      <c r="BT47" s="6"/>
      <c r="BU47" s="6"/>
      <c r="BV47" s="2">
        <f t="shared" si="94"/>
        <v>4700</v>
      </c>
      <c r="BW47" s="8">
        <f t="shared" si="86"/>
        <v>5.2499999999999998E-2</v>
      </c>
      <c r="BX47" s="2">
        <f t="shared" si="95"/>
        <v>4802.8125</v>
      </c>
      <c r="BY47" s="2">
        <f t="shared" si="87"/>
        <v>94</v>
      </c>
      <c r="BZ47" s="2">
        <f t="shared" si="120"/>
        <v>5200</v>
      </c>
      <c r="CA47" s="8">
        <f t="shared" si="116"/>
        <v>4.3999999999999997E-2</v>
      </c>
      <c r="CB47" s="2">
        <f t="shared" si="117"/>
        <v>5295.333333333333</v>
      </c>
      <c r="CC47" s="2">
        <f t="shared" si="118"/>
        <v>104</v>
      </c>
      <c r="CD47" s="2">
        <f t="shared" si="18"/>
        <v>0</v>
      </c>
      <c r="CE47" s="2">
        <f t="shared" si="96"/>
        <v>0</v>
      </c>
      <c r="CF47" s="2">
        <f t="shared" si="97"/>
        <v>23</v>
      </c>
      <c r="CG47" s="1">
        <f t="shared" si="78"/>
        <v>0</v>
      </c>
      <c r="CH47" s="2">
        <f t="shared" si="20"/>
        <v>23</v>
      </c>
      <c r="CI47" s="1">
        <f t="shared" si="89"/>
        <v>0</v>
      </c>
      <c r="CJ47" s="2">
        <f t="shared" si="98"/>
        <v>23</v>
      </c>
      <c r="CK47" s="2">
        <f t="shared" si="99"/>
        <v>111954.47916666666</v>
      </c>
      <c r="CL47" s="2">
        <f t="shared" si="23"/>
        <v>0</v>
      </c>
      <c r="CM47" s="2">
        <f t="shared" si="47"/>
        <v>175.8768</v>
      </c>
      <c r="CN47" s="2">
        <f t="shared" si="24"/>
        <v>111778.60236666666</v>
      </c>
      <c r="CO47" s="2">
        <f t="shared" si="48"/>
        <v>2198</v>
      </c>
      <c r="CP47" s="2">
        <f t="shared" si="25"/>
        <v>1853.7310416666649</v>
      </c>
      <c r="CQ47" s="2">
        <f t="shared" si="26"/>
        <v>107726.871325</v>
      </c>
      <c r="CS47" s="5">
        <f t="shared" si="49"/>
        <v>1000</v>
      </c>
      <c r="CT47" s="2">
        <f t="shared" si="50"/>
        <v>100000</v>
      </c>
      <c r="CU47" s="2">
        <f t="shared" si="51"/>
        <v>100000</v>
      </c>
      <c r="CV47" s="2">
        <f t="shared" si="52"/>
        <v>110931.75000000001</v>
      </c>
      <c r="CW47" s="8">
        <f t="shared" si="27"/>
        <v>4.9000000000000002E-2</v>
      </c>
      <c r="CX47" s="2">
        <f t="shared" si="28"/>
        <v>113196.60656250002</v>
      </c>
      <c r="CY47" s="2" t="str">
        <f t="shared" si="29"/>
        <v>nie</v>
      </c>
      <c r="CZ47" s="2">
        <f t="shared" si="53"/>
        <v>0</v>
      </c>
      <c r="DA47" s="2">
        <f t="shared" si="54"/>
        <v>0</v>
      </c>
      <c r="DB47" s="2">
        <f t="shared" si="55"/>
        <v>113196.60656250002</v>
      </c>
      <c r="DC47" s="2">
        <f t="shared" si="30"/>
        <v>0</v>
      </c>
      <c r="DD47" s="2">
        <f t="shared" si="56"/>
        <v>177.49080000000004</v>
      </c>
      <c r="DE47" s="2">
        <f t="shared" si="57"/>
        <v>113019.11576250002</v>
      </c>
      <c r="DF47" s="2">
        <f t="shared" si="32"/>
        <v>3000</v>
      </c>
      <c r="DG47" s="2">
        <f t="shared" si="33"/>
        <v>1937.3552468750036</v>
      </c>
      <c r="DH47" s="2">
        <f t="shared" si="58"/>
        <v>108081.76051562502</v>
      </c>
    </row>
    <row r="48" spans="2:112">
      <c r="B48" s="233"/>
      <c r="C48" s="1">
        <f t="shared" si="102"/>
        <v>11</v>
      </c>
      <c r="D48" s="2">
        <f t="shared" si="105"/>
        <v>104491.66666666667</v>
      </c>
      <c r="E48" s="2">
        <f t="shared" si="106"/>
        <v>102828.25</v>
      </c>
      <c r="F48" s="2">
        <f t="shared" si="107"/>
        <v>104812.5</v>
      </c>
      <c r="G48" s="2">
        <f t="shared" si="108"/>
        <v>102278.125</v>
      </c>
      <c r="H48" s="2">
        <f t="shared" si="109"/>
        <v>105270.83333333333</v>
      </c>
      <c r="I48" s="2">
        <f t="shared" si="110"/>
        <v>101839.375</v>
      </c>
      <c r="J48" s="2">
        <f t="shared" si="103"/>
        <v>103392.46047148255</v>
      </c>
      <c r="K48" s="2">
        <f t="shared" si="104"/>
        <v>102658.33333333334</v>
      </c>
      <c r="W48" s="1">
        <f t="shared" si="34"/>
        <v>30</v>
      </c>
      <c r="X48" s="2">
        <f t="shared" si="0"/>
        <v>107419.41944999999</v>
      </c>
      <c r="Y48" s="8">
        <f t="shared" si="76"/>
        <v>4.3200000000000002E-2</v>
      </c>
      <c r="Z48" s="5">
        <f t="shared" si="35"/>
        <v>1000</v>
      </c>
      <c r="AA48" s="2">
        <f t="shared" si="36"/>
        <v>100000</v>
      </c>
      <c r="AB48" s="2">
        <f t="shared" si="37"/>
        <v>100000</v>
      </c>
      <c r="AC48" s="2">
        <f t="shared" si="38"/>
        <v>110040.09999999999</v>
      </c>
      <c r="AD48" s="8">
        <f t="shared" si="1"/>
        <v>4.9000000000000002E-2</v>
      </c>
      <c r="AE48" s="2">
        <f t="shared" si="2"/>
        <v>112736.08244999999</v>
      </c>
      <c r="AF48" s="2" t="str">
        <f t="shared" si="3"/>
        <v>nie</v>
      </c>
      <c r="AG48" s="2">
        <f t="shared" si="4"/>
        <v>1000</v>
      </c>
      <c r="AH48" s="1">
        <f t="shared" si="79"/>
        <v>0</v>
      </c>
      <c r="AI48" s="1">
        <f t="shared" si="111"/>
        <v>0</v>
      </c>
      <c r="AJ48" s="6"/>
      <c r="AK48" s="6"/>
      <c r="AL48" s="2">
        <f t="shared" si="90"/>
        <v>0</v>
      </c>
      <c r="AM48" s="8">
        <f t="shared" si="80"/>
        <v>4.9000000000000002E-2</v>
      </c>
      <c r="AN48" s="2">
        <f t="shared" si="91"/>
        <v>0</v>
      </c>
      <c r="AO48" s="2">
        <f t="shared" si="81"/>
        <v>0</v>
      </c>
      <c r="AP48" s="2">
        <f t="shared" si="119"/>
        <v>0</v>
      </c>
      <c r="AQ48" s="8">
        <f t="shared" si="112"/>
        <v>4.3200000000000002E-2</v>
      </c>
      <c r="AR48" s="2">
        <f t="shared" si="113"/>
        <v>0</v>
      </c>
      <c r="AS48" s="2">
        <f t="shared" si="114"/>
        <v>0</v>
      </c>
      <c r="AT48" s="2">
        <f t="shared" si="39"/>
        <v>0</v>
      </c>
      <c r="AU48" s="2">
        <f t="shared" si="92"/>
        <v>0</v>
      </c>
      <c r="AV48" s="2">
        <f t="shared" si="82"/>
        <v>0</v>
      </c>
      <c r="AW48" s="1">
        <f t="shared" si="77"/>
        <v>0</v>
      </c>
      <c r="AX48" s="2">
        <f t="shared" si="6"/>
        <v>0</v>
      </c>
      <c r="AY48" s="1">
        <f t="shared" si="83"/>
        <v>0</v>
      </c>
      <c r="AZ48" s="2">
        <f t="shared" si="40"/>
        <v>0</v>
      </c>
      <c r="BA48" s="2">
        <f t="shared" si="93"/>
        <v>112736.08244999999</v>
      </c>
      <c r="BB48" s="2">
        <f t="shared" si="9"/>
        <v>0</v>
      </c>
      <c r="BC48" s="2">
        <f t="shared" si="41"/>
        <v>176.06415999999999</v>
      </c>
      <c r="BD48" s="2">
        <f t="shared" si="10"/>
        <v>112560.01828999999</v>
      </c>
      <c r="BE48" s="2">
        <f t="shared" si="42"/>
        <v>1000</v>
      </c>
      <c r="BF48" s="2">
        <f t="shared" si="11"/>
        <v>2229.8556654999975</v>
      </c>
      <c r="BG48" s="2">
        <f t="shared" si="12"/>
        <v>109330.16262449999</v>
      </c>
      <c r="BI48" s="8">
        <f t="shared" si="84"/>
        <v>2.9000000000000001E-2</v>
      </c>
      <c r="BJ48" s="5">
        <f t="shared" si="43"/>
        <v>1000</v>
      </c>
      <c r="BK48" s="2">
        <f t="shared" si="44"/>
        <v>100000</v>
      </c>
      <c r="BL48" s="2">
        <f t="shared" si="45"/>
        <v>100000</v>
      </c>
      <c r="BM48" s="2">
        <f t="shared" si="13"/>
        <v>100000</v>
      </c>
      <c r="BN48" s="8">
        <f t="shared" si="14"/>
        <v>4.3999999999999997E-2</v>
      </c>
      <c r="BO48" s="2">
        <f t="shared" si="15"/>
        <v>102200</v>
      </c>
      <c r="BP48" s="2" t="str">
        <f t="shared" si="16"/>
        <v>nie</v>
      </c>
      <c r="BQ48" s="2">
        <f t="shared" si="17"/>
        <v>2000</v>
      </c>
      <c r="BR48" s="1">
        <f t="shared" si="85"/>
        <v>47</v>
      </c>
      <c r="BS48" s="1">
        <f t="shared" si="115"/>
        <v>52</v>
      </c>
      <c r="BT48" s="6"/>
      <c r="BU48" s="6"/>
      <c r="BV48" s="2">
        <f t="shared" si="94"/>
        <v>4700</v>
      </c>
      <c r="BW48" s="8">
        <f t="shared" si="86"/>
        <v>5.2499999999999998E-2</v>
      </c>
      <c r="BX48" s="2">
        <f t="shared" si="95"/>
        <v>4823.3750000000009</v>
      </c>
      <c r="BY48" s="2">
        <f t="shared" si="87"/>
        <v>94</v>
      </c>
      <c r="BZ48" s="2">
        <f t="shared" si="120"/>
        <v>5200</v>
      </c>
      <c r="CA48" s="8">
        <f t="shared" si="116"/>
        <v>4.3999999999999997E-2</v>
      </c>
      <c r="CB48" s="2">
        <f t="shared" si="117"/>
        <v>5314.4000000000005</v>
      </c>
      <c r="CC48" s="2">
        <f t="shared" si="118"/>
        <v>104</v>
      </c>
      <c r="CD48" s="2">
        <f t="shared" si="18"/>
        <v>0</v>
      </c>
      <c r="CE48" s="2">
        <f t="shared" si="96"/>
        <v>0</v>
      </c>
      <c r="CF48" s="2">
        <f t="shared" si="97"/>
        <v>23</v>
      </c>
      <c r="CG48" s="1">
        <f t="shared" si="78"/>
        <v>0</v>
      </c>
      <c r="CH48" s="2">
        <f t="shared" si="20"/>
        <v>23</v>
      </c>
      <c r="CI48" s="1">
        <f t="shared" si="89"/>
        <v>0</v>
      </c>
      <c r="CJ48" s="2">
        <f t="shared" si="98"/>
        <v>23</v>
      </c>
      <c r="CK48" s="2">
        <f t="shared" si="99"/>
        <v>112360.77499999999</v>
      </c>
      <c r="CL48" s="2">
        <f t="shared" si="23"/>
        <v>0</v>
      </c>
      <c r="CM48" s="2">
        <f t="shared" si="47"/>
        <v>175.8768</v>
      </c>
      <c r="CN48" s="2">
        <f t="shared" si="24"/>
        <v>112184.8982</v>
      </c>
      <c r="CO48" s="2">
        <f t="shared" si="48"/>
        <v>2198</v>
      </c>
      <c r="CP48" s="2">
        <f t="shared" si="25"/>
        <v>1930.9272499999988</v>
      </c>
      <c r="CQ48" s="2">
        <f t="shared" si="26"/>
        <v>108055.97095</v>
      </c>
      <c r="CS48" s="5">
        <f t="shared" si="49"/>
        <v>1000</v>
      </c>
      <c r="CT48" s="2">
        <f t="shared" si="50"/>
        <v>100000</v>
      </c>
      <c r="CU48" s="2">
        <f t="shared" si="51"/>
        <v>100000</v>
      </c>
      <c r="CV48" s="2">
        <f t="shared" si="52"/>
        <v>110931.75000000001</v>
      </c>
      <c r="CW48" s="8">
        <f t="shared" si="27"/>
        <v>4.9000000000000002E-2</v>
      </c>
      <c r="CX48" s="2">
        <f t="shared" si="28"/>
        <v>113649.57787500002</v>
      </c>
      <c r="CY48" s="2" t="str">
        <f t="shared" si="29"/>
        <v>nie</v>
      </c>
      <c r="CZ48" s="2">
        <f t="shared" si="53"/>
        <v>0</v>
      </c>
      <c r="DA48" s="2">
        <f t="shared" si="54"/>
        <v>0</v>
      </c>
      <c r="DB48" s="2">
        <f t="shared" si="55"/>
        <v>113649.57787500002</v>
      </c>
      <c r="DC48" s="2">
        <f t="shared" si="30"/>
        <v>0</v>
      </c>
      <c r="DD48" s="2">
        <f t="shared" si="56"/>
        <v>177.49080000000004</v>
      </c>
      <c r="DE48" s="2">
        <f t="shared" si="57"/>
        <v>113472.08707500002</v>
      </c>
      <c r="DF48" s="2">
        <f t="shared" si="32"/>
        <v>3000</v>
      </c>
      <c r="DG48" s="2">
        <f t="shared" si="33"/>
        <v>2023.4197962500034</v>
      </c>
      <c r="DH48" s="2">
        <f t="shared" si="58"/>
        <v>108448.66727875001</v>
      </c>
    </row>
    <row r="49" spans="2:112">
      <c r="B49" s="231">
        <f>ROUNDUP(C50/12,0)</f>
        <v>2</v>
      </c>
      <c r="C49" s="3">
        <f t="shared" si="102"/>
        <v>12</v>
      </c>
      <c r="D49" s="10">
        <f t="shared" si="105"/>
        <v>104900</v>
      </c>
      <c r="E49" s="10">
        <f t="shared" si="106"/>
        <v>103159</v>
      </c>
      <c r="F49" s="10">
        <f t="shared" si="107"/>
        <v>105250</v>
      </c>
      <c r="G49" s="10">
        <f t="shared" si="108"/>
        <v>102632.5</v>
      </c>
      <c r="H49" s="10">
        <f t="shared" si="109"/>
        <v>105750.00000000001</v>
      </c>
      <c r="I49" s="10">
        <f t="shared" si="110"/>
        <v>102227.50000000001</v>
      </c>
      <c r="J49" s="10">
        <f t="shared" si="103"/>
        <v>103706.51507016469</v>
      </c>
      <c r="K49" s="10">
        <f t="shared" si="104"/>
        <v>102899.99999999999</v>
      </c>
      <c r="W49" s="1">
        <f t="shared" si="34"/>
        <v>31</v>
      </c>
      <c r="X49" s="2">
        <f t="shared" si="0"/>
        <v>107675.306025</v>
      </c>
      <c r="Y49" s="8">
        <f t="shared" si="76"/>
        <v>4.3200000000000002E-2</v>
      </c>
      <c r="Z49" s="5">
        <f t="shared" si="35"/>
        <v>1000</v>
      </c>
      <c r="AA49" s="2">
        <f t="shared" si="36"/>
        <v>100000</v>
      </c>
      <c r="AB49" s="2">
        <f t="shared" si="37"/>
        <v>100000</v>
      </c>
      <c r="AC49" s="2">
        <f t="shared" si="38"/>
        <v>110040.09999999999</v>
      </c>
      <c r="AD49" s="8">
        <f t="shared" si="1"/>
        <v>4.9000000000000002E-2</v>
      </c>
      <c r="AE49" s="2">
        <f t="shared" si="2"/>
        <v>113185.41285833334</v>
      </c>
      <c r="AF49" s="2" t="str">
        <f t="shared" si="3"/>
        <v>nie</v>
      </c>
      <c r="AG49" s="2">
        <f t="shared" si="4"/>
        <v>1000</v>
      </c>
      <c r="AH49" s="1">
        <f t="shared" si="79"/>
        <v>0</v>
      </c>
      <c r="AI49" s="1">
        <f t="shared" si="111"/>
        <v>0</v>
      </c>
      <c r="AJ49" s="6"/>
      <c r="AK49" s="6"/>
      <c r="AL49" s="2">
        <f t="shared" si="90"/>
        <v>0</v>
      </c>
      <c r="AM49" s="8">
        <f t="shared" si="80"/>
        <v>4.9000000000000002E-2</v>
      </c>
      <c r="AN49" s="2">
        <f t="shared" si="91"/>
        <v>0</v>
      </c>
      <c r="AO49" s="2">
        <f t="shared" si="81"/>
        <v>0</v>
      </c>
      <c r="AP49" s="2">
        <f t="shared" si="119"/>
        <v>0</v>
      </c>
      <c r="AQ49" s="8">
        <f t="shared" si="112"/>
        <v>4.3200000000000002E-2</v>
      </c>
      <c r="AR49" s="2">
        <f t="shared" si="113"/>
        <v>0</v>
      </c>
      <c r="AS49" s="2">
        <f t="shared" si="114"/>
        <v>0</v>
      </c>
      <c r="AT49" s="2">
        <f t="shared" si="39"/>
        <v>0</v>
      </c>
      <c r="AU49" s="2">
        <f t="shared" si="92"/>
        <v>0</v>
      </c>
      <c r="AV49" s="2">
        <f t="shared" si="82"/>
        <v>0</v>
      </c>
      <c r="AW49" s="1">
        <f t="shared" si="77"/>
        <v>0</v>
      </c>
      <c r="AX49" s="2">
        <f t="shared" si="6"/>
        <v>0</v>
      </c>
      <c r="AY49" s="1">
        <f t="shared" si="83"/>
        <v>0</v>
      </c>
      <c r="AZ49" s="2">
        <f t="shared" si="40"/>
        <v>0</v>
      </c>
      <c r="BA49" s="2">
        <f t="shared" si="93"/>
        <v>113185.41285833334</v>
      </c>
      <c r="BB49" s="2">
        <f t="shared" si="9"/>
        <v>0</v>
      </c>
      <c r="BC49" s="2">
        <f t="shared" si="41"/>
        <v>176.06415999999999</v>
      </c>
      <c r="BD49" s="2">
        <f t="shared" si="10"/>
        <v>113009.34869833334</v>
      </c>
      <c r="BE49" s="2">
        <f t="shared" si="42"/>
        <v>1000</v>
      </c>
      <c r="BF49" s="2">
        <f t="shared" si="11"/>
        <v>2315.2284430833338</v>
      </c>
      <c r="BG49" s="2">
        <f t="shared" si="12"/>
        <v>109694.12025525</v>
      </c>
      <c r="BI49" s="8">
        <f t="shared" si="84"/>
        <v>2.9000000000000001E-2</v>
      </c>
      <c r="BJ49" s="5">
        <f t="shared" si="43"/>
        <v>1000</v>
      </c>
      <c r="BK49" s="2">
        <f t="shared" si="44"/>
        <v>100000</v>
      </c>
      <c r="BL49" s="2">
        <f t="shared" si="45"/>
        <v>100000</v>
      </c>
      <c r="BM49" s="2">
        <f t="shared" si="13"/>
        <v>100000</v>
      </c>
      <c r="BN49" s="8">
        <f t="shared" si="14"/>
        <v>4.3999999999999997E-2</v>
      </c>
      <c r="BO49" s="2">
        <f t="shared" si="15"/>
        <v>102566.66666666667</v>
      </c>
      <c r="BP49" s="2" t="str">
        <f t="shared" si="16"/>
        <v>nie</v>
      </c>
      <c r="BQ49" s="2">
        <f t="shared" si="17"/>
        <v>2000</v>
      </c>
      <c r="BR49" s="1">
        <f t="shared" si="85"/>
        <v>47</v>
      </c>
      <c r="BS49" s="1">
        <f t="shared" si="115"/>
        <v>52</v>
      </c>
      <c r="BT49" s="6"/>
      <c r="BU49" s="6"/>
      <c r="BV49" s="2">
        <f t="shared" si="94"/>
        <v>4700</v>
      </c>
      <c r="BW49" s="8">
        <f t="shared" si="86"/>
        <v>5.2499999999999998E-2</v>
      </c>
      <c r="BX49" s="2">
        <f t="shared" si="95"/>
        <v>4843.9374999999991</v>
      </c>
      <c r="BY49" s="2">
        <f t="shared" si="87"/>
        <v>94</v>
      </c>
      <c r="BZ49" s="2">
        <f t="shared" si="120"/>
        <v>5200</v>
      </c>
      <c r="CA49" s="8">
        <f t="shared" si="116"/>
        <v>4.3999999999999997E-2</v>
      </c>
      <c r="CB49" s="2">
        <f t="shared" si="117"/>
        <v>5333.4666666666672</v>
      </c>
      <c r="CC49" s="2">
        <f t="shared" si="118"/>
        <v>104</v>
      </c>
      <c r="CD49" s="2">
        <f t="shared" si="18"/>
        <v>0</v>
      </c>
      <c r="CE49" s="2">
        <f t="shared" si="96"/>
        <v>0</v>
      </c>
      <c r="CF49" s="2">
        <f t="shared" si="97"/>
        <v>23</v>
      </c>
      <c r="CG49" s="1">
        <f t="shared" si="78"/>
        <v>0</v>
      </c>
      <c r="CH49" s="2">
        <f t="shared" si="20"/>
        <v>23</v>
      </c>
      <c r="CI49" s="1">
        <f t="shared" si="89"/>
        <v>0</v>
      </c>
      <c r="CJ49" s="2">
        <f t="shared" si="98"/>
        <v>23</v>
      </c>
      <c r="CK49" s="2">
        <f t="shared" si="99"/>
        <v>112767.07083333333</v>
      </c>
      <c r="CL49" s="2">
        <f t="shared" si="23"/>
        <v>0</v>
      </c>
      <c r="CM49" s="2">
        <f t="shared" si="47"/>
        <v>175.8768</v>
      </c>
      <c r="CN49" s="2">
        <f t="shared" si="24"/>
        <v>112591.19403333333</v>
      </c>
      <c r="CO49" s="2">
        <f t="shared" si="48"/>
        <v>2198</v>
      </c>
      <c r="CP49" s="2">
        <f t="shared" si="25"/>
        <v>2008.123458333333</v>
      </c>
      <c r="CQ49" s="2">
        <f t="shared" si="26"/>
        <v>108385.07057500001</v>
      </c>
      <c r="CS49" s="5">
        <f t="shared" si="49"/>
        <v>1000</v>
      </c>
      <c r="CT49" s="2">
        <f t="shared" si="50"/>
        <v>100000</v>
      </c>
      <c r="CU49" s="2">
        <f t="shared" si="51"/>
        <v>100000</v>
      </c>
      <c r="CV49" s="2">
        <f t="shared" si="52"/>
        <v>110931.75000000001</v>
      </c>
      <c r="CW49" s="8">
        <f t="shared" si="27"/>
        <v>4.9000000000000002E-2</v>
      </c>
      <c r="CX49" s="2">
        <f t="shared" si="28"/>
        <v>114102.54918750003</v>
      </c>
      <c r="CY49" s="2" t="str">
        <f t="shared" si="29"/>
        <v>nie</v>
      </c>
      <c r="CZ49" s="2">
        <f t="shared" si="53"/>
        <v>0</v>
      </c>
      <c r="DA49" s="2">
        <f t="shared" si="54"/>
        <v>0</v>
      </c>
      <c r="DB49" s="2">
        <f t="shared" si="55"/>
        <v>114102.54918750003</v>
      </c>
      <c r="DC49" s="2">
        <f t="shared" si="30"/>
        <v>0</v>
      </c>
      <c r="DD49" s="2">
        <f t="shared" si="56"/>
        <v>177.49080000000004</v>
      </c>
      <c r="DE49" s="2">
        <f t="shared" si="57"/>
        <v>113925.05838750003</v>
      </c>
      <c r="DF49" s="2">
        <f t="shared" si="32"/>
        <v>3000</v>
      </c>
      <c r="DG49" s="2">
        <f t="shared" si="33"/>
        <v>2109.4843456250055</v>
      </c>
      <c r="DH49" s="2">
        <f t="shared" si="58"/>
        <v>108815.57404187502</v>
      </c>
    </row>
    <row r="50" spans="2:112">
      <c r="B50" s="232"/>
      <c r="C50" s="1">
        <f t="shared" si="102"/>
        <v>13</v>
      </c>
      <c r="D50" s="2">
        <f t="shared" si="105"/>
        <v>105328.34166666667</v>
      </c>
      <c r="E50" s="2">
        <f t="shared" si="106"/>
        <v>103505.95675000001</v>
      </c>
      <c r="F50" s="2">
        <f t="shared" si="107"/>
        <v>105639.41666666667</v>
      </c>
      <c r="G50" s="2">
        <f t="shared" si="108"/>
        <v>102929.5</v>
      </c>
      <c r="H50" s="2">
        <f t="shared" si="109"/>
        <v>106181.81250000003</v>
      </c>
      <c r="I50" s="2">
        <f t="shared" si="110"/>
        <v>102577.26812500002</v>
      </c>
      <c r="J50" s="2">
        <f t="shared" si="103"/>
        <v>104021.52360969032</v>
      </c>
      <c r="K50" s="2">
        <f t="shared" si="104"/>
        <v>103148.67499999999</v>
      </c>
      <c r="W50" s="1">
        <f t="shared" si="34"/>
        <v>32</v>
      </c>
      <c r="X50" s="2">
        <f t="shared" si="0"/>
        <v>107931.19259999999</v>
      </c>
      <c r="Y50" s="8">
        <f t="shared" si="76"/>
        <v>4.3200000000000002E-2</v>
      </c>
      <c r="Z50" s="5">
        <f t="shared" si="35"/>
        <v>1000</v>
      </c>
      <c r="AA50" s="2">
        <f t="shared" si="36"/>
        <v>100000</v>
      </c>
      <c r="AB50" s="2">
        <f t="shared" si="37"/>
        <v>100000</v>
      </c>
      <c r="AC50" s="2">
        <f t="shared" si="38"/>
        <v>110040.09999999999</v>
      </c>
      <c r="AD50" s="8">
        <f t="shared" si="1"/>
        <v>4.9000000000000002E-2</v>
      </c>
      <c r="AE50" s="2">
        <f t="shared" si="2"/>
        <v>113634.74326666666</v>
      </c>
      <c r="AF50" s="2" t="str">
        <f t="shared" si="3"/>
        <v>nie</v>
      </c>
      <c r="AG50" s="2">
        <f t="shared" si="4"/>
        <v>1000</v>
      </c>
      <c r="AH50" s="1">
        <f t="shared" si="79"/>
        <v>0</v>
      </c>
      <c r="AI50" s="1">
        <f t="shared" si="111"/>
        <v>0</v>
      </c>
      <c r="AJ50" s="6"/>
      <c r="AK50" s="6"/>
      <c r="AL50" s="2">
        <f t="shared" si="90"/>
        <v>0</v>
      </c>
      <c r="AM50" s="8">
        <f t="shared" si="80"/>
        <v>4.9000000000000002E-2</v>
      </c>
      <c r="AN50" s="2">
        <f t="shared" si="91"/>
        <v>0</v>
      </c>
      <c r="AO50" s="2">
        <f t="shared" si="81"/>
        <v>0</v>
      </c>
      <c r="AP50" s="2">
        <f t="shared" si="119"/>
        <v>0</v>
      </c>
      <c r="AQ50" s="8">
        <f t="shared" si="112"/>
        <v>4.3200000000000002E-2</v>
      </c>
      <c r="AR50" s="2">
        <f t="shared" si="113"/>
        <v>0</v>
      </c>
      <c r="AS50" s="2">
        <f t="shared" si="114"/>
        <v>0</v>
      </c>
      <c r="AT50" s="2">
        <f t="shared" si="39"/>
        <v>0</v>
      </c>
      <c r="AU50" s="2">
        <f t="shared" si="92"/>
        <v>0</v>
      </c>
      <c r="AV50" s="2">
        <f t="shared" si="82"/>
        <v>0</v>
      </c>
      <c r="AW50" s="1">
        <f t="shared" si="77"/>
        <v>0</v>
      </c>
      <c r="AX50" s="2">
        <f t="shared" si="6"/>
        <v>0</v>
      </c>
      <c r="AY50" s="1">
        <f t="shared" si="83"/>
        <v>0</v>
      </c>
      <c r="AZ50" s="2">
        <f t="shared" si="40"/>
        <v>0</v>
      </c>
      <c r="BA50" s="2">
        <f t="shared" si="93"/>
        <v>113634.74326666666</v>
      </c>
      <c r="BB50" s="2">
        <f t="shared" si="9"/>
        <v>0</v>
      </c>
      <c r="BC50" s="2">
        <f t="shared" si="41"/>
        <v>176.06415999999999</v>
      </c>
      <c r="BD50" s="2">
        <f t="shared" si="10"/>
        <v>113458.67910666666</v>
      </c>
      <c r="BE50" s="2">
        <f t="shared" si="42"/>
        <v>1000</v>
      </c>
      <c r="BF50" s="2">
        <f t="shared" si="11"/>
        <v>2400.6012206666651</v>
      </c>
      <c r="BG50" s="2">
        <f t="shared" si="12"/>
        <v>110058.077886</v>
      </c>
      <c r="BI50" s="8">
        <f t="shared" si="84"/>
        <v>2.9000000000000001E-2</v>
      </c>
      <c r="BJ50" s="5">
        <f t="shared" si="43"/>
        <v>1000</v>
      </c>
      <c r="BK50" s="2">
        <f t="shared" si="44"/>
        <v>100000</v>
      </c>
      <c r="BL50" s="2">
        <f t="shared" si="45"/>
        <v>100000</v>
      </c>
      <c r="BM50" s="2">
        <f t="shared" si="13"/>
        <v>100000</v>
      </c>
      <c r="BN50" s="8">
        <f t="shared" si="14"/>
        <v>4.3999999999999997E-2</v>
      </c>
      <c r="BO50" s="2">
        <f t="shared" si="15"/>
        <v>102933.33333333334</v>
      </c>
      <c r="BP50" s="2" t="str">
        <f t="shared" si="16"/>
        <v>nie</v>
      </c>
      <c r="BQ50" s="2">
        <f t="shared" si="17"/>
        <v>2000</v>
      </c>
      <c r="BR50" s="1">
        <f t="shared" si="85"/>
        <v>47</v>
      </c>
      <c r="BS50" s="1">
        <f t="shared" si="115"/>
        <v>52</v>
      </c>
      <c r="BT50" s="6"/>
      <c r="BU50" s="6"/>
      <c r="BV50" s="2">
        <f t="shared" si="94"/>
        <v>4700</v>
      </c>
      <c r="BW50" s="8">
        <f t="shared" si="86"/>
        <v>5.2499999999999998E-2</v>
      </c>
      <c r="BX50" s="2">
        <f t="shared" si="95"/>
        <v>4864.5</v>
      </c>
      <c r="BY50" s="2">
        <f t="shared" si="87"/>
        <v>94</v>
      </c>
      <c r="BZ50" s="2">
        <f t="shared" si="120"/>
        <v>5200</v>
      </c>
      <c r="CA50" s="8">
        <f t="shared" si="116"/>
        <v>4.3999999999999997E-2</v>
      </c>
      <c r="CB50" s="2">
        <f t="shared" si="117"/>
        <v>5352.5333333333338</v>
      </c>
      <c r="CC50" s="2">
        <f t="shared" si="118"/>
        <v>104</v>
      </c>
      <c r="CD50" s="2">
        <f t="shared" si="18"/>
        <v>0</v>
      </c>
      <c r="CE50" s="2">
        <f t="shared" si="96"/>
        <v>0</v>
      </c>
      <c r="CF50" s="2">
        <f t="shared" si="97"/>
        <v>23</v>
      </c>
      <c r="CG50" s="1">
        <f t="shared" si="78"/>
        <v>0</v>
      </c>
      <c r="CH50" s="2">
        <f t="shared" si="20"/>
        <v>23</v>
      </c>
      <c r="CI50" s="1">
        <f t="shared" si="89"/>
        <v>0</v>
      </c>
      <c r="CJ50" s="2">
        <f t="shared" si="98"/>
        <v>23</v>
      </c>
      <c r="CK50" s="2">
        <f t="shared" si="99"/>
        <v>113173.36666666668</v>
      </c>
      <c r="CL50" s="2">
        <f t="shared" si="23"/>
        <v>0</v>
      </c>
      <c r="CM50" s="2">
        <f t="shared" si="47"/>
        <v>175.8768</v>
      </c>
      <c r="CN50" s="2">
        <f t="shared" si="24"/>
        <v>112997.48986666668</v>
      </c>
      <c r="CO50" s="2">
        <f t="shared" si="48"/>
        <v>2198</v>
      </c>
      <c r="CP50" s="2">
        <f t="shared" si="25"/>
        <v>2085.3196666666699</v>
      </c>
      <c r="CQ50" s="2">
        <f t="shared" si="26"/>
        <v>108714.17020000002</v>
      </c>
      <c r="CS50" s="5">
        <f t="shared" si="49"/>
        <v>1000</v>
      </c>
      <c r="CT50" s="2">
        <f t="shared" si="50"/>
        <v>100000</v>
      </c>
      <c r="CU50" s="2">
        <f t="shared" si="51"/>
        <v>100000</v>
      </c>
      <c r="CV50" s="2">
        <f t="shared" si="52"/>
        <v>110931.75000000001</v>
      </c>
      <c r="CW50" s="8">
        <f t="shared" si="27"/>
        <v>4.9000000000000002E-2</v>
      </c>
      <c r="CX50" s="2">
        <f t="shared" si="28"/>
        <v>114555.52050000001</v>
      </c>
      <c r="CY50" s="2" t="str">
        <f t="shared" si="29"/>
        <v>nie</v>
      </c>
      <c r="CZ50" s="2">
        <f t="shared" si="53"/>
        <v>0</v>
      </c>
      <c r="DA50" s="2">
        <f t="shared" si="54"/>
        <v>0</v>
      </c>
      <c r="DB50" s="2">
        <f t="shared" si="55"/>
        <v>114555.52050000001</v>
      </c>
      <c r="DC50" s="2">
        <f t="shared" si="30"/>
        <v>0</v>
      </c>
      <c r="DD50" s="2">
        <f t="shared" si="56"/>
        <v>177.49080000000004</v>
      </c>
      <c r="DE50" s="2">
        <f t="shared" si="57"/>
        <v>114378.02970000001</v>
      </c>
      <c r="DF50" s="2">
        <f t="shared" si="32"/>
        <v>3000</v>
      </c>
      <c r="DG50" s="2">
        <f t="shared" si="33"/>
        <v>2195.5488950000026</v>
      </c>
      <c r="DH50" s="2">
        <f t="shared" si="58"/>
        <v>109182.48080500001</v>
      </c>
    </row>
    <row r="51" spans="2:112">
      <c r="B51" s="232"/>
      <c r="C51" s="1">
        <f t="shared" si="102"/>
        <v>14</v>
      </c>
      <c r="D51" s="2">
        <f t="shared" si="105"/>
        <v>105756.68333333333</v>
      </c>
      <c r="E51" s="2">
        <f t="shared" si="106"/>
        <v>103852.9135</v>
      </c>
      <c r="F51" s="2">
        <f t="shared" si="107"/>
        <v>106028.83333333334</v>
      </c>
      <c r="G51" s="2">
        <f t="shared" si="108"/>
        <v>103226.50000000001</v>
      </c>
      <c r="H51" s="2">
        <f t="shared" si="109"/>
        <v>106613.62500000001</v>
      </c>
      <c r="I51" s="2">
        <f t="shared" si="110"/>
        <v>102927.03625</v>
      </c>
      <c r="J51" s="2">
        <f t="shared" si="103"/>
        <v>104337.48898765477</v>
      </c>
      <c r="K51" s="2">
        <f t="shared" si="104"/>
        <v>103397.34999999998</v>
      </c>
      <c r="W51" s="1">
        <f t="shared" si="34"/>
        <v>33</v>
      </c>
      <c r="X51" s="2">
        <f t="shared" ref="X51:X82" si="121">zakup_domyslny_wartosc*IFERROR((INDEX(scenariusz_I_inflacja_skumulowana,MATCH(ROUNDDOWN(W51/12,0),scenariusz_I_rok,0))+1),1)
*(1+MOD(W51,12)*INDEX(scenariusz_I_inflacja,MATCH(ROUNDUP(W51/12,0),scenariusz_I_rok,0))/12)</f>
        <v>108187.07917499998</v>
      </c>
      <c r="Y51" s="8">
        <f t="shared" si="76"/>
        <v>4.3200000000000002E-2</v>
      </c>
      <c r="Z51" s="5">
        <f t="shared" si="35"/>
        <v>1000</v>
      </c>
      <c r="AA51" s="2">
        <f t="shared" si="36"/>
        <v>100000</v>
      </c>
      <c r="AB51" s="2">
        <f t="shared" si="37"/>
        <v>100000</v>
      </c>
      <c r="AC51" s="2">
        <f t="shared" si="38"/>
        <v>110040.09999999999</v>
      </c>
      <c r="AD51" s="8">
        <f t="shared" ref="AD51:AD82" si="122">IF(AND(MOD($W51,zapadalnosc_TOS)&lt;=zmiana_oprocentowania_co_ile_mc_TOS,MOD($W51,zapadalnosc_TOS)&lt;&gt;0),proc_I_okres_TOS,(marza_TOS+$Y51))</f>
        <v>4.9000000000000002E-2</v>
      </c>
      <c r="AE51" s="2">
        <f t="shared" si="2"/>
        <v>114084.07367499999</v>
      </c>
      <c r="AF51" s="2" t="str">
        <f t="shared" ref="AF51:AF82" si="123">IF(MOD($W51,zapadalnosc_TOS)=0,"tak","nie")</f>
        <v>nie</v>
      </c>
      <c r="AG51" s="2">
        <f t="shared" ref="AG51:AG82" si="124">IF(MOD($W51,zapadalnosc_TOS)=0,0,
IF(AND(MOD($W51,zapadalnosc_TOS)&lt;zapadalnosc_TOS,MOD($W51,zapadalnosc_TOS)&lt;=koszt_wczesniejszy_wykup_ochrona_TOS),
MIN(AE51-AB51,Z51*koszt_wczesniejszy_wykup_TOS),Z51*koszt_wczesniejszy_wykup_TOS))</f>
        <v>1000</v>
      </c>
      <c r="AH51" s="1">
        <f t="shared" si="79"/>
        <v>0</v>
      </c>
      <c r="AI51" s="1">
        <f t="shared" si="111"/>
        <v>0</v>
      </c>
      <c r="AJ51" s="6"/>
      <c r="AK51" s="6"/>
      <c r="AL51" s="2">
        <f t="shared" si="90"/>
        <v>0</v>
      </c>
      <c r="AM51" s="8">
        <f t="shared" si="80"/>
        <v>4.9000000000000002E-2</v>
      </c>
      <c r="AN51" s="2">
        <f t="shared" si="91"/>
        <v>0</v>
      </c>
      <c r="AO51" s="2">
        <f t="shared" si="81"/>
        <v>0</v>
      </c>
      <c r="AP51" s="2">
        <f t="shared" si="119"/>
        <v>0</v>
      </c>
      <c r="AQ51" s="8">
        <f t="shared" si="112"/>
        <v>4.3200000000000002E-2</v>
      </c>
      <c r="AR51" s="2">
        <f t="shared" si="113"/>
        <v>0</v>
      </c>
      <c r="AS51" s="2">
        <f t="shared" si="114"/>
        <v>0</v>
      </c>
      <c r="AT51" s="2">
        <f t="shared" si="39"/>
        <v>0</v>
      </c>
      <c r="AU51" s="2">
        <f t="shared" si="92"/>
        <v>0</v>
      </c>
      <c r="AV51" s="2">
        <f t="shared" si="82"/>
        <v>0</v>
      </c>
      <c r="AW51" s="1">
        <f t="shared" si="77"/>
        <v>0</v>
      </c>
      <c r="AX51" s="2">
        <f t="shared" ref="AX51:AX82" si="125">AV51-AW51*zamiana_TOS</f>
        <v>0</v>
      </c>
      <c r="AY51" s="1">
        <f t="shared" si="83"/>
        <v>0</v>
      </c>
      <c r="AZ51" s="2">
        <f t="shared" si="40"/>
        <v>0</v>
      </c>
      <c r="BA51" s="2">
        <f t="shared" si="93"/>
        <v>114084.07367499999</v>
      </c>
      <c r="BB51" s="2">
        <f t="shared" ref="BB51:BB82" si="126">MIN(IF(MOD($W51,12)=0,INDEX(IKE_oplata_wskaznik,MATCH(ROUNDUP($W51/12,0),IKE_oplata_rok,0)),0)*BA51,200)</f>
        <v>0</v>
      </c>
      <c r="BC51" s="2">
        <f t="shared" si="41"/>
        <v>176.06415999999999</v>
      </c>
      <c r="BD51" s="2">
        <f t="shared" si="10"/>
        <v>113908.009515</v>
      </c>
      <c r="BE51" s="2">
        <f t="shared" si="42"/>
        <v>1000</v>
      </c>
      <c r="BF51" s="2">
        <f t="shared" si="11"/>
        <v>2485.9739982499987</v>
      </c>
      <c r="BG51" s="2">
        <f t="shared" si="12"/>
        <v>110422.03551674999</v>
      </c>
      <c r="BI51" s="8">
        <f t="shared" si="84"/>
        <v>2.9000000000000001E-2</v>
      </c>
      <c r="BJ51" s="5">
        <f t="shared" si="43"/>
        <v>1000</v>
      </c>
      <c r="BK51" s="2">
        <f t="shared" si="44"/>
        <v>100000</v>
      </c>
      <c r="BL51" s="2">
        <f t="shared" si="45"/>
        <v>100000</v>
      </c>
      <c r="BM51" s="2">
        <f t="shared" ref="BM51:BM82" si="127">BL51</f>
        <v>100000</v>
      </c>
      <c r="BN51" s="8">
        <f t="shared" ref="BN51:BN82" si="128">IF(AND(MOD($W51,zapadalnosc_COI)&lt;=zmiana_oprocentowania_co_ile_mc_COI,MOD($W51,zapadalnosc_COI)&lt;&gt;0),proc_I_okres_COI,(marza_COI+$BI51))</f>
        <v>4.3999999999999997E-2</v>
      </c>
      <c r="BO51" s="2">
        <f t="shared" ref="BO51:BO82" si="129">BM51*(1+BN51*IF(MOD($W51,12)&lt;&gt;0,MOD($W51,12),12)/12)</f>
        <v>103299.99999999999</v>
      </c>
      <c r="BP51" s="2" t="str">
        <f t="shared" ref="BP51:BP82" si="130">IF(MOD($W51,zapadalnosc_COI)=0,"tak","nie")</f>
        <v>nie</v>
      </c>
      <c r="BQ51" s="2">
        <f t="shared" ref="BQ51:BQ82" si="131">IF(MOD($W51,zapadalnosc_COI)=0,0,
IF(AND(MOD($W51,zapadalnosc_COI)&lt;zapadalnosc_COI,MOD($W51,zapadalnosc_COI)&lt;=koszt_wczesniejszy_wykup_ochrona_COI),
MIN(BO51-BL51,BJ51*koszt_wczesniejszy_wykup_COI),BJ51*koszt_wczesniejszy_wykup_COI))</f>
        <v>2000</v>
      </c>
      <c r="BR51" s="1">
        <f t="shared" si="85"/>
        <v>47</v>
      </c>
      <c r="BS51" s="1">
        <f t="shared" si="115"/>
        <v>52</v>
      </c>
      <c r="BT51" s="6"/>
      <c r="BU51" s="6"/>
      <c r="BV51" s="2">
        <f t="shared" si="94"/>
        <v>4700</v>
      </c>
      <c r="BW51" s="8">
        <f t="shared" si="86"/>
        <v>5.2499999999999998E-2</v>
      </c>
      <c r="BX51" s="2">
        <f t="shared" si="95"/>
        <v>4885.0625</v>
      </c>
      <c r="BY51" s="2">
        <f t="shared" si="87"/>
        <v>94</v>
      </c>
      <c r="BZ51" s="2">
        <f t="shared" si="120"/>
        <v>5200</v>
      </c>
      <c r="CA51" s="8">
        <f t="shared" si="116"/>
        <v>4.3999999999999997E-2</v>
      </c>
      <c r="CB51" s="2">
        <f t="shared" si="117"/>
        <v>5371.5999999999995</v>
      </c>
      <c r="CC51" s="2">
        <f t="shared" si="118"/>
        <v>104</v>
      </c>
      <c r="CD51" s="2">
        <f t="shared" ref="CD51:CD82" si="132">IF(MOD($W51,wyplata_odsetek_COI)=0, (BO51-BL51),0)
-IF(AND(BP51="tak",BK52&lt;&gt;""),BK52-BL51,0)</f>
        <v>0</v>
      </c>
      <c r="CE51" s="2">
        <f t="shared" si="96"/>
        <v>0</v>
      </c>
      <c r="CF51" s="2">
        <f t="shared" si="97"/>
        <v>23</v>
      </c>
      <c r="CG51" s="1">
        <f t="shared" si="78"/>
        <v>0</v>
      </c>
      <c r="CH51" s="2">
        <f t="shared" ref="CH51:CH82" si="133">CF51-CG51*zamiana_COI</f>
        <v>23</v>
      </c>
      <c r="CI51" s="1">
        <f t="shared" si="89"/>
        <v>0</v>
      </c>
      <c r="CJ51" s="2">
        <f t="shared" si="98"/>
        <v>23</v>
      </c>
      <c r="CK51" s="2">
        <f t="shared" si="99"/>
        <v>113579.66249999999</v>
      </c>
      <c r="CL51" s="2">
        <f t="shared" ref="CL51:CL82" si="134">MIN(IF(MOD($W51,12)=0,INDEX(IKE_oplata_wskaznik,MATCH(ROUNDUP($W51/12,0),IKE_oplata_rok,0)),0)*CK51,200)</f>
        <v>0</v>
      </c>
      <c r="CM51" s="2">
        <f t="shared" si="47"/>
        <v>175.8768</v>
      </c>
      <c r="CN51" s="2">
        <f t="shared" ref="CN51:CN82" si="135">CK51-CM51</f>
        <v>113403.78569999999</v>
      </c>
      <c r="CO51" s="2">
        <f t="shared" si="48"/>
        <v>2198</v>
      </c>
      <c r="CP51" s="2">
        <f t="shared" ref="CP51:CP82" si="136">(CK51-CO51-zakup_domyslny_wartosc)*podatek_Belki</f>
        <v>2162.5158749999982</v>
      </c>
      <c r="CQ51" s="2">
        <f t="shared" ref="CQ51:CQ82" si="137">CK51-CM51-CO51-CP51</f>
        <v>109043.269825</v>
      </c>
      <c r="CS51" s="5">
        <f t="shared" si="49"/>
        <v>1000</v>
      </c>
      <c r="CT51" s="2">
        <f t="shared" si="50"/>
        <v>100000</v>
      </c>
      <c r="CU51" s="2">
        <f t="shared" si="51"/>
        <v>100000</v>
      </c>
      <c r="CV51" s="2">
        <f t="shared" si="52"/>
        <v>110931.75000000001</v>
      </c>
      <c r="CW51" s="8">
        <f t="shared" ref="CW51:CW82" si="138">IF(AND(MOD($W51,zapadalnosc_EDO)&lt;=12,MOD($W51,zapadalnosc_EDO)&lt;&gt;0),proc_I_okres_EDO,(marza_EDO+$BI51))</f>
        <v>4.9000000000000002E-2</v>
      </c>
      <c r="CX51" s="2">
        <f t="shared" ref="CX51:CX82" si="139">CV51*(1+CW51*IF(MOD($W51,12)&lt;&gt;0,MOD($W51,12),12)/12)</f>
        <v>115008.49181250003</v>
      </c>
      <c r="CY51" s="2" t="str">
        <f t="shared" ref="CY51:CY82" si="140">IF(MOD($W51,zapadalnosc_EDO)=0,"tak","nie")</f>
        <v>nie</v>
      </c>
      <c r="CZ51" s="2">
        <f t="shared" si="53"/>
        <v>0</v>
      </c>
      <c r="DA51" s="2">
        <f t="shared" si="54"/>
        <v>0</v>
      </c>
      <c r="DB51" s="2">
        <f t="shared" si="55"/>
        <v>115008.49181250003</v>
      </c>
      <c r="DC51" s="2">
        <f t="shared" ref="DC51:DC82" si="141">MIN(IF(MOD(W51,12)=0,INDEX(IKE_oplata_wskaznik,MATCH(ROUNDUP(W51/12,0),IKE_oplata_rok,0)),0)*DB51,200)</f>
        <v>0</v>
      </c>
      <c r="DD51" s="2">
        <f t="shared" si="56"/>
        <v>177.49080000000004</v>
      </c>
      <c r="DE51" s="2">
        <f t="shared" si="57"/>
        <v>114831.00101250003</v>
      </c>
      <c r="DF51" s="2">
        <f t="shared" ref="DF51:DF82" si="142">IF(AND(MOD($W51,zapadalnosc_EDO)&lt;zapadalnosc_EDO,MOD($W51,zapadalnosc_EDO)&lt;&gt;0),MIN(CX51-CU51,CS51*koszt_wczesniejszy_wykup_EDO),0)</f>
        <v>3000</v>
      </c>
      <c r="DG51" s="2">
        <f t="shared" ref="DG51:DG82" si="143">(CX51-DF51-zakup_domyslny_wartosc)*podatek_Belki</f>
        <v>2281.6134443750047</v>
      </c>
      <c r="DH51" s="2">
        <f t="shared" si="58"/>
        <v>109549.38756812502</v>
      </c>
    </row>
    <row r="52" spans="2:112">
      <c r="B52" s="232"/>
      <c r="C52" s="1">
        <f t="shared" si="102"/>
        <v>15</v>
      </c>
      <c r="D52" s="2">
        <f t="shared" si="105"/>
        <v>106185.02500000001</v>
      </c>
      <c r="E52" s="2">
        <f t="shared" si="106"/>
        <v>104199.87025000001</v>
      </c>
      <c r="F52" s="2">
        <f t="shared" si="107"/>
        <v>106418.24999999999</v>
      </c>
      <c r="G52" s="2">
        <f t="shared" si="108"/>
        <v>103523.49999999999</v>
      </c>
      <c r="H52" s="2">
        <f t="shared" si="109"/>
        <v>107045.43750000003</v>
      </c>
      <c r="I52" s="2">
        <f t="shared" si="110"/>
        <v>103276.80437500002</v>
      </c>
      <c r="J52" s="2">
        <f t="shared" si="103"/>
        <v>104654.41411045477</v>
      </c>
      <c r="K52" s="2">
        <f t="shared" si="104"/>
        <v>103646.02499999998</v>
      </c>
      <c r="W52" s="1">
        <f t="shared" ref="W52:W83" si="144">W51+1</f>
        <v>34</v>
      </c>
      <c r="X52" s="2">
        <f t="shared" si="121"/>
        <v>108442.96574999999</v>
      </c>
      <c r="Y52" s="8">
        <f t="shared" si="76"/>
        <v>4.3200000000000002E-2</v>
      </c>
      <c r="Z52" s="5">
        <f t="shared" ref="Z52:Z83" si="145">IF(AF51="tak",
ROUNDDOWN(AE51/zamiana_TOS,0),
Z51)</f>
        <v>1000</v>
      </c>
      <c r="AA52" s="2">
        <f t="shared" ref="AA52:AA83" si="146">IF(AF51="tak",
Z52*zamiana_TOS,
AA51)</f>
        <v>100000</v>
      </c>
      <c r="AB52" s="2">
        <f t="shared" si="37"/>
        <v>100000</v>
      </c>
      <c r="AC52" s="2">
        <f t="shared" ref="AC52:AC83" si="147">IF(AF51="tak",
 AB52,
IF(MOD($W52,kapitalizacja_odsetek_mc_TOS)&lt;&gt;1,AC51,AE51))</f>
        <v>110040.09999999999</v>
      </c>
      <c r="AD52" s="8">
        <f t="shared" si="122"/>
        <v>4.9000000000000002E-2</v>
      </c>
      <c r="AE52" s="2">
        <f t="shared" si="2"/>
        <v>114533.40408333331</v>
      </c>
      <c r="AF52" s="2" t="str">
        <f t="shared" si="123"/>
        <v>nie</v>
      </c>
      <c r="AG52" s="2">
        <f t="shared" si="124"/>
        <v>1000</v>
      </c>
      <c r="AH52" s="1">
        <f t="shared" si="79"/>
        <v>0</v>
      </c>
      <c r="AI52" s="1">
        <f t="shared" si="111"/>
        <v>0</v>
      </c>
      <c r="AJ52" s="6"/>
      <c r="AK52" s="6"/>
      <c r="AL52" s="2">
        <f t="shared" si="90"/>
        <v>0</v>
      </c>
      <c r="AM52" s="8">
        <f t="shared" si="80"/>
        <v>4.9000000000000002E-2</v>
      </c>
      <c r="AN52" s="2">
        <f t="shared" si="91"/>
        <v>0</v>
      </c>
      <c r="AO52" s="2">
        <f t="shared" si="81"/>
        <v>0</v>
      </c>
      <c r="AP52" s="2">
        <f t="shared" si="119"/>
        <v>0</v>
      </c>
      <c r="AQ52" s="8">
        <f t="shared" si="112"/>
        <v>4.3200000000000002E-2</v>
      </c>
      <c r="AR52" s="2">
        <f t="shared" si="113"/>
        <v>0</v>
      </c>
      <c r="AS52" s="2">
        <f t="shared" si="114"/>
        <v>0</v>
      </c>
      <c r="AT52" s="2">
        <f t="shared" si="39"/>
        <v>0</v>
      </c>
      <c r="AU52" s="2">
        <f t="shared" si="92"/>
        <v>0</v>
      </c>
      <c r="AV52" s="2">
        <f t="shared" si="82"/>
        <v>0</v>
      </c>
      <c r="AW52" s="1">
        <f t="shared" si="77"/>
        <v>0</v>
      </c>
      <c r="AX52" s="2">
        <f t="shared" si="125"/>
        <v>0</v>
      </c>
      <c r="AY52" s="1">
        <f t="shared" si="83"/>
        <v>0</v>
      </c>
      <c r="AZ52" s="2">
        <f t="shared" si="40"/>
        <v>0</v>
      </c>
      <c r="BA52" s="2">
        <f t="shared" si="93"/>
        <v>114533.40408333331</v>
      </c>
      <c r="BB52" s="2">
        <f t="shared" si="126"/>
        <v>0</v>
      </c>
      <c r="BC52" s="2">
        <f t="shared" si="41"/>
        <v>176.06415999999999</v>
      </c>
      <c r="BD52" s="2">
        <f t="shared" si="10"/>
        <v>114357.33992333332</v>
      </c>
      <c r="BE52" s="2">
        <f t="shared" si="42"/>
        <v>1000</v>
      </c>
      <c r="BF52" s="2">
        <f t="shared" si="11"/>
        <v>2571.3467758333295</v>
      </c>
      <c r="BG52" s="2">
        <f t="shared" si="12"/>
        <v>110785.99314749999</v>
      </c>
      <c r="BI52" s="8">
        <f t="shared" si="84"/>
        <v>2.9000000000000001E-2</v>
      </c>
      <c r="BJ52" s="5">
        <f t="shared" ref="BJ52:BJ83" si="148">IF(BP51="tak",
ROUNDDOWN(BO51/zamiana_COI,0),
BJ51)</f>
        <v>1000</v>
      </c>
      <c r="BK52" s="2">
        <f t="shared" ref="BK52:BK83" si="149">IF(BP51="tak",
BJ52*zamiana_COI,
BK51)</f>
        <v>100000</v>
      </c>
      <c r="BL52" s="2">
        <f t="shared" ref="BL52:BL83" si="150">IF(BP51="tak",
BJ52*100,
BL51)</f>
        <v>100000</v>
      </c>
      <c r="BM52" s="2">
        <f t="shared" si="127"/>
        <v>100000</v>
      </c>
      <c r="BN52" s="8">
        <f t="shared" si="128"/>
        <v>4.3999999999999997E-2</v>
      </c>
      <c r="BO52" s="2">
        <f t="shared" si="129"/>
        <v>103666.66666666666</v>
      </c>
      <c r="BP52" s="2" t="str">
        <f t="shared" si="130"/>
        <v>nie</v>
      </c>
      <c r="BQ52" s="2">
        <f t="shared" si="131"/>
        <v>2000</v>
      </c>
      <c r="BR52" s="1">
        <f t="shared" si="85"/>
        <v>47</v>
      </c>
      <c r="BS52" s="1">
        <f t="shared" si="115"/>
        <v>52</v>
      </c>
      <c r="BT52" s="6"/>
      <c r="BU52" s="6"/>
      <c r="BV52" s="2">
        <f t="shared" si="94"/>
        <v>4700</v>
      </c>
      <c r="BW52" s="8">
        <f t="shared" si="86"/>
        <v>5.2499999999999998E-2</v>
      </c>
      <c r="BX52" s="2">
        <f t="shared" si="95"/>
        <v>4905.625</v>
      </c>
      <c r="BY52" s="2">
        <f t="shared" si="87"/>
        <v>94</v>
      </c>
      <c r="BZ52" s="2">
        <f t="shared" si="120"/>
        <v>5200</v>
      </c>
      <c r="CA52" s="8">
        <f t="shared" si="116"/>
        <v>4.3999999999999997E-2</v>
      </c>
      <c r="CB52" s="2">
        <f t="shared" si="117"/>
        <v>5390.6666666666661</v>
      </c>
      <c r="CC52" s="2">
        <f t="shared" si="118"/>
        <v>104</v>
      </c>
      <c r="CD52" s="2">
        <f t="shared" si="132"/>
        <v>0</v>
      </c>
      <c r="CE52" s="2">
        <f t="shared" si="96"/>
        <v>0</v>
      </c>
      <c r="CF52" s="2">
        <f t="shared" si="97"/>
        <v>23</v>
      </c>
      <c r="CG52" s="1">
        <f t="shared" si="78"/>
        <v>0</v>
      </c>
      <c r="CH52" s="2">
        <f t="shared" si="133"/>
        <v>23</v>
      </c>
      <c r="CI52" s="1">
        <f t="shared" si="89"/>
        <v>0</v>
      </c>
      <c r="CJ52" s="2">
        <f t="shared" si="98"/>
        <v>23</v>
      </c>
      <c r="CK52" s="2">
        <f t="shared" si="99"/>
        <v>113985.95833333333</v>
      </c>
      <c r="CL52" s="2">
        <f t="shared" si="134"/>
        <v>0</v>
      </c>
      <c r="CM52" s="2">
        <f t="shared" si="47"/>
        <v>175.8768</v>
      </c>
      <c r="CN52" s="2">
        <f t="shared" si="135"/>
        <v>113810.08153333333</v>
      </c>
      <c r="CO52" s="2">
        <f t="shared" si="48"/>
        <v>2198</v>
      </c>
      <c r="CP52" s="2">
        <f t="shared" si="136"/>
        <v>2239.7120833333324</v>
      </c>
      <c r="CQ52" s="2">
        <f t="shared" si="137"/>
        <v>109372.36945</v>
      </c>
      <c r="CS52" s="5">
        <f t="shared" ref="CS52:CS83" si="151">IF(CY51="tak",
ROUNDDOWN(CX51/zamiana_EDO,0),
CS51)</f>
        <v>1000</v>
      </c>
      <c r="CT52" s="2">
        <f t="shared" ref="CT52:CT83" si="152">IF(CY51="tak",
CS52*zamiana_EDO,
CT51)</f>
        <v>100000</v>
      </c>
      <c r="CU52" s="2">
        <f t="shared" ref="CU52:CU83" si="153">IF(CY51="tak",
CS52*100,
CU51)</f>
        <v>100000</v>
      </c>
      <c r="CV52" s="2">
        <f t="shared" ref="CV52:CV83" si="154">IF(CY51="tak",
 CU52,
IF(MOD($W52,kapitalizacja_odsetek_mc_EDO)&lt;&gt;1,CV51,CX51))</f>
        <v>110931.75000000001</v>
      </c>
      <c r="CW52" s="8">
        <f t="shared" si="138"/>
        <v>4.9000000000000002E-2</v>
      </c>
      <c r="CX52" s="2">
        <f t="shared" si="139"/>
        <v>115461.46312500001</v>
      </c>
      <c r="CY52" s="2" t="str">
        <f t="shared" si="140"/>
        <v>nie</v>
      </c>
      <c r="CZ52" s="2">
        <f t="shared" si="53"/>
        <v>0</v>
      </c>
      <c r="DA52" s="2">
        <f t="shared" si="54"/>
        <v>0</v>
      </c>
      <c r="DB52" s="2">
        <f t="shared" si="55"/>
        <v>115461.46312500001</v>
      </c>
      <c r="DC52" s="2">
        <f t="shared" si="141"/>
        <v>0</v>
      </c>
      <c r="DD52" s="2">
        <f t="shared" si="56"/>
        <v>177.49080000000004</v>
      </c>
      <c r="DE52" s="2">
        <f t="shared" si="57"/>
        <v>115283.97232500001</v>
      </c>
      <c r="DF52" s="2">
        <f t="shared" si="142"/>
        <v>3000</v>
      </c>
      <c r="DG52" s="2">
        <f t="shared" si="143"/>
        <v>2367.6779937500019</v>
      </c>
      <c r="DH52" s="2">
        <f t="shared" si="58"/>
        <v>109916.29433125001</v>
      </c>
    </row>
    <row r="53" spans="2:112">
      <c r="B53" s="232"/>
      <c r="C53" s="1">
        <f t="shared" si="102"/>
        <v>16</v>
      </c>
      <c r="D53" s="2">
        <f t="shared" si="105"/>
        <v>106613.36666666667</v>
      </c>
      <c r="E53" s="2">
        <f t="shared" si="106"/>
        <v>104546.827</v>
      </c>
      <c r="F53" s="2">
        <f t="shared" si="107"/>
        <v>106807.66666666666</v>
      </c>
      <c r="G53" s="2">
        <f t="shared" si="108"/>
        <v>103820.49999999999</v>
      </c>
      <c r="H53" s="2">
        <f t="shared" si="109"/>
        <v>107477.25000000001</v>
      </c>
      <c r="I53" s="2">
        <f t="shared" si="110"/>
        <v>103626.57250000001</v>
      </c>
      <c r="J53" s="2">
        <f t="shared" si="103"/>
        <v>104972.30189331528</v>
      </c>
      <c r="K53" s="2">
        <f t="shared" si="104"/>
        <v>103894.7</v>
      </c>
      <c r="W53" s="1">
        <f t="shared" si="144"/>
        <v>35</v>
      </c>
      <c r="X53" s="2">
        <f t="shared" si="121"/>
        <v>108698.852325</v>
      </c>
      <c r="Y53" s="8">
        <f t="shared" si="76"/>
        <v>4.3200000000000002E-2</v>
      </c>
      <c r="Z53" s="5">
        <f t="shared" si="145"/>
        <v>1000</v>
      </c>
      <c r="AA53" s="2">
        <f t="shared" si="146"/>
        <v>100000</v>
      </c>
      <c r="AB53" s="2">
        <f t="shared" si="37"/>
        <v>100000</v>
      </c>
      <c r="AC53" s="2">
        <f t="shared" si="147"/>
        <v>110040.09999999999</v>
      </c>
      <c r="AD53" s="8">
        <f t="shared" si="122"/>
        <v>4.9000000000000002E-2</v>
      </c>
      <c r="AE53" s="2">
        <f t="shared" si="2"/>
        <v>114982.73449166666</v>
      </c>
      <c r="AF53" s="2" t="str">
        <f t="shared" si="123"/>
        <v>nie</v>
      </c>
      <c r="AG53" s="2">
        <f t="shared" si="124"/>
        <v>1000</v>
      </c>
      <c r="AH53" s="1">
        <f t="shared" si="79"/>
        <v>0</v>
      </c>
      <c r="AI53" s="1">
        <f t="shared" si="111"/>
        <v>0</v>
      </c>
      <c r="AJ53" s="6"/>
      <c r="AK53" s="6"/>
      <c r="AL53" s="2">
        <f t="shared" si="90"/>
        <v>0</v>
      </c>
      <c r="AM53" s="8">
        <f t="shared" si="80"/>
        <v>4.9000000000000002E-2</v>
      </c>
      <c r="AN53" s="2">
        <f t="shared" si="91"/>
        <v>0</v>
      </c>
      <c r="AO53" s="2">
        <f t="shared" si="81"/>
        <v>0</v>
      </c>
      <c r="AP53" s="2">
        <f t="shared" si="119"/>
        <v>0</v>
      </c>
      <c r="AQ53" s="8">
        <f t="shared" si="112"/>
        <v>4.3200000000000002E-2</v>
      </c>
      <c r="AR53" s="2">
        <f t="shared" si="113"/>
        <v>0</v>
      </c>
      <c r="AS53" s="2">
        <f t="shared" si="114"/>
        <v>0</v>
      </c>
      <c r="AT53" s="2">
        <f t="shared" si="39"/>
        <v>0</v>
      </c>
      <c r="AU53" s="2">
        <f t="shared" si="92"/>
        <v>0</v>
      </c>
      <c r="AV53" s="2">
        <f t="shared" si="82"/>
        <v>0</v>
      </c>
      <c r="AW53" s="1">
        <f t="shared" si="77"/>
        <v>0</v>
      </c>
      <c r="AX53" s="2">
        <f t="shared" si="125"/>
        <v>0</v>
      </c>
      <c r="AY53" s="1">
        <f t="shared" si="83"/>
        <v>0</v>
      </c>
      <c r="AZ53" s="2">
        <f t="shared" si="40"/>
        <v>0</v>
      </c>
      <c r="BA53" s="2">
        <f t="shared" si="93"/>
        <v>114982.73449166666</v>
      </c>
      <c r="BB53" s="2">
        <f t="shared" si="126"/>
        <v>0</v>
      </c>
      <c r="BC53" s="2">
        <f t="shared" si="41"/>
        <v>176.06415999999999</v>
      </c>
      <c r="BD53" s="2">
        <f t="shared" si="10"/>
        <v>114806.67033166667</v>
      </c>
      <c r="BE53" s="2">
        <f t="shared" si="42"/>
        <v>1000</v>
      </c>
      <c r="BF53" s="2">
        <f t="shared" si="11"/>
        <v>2656.7195534166658</v>
      </c>
      <c r="BG53" s="2">
        <f t="shared" si="12"/>
        <v>111149.95077825</v>
      </c>
      <c r="BI53" s="8">
        <f t="shared" si="84"/>
        <v>2.9000000000000001E-2</v>
      </c>
      <c r="BJ53" s="5">
        <f t="shared" si="148"/>
        <v>1000</v>
      </c>
      <c r="BK53" s="2">
        <f t="shared" si="149"/>
        <v>100000</v>
      </c>
      <c r="BL53" s="2">
        <f t="shared" si="150"/>
        <v>100000</v>
      </c>
      <c r="BM53" s="2">
        <f t="shared" si="127"/>
        <v>100000</v>
      </c>
      <c r="BN53" s="8">
        <f t="shared" si="128"/>
        <v>4.3999999999999997E-2</v>
      </c>
      <c r="BO53" s="2">
        <f t="shared" si="129"/>
        <v>104033.33333333333</v>
      </c>
      <c r="BP53" s="2" t="str">
        <f t="shared" si="130"/>
        <v>nie</v>
      </c>
      <c r="BQ53" s="2">
        <f t="shared" si="131"/>
        <v>2000</v>
      </c>
      <c r="BR53" s="1">
        <f t="shared" si="85"/>
        <v>47</v>
      </c>
      <c r="BS53" s="1">
        <f t="shared" si="115"/>
        <v>52</v>
      </c>
      <c r="BT53" s="6"/>
      <c r="BU53" s="6"/>
      <c r="BV53" s="2">
        <f t="shared" si="94"/>
        <v>4700</v>
      </c>
      <c r="BW53" s="8">
        <f t="shared" si="86"/>
        <v>5.2499999999999998E-2</v>
      </c>
      <c r="BX53" s="2">
        <f t="shared" si="95"/>
        <v>4926.1875</v>
      </c>
      <c r="BY53" s="2">
        <f t="shared" si="87"/>
        <v>94</v>
      </c>
      <c r="BZ53" s="2">
        <f t="shared" si="120"/>
        <v>5200</v>
      </c>
      <c r="CA53" s="8">
        <f t="shared" si="116"/>
        <v>4.3999999999999997E-2</v>
      </c>
      <c r="CB53" s="2">
        <f t="shared" si="117"/>
        <v>5409.7333333333336</v>
      </c>
      <c r="CC53" s="2">
        <f t="shared" si="118"/>
        <v>104</v>
      </c>
      <c r="CD53" s="2">
        <f t="shared" si="132"/>
        <v>0</v>
      </c>
      <c r="CE53" s="2">
        <f t="shared" si="96"/>
        <v>0</v>
      </c>
      <c r="CF53" s="2">
        <f t="shared" si="97"/>
        <v>23</v>
      </c>
      <c r="CG53" s="1">
        <f t="shared" si="78"/>
        <v>0</v>
      </c>
      <c r="CH53" s="2">
        <f t="shared" si="133"/>
        <v>23</v>
      </c>
      <c r="CI53" s="1">
        <f t="shared" si="89"/>
        <v>0</v>
      </c>
      <c r="CJ53" s="2">
        <f t="shared" si="98"/>
        <v>23</v>
      </c>
      <c r="CK53" s="2">
        <f t="shared" si="99"/>
        <v>114392.25416666667</v>
      </c>
      <c r="CL53" s="2">
        <f t="shared" si="134"/>
        <v>0</v>
      </c>
      <c r="CM53" s="2">
        <f t="shared" si="47"/>
        <v>175.8768</v>
      </c>
      <c r="CN53" s="2">
        <f t="shared" si="135"/>
        <v>114216.37736666667</v>
      </c>
      <c r="CO53" s="2">
        <f t="shared" si="48"/>
        <v>2198</v>
      </c>
      <c r="CP53" s="2">
        <f t="shared" si="136"/>
        <v>2316.9082916666666</v>
      </c>
      <c r="CQ53" s="2">
        <f t="shared" si="137"/>
        <v>109701.469075</v>
      </c>
      <c r="CS53" s="5">
        <f t="shared" si="151"/>
        <v>1000</v>
      </c>
      <c r="CT53" s="2">
        <f t="shared" si="152"/>
        <v>100000</v>
      </c>
      <c r="CU53" s="2">
        <f t="shared" si="153"/>
        <v>100000</v>
      </c>
      <c r="CV53" s="2">
        <f t="shared" si="154"/>
        <v>110931.75000000001</v>
      </c>
      <c r="CW53" s="8">
        <f t="shared" si="138"/>
        <v>4.9000000000000002E-2</v>
      </c>
      <c r="CX53" s="2">
        <f t="shared" si="139"/>
        <v>115914.43443750002</v>
      </c>
      <c r="CY53" s="2" t="str">
        <f t="shared" si="140"/>
        <v>nie</v>
      </c>
      <c r="CZ53" s="2">
        <f t="shared" si="53"/>
        <v>0</v>
      </c>
      <c r="DA53" s="2">
        <f t="shared" si="54"/>
        <v>0</v>
      </c>
      <c r="DB53" s="2">
        <f t="shared" si="55"/>
        <v>115914.43443750002</v>
      </c>
      <c r="DC53" s="2">
        <f t="shared" si="141"/>
        <v>0</v>
      </c>
      <c r="DD53" s="2">
        <f t="shared" si="56"/>
        <v>177.49080000000004</v>
      </c>
      <c r="DE53" s="2">
        <f t="shared" si="57"/>
        <v>115736.94363750002</v>
      </c>
      <c r="DF53" s="2">
        <f t="shared" si="142"/>
        <v>3000</v>
      </c>
      <c r="DG53" s="2">
        <f t="shared" si="143"/>
        <v>2453.742543125004</v>
      </c>
      <c r="DH53" s="2">
        <f t="shared" si="58"/>
        <v>110283.20109437502</v>
      </c>
    </row>
    <row r="54" spans="2:112">
      <c r="B54" s="232"/>
      <c r="C54" s="1">
        <f t="shared" si="102"/>
        <v>17</v>
      </c>
      <c r="D54" s="2">
        <f t="shared" si="105"/>
        <v>107041.70833333334</v>
      </c>
      <c r="E54" s="2">
        <f t="shared" si="106"/>
        <v>104893.78375</v>
      </c>
      <c r="F54" s="2">
        <f t="shared" si="107"/>
        <v>107197.08333333333</v>
      </c>
      <c r="G54" s="2">
        <f t="shared" si="108"/>
        <v>104125.39749999999</v>
      </c>
      <c r="H54" s="2">
        <f t="shared" si="109"/>
        <v>107909.06250000003</v>
      </c>
      <c r="I54" s="2">
        <f t="shared" si="110"/>
        <v>103976.34062500003</v>
      </c>
      <c r="J54" s="2">
        <f t="shared" si="103"/>
        <v>105291.15526031623</v>
      </c>
      <c r="K54" s="2">
        <f t="shared" si="104"/>
        <v>104143.375</v>
      </c>
      <c r="W54" s="1">
        <f t="shared" si="144"/>
        <v>36</v>
      </c>
      <c r="X54" s="2">
        <f t="shared" si="121"/>
        <v>108954.73889999998</v>
      </c>
      <c r="Y54" s="8">
        <f t="shared" si="76"/>
        <v>4.3200000000000002E-2</v>
      </c>
      <c r="Z54" s="5">
        <f t="shared" si="145"/>
        <v>1000</v>
      </c>
      <c r="AA54" s="2">
        <f t="shared" si="146"/>
        <v>100000</v>
      </c>
      <c r="AB54" s="2">
        <f t="shared" si="37"/>
        <v>100000</v>
      </c>
      <c r="AC54" s="2">
        <f t="shared" si="147"/>
        <v>110040.09999999999</v>
      </c>
      <c r="AD54" s="8">
        <f t="shared" si="122"/>
        <v>4.3200000000000002E-2</v>
      </c>
      <c r="AE54" s="2">
        <f t="shared" si="2"/>
        <v>114793.83231999999</v>
      </c>
      <c r="AF54" s="2" t="str">
        <f t="shared" si="123"/>
        <v>tak</v>
      </c>
      <c r="AG54" s="2">
        <f t="shared" si="124"/>
        <v>0</v>
      </c>
      <c r="AH54" s="1">
        <f t="shared" si="79"/>
        <v>0</v>
      </c>
      <c r="AI54" s="1">
        <f t="shared" si="111"/>
        <v>0</v>
      </c>
      <c r="AJ54" s="6"/>
      <c r="AK54" s="6"/>
      <c r="AL54" s="2">
        <f t="shared" si="90"/>
        <v>0</v>
      </c>
      <c r="AM54" s="8">
        <f t="shared" si="80"/>
        <v>4.9000000000000002E-2</v>
      </c>
      <c r="AN54" s="2">
        <f t="shared" si="91"/>
        <v>0</v>
      </c>
      <c r="AO54" s="2">
        <f t="shared" si="81"/>
        <v>0</v>
      </c>
      <c r="AP54" s="2">
        <f t="shared" si="119"/>
        <v>0</v>
      </c>
      <c r="AQ54" s="8">
        <f t="shared" si="112"/>
        <v>4.3200000000000002E-2</v>
      </c>
      <c r="AR54" s="2">
        <f t="shared" si="113"/>
        <v>0</v>
      </c>
      <c r="AS54" s="2">
        <f t="shared" si="114"/>
        <v>0</v>
      </c>
      <c r="AT54" s="2">
        <f t="shared" si="39"/>
        <v>8.7323199999809731</v>
      </c>
      <c r="AU54" s="2">
        <f t="shared" si="92"/>
        <v>0</v>
      </c>
      <c r="AV54" s="2">
        <f t="shared" si="82"/>
        <v>8.7323199999809731</v>
      </c>
      <c r="AW54" s="1">
        <f t="shared" si="77"/>
        <v>0</v>
      </c>
      <c r="AX54" s="2">
        <f t="shared" si="125"/>
        <v>8.7323199999809731</v>
      </c>
      <c r="AY54" s="1">
        <f t="shared" si="83"/>
        <v>0</v>
      </c>
      <c r="AZ54" s="2">
        <f t="shared" si="40"/>
        <v>8.7323199999809731</v>
      </c>
      <c r="BA54" s="2">
        <f t="shared" si="93"/>
        <v>114793.83231999999</v>
      </c>
      <c r="BB54" s="2">
        <f t="shared" si="126"/>
        <v>172.19074848</v>
      </c>
      <c r="BC54" s="2">
        <f t="shared" si="41"/>
        <v>348.25490847999998</v>
      </c>
      <c r="BD54" s="2">
        <f t="shared" si="10"/>
        <v>114445.57741151999</v>
      </c>
      <c r="BE54" s="2">
        <f t="shared" si="42"/>
        <v>0</v>
      </c>
      <c r="BF54" s="2">
        <f t="shared" si="11"/>
        <v>2810.8281407999975</v>
      </c>
      <c r="BG54" s="2">
        <f t="shared" si="12"/>
        <v>111634.74927071999</v>
      </c>
      <c r="BI54" s="8">
        <f t="shared" si="84"/>
        <v>2.9000000000000001E-2</v>
      </c>
      <c r="BJ54" s="5">
        <f t="shared" si="148"/>
        <v>1000</v>
      </c>
      <c r="BK54" s="2">
        <f t="shared" si="149"/>
        <v>100000</v>
      </c>
      <c r="BL54" s="2">
        <f t="shared" si="150"/>
        <v>100000</v>
      </c>
      <c r="BM54" s="2">
        <f t="shared" si="127"/>
        <v>100000</v>
      </c>
      <c r="BN54" s="8">
        <f t="shared" si="128"/>
        <v>4.3999999999999997E-2</v>
      </c>
      <c r="BO54" s="2">
        <f t="shared" si="129"/>
        <v>104400</v>
      </c>
      <c r="BP54" s="2" t="str">
        <f t="shared" si="130"/>
        <v>nie</v>
      </c>
      <c r="BQ54" s="2">
        <f t="shared" si="131"/>
        <v>2000</v>
      </c>
      <c r="BR54" s="1">
        <f t="shared" si="85"/>
        <v>47</v>
      </c>
      <c r="BS54" s="1">
        <f t="shared" si="115"/>
        <v>52</v>
      </c>
      <c r="BT54" s="6"/>
      <c r="BU54" s="6"/>
      <c r="BV54" s="2">
        <f t="shared" si="94"/>
        <v>4700</v>
      </c>
      <c r="BW54" s="8">
        <f t="shared" si="86"/>
        <v>5.2499999999999998E-2</v>
      </c>
      <c r="BX54" s="2">
        <f t="shared" si="95"/>
        <v>4946.75</v>
      </c>
      <c r="BY54" s="2">
        <f t="shared" si="87"/>
        <v>94</v>
      </c>
      <c r="BZ54" s="2">
        <f t="shared" si="120"/>
        <v>5200</v>
      </c>
      <c r="CA54" s="8">
        <f t="shared" si="116"/>
        <v>4.3999999999999997E-2</v>
      </c>
      <c r="CB54" s="2">
        <f t="shared" si="117"/>
        <v>5428.8</v>
      </c>
      <c r="CC54" s="2">
        <f t="shared" si="118"/>
        <v>104</v>
      </c>
      <c r="CD54" s="2">
        <f t="shared" si="132"/>
        <v>4400</v>
      </c>
      <c r="CE54" s="2">
        <f t="shared" si="96"/>
        <v>475.55000000000018</v>
      </c>
      <c r="CF54" s="2">
        <f t="shared" si="97"/>
        <v>4898.55</v>
      </c>
      <c r="CG54" s="1">
        <f t="shared" si="78"/>
        <v>0</v>
      </c>
      <c r="CH54" s="2">
        <f t="shared" si="133"/>
        <v>4898.55</v>
      </c>
      <c r="CI54" s="1">
        <f t="shared" si="89"/>
        <v>48</v>
      </c>
      <c r="CJ54" s="2">
        <f t="shared" si="98"/>
        <v>98.550000000000182</v>
      </c>
      <c r="CK54" s="2">
        <f t="shared" si="99"/>
        <v>114798.55</v>
      </c>
      <c r="CL54" s="2">
        <f t="shared" si="134"/>
        <v>172.19782499999999</v>
      </c>
      <c r="CM54" s="2">
        <f t="shared" si="47"/>
        <v>348.07462499999997</v>
      </c>
      <c r="CN54" s="2">
        <f t="shared" si="135"/>
        <v>114450.47537500001</v>
      </c>
      <c r="CO54" s="2">
        <f t="shared" si="48"/>
        <v>2198</v>
      </c>
      <c r="CP54" s="2">
        <f t="shared" si="136"/>
        <v>2394.1045000000004</v>
      </c>
      <c r="CQ54" s="2">
        <f t="shared" si="137"/>
        <v>109858.37087500001</v>
      </c>
      <c r="CS54" s="5">
        <f t="shared" si="151"/>
        <v>1000</v>
      </c>
      <c r="CT54" s="2">
        <f t="shared" si="152"/>
        <v>100000</v>
      </c>
      <c r="CU54" s="2">
        <f t="shared" si="153"/>
        <v>100000</v>
      </c>
      <c r="CV54" s="2">
        <f t="shared" si="154"/>
        <v>110931.75000000001</v>
      </c>
      <c r="CW54" s="8">
        <f t="shared" si="138"/>
        <v>4.9000000000000002E-2</v>
      </c>
      <c r="CX54" s="2">
        <f t="shared" si="139"/>
        <v>116367.40575000001</v>
      </c>
      <c r="CY54" s="2" t="str">
        <f t="shared" si="140"/>
        <v>nie</v>
      </c>
      <c r="CZ54" s="2">
        <f t="shared" si="53"/>
        <v>0</v>
      </c>
      <c r="DA54" s="2">
        <f t="shared" si="54"/>
        <v>0</v>
      </c>
      <c r="DB54" s="2">
        <f t="shared" si="55"/>
        <v>116367.40575000001</v>
      </c>
      <c r="DC54" s="2">
        <f t="shared" si="141"/>
        <v>174.55110862500001</v>
      </c>
      <c r="DD54" s="2">
        <f t="shared" si="56"/>
        <v>352.04190862500002</v>
      </c>
      <c r="DE54" s="2">
        <f t="shared" si="57"/>
        <v>116015.363841375</v>
      </c>
      <c r="DF54" s="2">
        <f t="shared" si="142"/>
        <v>3000</v>
      </c>
      <c r="DG54" s="2">
        <f t="shared" si="143"/>
        <v>2539.8070925000011</v>
      </c>
      <c r="DH54" s="2">
        <f t="shared" si="58"/>
        <v>110475.55674887499</v>
      </c>
    </row>
    <row r="55" spans="2:112">
      <c r="B55" s="232"/>
      <c r="C55" s="1">
        <f t="shared" si="102"/>
        <v>18</v>
      </c>
      <c r="D55" s="2">
        <f t="shared" si="105"/>
        <v>107470.05</v>
      </c>
      <c r="E55" s="2">
        <f t="shared" si="106"/>
        <v>105240.7405</v>
      </c>
      <c r="F55" s="2">
        <f t="shared" si="107"/>
        <v>107586.5</v>
      </c>
      <c r="G55" s="2">
        <f t="shared" si="108"/>
        <v>104440.825</v>
      </c>
      <c r="H55" s="2">
        <f t="shared" si="109"/>
        <v>108340.87500000001</v>
      </c>
      <c r="I55" s="2">
        <f t="shared" si="110"/>
        <v>104326.10875000001</v>
      </c>
      <c r="J55" s="2">
        <f t="shared" si="103"/>
        <v>105610.97714441943</v>
      </c>
      <c r="K55" s="2">
        <f t="shared" si="104"/>
        <v>104392.04999999997</v>
      </c>
      <c r="W55" s="1">
        <f t="shared" si="144"/>
        <v>37</v>
      </c>
      <c r="X55" s="2">
        <f t="shared" si="121"/>
        <v>109218.04618567499</v>
      </c>
      <c r="Y55" s="8">
        <f t="shared" si="76"/>
        <v>4.3200000000000002E-2</v>
      </c>
      <c r="Z55" s="5">
        <f t="shared" si="145"/>
        <v>1149</v>
      </c>
      <c r="AA55" s="2">
        <f t="shared" si="146"/>
        <v>114785.1</v>
      </c>
      <c r="AB55" s="2">
        <f t="shared" si="37"/>
        <v>114900</v>
      </c>
      <c r="AC55" s="2">
        <f t="shared" si="147"/>
        <v>114900</v>
      </c>
      <c r="AD55" s="8">
        <f t="shared" si="122"/>
        <v>4.9000000000000002E-2</v>
      </c>
      <c r="AE55" s="2">
        <f t="shared" si="2"/>
        <v>115369.17500000002</v>
      </c>
      <c r="AF55" s="2" t="str">
        <f t="shared" si="123"/>
        <v>nie</v>
      </c>
      <c r="AG55" s="2">
        <f t="shared" si="124"/>
        <v>469.17500000001746</v>
      </c>
      <c r="AH55" s="1">
        <f t="shared" si="79"/>
        <v>0</v>
      </c>
      <c r="AI55" s="1">
        <f t="shared" si="111"/>
        <v>0</v>
      </c>
      <c r="AJ55" s="1">
        <f t="shared" ref="AJ55:AJ86" si="155">IF(zapadalnosc_TOS/12&gt;=AJ$18,AI43,0)</f>
        <v>0</v>
      </c>
      <c r="AK55" s="6"/>
      <c r="AL55" s="2">
        <f t="shared" si="90"/>
        <v>0</v>
      </c>
      <c r="AM55" s="8">
        <f t="shared" si="80"/>
        <v>4.9000000000000002E-2</v>
      </c>
      <c r="AN55" s="2">
        <f t="shared" si="91"/>
        <v>0</v>
      </c>
      <c r="AO55" s="2">
        <f t="shared" si="81"/>
        <v>0</v>
      </c>
      <c r="AP55" s="2">
        <f t="shared" si="119"/>
        <v>0</v>
      </c>
      <c r="AQ55" s="8">
        <f t="shared" si="112"/>
        <v>4.3200000000000002E-2</v>
      </c>
      <c r="AR55" s="2">
        <f t="shared" si="113"/>
        <v>0</v>
      </c>
      <c r="AS55" s="2">
        <f t="shared" si="114"/>
        <v>0</v>
      </c>
      <c r="AT55" s="2">
        <f t="shared" si="39"/>
        <v>0</v>
      </c>
      <c r="AU55" s="2">
        <f t="shared" si="92"/>
        <v>0</v>
      </c>
      <c r="AV55" s="2">
        <f t="shared" si="82"/>
        <v>8.7323199999809731</v>
      </c>
      <c r="AW55" s="1">
        <f t="shared" si="77"/>
        <v>0</v>
      </c>
      <c r="AX55" s="2">
        <f t="shared" si="125"/>
        <v>8.7323199999809731</v>
      </c>
      <c r="AY55" s="1">
        <f t="shared" si="83"/>
        <v>0</v>
      </c>
      <c r="AZ55" s="2">
        <f t="shared" si="40"/>
        <v>8.7323199999809731</v>
      </c>
      <c r="BA55" s="2">
        <f t="shared" si="93"/>
        <v>115377.90732</v>
      </c>
      <c r="BB55" s="2">
        <f t="shared" si="126"/>
        <v>0</v>
      </c>
      <c r="BC55" s="2">
        <f t="shared" si="41"/>
        <v>348.25490847999998</v>
      </c>
      <c r="BD55" s="2">
        <f t="shared" si="10"/>
        <v>115029.65241152</v>
      </c>
      <c r="BE55" s="2">
        <f t="shared" si="42"/>
        <v>469.17500000001746</v>
      </c>
      <c r="BF55" s="2">
        <f t="shared" si="11"/>
        <v>2832.6591407999963</v>
      </c>
      <c r="BG55" s="2">
        <f t="shared" si="12"/>
        <v>111727.81827071999</v>
      </c>
      <c r="BI55" s="8">
        <f t="shared" si="84"/>
        <v>2.9000000000000001E-2</v>
      </c>
      <c r="BJ55" s="5">
        <f t="shared" si="148"/>
        <v>1000</v>
      </c>
      <c r="BK55" s="2">
        <f t="shared" si="149"/>
        <v>100000</v>
      </c>
      <c r="BL55" s="2">
        <f t="shared" si="150"/>
        <v>100000</v>
      </c>
      <c r="BM55" s="2">
        <f t="shared" si="127"/>
        <v>100000</v>
      </c>
      <c r="BN55" s="8">
        <f t="shared" si="128"/>
        <v>4.3999999999999997E-2</v>
      </c>
      <c r="BO55" s="2">
        <f t="shared" si="129"/>
        <v>100366.66666666667</v>
      </c>
      <c r="BP55" s="2" t="str">
        <f t="shared" si="130"/>
        <v>nie</v>
      </c>
      <c r="BQ55" s="2">
        <f t="shared" si="131"/>
        <v>2000</v>
      </c>
      <c r="BR55" s="1">
        <f t="shared" si="85"/>
        <v>48</v>
      </c>
      <c r="BS55" s="1">
        <f t="shared" si="115"/>
        <v>47</v>
      </c>
      <c r="BT55" s="1">
        <f t="shared" ref="BT55:BT86" si="156">IF(zapadalnosc_COI/12&gt;=BT$18,BS43,0)</f>
        <v>52</v>
      </c>
      <c r="BU55" s="6"/>
      <c r="BV55" s="2">
        <f t="shared" si="94"/>
        <v>4800</v>
      </c>
      <c r="BW55" s="8">
        <f t="shared" si="86"/>
        <v>5.2499999999999998E-2</v>
      </c>
      <c r="BX55" s="2">
        <f t="shared" si="95"/>
        <v>4821</v>
      </c>
      <c r="BY55" s="2">
        <f t="shared" si="87"/>
        <v>21</v>
      </c>
      <c r="BZ55" s="2">
        <f t="shared" si="120"/>
        <v>9900</v>
      </c>
      <c r="CA55" s="8">
        <f t="shared" si="116"/>
        <v>4.3999999999999997E-2</v>
      </c>
      <c r="CB55" s="2">
        <f t="shared" si="117"/>
        <v>9936.3000000000011</v>
      </c>
      <c r="CC55" s="2">
        <f t="shared" si="118"/>
        <v>198</v>
      </c>
      <c r="CD55" s="2">
        <f t="shared" si="132"/>
        <v>0</v>
      </c>
      <c r="CE55" s="2">
        <f t="shared" si="96"/>
        <v>0</v>
      </c>
      <c r="CF55" s="2">
        <f t="shared" si="97"/>
        <v>98.550000000000182</v>
      </c>
      <c r="CG55" s="1">
        <f t="shared" si="78"/>
        <v>0</v>
      </c>
      <c r="CH55" s="2">
        <f t="shared" si="133"/>
        <v>98.550000000000182</v>
      </c>
      <c r="CI55" s="1">
        <f t="shared" si="89"/>
        <v>0</v>
      </c>
      <c r="CJ55" s="2">
        <f t="shared" si="98"/>
        <v>98.550000000000182</v>
      </c>
      <c r="CK55" s="2">
        <f t="shared" si="99"/>
        <v>115222.51666666668</v>
      </c>
      <c r="CL55" s="2">
        <f t="shared" si="134"/>
        <v>0</v>
      </c>
      <c r="CM55" s="2">
        <f t="shared" si="47"/>
        <v>348.07462499999997</v>
      </c>
      <c r="CN55" s="2">
        <f t="shared" si="135"/>
        <v>114874.44204166668</v>
      </c>
      <c r="CO55" s="2">
        <f t="shared" si="48"/>
        <v>2219</v>
      </c>
      <c r="CP55" s="2">
        <f t="shared" si="136"/>
        <v>2470.6681666666686</v>
      </c>
      <c r="CQ55" s="2">
        <f t="shared" si="137"/>
        <v>110184.77387500001</v>
      </c>
      <c r="CS55" s="5">
        <f t="shared" si="151"/>
        <v>1000</v>
      </c>
      <c r="CT55" s="2">
        <f t="shared" si="152"/>
        <v>100000</v>
      </c>
      <c r="CU55" s="2">
        <f t="shared" si="153"/>
        <v>100000</v>
      </c>
      <c r="CV55" s="2">
        <f t="shared" si="154"/>
        <v>116367.40575000001</v>
      </c>
      <c r="CW55" s="8">
        <f t="shared" si="138"/>
        <v>4.9000000000000002E-2</v>
      </c>
      <c r="CX55" s="2">
        <f t="shared" si="139"/>
        <v>116842.57265681252</v>
      </c>
      <c r="CY55" s="2" t="str">
        <f t="shared" si="140"/>
        <v>nie</v>
      </c>
      <c r="CZ55" s="2">
        <f t="shared" si="53"/>
        <v>0</v>
      </c>
      <c r="DA55" s="2">
        <f t="shared" si="54"/>
        <v>0</v>
      </c>
      <c r="DB55" s="2">
        <f t="shared" si="55"/>
        <v>116842.57265681252</v>
      </c>
      <c r="DC55" s="2">
        <f t="shared" si="141"/>
        <v>0</v>
      </c>
      <c r="DD55" s="2">
        <f t="shared" si="56"/>
        <v>352.04190862500002</v>
      </c>
      <c r="DE55" s="2">
        <f t="shared" si="57"/>
        <v>116490.53074818752</v>
      </c>
      <c r="DF55" s="2">
        <f t="shared" si="142"/>
        <v>3000</v>
      </c>
      <c r="DG55" s="2">
        <f t="shared" si="143"/>
        <v>2630.0888047943799</v>
      </c>
      <c r="DH55" s="2">
        <f t="shared" si="58"/>
        <v>110860.44194339315</v>
      </c>
    </row>
    <row r="56" spans="2:112">
      <c r="B56" s="232"/>
      <c r="C56" s="1">
        <f t="shared" si="102"/>
        <v>19</v>
      </c>
      <c r="D56" s="2">
        <f t="shared" si="105"/>
        <v>107898.39166666668</v>
      </c>
      <c r="E56" s="2">
        <f t="shared" si="106"/>
        <v>105587.69725000001</v>
      </c>
      <c r="F56" s="2">
        <f t="shared" si="107"/>
        <v>107975.91666666667</v>
      </c>
      <c r="G56" s="2">
        <f t="shared" si="108"/>
        <v>104756.2525</v>
      </c>
      <c r="H56" s="2">
        <f t="shared" si="109"/>
        <v>108772.68750000003</v>
      </c>
      <c r="I56" s="2">
        <f t="shared" si="110"/>
        <v>104675.87687500002</v>
      </c>
      <c r="J56" s="2">
        <f t="shared" si="103"/>
        <v>105931.77048749561</v>
      </c>
      <c r="K56" s="2">
        <f t="shared" si="104"/>
        <v>104640.72499999999</v>
      </c>
      <c r="W56" s="1">
        <f t="shared" si="144"/>
        <v>38</v>
      </c>
      <c r="X56" s="2">
        <f t="shared" si="121"/>
        <v>109481.35347134997</v>
      </c>
      <c r="Y56" s="8">
        <f t="shared" si="76"/>
        <v>4.3200000000000002E-2</v>
      </c>
      <c r="Z56" s="5">
        <f t="shared" si="145"/>
        <v>1149</v>
      </c>
      <c r="AA56" s="2">
        <f t="shared" si="146"/>
        <v>114785.1</v>
      </c>
      <c r="AB56" s="2">
        <f t="shared" si="37"/>
        <v>114900</v>
      </c>
      <c r="AC56" s="2">
        <f t="shared" si="147"/>
        <v>114900</v>
      </c>
      <c r="AD56" s="8">
        <f t="shared" si="122"/>
        <v>4.9000000000000002E-2</v>
      </c>
      <c r="AE56" s="2">
        <f t="shared" si="2"/>
        <v>115838.35</v>
      </c>
      <c r="AF56" s="2" t="str">
        <f t="shared" si="123"/>
        <v>nie</v>
      </c>
      <c r="AG56" s="2">
        <f t="shared" si="124"/>
        <v>938.35000000000582</v>
      </c>
      <c r="AH56" s="1">
        <f t="shared" si="79"/>
        <v>0</v>
      </c>
      <c r="AI56" s="1">
        <f t="shared" si="111"/>
        <v>0</v>
      </c>
      <c r="AJ56" s="1">
        <f t="shared" si="155"/>
        <v>0</v>
      </c>
      <c r="AK56" s="6"/>
      <c r="AL56" s="2">
        <f t="shared" si="90"/>
        <v>0</v>
      </c>
      <c r="AM56" s="8">
        <f t="shared" si="80"/>
        <v>4.9000000000000002E-2</v>
      </c>
      <c r="AN56" s="2">
        <f t="shared" si="91"/>
        <v>0</v>
      </c>
      <c r="AO56" s="2">
        <f t="shared" si="81"/>
        <v>0</v>
      </c>
      <c r="AP56" s="2">
        <f t="shared" si="119"/>
        <v>0</v>
      </c>
      <c r="AQ56" s="8">
        <f t="shared" si="112"/>
        <v>4.3200000000000002E-2</v>
      </c>
      <c r="AR56" s="2">
        <f t="shared" si="113"/>
        <v>0</v>
      </c>
      <c r="AS56" s="2">
        <f t="shared" si="114"/>
        <v>0</v>
      </c>
      <c r="AT56" s="2">
        <f t="shared" si="39"/>
        <v>0</v>
      </c>
      <c r="AU56" s="2">
        <f t="shared" si="92"/>
        <v>0</v>
      </c>
      <c r="AV56" s="2">
        <f t="shared" si="82"/>
        <v>8.7323199999809731</v>
      </c>
      <c r="AW56" s="1">
        <f t="shared" si="77"/>
        <v>0</v>
      </c>
      <c r="AX56" s="2">
        <f t="shared" si="125"/>
        <v>8.7323199999809731</v>
      </c>
      <c r="AY56" s="1">
        <f t="shared" si="83"/>
        <v>0</v>
      </c>
      <c r="AZ56" s="2">
        <f t="shared" si="40"/>
        <v>8.7323199999809731</v>
      </c>
      <c r="BA56" s="2">
        <f t="shared" si="93"/>
        <v>115847.08231999999</v>
      </c>
      <c r="BB56" s="2">
        <f t="shared" si="126"/>
        <v>0</v>
      </c>
      <c r="BC56" s="2">
        <f t="shared" si="41"/>
        <v>348.25490847999998</v>
      </c>
      <c r="BD56" s="2">
        <f t="shared" si="10"/>
        <v>115498.82741151999</v>
      </c>
      <c r="BE56" s="2">
        <f t="shared" si="42"/>
        <v>938.35000000000582</v>
      </c>
      <c r="BF56" s="2">
        <f t="shared" si="11"/>
        <v>2832.6591407999963</v>
      </c>
      <c r="BG56" s="2">
        <f t="shared" si="12"/>
        <v>111727.81827071999</v>
      </c>
      <c r="BI56" s="8">
        <f t="shared" si="84"/>
        <v>2.9000000000000001E-2</v>
      </c>
      <c r="BJ56" s="5">
        <f t="shared" si="148"/>
        <v>1000</v>
      </c>
      <c r="BK56" s="2">
        <f t="shared" si="149"/>
        <v>100000</v>
      </c>
      <c r="BL56" s="2">
        <f t="shared" si="150"/>
        <v>100000</v>
      </c>
      <c r="BM56" s="2">
        <f t="shared" si="127"/>
        <v>100000</v>
      </c>
      <c r="BN56" s="8">
        <f t="shared" si="128"/>
        <v>4.3999999999999997E-2</v>
      </c>
      <c r="BO56" s="2">
        <f t="shared" si="129"/>
        <v>100733.33333333334</v>
      </c>
      <c r="BP56" s="2" t="str">
        <f t="shared" si="130"/>
        <v>nie</v>
      </c>
      <c r="BQ56" s="2">
        <f t="shared" si="131"/>
        <v>2000</v>
      </c>
      <c r="BR56" s="1">
        <f t="shared" si="85"/>
        <v>48</v>
      </c>
      <c r="BS56" s="1">
        <f t="shared" si="115"/>
        <v>47</v>
      </c>
      <c r="BT56" s="1">
        <f t="shared" si="156"/>
        <v>52</v>
      </c>
      <c r="BU56" s="6"/>
      <c r="BV56" s="2">
        <f t="shared" si="94"/>
        <v>4800</v>
      </c>
      <c r="BW56" s="8">
        <f t="shared" si="86"/>
        <v>5.2499999999999998E-2</v>
      </c>
      <c r="BX56" s="2">
        <f t="shared" si="95"/>
        <v>4842</v>
      </c>
      <c r="BY56" s="2">
        <f t="shared" si="87"/>
        <v>42</v>
      </c>
      <c r="BZ56" s="2">
        <f t="shared" si="120"/>
        <v>9900</v>
      </c>
      <c r="CA56" s="8">
        <f t="shared" si="116"/>
        <v>4.3999999999999997E-2</v>
      </c>
      <c r="CB56" s="2">
        <f t="shared" si="117"/>
        <v>9972.6</v>
      </c>
      <c r="CC56" s="2">
        <f t="shared" si="118"/>
        <v>198</v>
      </c>
      <c r="CD56" s="2">
        <f t="shared" si="132"/>
        <v>0</v>
      </c>
      <c r="CE56" s="2">
        <f t="shared" si="96"/>
        <v>0</v>
      </c>
      <c r="CF56" s="2">
        <f t="shared" si="97"/>
        <v>98.550000000000182</v>
      </c>
      <c r="CG56" s="1">
        <f t="shared" si="78"/>
        <v>0</v>
      </c>
      <c r="CH56" s="2">
        <f t="shared" si="133"/>
        <v>98.550000000000182</v>
      </c>
      <c r="CI56" s="1">
        <f t="shared" si="89"/>
        <v>0</v>
      </c>
      <c r="CJ56" s="2">
        <f t="shared" si="98"/>
        <v>98.550000000000182</v>
      </c>
      <c r="CK56" s="2">
        <f t="shared" si="99"/>
        <v>115646.48333333335</v>
      </c>
      <c r="CL56" s="2">
        <f t="shared" si="134"/>
        <v>0</v>
      </c>
      <c r="CM56" s="2">
        <f t="shared" si="47"/>
        <v>348.07462499999997</v>
      </c>
      <c r="CN56" s="2">
        <f t="shared" si="135"/>
        <v>115298.40870833336</v>
      </c>
      <c r="CO56" s="2">
        <f t="shared" si="48"/>
        <v>2240</v>
      </c>
      <c r="CP56" s="2">
        <f t="shared" si="136"/>
        <v>2547.2318333333369</v>
      </c>
      <c r="CQ56" s="2">
        <f t="shared" si="137"/>
        <v>110511.17687500002</v>
      </c>
      <c r="CS56" s="5">
        <f t="shared" si="151"/>
        <v>1000</v>
      </c>
      <c r="CT56" s="2">
        <f t="shared" si="152"/>
        <v>100000</v>
      </c>
      <c r="CU56" s="2">
        <f t="shared" si="153"/>
        <v>100000</v>
      </c>
      <c r="CV56" s="2">
        <f t="shared" si="154"/>
        <v>116367.40575000001</v>
      </c>
      <c r="CW56" s="8">
        <f t="shared" si="138"/>
        <v>4.9000000000000002E-2</v>
      </c>
      <c r="CX56" s="2">
        <f t="shared" si="139"/>
        <v>117317.739563625</v>
      </c>
      <c r="CY56" s="2" t="str">
        <f t="shared" si="140"/>
        <v>nie</v>
      </c>
      <c r="CZ56" s="2">
        <f t="shared" si="53"/>
        <v>0</v>
      </c>
      <c r="DA56" s="2">
        <f t="shared" si="54"/>
        <v>0</v>
      </c>
      <c r="DB56" s="2">
        <f t="shared" si="55"/>
        <v>117317.739563625</v>
      </c>
      <c r="DC56" s="2">
        <f t="shared" si="141"/>
        <v>0</v>
      </c>
      <c r="DD56" s="2">
        <f t="shared" si="56"/>
        <v>352.04190862500002</v>
      </c>
      <c r="DE56" s="2">
        <f t="shared" si="57"/>
        <v>116965.697655</v>
      </c>
      <c r="DF56" s="2">
        <f t="shared" si="142"/>
        <v>3000</v>
      </c>
      <c r="DG56" s="2">
        <f t="shared" si="143"/>
        <v>2720.3705170887501</v>
      </c>
      <c r="DH56" s="2">
        <f t="shared" si="58"/>
        <v>111245.32713791124</v>
      </c>
    </row>
    <row r="57" spans="2:112">
      <c r="B57" s="232"/>
      <c r="C57" s="1">
        <f t="shared" si="102"/>
        <v>20</v>
      </c>
      <c r="D57" s="2">
        <f t="shared" si="105"/>
        <v>108326.73333333332</v>
      </c>
      <c r="E57" s="2">
        <f t="shared" si="106"/>
        <v>105934.65399999999</v>
      </c>
      <c r="F57" s="2">
        <f t="shared" si="107"/>
        <v>108365.33333333334</v>
      </c>
      <c r="G57" s="2">
        <f t="shared" si="108"/>
        <v>105071.68000000001</v>
      </c>
      <c r="H57" s="2">
        <f t="shared" si="109"/>
        <v>109204.50000000001</v>
      </c>
      <c r="I57" s="2">
        <f t="shared" si="110"/>
        <v>105025.64500000002</v>
      </c>
      <c r="J57" s="2">
        <f t="shared" si="103"/>
        <v>106253.53824035138</v>
      </c>
      <c r="K57" s="2">
        <f t="shared" si="104"/>
        <v>104889.4</v>
      </c>
      <c r="W57" s="1">
        <f t="shared" si="144"/>
        <v>39</v>
      </c>
      <c r="X57" s="2">
        <f t="shared" si="121"/>
        <v>109744.66075702498</v>
      </c>
      <c r="Y57" s="8">
        <f t="shared" ref="Y57:Y88" si="157">MAX(INDEX(scenariusz_I_WIBOR6M,MATCH(ROUNDUP(W57/12,0),scenariusz_I_rok,0)),0)</f>
        <v>4.3200000000000002E-2</v>
      </c>
      <c r="Z57" s="5">
        <f t="shared" si="145"/>
        <v>1149</v>
      </c>
      <c r="AA57" s="2">
        <f t="shared" si="146"/>
        <v>114785.1</v>
      </c>
      <c r="AB57" s="2">
        <f t="shared" si="37"/>
        <v>114900</v>
      </c>
      <c r="AC57" s="2">
        <f t="shared" si="147"/>
        <v>114900</v>
      </c>
      <c r="AD57" s="8">
        <f t="shared" si="122"/>
        <v>4.9000000000000002E-2</v>
      </c>
      <c r="AE57" s="2">
        <f t="shared" si="2"/>
        <v>116307.52500000001</v>
      </c>
      <c r="AF57" s="2" t="str">
        <f t="shared" si="123"/>
        <v>nie</v>
      </c>
      <c r="AG57" s="2">
        <f t="shared" si="124"/>
        <v>1149</v>
      </c>
      <c r="AH57" s="1">
        <f t="shared" si="79"/>
        <v>0</v>
      </c>
      <c r="AI57" s="1">
        <f t="shared" si="111"/>
        <v>0</v>
      </c>
      <c r="AJ57" s="1">
        <f t="shared" si="155"/>
        <v>0</v>
      </c>
      <c r="AK57" s="6"/>
      <c r="AL57" s="2">
        <f t="shared" si="90"/>
        <v>0</v>
      </c>
      <c r="AM57" s="8">
        <f t="shared" si="80"/>
        <v>4.9000000000000002E-2</v>
      </c>
      <c r="AN57" s="2">
        <f t="shared" si="91"/>
        <v>0</v>
      </c>
      <c r="AO57" s="2">
        <f t="shared" si="81"/>
        <v>0</v>
      </c>
      <c r="AP57" s="2">
        <f t="shared" si="119"/>
        <v>0</v>
      </c>
      <c r="AQ57" s="8">
        <f t="shared" si="112"/>
        <v>4.3200000000000002E-2</v>
      </c>
      <c r="AR57" s="2">
        <f t="shared" si="113"/>
        <v>0</v>
      </c>
      <c r="AS57" s="2">
        <f t="shared" si="114"/>
        <v>0</v>
      </c>
      <c r="AT57" s="2">
        <f t="shared" si="39"/>
        <v>0</v>
      </c>
      <c r="AU57" s="2">
        <f t="shared" si="92"/>
        <v>0</v>
      </c>
      <c r="AV57" s="2">
        <f t="shared" si="82"/>
        <v>8.7323199999809731</v>
      </c>
      <c r="AW57" s="1">
        <f t="shared" si="77"/>
        <v>0</v>
      </c>
      <c r="AX57" s="2">
        <f t="shared" si="125"/>
        <v>8.7323199999809731</v>
      </c>
      <c r="AY57" s="1">
        <f t="shared" si="83"/>
        <v>0</v>
      </c>
      <c r="AZ57" s="2">
        <f t="shared" si="40"/>
        <v>8.7323199999809731</v>
      </c>
      <c r="BA57" s="2">
        <f t="shared" si="93"/>
        <v>116316.25731999999</v>
      </c>
      <c r="BB57" s="2">
        <f t="shared" si="126"/>
        <v>0</v>
      </c>
      <c r="BC57" s="2">
        <f t="shared" si="41"/>
        <v>348.25490847999998</v>
      </c>
      <c r="BD57" s="2">
        <f t="shared" si="10"/>
        <v>115968.00241151999</v>
      </c>
      <c r="BE57" s="2">
        <f t="shared" si="42"/>
        <v>1149</v>
      </c>
      <c r="BF57" s="2">
        <f t="shared" si="11"/>
        <v>2881.778890799998</v>
      </c>
      <c r="BG57" s="2">
        <f t="shared" si="12"/>
        <v>111937.22352072</v>
      </c>
      <c r="BI57" s="8">
        <f t="shared" si="84"/>
        <v>2.9000000000000001E-2</v>
      </c>
      <c r="BJ57" s="5">
        <f t="shared" si="148"/>
        <v>1000</v>
      </c>
      <c r="BK57" s="2">
        <f t="shared" si="149"/>
        <v>100000</v>
      </c>
      <c r="BL57" s="2">
        <f t="shared" si="150"/>
        <v>100000</v>
      </c>
      <c r="BM57" s="2">
        <f t="shared" si="127"/>
        <v>100000</v>
      </c>
      <c r="BN57" s="8">
        <f t="shared" si="128"/>
        <v>4.3999999999999997E-2</v>
      </c>
      <c r="BO57" s="2">
        <f t="shared" si="129"/>
        <v>101099.99999999999</v>
      </c>
      <c r="BP57" s="2" t="str">
        <f t="shared" si="130"/>
        <v>nie</v>
      </c>
      <c r="BQ57" s="2">
        <f t="shared" si="131"/>
        <v>2000</v>
      </c>
      <c r="BR57" s="1">
        <f t="shared" si="85"/>
        <v>48</v>
      </c>
      <c r="BS57" s="1">
        <f t="shared" si="115"/>
        <v>47</v>
      </c>
      <c r="BT57" s="1">
        <f t="shared" si="156"/>
        <v>52</v>
      </c>
      <c r="BU57" s="6"/>
      <c r="BV57" s="2">
        <f t="shared" si="94"/>
        <v>4800</v>
      </c>
      <c r="BW57" s="8">
        <f t="shared" si="86"/>
        <v>5.2499999999999998E-2</v>
      </c>
      <c r="BX57" s="2">
        <f t="shared" si="95"/>
        <v>4863</v>
      </c>
      <c r="BY57" s="2">
        <f t="shared" si="87"/>
        <v>63</v>
      </c>
      <c r="BZ57" s="2">
        <f t="shared" si="120"/>
        <v>9900</v>
      </c>
      <c r="CA57" s="8">
        <f t="shared" si="116"/>
        <v>4.3999999999999997E-2</v>
      </c>
      <c r="CB57" s="2">
        <f t="shared" si="117"/>
        <v>10008.9</v>
      </c>
      <c r="CC57" s="2">
        <f t="shared" si="118"/>
        <v>198</v>
      </c>
      <c r="CD57" s="2">
        <f t="shared" si="132"/>
        <v>0</v>
      </c>
      <c r="CE57" s="2">
        <f t="shared" si="96"/>
        <v>0</v>
      </c>
      <c r="CF57" s="2">
        <f t="shared" si="97"/>
        <v>98.550000000000182</v>
      </c>
      <c r="CG57" s="1">
        <f t="shared" si="78"/>
        <v>0</v>
      </c>
      <c r="CH57" s="2">
        <f t="shared" si="133"/>
        <v>98.550000000000182</v>
      </c>
      <c r="CI57" s="1">
        <f t="shared" si="89"/>
        <v>0</v>
      </c>
      <c r="CJ57" s="2">
        <f t="shared" si="98"/>
        <v>98.550000000000182</v>
      </c>
      <c r="CK57" s="2">
        <f t="shared" si="99"/>
        <v>116070.44999999998</v>
      </c>
      <c r="CL57" s="2">
        <f t="shared" si="134"/>
        <v>0</v>
      </c>
      <c r="CM57" s="2">
        <f t="shared" si="47"/>
        <v>348.07462499999997</v>
      </c>
      <c r="CN57" s="2">
        <f t="shared" si="135"/>
        <v>115722.37537499999</v>
      </c>
      <c r="CO57" s="2">
        <f t="shared" si="48"/>
        <v>2261</v>
      </c>
      <c r="CP57" s="2">
        <f t="shared" si="136"/>
        <v>2623.7954999999965</v>
      </c>
      <c r="CQ57" s="2">
        <f t="shared" si="137"/>
        <v>110837.579875</v>
      </c>
      <c r="CS57" s="5">
        <f t="shared" si="151"/>
        <v>1000</v>
      </c>
      <c r="CT57" s="2">
        <f t="shared" si="152"/>
        <v>100000</v>
      </c>
      <c r="CU57" s="2">
        <f t="shared" si="153"/>
        <v>100000</v>
      </c>
      <c r="CV57" s="2">
        <f t="shared" si="154"/>
        <v>116367.40575000001</v>
      </c>
      <c r="CW57" s="8">
        <f t="shared" si="138"/>
        <v>4.9000000000000002E-2</v>
      </c>
      <c r="CX57" s="2">
        <f t="shared" si="139"/>
        <v>117792.90647043752</v>
      </c>
      <c r="CY57" s="2" t="str">
        <f t="shared" si="140"/>
        <v>nie</v>
      </c>
      <c r="CZ57" s="2">
        <f t="shared" si="53"/>
        <v>0</v>
      </c>
      <c r="DA57" s="2">
        <f t="shared" si="54"/>
        <v>0</v>
      </c>
      <c r="DB57" s="2">
        <f t="shared" si="55"/>
        <v>117792.90647043752</v>
      </c>
      <c r="DC57" s="2">
        <f t="shared" si="141"/>
        <v>0</v>
      </c>
      <c r="DD57" s="2">
        <f t="shared" si="56"/>
        <v>352.04190862500002</v>
      </c>
      <c r="DE57" s="2">
        <f t="shared" si="57"/>
        <v>117440.86456181252</v>
      </c>
      <c r="DF57" s="2">
        <f t="shared" si="142"/>
        <v>3000</v>
      </c>
      <c r="DG57" s="2">
        <f t="shared" si="143"/>
        <v>2810.6522293831285</v>
      </c>
      <c r="DH57" s="2">
        <f t="shared" si="58"/>
        <v>111630.21233242939</v>
      </c>
    </row>
    <row r="58" spans="2:112">
      <c r="B58" s="232"/>
      <c r="C58" s="1">
        <f t="shared" si="102"/>
        <v>21</v>
      </c>
      <c r="D58" s="2">
        <f t="shared" si="105"/>
        <v>108755.07500000001</v>
      </c>
      <c r="E58" s="2">
        <f t="shared" si="106"/>
        <v>106281.61075000001</v>
      </c>
      <c r="F58" s="2">
        <f t="shared" si="107"/>
        <v>108754.74999999999</v>
      </c>
      <c r="G58" s="2">
        <f t="shared" si="108"/>
        <v>105387.10749999998</v>
      </c>
      <c r="H58" s="2">
        <f t="shared" si="109"/>
        <v>109636.31250000001</v>
      </c>
      <c r="I58" s="2">
        <f t="shared" si="110"/>
        <v>105375.41312500001</v>
      </c>
      <c r="J58" s="2">
        <f t="shared" si="103"/>
        <v>106576.28336275645</v>
      </c>
      <c r="K58" s="2">
        <f t="shared" si="104"/>
        <v>105138.07499999998</v>
      </c>
      <c r="W58" s="1">
        <f t="shared" si="144"/>
        <v>40</v>
      </c>
      <c r="X58" s="2">
        <f t="shared" si="121"/>
        <v>110007.96804269998</v>
      </c>
      <c r="Y58" s="8">
        <f t="shared" si="157"/>
        <v>4.3200000000000002E-2</v>
      </c>
      <c r="Z58" s="5">
        <f t="shared" si="145"/>
        <v>1149</v>
      </c>
      <c r="AA58" s="2">
        <f t="shared" si="146"/>
        <v>114785.1</v>
      </c>
      <c r="AB58" s="2">
        <f t="shared" si="37"/>
        <v>114900</v>
      </c>
      <c r="AC58" s="2">
        <f t="shared" si="147"/>
        <v>114900</v>
      </c>
      <c r="AD58" s="8">
        <f t="shared" si="122"/>
        <v>4.9000000000000002E-2</v>
      </c>
      <c r="AE58" s="2">
        <f t="shared" si="2"/>
        <v>116776.7</v>
      </c>
      <c r="AF58" s="2" t="str">
        <f t="shared" si="123"/>
        <v>nie</v>
      </c>
      <c r="AG58" s="2">
        <f t="shared" si="124"/>
        <v>1149</v>
      </c>
      <c r="AH58" s="1">
        <f t="shared" si="79"/>
        <v>0</v>
      </c>
      <c r="AI58" s="1">
        <f t="shared" si="111"/>
        <v>0</v>
      </c>
      <c r="AJ58" s="1">
        <f t="shared" si="155"/>
        <v>0</v>
      </c>
      <c r="AK58" s="6"/>
      <c r="AL58" s="2">
        <f t="shared" si="90"/>
        <v>0</v>
      </c>
      <c r="AM58" s="8">
        <f t="shared" si="80"/>
        <v>4.9000000000000002E-2</v>
      </c>
      <c r="AN58" s="2">
        <f t="shared" si="91"/>
        <v>0</v>
      </c>
      <c r="AO58" s="2">
        <f t="shared" si="81"/>
        <v>0</v>
      </c>
      <c r="AP58" s="2">
        <f t="shared" si="119"/>
        <v>0</v>
      </c>
      <c r="AQ58" s="8">
        <f t="shared" si="112"/>
        <v>4.3200000000000002E-2</v>
      </c>
      <c r="AR58" s="2">
        <f t="shared" si="113"/>
        <v>0</v>
      </c>
      <c r="AS58" s="2">
        <f t="shared" si="114"/>
        <v>0</v>
      </c>
      <c r="AT58" s="2">
        <f t="shared" si="39"/>
        <v>0</v>
      </c>
      <c r="AU58" s="2">
        <f t="shared" si="92"/>
        <v>0</v>
      </c>
      <c r="AV58" s="2">
        <f t="shared" si="82"/>
        <v>8.7323199999809731</v>
      </c>
      <c r="AW58" s="1">
        <f t="shared" si="77"/>
        <v>0</v>
      </c>
      <c r="AX58" s="2">
        <f t="shared" si="125"/>
        <v>8.7323199999809731</v>
      </c>
      <c r="AY58" s="1">
        <f t="shared" si="83"/>
        <v>0</v>
      </c>
      <c r="AZ58" s="2">
        <f t="shared" si="40"/>
        <v>8.7323199999809731</v>
      </c>
      <c r="BA58" s="2">
        <f t="shared" si="93"/>
        <v>116785.43231999998</v>
      </c>
      <c r="BB58" s="2">
        <f t="shared" si="126"/>
        <v>0</v>
      </c>
      <c r="BC58" s="2">
        <f t="shared" si="41"/>
        <v>348.25490847999998</v>
      </c>
      <c r="BD58" s="2">
        <f t="shared" si="10"/>
        <v>116437.17741151998</v>
      </c>
      <c r="BE58" s="2">
        <f t="shared" si="42"/>
        <v>1149</v>
      </c>
      <c r="BF58" s="2">
        <f t="shared" si="11"/>
        <v>2970.9221407999958</v>
      </c>
      <c r="BG58" s="2">
        <f t="shared" si="12"/>
        <v>112317.25527071998</v>
      </c>
      <c r="BI58" s="8">
        <f t="shared" si="84"/>
        <v>2.9000000000000001E-2</v>
      </c>
      <c r="BJ58" s="5">
        <f t="shared" si="148"/>
        <v>1000</v>
      </c>
      <c r="BK58" s="2">
        <f t="shared" si="149"/>
        <v>100000</v>
      </c>
      <c r="BL58" s="2">
        <f t="shared" si="150"/>
        <v>100000</v>
      </c>
      <c r="BM58" s="2">
        <f t="shared" si="127"/>
        <v>100000</v>
      </c>
      <c r="BN58" s="8">
        <f t="shared" si="128"/>
        <v>4.3999999999999997E-2</v>
      </c>
      <c r="BO58" s="2">
        <f t="shared" si="129"/>
        <v>101466.66666666666</v>
      </c>
      <c r="BP58" s="2" t="str">
        <f t="shared" si="130"/>
        <v>nie</v>
      </c>
      <c r="BQ58" s="2">
        <f t="shared" si="131"/>
        <v>2000</v>
      </c>
      <c r="BR58" s="1">
        <f t="shared" si="85"/>
        <v>48</v>
      </c>
      <c r="BS58" s="1">
        <f t="shared" si="115"/>
        <v>47</v>
      </c>
      <c r="BT58" s="1">
        <f t="shared" si="156"/>
        <v>52</v>
      </c>
      <c r="BU58" s="6"/>
      <c r="BV58" s="2">
        <f t="shared" si="94"/>
        <v>4800</v>
      </c>
      <c r="BW58" s="8">
        <f t="shared" si="86"/>
        <v>5.2499999999999998E-2</v>
      </c>
      <c r="BX58" s="2">
        <f t="shared" si="95"/>
        <v>4884</v>
      </c>
      <c r="BY58" s="2">
        <f t="shared" si="87"/>
        <v>84</v>
      </c>
      <c r="BZ58" s="2">
        <f t="shared" si="120"/>
        <v>9900</v>
      </c>
      <c r="CA58" s="8">
        <f t="shared" si="116"/>
        <v>4.3999999999999997E-2</v>
      </c>
      <c r="CB58" s="2">
        <f t="shared" si="117"/>
        <v>10045.199999999999</v>
      </c>
      <c r="CC58" s="2">
        <f t="shared" si="118"/>
        <v>198</v>
      </c>
      <c r="CD58" s="2">
        <f t="shared" si="132"/>
        <v>0</v>
      </c>
      <c r="CE58" s="2">
        <f t="shared" si="96"/>
        <v>0</v>
      </c>
      <c r="CF58" s="2">
        <f t="shared" si="97"/>
        <v>98.550000000000182</v>
      </c>
      <c r="CG58" s="1">
        <f t="shared" si="78"/>
        <v>0</v>
      </c>
      <c r="CH58" s="2">
        <f t="shared" si="133"/>
        <v>98.550000000000182</v>
      </c>
      <c r="CI58" s="1">
        <f t="shared" si="89"/>
        <v>0</v>
      </c>
      <c r="CJ58" s="2">
        <f t="shared" si="98"/>
        <v>98.550000000000182</v>
      </c>
      <c r="CK58" s="2">
        <f t="shared" si="99"/>
        <v>116494.41666666666</v>
      </c>
      <c r="CL58" s="2">
        <f t="shared" si="134"/>
        <v>0</v>
      </c>
      <c r="CM58" s="2">
        <f t="shared" si="47"/>
        <v>348.07462499999997</v>
      </c>
      <c r="CN58" s="2">
        <f t="shared" si="135"/>
        <v>116146.34204166666</v>
      </c>
      <c r="CO58" s="2">
        <f t="shared" si="48"/>
        <v>2282</v>
      </c>
      <c r="CP58" s="2">
        <f t="shared" si="136"/>
        <v>2700.3591666666648</v>
      </c>
      <c r="CQ58" s="2">
        <f t="shared" si="137"/>
        <v>111163.982875</v>
      </c>
      <c r="CS58" s="5">
        <f t="shared" si="151"/>
        <v>1000</v>
      </c>
      <c r="CT58" s="2">
        <f t="shared" si="152"/>
        <v>100000</v>
      </c>
      <c r="CU58" s="2">
        <f t="shared" si="153"/>
        <v>100000</v>
      </c>
      <c r="CV58" s="2">
        <f t="shared" si="154"/>
        <v>116367.40575000001</v>
      </c>
      <c r="CW58" s="8">
        <f t="shared" si="138"/>
        <v>4.9000000000000002E-2</v>
      </c>
      <c r="CX58" s="2">
        <f t="shared" si="139"/>
        <v>118268.07337725001</v>
      </c>
      <c r="CY58" s="2" t="str">
        <f t="shared" si="140"/>
        <v>nie</v>
      </c>
      <c r="CZ58" s="2">
        <f t="shared" si="53"/>
        <v>0</v>
      </c>
      <c r="DA58" s="2">
        <f t="shared" si="54"/>
        <v>0</v>
      </c>
      <c r="DB58" s="2">
        <f t="shared" si="55"/>
        <v>118268.07337725001</v>
      </c>
      <c r="DC58" s="2">
        <f t="shared" si="141"/>
        <v>0</v>
      </c>
      <c r="DD58" s="2">
        <f t="shared" si="56"/>
        <v>352.04190862500002</v>
      </c>
      <c r="DE58" s="2">
        <f t="shared" si="57"/>
        <v>117916.03146862501</v>
      </c>
      <c r="DF58" s="2">
        <f t="shared" si="142"/>
        <v>3000</v>
      </c>
      <c r="DG58" s="2">
        <f t="shared" si="143"/>
        <v>2900.9339416775019</v>
      </c>
      <c r="DH58" s="2">
        <f t="shared" si="58"/>
        <v>112015.0975269475</v>
      </c>
    </row>
    <row r="59" spans="2:112">
      <c r="B59" s="232"/>
      <c r="C59" s="1">
        <f t="shared" si="102"/>
        <v>22</v>
      </c>
      <c r="D59" s="2">
        <f t="shared" si="105"/>
        <v>109183.41666666666</v>
      </c>
      <c r="E59" s="2">
        <f t="shared" si="106"/>
        <v>106628.56749999999</v>
      </c>
      <c r="F59" s="2">
        <f t="shared" si="107"/>
        <v>109144.16666666666</v>
      </c>
      <c r="G59" s="2">
        <f t="shared" si="108"/>
        <v>105702.53499999999</v>
      </c>
      <c r="H59" s="2">
        <f t="shared" si="109"/>
        <v>110068.12500000001</v>
      </c>
      <c r="I59" s="2">
        <f t="shared" si="110"/>
        <v>105725.18125000001</v>
      </c>
      <c r="J59" s="2">
        <f t="shared" si="103"/>
        <v>106900.00882347082</v>
      </c>
      <c r="K59" s="2">
        <f t="shared" si="104"/>
        <v>105386.74999999999</v>
      </c>
      <c r="W59" s="1">
        <f t="shared" si="144"/>
        <v>41</v>
      </c>
      <c r="X59" s="2">
        <f t="shared" si="121"/>
        <v>110271.27532837499</v>
      </c>
      <c r="Y59" s="8">
        <f t="shared" si="157"/>
        <v>4.3200000000000002E-2</v>
      </c>
      <c r="Z59" s="5">
        <f t="shared" si="145"/>
        <v>1149</v>
      </c>
      <c r="AA59" s="2">
        <f t="shared" si="146"/>
        <v>114785.1</v>
      </c>
      <c r="AB59" s="2">
        <f t="shared" si="37"/>
        <v>114900</v>
      </c>
      <c r="AC59" s="2">
        <f t="shared" si="147"/>
        <v>114900</v>
      </c>
      <c r="AD59" s="8">
        <f t="shared" si="122"/>
        <v>4.9000000000000002E-2</v>
      </c>
      <c r="AE59" s="2">
        <f t="shared" si="2"/>
        <v>117245.87500000001</v>
      </c>
      <c r="AF59" s="2" t="str">
        <f t="shared" si="123"/>
        <v>nie</v>
      </c>
      <c r="AG59" s="2">
        <f t="shared" si="124"/>
        <v>1149</v>
      </c>
      <c r="AH59" s="1">
        <f t="shared" si="79"/>
        <v>0</v>
      </c>
      <c r="AI59" s="1">
        <f t="shared" si="111"/>
        <v>0</v>
      </c>
      <c r="AJ59" s="1">
        <f t="shared" si="155"/>
        <v>0</v>
      </c>
      <c r="AK59" s="6"/>
      <c r="AL59" s="2">
        <f t="shared" si="90"/>
        <v>0</v>
      </c>
      <c r="AM59" s="8">
        <f t="shared" si="80"/>
        <v>4.9000000000000002E-2</v>
      </c>
      <c r="AN59" s="2">
        <f t="shared" si="91"/>
        <v>0</v>
      </c>
      <c r="AO59" s="2">
        <f t="shared" si="81"/>
        <v>0</v>
      </c>
      <c r="AP59" s="2">
        <f t="shared" si="119"/>
        <v>0</v>
      </c>
      <c r="AQ59" s="8">
        <f t="shared" si="112"/>
        <v>4.3200000000000002E-2</v>
      </c>
      <c r="AR59" s="2">
        <f t="shared" si="113"/>
        <v>0</v>
      </c>
      <c r="AS59" s="2">
        <f t="shared" si="114"/>
        <v>0</v>
      </c>
      <c r="AT59" s="2">
        <f t="shared" si="39"/>
        <v>0</v>
      </c>
      <c r="AU59" s="2">
        <f t="shared" si="92"/>
        <v>0</v>
      </c>
      <c r="AV59" s="2">
        <f t="shared" si="82"/>
        <v>8.7323199999809731</v>
      </c>
      <c r="AW59" s="1">
        <f t="shared" si="77"/>
        <v>0</v>
      </c>
      <c r="AX59" s="2">
        <f t="shared" si="125"/>
        <v>8.7323199999809731</v>
      </c>
      <c r="AY59" s="1">
        <f t="shared" si="83"/>
        <v>0</v>
      </c>
      <c r="AZ59" s="2">
        <f t="shared" si="40"/>
        <v>8.7323199999809731</v>
      </c>
      <c r="BA59" s="2">
        <f t="shared" si="93"/>
        <v>117254.60732</v>
      </c>
      <c r="BB59" s="2">
        <f t="shared" si="126"/>
        <v>0</v>
      </c>
      <c r="BC59" s="2">
        <f t="shared" si="41"/>
        <v>348.25490847999998</v>
      </c>
      <c r="BD59" s="2">
        <f t="shared" si="10"/>
        <v>116906.35241152</v>
      </c>
      <c r="BE59" s="2">
        <f t="shared" si="42"/>
        <v>1149</v>
      </c>
      <c r="BF59" s="2">
        <f t="shared" si="11"/>
        <v>3060.065390799999</v>
      </c>
      <c r="BG59" s="2">
        <f t="shared" si="12"/>
        <v>112697.28702072</v>
      </c>
      <c r="BI59" s="8">
        <f t="shared" si="84"/>
        <v>2.9000000000000001E-2</v>
      </c>
      <c r="BJ59" s="5">
        <f t="shared" si="148"/>
        <v>1000</v>
      </c>
      <c r="BK59" s="2">
        <f t="shared" si="149"/>
        <v>100000</v>
      </c>
      <c r="BL59" s="2">
        <f t="shared" si="150"/>
        <v>100000</v>
      </c>
      <c r="BM59" s="2">
        <f t="shared" si="127"/>
        <v>100000</v>
      </c>
      <c r="BN59" s="8">
        <f t="shared" si="128"/>
        <v>4.3999999999999997E-2</v>
      </c>
      <c r="BO59" s="2">
        <f t="shared" si="129"/>
        <v>101833.33333333333</v>
      </c>
      <c r="BP59" s="2" t="str">
        <f t="shared" si="130"/>
        <v>nie</v>
      </c>
      <c r="BQ59" s="2">
        <f t="shared" si="131"/>
        <v>2000</v>
      </c>
      <c r="BR59" s="1">
        <f t="shared" si="85"/>
        <v>48</v>
      </c>
      <c r="BS59" s="1">
        <f t="shared" si="115"/>
        <v>47</v>
      </c>
      <c r="BT59" s="1">
        <f t="shared" si="156"/>
        <v>52</v>
      </c>
      <c r="BU59" s="6"/>
      <c r="BV59" s="2">
        <f t="shared" si="94"/>
        <v>4800</v>
      </c>
      <c r="BW59" s="8">
        <f t="shared" si="86"/>
        <v>5.2499999999999998E-2</v>
      </c>
      <c r="BX59" s="2">
        <f t="shared" si="95"/>
        <v>4905</v>
      </c>
      <c r="BY59" s="2">
        <f t="shared" si="87"/>
        <v>96</v>
      </c>
      <c r="BZ59" s="2">
        <f t="shared" si="120"/>
        <v>9900</v>
      </c>
      <c r="CA59" s="8">
        <f t="shared" si="116"/>
        <v>4.3999999999999997E-2</v>
      </c>
      <c r="CB59" s="2">
        <f t="shared" si="117"/>
        <v>10081.5</v>
      </c>
      <c r="CC59" s="2">
        <f t="shared" si="118"/>
        <v>198</v>
      </c>
      <c r="CD59" s="2">
        <f t="shared" si="132"/>
        <v>0</v>
      </c>
      <c r="CE59" s="2">
        <f t="shared" si="96"/>
        <v>0</v>
      </c>
      <c r="CF59" s="2">
        <f t="shared" si="97"/>
        <v>98.550000000000182</v>
      </c>
      <c r="CG59" s="1">
        <f t="shared" si="78"/>
        <v>0</v>
      </c>
      <c r="CH59" s="2">
        <f t="shared" si="133"/>
        <v>98.550000000000182</v>
      </c>
      <c r="CI59" s="1">
        <f t="shared" si="89"/>
        <v>0</v>
      </c>
      <c r="CJ59" s="2">
        <f t="shared" si="98"/>
        <v>98.550000000000182</v>
      </c>
      <c r="CK59" s="2">
        <f t="shared" si="99"/>
        <v>116918.38333333333</v>
      </c>
      <c r="CL59" s="2">
        <f t="shared" si="134"/>
        <v>0</v>
      </c>
      <c r="CM59" s="2">
        <f t="shared" si="47"/>
        <v>348.07462499999997</v>
      </c>
      <c r="CN59" s="2">
        <f t="shared" si="135"/>
        <v>116570.30870833334</v>
      </c>
      <c r="CO59" s="2">
        <f t="shared" si="48"/>
        <v>2294</v>
      </c>
      <c r="CP59" s="2">
        <f t="shared" si="136"/>
        <v>2778.6328333333331</v>
      </c>
      <c r="CQ59" s="2">
        <f t="shared" si="137"/>
        <v>111497.675875</v>
      </c>
      <c r="CS59" s="5">
        <f t="shared" si="151"/>
        <v>1000</v>
      </c>
      <c r="CT59" s="2">
        <f t="shared" si="152"/>
        <v>100000</v>
      </c>
      <c r="CU59" s="2">
        <f t="shared" si="153"/>
        <v>100000</v>
      </c>
      <c r="CV59" s="2">
        <f t="shared" si="154"/>
        <v>116367.40575000001</v>
      </c>
      <c r="CW59" s="8">
        <f t="shared" si="138"/>
        <v>4.9000000000000002E-2</v>
      </c>
      <c r="CX59" s="2">
        <f t="shared" si="139"/>
        <v>118743.24028406251</v>
      </c>
      <c r="CY59" s="2" t="str">
        <f t="shared" si="140"/>
        <v>nie</v>
      </c>
      <c r="CZ59" s="2">
        <f t="shared" si="53"/>
        <v>0</v>
      </c>
      <c r="DA59" s="2">
        <f t="shared" si="54"/>
        <v>0</v>
      </c>
      <c r="DB59" s="2">
        <f t="shared" si="55"/>
        <v>118743.24028406251</v>
      </c>
      <c r="DC59" s="2">
        <f t="shared" si="141"/>
        <v>0</v>
      </c>
      <c r="DD59" s="2">
        <f t="shared" si="56"/>
        <v>352.04190862500002</v>
      </c>
      <c r="DE59" s="2">
        <f t="shared" si="57"/>
        <v>118391.19837543751</v>
      </c>
      <c r="DF59" s="2">
        <f t="shared" si="142"/>
        <v>3000</v>
      </c>
      <c r="DG59" s="2">
        <f t="shared" si="143"/>
        <v>2991.2156539718776</v>
      </c>
      <c r="DH59" s="2">
        <f t="shared" si="58"/>
        <v>112399.98272146564</v>
      </c>
    </row>
    <row r="60" spans="2:112">
      <c r="B60" s="233"/>
      <c r="C60" s="1">
        <f t="shared" si="102"/>
        <v>23</v>
      </c>
      <c r="D60" s="2">
        <f t="shared" si="105"/>
        <v>109611.75833333333</v>
      </c>
      <c r="E60" s="2">
        <f t="shared" si="106"/>
        <v>106975.52425</v>
      </c>
      <c r="F60" s="2">
        <f t="shared" si="107"/>
        <v>109533.58333333333</v>
      </c>
      <c r="G60" s="2">
        <f t="shared" si="108"/>
        <v>106017.96249999999</v>
      </c>
      <c r="H60" s="2">
        <f t="shared" si="109"/>
        <v>110499.93750000001</v>
      </c>
      <c r="I60" s="2">
        <f t="shared" si="110"/>
        <v>106074.94937500001</v>
      </c>
      <c r="J60" s="2">
        <f t="shared" si="103"/>
        <v>107224.71760027212</v>
      </c>
      <c r="K60" s="2">
        <f t="shared" si="104"/>
        <v>105635.42499999999</v>
      </c>
      <c r="W60" s="1">
        <f t="shared" si="144"/>
        <v>42</v>
      </c>
      <c r="X60" s="2">
        <f t="shared" si="121"/>
        <v>110534.58261404997</v>
      </c>
      <c r="Y60" s="8">
        <f t="shared" si="157"/>
        <v>4.3200000000000002E-2</v>
      </c>
      <c r="Z60" s="5">
        <f t="shared" si="145"/>
        <v>1149</v>
      </c>
      <c r="AA60" s="2">
        <f t="shared" si="146"/>
        <v>114785.1</v>
      </c>
      <c r="AB60" s="2">
        <f t="shared" si="37"/>
        <v>114900</v>
      </c>
      <c r="AC60" s="2">
        <f t="shared" si="147"/>
        <v>114900</v>
      </c>
      <c r="AD60" s="8">
        <f t="shared" si="122"/>
        <v>4.9000000000000002E-2</v>
      </c>
      <c r="AE60" s="2">
        <f t="shared" si="2"/>
        <v>117715.05</v>
      </c>
      <c r="AF60" s="2" t="str">
        <f t="shared" si="123"/>
        <v>nie</v>
      </c>
      <c r="AG60" s="2">
        <f t="shared" si="124"/>
        <v>1149</v>
      </c>
      <c r="AH60" s="1">
        <f t="shared" si="79"/>
        <v>0</v>
      </c>
      <c r="AI60" s="1">
        <f t="shared" si="111"/>
        <v>0</v>
      </c>
      <c r="AJ60" s="1">
        <f t="shared" si="155"/>
        <v>0</v>
      </c>
      <c r="AK60" s="6"/>
      <c r="AL60" s="2">
        <f t="shared" si="90"/>
        <v>0</v>
      </c>
      <c r="AM60" s="8">
        <f t="shared" si="80"/>
        <v>4.9000000000000002E-2</v>
      </c>
      <c r="AN60" s="2">
        <f t="shared" si="91"/>
        <v>0</v>
      </c>
      <c r="AO60" s="2">
        <f t="shared" si="81"/>
        <v>0</v>
      </c>
      <c r="AP60" s="2">
        <f t="shared" si="119"/>
        <v>0</v>
      </c>
      <c r="AQ60" s="8">
        <f t="shared" si="112"/>
        <v>4.3200000000000002E-2</v>
      </c>
      <c r="AR60" s="2">
        <f t="shared" si="113"/>
        <v>0</v>
      </c>
      <c r="AS60" s="2">
        <f t="shared" si="114"/>
        <v>0</v>
      </c>
      <c r="AT60" s="2">
        <f t="shared" si="39"/>
        <v>0</v>
      </c>
      <c r="AU60" s="2">
        <f t="shared" si="92"/>
        <v>0</v>
      </c>
      <c r="AV60" s="2">
        <f t="shared" si="82"/>
        <v>8.7323199999809731</v>
      </c>
      <c r="AW60" s="1">
        <f t="shared" si="77"/>
        <v>0</v>
      </c>
      <c r="AX60" s="2">
        <f t="shared" si="125"/>
        <v>8.7323199999809731</v>
      </c>
      <c r="AY60" s="1">
        <f t="shared" si="83"/>
        <v>0</v>
      </c>
      <c r="AZ60" s="2">
        <f t="shared" si="40"/>
        <v>8.7323199999809731</v>
      </c>
      <c r="BA60" s="2">
        <f t="shared" si="93"/>
        <v>117723.78231999998</v>
      </c>
      <c r="BB60" s="2">
        <f t="shared" si="126"/>
        <v>0</v>
      </c>
      <c r="BC60" s="2">
        <f t="shared" si="41"/>
        <v>348.25490847999998</v>
      </c>
      <c r="BD60" s="2">
        <f t="shared" si="10"/>
        <v>117375.52741151999</v>
      </c>
      <c r="BE60" s="2">
        <f t="shared" si="42"/>
        <v>1149</v>
      </c>
      <c r="BF60" s="2">
        <f t="shared" si="11"/>
        <v>3149.2086407999968</v>
      </c>
      <c r="BG60" s="2">
        <f t="shared" si="12"/>
        <v>113077.31877071998</v>
      </c>
      <c r="BI60" s="8">
        <f t="shared" si="84"/>
        <v>2.9000000000000001E-2</v>
      </c>
      <c r="BJ60" s="5">
        <f t="shared" si="148"/>
        <v>1000</v>
      </c>
      <c r="BK60" s="2">
        <f t="shared" si="149"/>
        <v>100000</v>
      </c>
      <c r="BL60" s="2">
        <f t="shared" si="150"/>
        <v>100000</v>
      </c>
      <c r="BM60" s="2">
        <f t="shared" si="127"/>
        <v>100000</v>
      </c>
      <c r="BN60" s="8">
        <f t="shared" si="128"/>
        <v>4.3999999999999997E-2</v>
      </c>
      <c r="BO60" s="2">
        <f t="shared" si="129"/>
        <v>102200</v>
      </c>
      <c r="BP60" s="2" t="str">
        <f t="shared" si="130"/>
        <v>nie</v>
      </c>
      <c r="BQ60" s="2">
        <f t="shared" si="131"/>
        <v>2000</v>
      </c>
      <c r="BR60" s="1">
        <f t="shared" si="85"/>
        <v>48</v>
      </c>
      <c r="BS60" s="1">
        <f t="shared" si="115"/>
        <v>47</v>
      </c>
      <c r="BT60" s="1">
        <f t="shared" si="156"/>
        <v>52</v>
      </c>
      <c r="BU60" s="6"/>
      <c r="BV60" s="2">
        <f t="shared" si="94"/>
        <v>4800</v>
      </c>
      <c r="BW60" s="8">
        <f t="shared" si="86"/>
        <v>5.2499999999999998E-2</v>
      </c>
      <c r="BX60" s="2">
        <f t="shared" si="95"/>
        <v>4926.0000000000009</v>
      </c>
      <c r="BY60" s="2">
        <f t="shared" si="87"/>
        <v>96</v>
      </c>
      <c r="BZ60" s="2">
        <f t="shared" si="120"/>
        <v>9900</v>
      </c>
      <c r="CA60" s="8">
        <f t="shared" si="116"/>
        <v>4.3999999999999997E-2</v>
      </c>
      <c r="CB60" s="2">
        <f t="shared" si="117"/>
        <v>10117.800000000001</v>
      </c>
      <c r="CC60" s="2">
        <f t="shared" si="118"/>
        <v>198</v>
      </c>
      <c r="CD60" s="2">
        <f t="shared" si="132"/>
        <v>0</v>
      </c>
      <c r="CE60" s="2">
        <f t="shared" si="96"/>
        <v>0</v>
      </c>
      <c r="CF60" s="2">
        <f t="shared" si="97"/>
        <v>98.550000000000182</v>
      </c>
      <c r="CG60" s="1">
        <f t="shared" si="78"/>
        <v>0</v>
      </c>
      <c r="CH60" s="2">
        <f t="shared" si="133"/>
        <v>98.550000000000182</v>
      </c>
      <c r="CI60" s="1">
        <f t="shared" si="89"/>
        <v>0</v>
      </c>
      <c r="CJ60" s="2">
        <f t="shared" si="98"/>
        <v>98.550000000000182</v>
      </c>
      <c r="CK60" s="2">
        <f t="shared" si="99"/>
        <v>117342.35</v>
      </c>
      <c r="CL60" s="2">
        <f t="shared" si="134"/>
        <v>0</v>
      </c>
      <c r="CM60" s="2">
        <f t="shared" si="47"/>
        <v>348.07462499999997</v>
      </c>
      <c r="CN60" s="2">
        <f t="shared" si="135"/>
        <v>116994.27537500001</v>
      </c>
      <c r="CO60" s="2">
        <f t="shared" si="48"/>
        <v>2294</v>
      </c>
      <c r="CP60" s="2">
        <f t="shared" si="136"/>
        <v>2859.1865000000012</v>
      </c>
      <c r="CQ60" s="2">
        <f t="shared" si="137"/>
        <v>111841.08887500002</v>
      </c>
      <c r="CS60" s="5">
        <f t="shared" si="151"/>
        <v>1000</v>
      </c>
      <c r="CT60" s="2">
        <f t="shared" si="152"/>
        <v>100000</v>
      </c>
      <c r="CU60" s="2">
        <f t="shared" si="153"/>
        <v>100000</v>
      </c>
      <c r="CV60" s="2">
        <f t="shared" si="154"/>
        <v>116367.40575000001</v>
      </c>
      <c r="CW60" s="8">
        <f t="shared" si="138"/>
        <v>4.9000000000000002E-2</v>
      </c>
      <c r="CX60" s="2">
        <f t="shared" si="139"/>
        <v>119218.407190875</v>
      </c>
      <c r="CY60" s="2" t="str">
        <f t="shared" si="140"/>
        <v>nie</v>
      </c>
      <c r="CZ60" s="2">
        <f t="shared" si="53"/>
        <v>0</v>
      </c>
      <c r="DA60" s="2">
        <f t="shared" si="54"/>
        <v>0</v>
      </c>
      <c r="DB60" s="2">
        <f t="shared" si="55"/>
        <v>119218.407190875</v>
      </c>
      <c r="DC60" s="2">
        <f t="shared" si="141"/>
        <v>0</v>
      </c>
      <c r="DD60" s="2">
        <f t="shared" si="56"/>
        <v>352.04190862500002</v>
      </c>
      <c r="DE60" s="2">
        <f t="shared" si="57"/>
        <v>118866.36528225</v>
      </c>
      <c r="DF60" s="2">
        <f t="shared" si="142"/>
        <v>3000</v>
      </c>
      <c r="DG60" s="2">
        <f t="shared" si="143"/>
        <v>3081.497366266251</v>
      </c>
      <c r="DH60" s="2">
        <f t="shared" si="58"/>
        <v>112784.86791598375</v>
      </c>
    </row>
    <row r="61" spans="2:112">
      <c r="B61" s="231">
        <f>ROUNDUP(C62/12,0)</f>
        <v>3</v>
      </c>
      <c r="C61" s="3">
        <f t="shared" si="102"/>
        <v>24</v>
      </c>
      <c r="D61" s="10">
        <f t="shared" si="105"/>
        <v>109864.03584</v>
      </c>
      <c r="E61" s="10">
        <f t="shared" si="106"/>
        <v>107146.41684000001</v>
      </c>
      <c r="F61" s="10">
        <f t="shared" si="107"/>
        <v>109747.1232</v>
      </c>
      <c r="G61" s="10">
        <f t="shared" si="108"/>
        <v>106157.5132</v>
      </c>
      <c r="H61" s="10">
        <f t="shared" si="109"/>
        <v>110754.25920000001</v>
      </c>
      <c r="I61" s="10">
        <f t="shared" si="110"/>
        <v>106247.22670000001</v>
      </c>
      <c r="J61" s="10">
        <f t="shared" si="103"/>
        <v>107550.41267998295</v>
      </c>
      <c r="K61" s="10">
        <f t="shared" si="104"/>
        <v>105884.09999999999</v>
      </c>
      <c r="W61" s="1">
        <f t="shared" si="144"/>
        <v>43</v>
      </c>
      <c r="X61" s="2">
        <f t="shared" si="121"/>
        <v>110797.88989972498</v>
      </c>
      <c r="Y61" s="8">
        <f t="shared" si="157"/>
        <v>4.3200000000000002E-2</v>
      </c>
      <c r="Z61" s="5">
        <f t="shared" si="145"/>
        <v>1149</v>
      </c>
      <c r="AA61" s="2">
        <f t="shared" si="146"/>
        <v>114785.1</v>
      </c>
      <c r="AB61" s="2">
        <f t="shared" si="37"/>
        <v>114900</v>
      </c>
      <c r="AC61" s="2">
        <f t="shared" si="147"/>
        <v>114900</v>
      </c>
      <c r="AD61" s="8">
        <f t="shared" si="122"/>
        <v>4.9000000000000002E-2</v>
      </c>
      <c r="AE61" s="2">
        <f t="shared" si="2"/>
        <v>118184.22500000001</v>
      </c>
      <c r="AF61" s="2" t="str">
        <f t="shared" si="123"/>
        <v>nie</v>
      </c>
      <c r="AG61" s="2">
        <f t="shared" si="124"/>
        <v>1149</v>
      </c>
      <c r="AH61" s="1">
        <f t="shared" si="79"/>
        <v>0</v>
      </c>
      <c r="AI61" s="1">
        <f t="shared" si="111"/>
        <v>0</v>
      </c>
      <c r="AJ61" s="1">
        <f t="shared" si="155"/>
        <v>0</v>
      </c>
      <c r="AK61" s="6"/>
      <c r="AL61" s="2">
        <f t="shared" si="90"/>
        <v>0</v>
      </c>
      <c r="AM61" s="8">
        <f t="shared" si="80"/>
        <v>4.9000000000000002E-2</v>
      </c>
      <c r="AN61" s="2">
        <f t="shared" si="91"/>
        <v>0</v>
      </c>
      <c r="AO61" s="2">
        <f t="shared" si="81"/>
        <v>0</v>
      </c>
      <c r="AP61" s="2">
        <f t="shared" si="119"/>
        <v>0</v>
      </c>
      <c r="AQ61" s="8">
        <f t="shared" si="112"/>
        <v>4.3200000000000002E-2</v>
      </c>
      <c r="AR61" s="2">
        <f t="shared" si="113"/>
        <v>0</v>
      </c>
      <c r="AS61" s="2">
        <f t="shared" si="114"/>
        <v>0</v>
      </c>
      <c r="AT61" s="2">
        <f t="shared" si="39"/>
        <v>0</v>
      </c>
      <c r="AU61" s="2">
        <f t="shared" si="92"/>
        <v>0</v>
      </c>
      <c r="AV61" s="2">
        <f t="shared" si="82"/>
        <v>8.7323199999809731</v>
      </c>
      <c r="AW61" s="1">
        <f t="shared" si="77"/>
        <v>0</v>
      </c>
      <c r="AX61" s="2">
        <f t="shared" si="125"/>
        <v>8.7323199999809731</v>
      </c>
      <c r="AY61" s="1">
        <f t="shared" si="83"/>
        <v>0</v>
      </c>
      <c r="AZ61" s="2">
        <f t="shared" si="40"/>
        <v>8.7323199999809731</v>
      </c>
      <c r="BA61" s="2">
        <f t="shared" si="93"/>
        <v>118192.95731999999</v>
      </c>
      <c r="BB61" s="2">
        <f t="shared" si="126"/>
        <v>0</v>
      </c>
      <c r="BC61" s="2">
        <f t="shared" si="41"/>
        <v>348.25490847999998</v>
      </c>
      <c r="BD61" s="2">
        <f t="shared" si="10"/>
        <v>117844.70241151999</v>
      </c>
      <c r="BE61" s="2">
        <f t="shared" si="42"/>
        <v>1149</v>
      </c>
      <c r="BF61" s="2">
        <f t="shared" si="11"/>
        <v>3238.3518907999974</v>
      </c>
      <c r="BG61" s="2">
        <f t="shared" si="12"/>
        <v>113457.35052071999</v>
      </c>
      <c r="BI61" s="8">
        <f t="shared" si="84"/>
        <v>2.9000000000000001E-2</v>
      </c>
      <c r="BJ61" s="5">
        <f t="shared" si="148"/>
        <v>1000</v>
      </c>
      <c r="BK61" s="2">
        <f t="shared" si="149"/>
        <v>100000</v>
      </c>
      <c r="BL61" s="2">
        <f t="shared" si="150"/>
        <v>100000</v>
      </c>
      <c r="BM61" s="2">
        <f t="shared" si="127"/>
        <v>100000</v>
      </c>
      <c r="BN61" s="8">
        <f t="shared" si="128"/>
        <v>4.3999999999999997E-2</v>
      </c>
      <c r="BO61" s="2">
        <f t="shared" si="129"/>
        <v>102566.66666666667</v>
      </c>
      <c r="BP61" s="2" t="str">
        <f t="shared" si="130"/>
        <v>nie</v>
      </c>
      <c r="BQ61" s="2">
        <f t="shared" si="131"/>
        <v>2000</v>
      </c>
      <c r="BR61" s="1">
        <f t="shared" si="85"/>
        <v>48</v>
      </c>
      <c r="BS61" s="1">
        <f t="shared" si="115"/>
        <v>47</v>
      </c>
      <c r="BT61" s="1">
        <f t="shared" si="156"/>
        <v>52</v>
      </c>
      <c r="BU61" s="6"/>
      <c r="BV61" s="2">
        <f t="shared" si="94"/>
        <v>4800</v>
      </c>
      <c r="BW61" s="8">
        <f t="shared" si="86"/>
        <v>5.2499999999999998E-2</v>
      </c>
      <c r="BX61" s="2">
        <f t="shared" si="95"/>
        <v>4946.9999999999991</v>
      </c>
      <c r="BY61" s="2">
        <f t="shared" si="87"/>
        <v>96</v>
      </c>
      <c r="BZ61" s="2">
        <f t="shared" si="120"/>
        <v>9900</v>
      </c>
      <c r="CA61" s="8">
        <f t="shared" si="116"/>
        <v>4.3999999999999997E-2</v>
      </c>
      <c r="CB61" s="2">
        <f t="shared" si="117"/>
        <v>10154.1</v>
      </c>
      <c r="CC61" s="2">
        <f t="shared" si="118"/>
        <v>198</v>
      </c>
      <c r="CD61" s="2">
        <f t="shared" si="132"/>
        <v>0</v>
      </c>
      <c r="CE61" s="2">
        <f t="shared" si="96"/>
        <v>0</v>
      </c>
      <c r="CF61" s="2">
        <f t="shared" si="97"/>
        <v>98.550000000000182</v>
      </c>
      <c r="CG61" s="1">
        <f t="shared" si="78"/>
        <v>0</v>
      </c>
      <c r="CH61" s="2">
        <f t="shared" si="133"/>
        <v>98.550000000000182</v>
      </c>
      <c r="CI61" s="1">
        <f t="shared" si="89"/>
        <v>0</v>
      </c>
      <c r="CJ61" s="2">
        <f t="shared" si="98"/>
        <v>98.550000000000182</v>
      </c>
      <c r="CK61" s="2">
        <f t="shared" si="99"/>
        <v>117766.31666666668</v>
      </c>
      <c r="CL61" s="2">
        <f t="shared" si="134"/>
        <v>0</v>
      </c>
      <c r="CM61" s="2">
        <f t="shared" si="47"/>
        <v>348.07462499999997</v>
      </c>
      <c r="CN61" s="2">
        <f t="shared" si="135"/>
        <v>117418.24204166669</v>
      </c>
      <c r="CO61" s="2">
        <f t="shared" si="48"/>
        <v>2294</v>
      </c>
      <c r="CP61" s="2">
        <f t="shared" si="136"/>
        <v>2939.7401666666692</v>
      </c>
      <c r="CQ61" s="2">
        <f t="shared" si="137"/>
        <v>112184.50187500002</v>
      </c>
      <c r="CS61" s="5">
        <f t="shared" si="151"/>
        <v>1000</v>
      </c>
      <c r="CT61" s="2">
        <f t="shared" si="152"/>
        <v>100000</v>
      </c>
      <c r="CU61" s="2">
        <f t="shared" si="153"/>
        <v>100000</v>
      </c>
      <c r="CV61" s="2">
        <f t="shared" si="154"/>
        <v>116367.40575000001</v>
      </c>
      <c r="CW61" s="8">
        <f t="shared" si="138"/>
        <v>4.9000000000000002E-2</v>
      </c>
      <c r="CX61" s="2">
        <f t="shared" si="139"/>
        <v>119693.57409768751</v>
      </c>
      <c r="CY61" s="2" t="str">
        <f t="shared" si="140"/>
        <v>nie</v>
      </c>
      <c r="CZ61" s="2">
        <f t="shared" si="53"/>
        <v>0</v>
      </c>
      <c r="DA61" s="2">
        <f t="shared" si="54"/>
        <v>0</v>
      </c>
      <c r="DB61" s="2">
        <f t="shared" si="55"/>
        <v>119693.57409768751</v>
      </c>
      <c r="DC61" s="2">
        <f t="shared" si="141"/>
        <v>0</v>
      </c>
      <c r="DD61" s="2">
        <f t="shared" si="56"/>
        <v>352.04190862500002</v>
      </c>
      <c r="DE61" s="2">
        <f t="shared" si="57"/>
        <v>119341.53218906251</v>
      </c>
      <c r="DF61" s="2">
        <f t="shared" si="142"/>
        <v>3000</v>
      </c>
      <c r="DG61" s="2">
        <f t="shared" si="143"/>
        <v>3171.7790785606267</v>
      </c>
      <c r="DH61" s="2">
        <f t="shared" si="58"/>
        <v>113169.75311050189</v>
      </c>
    </row>
    <row r="62" spans="2:112">
      <c r="B62" s="232"/>
      <c r="C62" s="1">
        <f t="shared" si="102"/>
        <v>25</v>
      </c>
      <c r="D62" s="2">
        <f t="shared" si="105"/>
        <v>110313.36624833335</v>
      </c>
      <c r="E62" s="2">
        <f t="shared" si="106"/>
        <v>107510.37447075002</v>
      </c>
      <c r="F62" s="2">
        <f t="shared" si="107"/>
        <v>110153.41903333334</v>
      </c>
      <c r="G62" s="2">
        <f t="shared" si="108"/>
        <v>106469.9572</v>
      </c>
      <c r="H62" s="2">
        <f t="shared" si="109"/>
        <v>111207.23051250003</v>
      </c>
      <c r="I62" s="2">
        <f t="shared" si="110"/>
        <v>106614.13346312502</v>
      </c>
      <c r="J62" s="2">
        <f t="shared" si="103"/>
        <v>107877.0970584984</v>
      </c>
      <c r="K62" s="2">
        <f t="shared" si="104"/>
        <v>106139.986575</v>
      </c>
      <c r="W62" s="1">
        <f t="shared" si="144"/>
        <v>44</v>
      </c>
      <c r="X62" s="2">
        <f t="shared" si="121"/>
        <v>111061.19718539999</v>
      </c>
      <c r="Y62" s="8">
        <f t="shared" si="157"/>
        <v>4.3200000000000002E-2</v>
      </c>
      <c r="Z62" s="5">
        <f t="shared" si="145"/>
        <v>1149</v>
      </c>
      <c r="AA62" s="2">
        <f t="shared" si="146"/>
        <v>114785.1</v>
      </c>
      <c r="AB62" s="2">
        <f t="shared" si="37"/>
        <v>114900</v>
      </c>
      <c r="AC62" s="2">
        <f t="shared" si="147"/>
        <v>114900</v>
      </c>
      <c r="AD62" s="8">
        <f t="shared" si="122"/>
        <v>4.9000000000000002E-2</v>
      </c>
      <c r="AE62" s="2">
        <f t="shared" si="2"/>
        <v>118653.4</v>
      </c>
      <c r="AF62" s="2" t="str">
        <f t="shared" si="123"/>
        <v>nie</v>
      </c>
      <c r="AG62" s="2">
        <f t="shared" si="124"/>
        <v>1149</v>
      </c>
      <c r="AH62" s="1">
        <f t="shared" si="79"/>
        <v>0</v>
      </c>
      <c r="AI62" s="1">
        <f t="shared" si="111"/>
        <v>0</v>
      </c>
      <c r="AJ62" s="1">
        <f t="shared" si="155"/>
        <v>0</v>
      </c>
      <c r="AK62" s="6"/>
      <c r="AL62" s="2">
        <f t="shared" si="90"/>
        <v>0</v>
      </c>
      <c r="AM62" s="8">
        <f t="shared" si="80"/>
        <v>4.9000000000000002E-2</v>
      </c>
      <c r="AN62" s="2">
        <f t="shared" si="91"/>
        <v>0</v>
      </c>
      <c r="AO62" s="2">
        <f t="shared" si="81"/>
        <v>0</v>
      </c>
      <c r="AP62" s="2">
        <f t="shared" si="119"/>
        <v>0</v>
      </c>
      <c r="AQ62" s="8">
        <f t="shared" si="112"/>
        <v>4.3200000000000002E-2</v>
      </c>
      <c r="AR62" s="2">
        <f t="shared" si="113"/>
        <v>0</v>
      </c>
      <c r="AS62" s="2">
        <f t="shared" si="114"/>
        <v>0</v>
      </c>
      <c r="AT62" s="2">
        <f t="shared" si="39"/>
        <v>0</v>
      </c>
      <c r="AU62" s="2">
        <f t="shared" si="92"/>
        <v>0</v>
      </c>
      <c r="AV62" s="2">
        <f t="shared" si="82"/>
        <v>8.7323199999809731</v>
      </c>
      <c r="AW62" s="1">
        <f t="shared" ref="AW62:AW93" si="158">IF(AT62&lt;&gt;0,MIN(IF(AK62&lt;&gt;"",AK62,0),ROUNDDOWN(AV62/zamiana_TOS,0)),0)</f>
        <v>0</v>
      </c>
      <c r="AX62" s="2">
        <f t="shared" si="125"/>
        <v>8.7323199999809731</v>
      </c>
      <c r="AY62" s="1">
        <f t="shared" si="83"/>
        <v>0</v>
      </c>
      <c r="AZ62" s="2">
        <f t="shared" si="40"/>
        <v>8.7323199999809731</v>
      </c>
      <c r="BA62" s="2">
        <f t="shared" si="93"/>
        <v>118662.13231999998</v>
      </c>
      <c r="BB62" s="2">
        <f t="shared" si="126"/>
        <v>0</v>
      </c>
      <c r="BC62" s="2">
        <f t="shared" si="41"/>
        <v>348.25490847999998</v>
      </c>
      <c r="BD62" s="2">
        <f t="shared" si="10"/>
        <v>118313.87741151998</v>
      </c>
      <c r="BE62" s="2">
        <f t="shared" si="42"/>
        <v>1149</v>
      </c>
      <c r="BF62" s="2">
        <f t="shared" si="11"/>
        <v>3327.4951407999952</v>
      </c>
      <c r="BG62" s="2">
        <f t="shared" si="12"/>
        <v>113837.38227071999</v>
      </c>
      <c r="BI62" s="8">
        <f t="shared" si="84"/>
        <v>2.9000000000000001E-2</v>
      </c>
      <c r="BJ62" s="5">
        <f t="shared" si="148"/>
        <v>1000</v>
      </c>
      <c r="BK62" s="2">
        <f t="shared" si="149"/>
        <v>100000</v>
      </c>
      <c r="BL62" s="2">
        <f t="shared" si="150"/>
        <v>100000</v>
      </c>
      <c r="BM62" s="2">
        <f t="shared" si="127"/>
        <v>100000</v>
      </c>
      <c r="BN62" s="8">
        <f t="shared" si="128"/>
        <v>4.3999999999999997E-2</v>
      </c>
      <c r="BO62" s="2">
        <f t="shared" si="129"/>
        <v>102933.33333333334</v>
      </c>
      <c r="BP62" s="2" t="str">
        <f t="shared" si="130"/>
        <v>nie</v>
      </c>
      <c r="BQ62" s="2">
        <f t="shared" si="131"/>
        <v>2000</v>
      </c>
      <c r="BR62" s="1">
        <f t="shared" si="85"/>
        <v>48</v>
      </c>
      <c r="BS62" s="1">
        <f t="shared" si="115"/>
        <v>47</v>
      </c>
      <c r="BT62" s="1">
        <f t="shared" si="156"/>
        <v>52</v>
      </c>
      <c r="BU62" s="6"/>
      <c r="BV62" s="2">
        <f t="shared" si="94"/>
        <v>4800</v>
      </c>
      <c r="BW62" s="8">
        <f t="shared" si="86"/>
        <v>5.2499999999999998E-2</v>
      </c>
      <c r="BX62" s="2">
        <f t="shared" si="95"/>
        <v>4968</v>
      </c>
      <c r="BY62" s="2">
        <f t="shared" si="87"/>
        <v>96</v>
      </c>
      <c r="BZ62" s="2">
        <f t="shared" si="120"/>
        <v>9900</v>
      </c>
      <c r="CA62" s="8">
        <f t="shared" si="116"/>
        <v>4.3999999999999997E-2</v>
      </c>
      <c r="CB62" s="2">
        <f t="shared" si="117"/>
        <v>10190.400000000001</v>
      </c>
      <c r="CC62" s="2">
        <f t="shared" si="118"/>
        <v>198</v>
      </c>
      <c r="CD62" s="2">
        <f t="shared" si="132"/>
        <v>0</v>
      </c>
      <c r="CE62" s="2">
        <f t="shared" si="96"/>
        <v>0</v>
      </c>
      <c r="CF62" s="2">
        <f t="shared" si="97"/>
        <v>98.550000000000182</v>
      </c>
      <c r="CG62" s="1">
        <f t="shared" ref="CG62:CG93" si="159">IF(CD62&lt;&gt;0,MIN(IF(BU62&lt;&gt;"",BU62,0),ROUNDDOWN(CF62/zamiana_COI,0)),0)</f>
        <v>0</v>
      </c>
      <c r="CH62" s="2">
        <f t="shared" si="133"/>
        <v>98.550000000000182</v>
      </c>
      <c r="CI62" s="1">
        <f t="shared" si="89"/>
        <v>0</v>
      </c>
      <c r="CJ62" s="2">
        <f t="shared" si="98"/>
        <v>98.550000000000182</v>
      </c>
      <c r="CK62" s="2">
        <f t="shared" si="99"/>
        <v>118190.28333333334</v>
      </c>
      <c r="CL62" s="2">
        <f t="shared" si="134"/>
        <v>0</v>
      </c>
      <c r="CM62" s="2">
        <f t="shared" si="47"/>
        <v>348.07462499999997</v>
      </c>
      <c r="CN62" s="2">
        <f t="shared" si="135"/>
        <v>117842.20870833335</v>
      </c>
      <c r="CO62" s="2">
        <f t="shared" si="48"/>
        <v>2294</v>
      </c>
      <c r="CP62" s="2">
        <f t="shared" si="136"/>
        <v>3020.2938333333345</v>
      </c>
      <c r="CQ62" s="2">
        <f t="shared" si="137"/>
        <v>112527.91487500002</v>
      </c>
      <c r="CS62" s="5">
        <f t="shared" si="151"/>
        <v>1000</v>
      </c>
      <c r="CT62" s="2">
        <f t="shared" si="152"/>
        <v>100000</v>
      </c>
      <c r="CU62" s="2">
        <f t="shared" si="153"/>
        <v>100000</v>
      </c>
      <c r="CV62" s="2">
        <f t="shared" si="154"/>
        <v>116367.40575000001</v>
      </c>
      <c r="CW62" s="8">
        <f t="shared" si="138"/>
        <v>4.9000000000000002E-2</v>
      </c>
      <c r="CX62" s="2">
        <f t="shared" si="139"/>
        <v>120168.7410045</v>
      </c>
      <c r="CY62" s="2" t="str">
        <f t="shared" si="140"/>
        <v>nie</v>
      </c>
      <c r="CZ62" s="2">
        <f t="shared" si="53"/>
        <v>0</v>
      </c>
      <c r="DA62" s="2">
        <f t="shared" si="54"/>
        <v>0</v>
      </c>
      <c r="DB62" s="2">
        <f t="shared" si="55"/>
        <v>120168.7410045</v>
      </c>
      <c r="DC62" s="2">
        <f t="shared" si="141"/>
        <v>0</v>
      </c>
      <c r="DD62" s="2">
        <f t="shared" si="56"/>
        <v>352.04190862500002</v>
      </c>
      <c r="DE62" s="2">
        <f t="shared" si="57"/>
        <v>119816.699095875</v>
      </c>
      <c r="DF62" s="2">
        <f t="shared" si="142"/>
        <v>3000</v>
      </c>
      <c r="DG62" s="2">
        <f t="shared" si="143"/>
        <v>3262.0607908550001</v>
      </c>
      <c r="DH62" s="2">
        <f t="shared" si="58"/>
        <v>113554.63830501999</v>
      </c>
    </row>
    <row r="63" spans="2:112">
      <c r="B63" s="232"/>
      <c r="C63" s="1">
        <f t="shared" si="102"/>
        <v>26</v>
      </c>
      <c r="D63" s="2">
        <f t="shared" si="105"/>
        <v>110762.69665666667</v>
      </c>
      <c r="E63" s="2">
        <f t="shared" si="106"/>
        <v>107874.3321015</v>
      </c>
      <c r="F63" s="2">
        <f t="shared" si="107"/>
        <v>110559.71486666668</v>
      </c>
      <c r="G63" s="2">
        <f t="shared" si="108"/>
        <v>106782.40120000001</v>
      </c>
      <c r="H63" s="2">
        <f t="shared" si="109"/>
        <v>111660.20182500001</v>
      </c>
      <c r="I63" s="2">
        <f t="shared" si="110"/>
        <v>106981.04022625001</v>
      </c>
      <c r="J63" s="2">
        <f t="shared" si="103"/>
        <v>108204.77374081359</v>
      </c>
      <c r="K63" s="2">
        <f t="shared" si="104"/>
        <v>106395.87314999998</v>
      </c>
      <c r="W63" s="1">
        <f t="shared" si="144"/>
        <v>45</v>
      </c>
      <c r="X63" s="2">
        <f t="shared" si="121"/>
        <v>111324.50447107498</v>
      </c>
      <c r="Y63" s="8">
        <f t="shared" si="157"/>
        <v>4.3200000000000002E-2</v>
      </c>
      <c r="Z63" s="5">
        <f t="shared" si="145"/>
        <v>1149</v>
      </c>
      <c r="AA63" s="2">
        <f t="shared" si="146"/>
        <v>114785.1</v>
      </c>
      <c r="AB63" s="2">
        <f t="shared" si="37"/>
        <v>114900</v>
      </c>
      <c r="AC63" s="2">
        <f t="shared" si="147"/>
        <v>114900</v>
      </c>
      <c r="AD63" s="8">
        <f t="shared" si="122"/>
        <v>4.9000000000000002E-2</v>
      </c>
      <c r="AE63" s="2">
        <f t="shared" si="2"/>
        <v>119122.57500000001</v>
      </c>
      <c r="AF63" s="2" t="str">
        <f t="shared" si="123"/>
        <v>nie</v>
      </c>
      <c r="AG63" s="2">
        <f t="shared" si="124"/>
        <v>1149</v>
      </c>
      <c r="AH63" s="1">
        <f t="shared" si="79"/>
        <v>0</v>
      </c>
      <c r="AI63" s="1">
        <f t="shared" si="111"/>
        <v>0</v>
      </c>
      <c r="AJ63" s="1">
        <f t="shared" si="155"/>
        <v>0</v>
      </c>
      <c r="AK63" s="6"/>
      <c r="AL63" s="2">
        <f t="shared" si="90"/>
        <v>0</v>
      </c>
      <c r="AM63" s="8">
        <f t="shared" ref="AM63:AM94" si="160">proc_I_okres_TOS</f>
        <v>4.9000000000000002E-2</v>
      </c>
      <c r="AN63" s="2">
        <f t="shared" si="91"/>
        <v>0</v>
      </c>
      <c r="AO63" s="2">
        <f t="shared" ref="AO63:AO94" si="161">MIN(AH63*koszt_wczesniejszy_wykup_TOS,AN63-AL63)</f>
        <v>0</v>
      </c>
      <c r="AP63" s="2">
        <f t="shared" si="119"/>
        <v>0</v>
      </c>
      <c r="AQ63" s="8">
        <f t="shared" si="112"/>
        <v>4.3200000000000002E-2</v>
      </c>
      <c r="AR63" s="2">
        <f t="shared" si="113"/>
        <v>0</v>
      </c>
      <c r="AS63" s="2">
        <f t="shared" si="114"/>
        <v>0</v>
      </c>
      <c r="AT63" s="2">
        <f t="shared" si="39"/>
        <v>0</v>
      </c>
      <c r="AU63" s="2">
        <f t="shared" si="92"/>
        <v>0</v>
      </c>
      <c r="AV63" s="2">
        <f t="shared" si="82"/>
        <v>8.7323199999809731</v>
      </c>
      <c r="AW63" s="1">
        <f t="shared" si="158"/>
        <v>0</v>
      </c>
      <c r="AX63" s="2">
        <f t="shared" si="125"/>
        <v>8.7323199999809731</v>
      </c>
      <c r="AY63" s="1">
        <f t="shared" si="83"/>
        <v>0</v>
      </c>
      <c r="AZ63" s="2">
        <f t="shared" si="40"/>
        <v>8.7323199999809731</v>
      </c>
      <c r="BA63" s="2">
        <f t="shared" si="93"/>
        <v>119131.30731999999</v>
      </c>
      <c r="BB63" s="2">
        <f t="shared" si="126"/>
        <v>0</v>
      </c>
      <c r="BC63" s="2">
        <f t="shared" si="41"/>
        <v>348.25490847999998</v>
      </c>
      <c r="BD63" s="2">
        <f t="shared" si="10"/>
        <v>118783.05241152</v>
      </c>
      <c r="BE63" s="2">
        <f t="shared" si="42"/>
        <v>1149</v>
      </c>
      <c r="BF63" s="2">
        <f t="shared" si="11"/>
        <v>3416.6383907999984</v>
      </c>
      <c r="BG63" s="2">
        <f t="shared" si="12"/>
        <v>114217.41402072</v>
      </c>
      <c r="BI63" s="8">
        <f t="shared" ref="BI63:BI94" si="162">MAX(INDEX(scenariusz_I_inflacja,MATCH(ROUNDUP(W63/12,0)-1,scenariusz_I_rok,0)),0)</f>
        <v>2.9000000000000001E-2</v>
      </c>
      <c r="BJ63" s="5">
        <f t="shared" si="148"/>
        <v>1000</v>
      </c>
      <c r="BK63" s="2">
        <f t="shared" si="149"/>
        <v>100000</v>
      </c>
      <c r="BL63" s="2">
        <f t="shared" si="150"/>
        <v>100000</v>
      </c>
      <c r="BM63" s="2">
        <f t="shared" si="127"/>
        <v>100000</v>
      </c>
      <c r="BN63" s="8">
        <f t="shared" si="128"/>
        <v>4.3999999999999997E-2</v>
      </c>
      <c r="BO63" s="2">
        <f t="shared" si="129"/>
        <v>103299.99999999999</v>
      </c>
      <c r="BP63" s="2" t="str">
        <f t="shared" si="130"/>
        <v>nie</v>
      </c>
      <c r="BQ63" s="2">
        <f t="shared" si="131"/>
        <v>2000</v>
      </c>
      <c r="BR63" s="1">
        <f t="shared" ref="BR63:BR94" si="163">IF(CD62&lt;&gt;0,CG62+CI62,BR62)</f>
        <v>48</v>
      </c>
      <c r="BS63" s="1">
        <f t="shared" si="115"/>
        <v>47</v>
      </c>
      <c r="BT63" s="1">
        <f t="shared" si="156"/>
        <v>52</v>
      </c>
      <c r="BU63" s="6"/>
      <c r="BV63" s="2">
        <f t="shared" si="94"/>
        <v>4800</v>
      </c>
      <c r="BW63" s="8">
        <f t="shared" ref="BW63:BW94" si="164">proc_I_okres_COI</f>
        <v>5.2499999999999998E-2</v>
      </c>
      <c r="BX63" s="2">
        <f t="shared" si="95"/>
        <v>4989</v>
      </c>
      <c r="BY63" s="2">
        <f t="shared" ref="BY63:BY94" si="165">MIN(BR63*koszt_wczesniejszy_wykup_COI,BX63-BV63)</f>
        <v>96</v>
      </c>
      <c r="BZ63" s="2">
        <f t="shared" si="120"/>
        <v>9900</v>
      </c>
      <c r="CA63" s="8">
        <f t="shared" si="116"/>
        <v>4.3999999999999997E-2</v>
      </c>
      <c r="CB63" s="2">
        <f t="shared" si="117"/>
        <v>10226.699999999999</v>
      </c>
      <c r="CC63" s="2">
        <f t="shared" si="118"/>
        <v>198</v>
      </c>
      <c r="CD63" s="2">
        <f t="shared" si="132"/>
        <v>0</v>
      </c>
      <c r="CE63" s="2">
        <f t="shared" si="96"/>
        <v>0</v>
      </c>
      <c r="CF63" s="2">
        <f t="shared" si="97"/>
        <v>98.550000000000182</v>
      </c>
      <c r="CG63" s="1">
        <f t="shared" si="159"/>
        <v>0</v>
      </c>
      <c r="CH63" s="2">
        <f t="shared" si="133"/>
        <v>98.550000000000182</v>
      </c>
      <c r="CI63" s="1">
        <f t="shared" si="89"/>
        <v>0</v>
      </c>
      <c r="CJ63" s="2">
        <f t="shared" si="98"/>
        <v>98.550000000000182</v>
      </c>
      <c r="CK63" s="2">
        <f t="shared" si="99"/>
        <v>118614.24999999999</v>
      </c>
      <c r="CL63" s="2">
        <f t="shared" si="134"/>
        <v>0</v>
      </c>
      <c r="CM63" s="2">
        <f t="shared" si="47"/>
        <v>348.07462499999997</v>
      </c>
      <c r="CN63" s="2">
        <f t="shared" si="135"/>
        <v>118266.17537499999</v>
      </c>
      <c r="CO63" s="2">
        <f t="shared" si="48"/>
        <v>2294</v>
      </c>
      <c r="CP63" s="2">
        <f t="shared" si="136"/>
        <v>3100.8474999999971</v>
      </c>
      <c r="CQ63" s="2">
        <f t="shared" si="137"/>
        <v>112871.32787499999</v>
      </c>
      <c r="CS63" s="5">
        <f t="shared" si="151"/>
        <v>1000</v>
      </c>
      <c r="CT63" s="2">
        <f t="shared" si="152"/>
        <v>100000</v>
      </c>
      <c r="CU63" s="2">
        <f t="shared" si="153"/>
        <v>100000</v>
      </c>
      <c r="CV63" s="2">
        <f t="shared" si="154"/>
        <v>116367.40575000001</v>
      </c>
      <c r="CW63" s="8">
        <f t="shared" si="138"/>
        <v>4.9000000000000002E-2</v>
      </c>
      <c r="CX63" s="2">
        <f t="shared" si="139"/>
        <v>120643.90791131252</v>
      </c>
      <c r="CY63" s="2" t="str">
        <f t="shared" si="140"/>
        <v>nie</v>
      </c>
      <c r="CZ63" s="2">
        <f t="shared" si="53"/>
        <v>0</v>
      </c>
      <c r="DA63" s="2">
        <f t="shared" si="54"/>
        <v>0</v>
      </c>
      <c r="DB63" s="2">
        <f t="shared" si="55"/>
        <v>120643.90791131252</v>
      </c>
      <c r="DC63" s="2">
        <f t="shared" si="141"/>
        <v>0</v>
      </c>
      <c r="DD63" s="2">
        <f t="shared" si="56"/>
        <v>352.04190862500002</v>
      </c>
      <c r="DE63" s="2">
        <f t="shared" si="57"/>
        <v>120291.86600268751</v>
      </c>
      <c r="DF63" s="2">
        <f t="shared" si="142"/>
        <v>3000</v>
      </c>
      <c r="DG63" s="2">
        <f t="shared" si="143"/>
        <v>3352.3425031493784</v>
      </c>
      <c r="DH63" s="2">
        <f t="shared" si="58"/>
        <v>113939.52349953813</v>
      </c>
    </row>
    <row r="64" spans="2:112">
      <c r="B64" s="232"/>
      <c r="C64" s="1">
        <f t="shared" si="102"/>
        <v>27</v>
      </c>
      <c r="D64" s="2">
        <f t="shared" si="105"/>
        <v>111212.027065</v>
      </c>
      <c r="E64" s="2">
        <f t="shared" si="106"/>
        <v>108238.28973225001</v>
      </c>
      <c r="F64" s="2">
        <f t="shared" si="107"/>
        <v>110966.01069999998</v>
      </c>
      <c r="G64" s="2">
        <f t="shared" si="108"/>
        <v>107094.84519999998</v>
      </c>
      <c r="H64" s="2">
        <f t="shared" si="109"/>
        <v>112113.17313750002</v>
      </c>
      <c r="I64" s="2">
        <f t="shared" si="110"/>
        <v>107347.94698937502</v>
      </c>
      <c r="J64" s="2">
        <f t="shared" si="103"/>
        <v>108533.44574105131</v>
      </c>
      <c r="K64" s="2">
        <f t="shared" si="104"/>
        <v>106651.75972499998</v>
      </c>
      <c r="W64" s="1">
        <f t="shared" si="144"/>
        <v>46</v>
      </c>
      <c r="X64" s="2">
        <f t="shared" si="121"/>
        <v>111587.81175674999</v>
      </c>
      <c r="Y64" s="8">
        <f t="shared" si="157"/>
        <v>4.3200000000000002E-2</v>
      </c>
      <c r="Z64" s="5">
        <f t="shared" si="145"/>
        <v>1149</v>
      </c>
      <c r="AA64" s="2">
        <f t="shared" si="146"/>
        <v>114785.1</v>
      </c>
      <c r="AB64" s="2">
        <f t="shared" si="37"/>
        <v>114900</v>
      </c>
      <c r="AC64" s="2">
        <f t="shared" si="147"/>
        <v>114900</v>
      </c>
      <c r="AD64" s="8">
        <f t="shared" si="122"/>
        <v>4.9000000000000002E-2</v>
      </c>
      <c r="AE64" s="2">
        <f t="shared" si="2"/>
        <v>119591.75</v>
      </c>
      <c r="AF64" s="2" t="str">
        <f t="shared" si="123"/>
        <v>nie</v>
      </c>
      <c r="AG64" s="2">
        <f t="shared" si="124"/>
        <v>1149</v>
      </c>
      <c r="AH64" s="1">
        <f t="shared" si="79"/>
        <v>0</v>
      </c>
      <c r="AI64" s="1">
        <f t="shared" si="111"/>
        <v>0</v>
      </c>
      <c r="AJ64" s="1">
        <f t="shared" si="155"/>
        <v>0</v>
      </c>
      <c r="AK64" s="6"/>
      <c r="AL64" s="2">
        <f t="shared" si="90"/>
        <v>0</v>
      </c>
      <c r="AM64" s="8">
        <f t="shared" si="160"/>
        <v>4.9000000000000002E-2</v>
      </c>
      <c r="AN64" s="2">
        <f t="shared" si="91"/>
        <v>0</v>
      </c>
      <c r="AO64" s="2">
        <f t="shared" si="161"/>
        <v>0</v>
      </c>
      <c r="AP64" s="2">
        <f t="shared" si="119"/>
        <v>0</v>
      </c>
      <c r="AQ64" s="8">
        <f t="shared" si="112"/>
        <v>4.3200000000000002E-2</v>
      </c>
      <c r="AR64" s="2">
        <f t="shared" si="113"/>
        <v>0</v>
      </c>
      <c r="AS64" s="2">
        <f t="shared" si="114"/>
        <v>0</v>
      </c>
      <c r="AT64" s="2">
        <f t="shared" si="39"/>
        <v>0</v>
      </c>
      <c r="AU64" s="2">
        <f t="shared" si="92"/>
        <v>0</v>
      </c>
      <c r="AV64" s="2">
        <f t="shared" si="82"/>
        <v>8.7323199999809731</v>
      </c>
      <c r="AW64" s="1">
        <f t="shared" si="158"/>
        <v>0</v>
      </c>
      <c r="AX64" s="2">
        <f t="shared" si="125"/>
        <v>8.7323199999809731</v>
      </c>
      <c r="AY64" s="1">
        <f t="shared" si="83"/>
        <v>0</v>
      </c>
      <c r="AZ64" s="2">
        <f t="shared" si="40"/>
        <v>8.7323199999809731</v>
      </c>
      <c r="BA64" s="2">
        <f t="shared" si="93"/>
        <v>119600.48231999998</v>
      </c>
      <c r="BB64" s="2">
        <f t="shared" si="126"/>
        <v>0</v>
      </c>
      <c r="BC64" s="2">
        <f t="shared" si="41"/>
        <v>348.25490847999998</v>
      </c>
      <c r="BD64" s="2">
        <f t="shared" si="10"/>
        <v>119252.22741151998</v>
      </c>
      <c r="BE64" s="2">
        <f t="shared" si="42"/>
        <v>1149</v>
      </c>
      <c r="BF64" s="2">
        <f t="shared" si="11"/>
        <v>3505.7816407999962</v>
      </c>
      <c r="BG64" s="2">
        <f t="shared" si="12"/>
        <v>114597.44577071999</v>
      </c>
      <c r="BI64" s="8">
        <f t="shared" si="162"/>
        <v>2.9000000000000001E-2</v>
      </c>
      <c r="BJ64" s="5">
        <f t="shared" si="148"/>
        <v>1000</v>
      </c>
      <c r="BK64" s="2">
        <f t="shared" si="149"/>
        <v>100000</v>
      </c>
      <c r="BL64" s="2">
        <f t="shared" si="150"/>
        <v>100000</v>
      </c>
      <c r="BM64" s="2">
        <f t="shared" si="127"/>
        <v>100000</v>
      </c>
      <c r="BN64" s="8">
        <f t="shared" si="128"/>
        <v>4.3999999999999997E-2</v>
      </c>
      <c r="BO64" s="2">
        <f t="shared" si="129"/>
        <v>103666.66666666666</v>
      </c>
      <c r="BP64" s="2" t="str">
        <f t="shared" si="130"/>
        <v>nie</v>
      </c>
      <c r="BQ64" s="2">
        <f t="shared" si="131"/>
        <v>2000</v>
      </c>
      <c r="BR64" s="1">
        <f t="shared" si="163"/>
        <v>48</v>
      </c>
      <c r="BS64" s="1">
        <f t="shared" si="115"/>
        <v>47</v>
      </c>
      <c r="BT64" s="1">
        <f t="shared" si="156"/>
        <v>52</v>
      </c>
      <c r="BU64" s="6"/>
      <c r="BV64" s="2">
        <f t="shared" si="94"/>
        <v>4800</v>
      </c>
      <c r="BW64" s="8">
        <f t="shared" si="164"/>
        <v>5.2499999999999998E-2</v>
      </c>
      <c r="BX64" s="2">
        <f t="shared" si="95"/>
        <v>5010</v>
      </c>
      <c r="BY64" s="2">
        <f t="shared" si="165"/>
        <v>96</v>
      </c>
      <c r="BZ64" s="2">
        <f t="shared" si="120"/>
        <v>9900</v>
      </c>
      <c r="CA64" s="8">
        <f t="shared" si="116"/>
        <v>4.3999999999999997E-2</v>
      </c>
      <c r="CB64" s="2">
        <f t="shared" si="117"/>
        <v>10263</v>
      </c>
      <c r="CC64" s="2">
        <f t="shared" si="118"/>
        <v>198</v>
      </c>
      <c r="CD64" s="2">
        <f t="shared" si="132"/>
        <v>0</v>
      </c>
      <c r="CE64" s="2">
        <f t="shared" si="96"/>
        <v>0</v>
      </c>
      <c r="CF64" s="2">
        <f t="shared" si="97"/>
        <v>98.550000000000182</v>
      </c>
      <c r="CG64" s="1">
        <f t="shared" si="159"/>
        <v>0</v>
      </c>
      <c r="CH64" s="2">
        <f t="shared" si="133"/>
        <v>98.550000000000182</v>
      </c>
      <c r="CI64" s="1">
        <f t="shared" si="89"/>
        <v>0</v>
      </c>
      <c r="CJ64" s="2">
        <f t="shared" si="98"/>
        <v>98.550000000000182</v>
      </c>
      <c r="CK64" s="2">
        <f t="shared" si="99"/>
        <v>119038.21666666666</v>
      </c>
      <c r="CL64" s="2">
        <f t="shared" si="134"/>
        <v>0</v>
      </c>
      <c r="CM64" s="2">
        <f t="shared" si="47"/>
        <v>348.07462499999997</v>
      </c>
      <c r="CN64" s="2">
        <f t="shared" si="135"/>
        <v>118690.14204166667</v>
      </c>
      <c r="CO64" s="2">
        <f t="shared" si="48"/>
        <v>2294</v>
      </c>
      <c r="CP64" s="2">
        <f t="shared" si="136"/>
        <v>3181.4011666666656</v>
      </c>
      <c r="CQ64" s="2">
        <f t="shared" si="137"/>
        <v>113214.740875</v>
      </c>
      <c r="CS64" s="5">
        <f t="shared" si="151"/>
        <v>1000</v>
      </c>
      <c r="CT64" s="2">
        <f t="shared" si="152"/>
        <v>100000</v>
      </c>
      <c r="CU64" s="2">
        <f t="shared" si="153"/>
        <v>100000</v>
      </c>
      <c r="CV64" s="2">
        <f t="shared" si="154"/>
        <v>116367.40575000001</v>
      </c>
      <c r="CW64" s="8">
        <f t="shared" si="138"/>
        <v>4.9000000000000002E-2</v>
      </c>
      <c r="CX64" s="2">
        <f t="shared" si="139"/>
        <v>121119.07481812499</v>
      </c>
      <c r="CY64" s="2" t="str">
        <f t="shared" si="140"/>
        <v>nie</v>
      </c>
      <c r="CZ64" s="2">
        <f t="shared" si="53"/>
        <v>0</v>
      </c>
      <c r="DA64" s="2">
        <f t="shared" si="54"/>
        <v>0</v>
      </c>
      <c r="DB64" s="2">
        <f t="shared" si="55"/>
        <v>121119.07481812499</v>
      </c>
      <c r="DC64" s="2">
        <f t="shared" si="141"/>
        <v>0</v>
      </c>
      <c r="DD64" s="2">
        <f t="shared" si="56"/>
        <v>352.04190862500002</v>
      </c>
      <c r="DE64" s="2">
        <f t="shared" si="57"/>
        <v>120767.03290949999</v>
      </c>
      <c r="DF64" s="2">
        <f t="shared" si="142"/>
        <v>3000</v>
      </c>
      <c r="DG64" s="2">
        <f t="shared" si="143"/>
        <v>3442.6242154437491</v>
      </c>
      <c r="DH64" s="2">
        <f t="shared" si="58"/>
        <v>114324.40869405624</v>
      </c>
    </row>
    <row r="65" spans="2:115">
      <c r="B65" s="232"/>
      <c r="C65" s="1">
        <f t="shared" si="102"/>
        <v>28</v>
      </c>
      <c r="D65" s="2">
        <f t="shared" si="105"/>
        <v>111661.35747333332</v>
      </c>
      <c r="E65" s="2">
        <f t="shared" si="106"/>
        <v>108602.24736299999</v>
      </c>
      <c r="F65" s="2">
        <f t="shared" si="107"/>
        <v>111372.30653333332</v>
      </c>
      <c r="G65" s="2">
        <f t="shared" si="108"/>
        <v>107407.28919999998</v>
      </c>
      <c r="H65" s="2">
        <f t="shared" si="109"/>
        <v>112566.14445000001</v>
      </c>
      <c r="I65" s="2">
        <f t="shared" si="110"/>
        <v>107714.8537525</v>
      </c>
      <c r="J65" s="2">
        <f t="shared" si="103"/>
        <v>108863.11608248975</v>
      </c>
      <c r="K65" s="2">
        <f t="shared" si="104"/>
        <v>106907.64629999999</v>
      </c>
      <c r="W65" s="1">
        <f t="shared" si="144"/>
        <v>47</v>
      </c>
      <c r="X65" s="2">
        <f t="shared" si="121"/>
        <v>111851.11904242499</v>
      </c>
      <c r="Y65" s="8">
        <f t="shared" si="157"/>
        <v>4.3200000000000002E-2</v>
      </c>
      <c r="Z65" s="5">
        <f t="shared" si="145"/>
        <v>1149</v>
      </c>
      <c r="AA65" s="2">
        <f t="shared" si="146"/>
        <v>114785.1</v>
      </c>
      <c r="AB65" s="2">
        <f t="shared" si="37"/>
        <v>114900</v>
      </c>
      <c r="AC65" s="2">
        <f t="shared" si="147"/>
        <v>114900</v>
      </c>
      <c r="AD65" s="8">
        <f t="shared" si="122"/>
        <v>4.9000000000000002E-2</v>
      </c>
      <c r="AE65" s="2">
        <f t="shared" si="2"/>
        <v>120060.925</v>
      </c>
      <c r="AF65" s="2" t="str">
        <f t="shared" si="123"/>
        <v>nie</v>
      </c>
      <c r="AG65" s="2">
        <f t="shared" si="124"/>
        <v>1149</v>
      </c>
      <c r="AH65" s="1">
        <f t="shared" si="79"/>
        <v>0</v>
      </c>
      <c r="AI65" s="1">
        <f t="shared" si="111"/>
        <v>0</v>
      </c>
      <c r="AJ65" s="1">
        <f t="shared" si="155"/>
        <v>0</v>
      </c>
      <c r="AK65" s="6"/>
      <c r="AL65" s="2">
        <f t="shared" si="90"/>
        <v>0</v>
      </c>
      <c r="AM65" s="8">
        <f t="shared" si="160"/>
        <v>4.9000000000000002E-2</v>
      </c>
      <c r="AN65" s="2">
        <f t="shared" si="91"/>
        <v>0</v>
      </c>
      <c r="AO65" s="2">
        <f t="shared" si="161"/>
        <v>0</v>
      </c>
      <c r="AP65" s="2">
        <f t="shared" si="119"/>
        <v>0</v>
      </c>
      <c r="AQ65" s="8">
        <f t="shared" si="112"/>
        <v>4.3200000000000002E-2</v>
      </c>
      <c r="AR65" s="2">
        <f t="shared" si="113"/>
        <v>0</v>
      </c>
      <c r="AS65" s="2">
        <f t="shared" si="114"/>
        <v>0</v>
      </c>
      <c r="AT65" s="2">
        <f t="shared" si="39"/>
        <v>0</v>
      </c>
      <c r="AU65" s="2">
        <f t="shared" si="92"/>
        <v>0</v>
      </c>
      <c r="AV65" s="2">
        <f t="shared" si="82"/>
        <v>8.7323199999809731</v>
      </c>
      <c r="AW65" s="1">
        <f t="shared" si="158"/>
        <v>0</v>
      </c>
      <c r="AX65" s="2">
        <f t="shared" si="125"/>
        <v>8.7323199999809731</v>
      </c>
      <c r="AY65" s="1">
        <f t="shared" si="83"/>
        <v>0</v>
      </c>
      <c r="AZ65" s="2">
        <f t="shared" si="40"/>
        <v>8.7323199999809731</v>
      </c>
      <c r="BA65" s="2">
        <f t="shared" si="93"/>
        <v>120069.65731999998</v>
      </c>
      <c r="BB65" s="2">
        <f t="shared" si="126"/>
        <v>0</v>
      </c>
      <c r="BC65" s="2">
        <f t="shared" si="41"/>
        <v>348.25490847999998</v>
      </c>
      <c r="BD65" s="2">
        <f t="shared" si="10"/>
        <v>119721.40241151999</v>
      </c>
      <c r="BE65" s="2">
        <f t="shared" si="42"/>
        <v>1149</v>
      </c>
      <c r="BF65" s="2">
        <f t="shared" si="11"/>
        <v>3594.9248907999968</v>
      </c>
      <c r="BG65" s="2">
        <f t="shared" si="12"/>
        <v>114977.47752071999</v>
      </c>
      <c r="BI65" s="8">
        <f t="shared" si="162"/>
        <v>2.9000000000000001E-2</v>
      </c>
      <c r="BJ65" s="5">
        <f t="shared" si="148"/>
        <v>1000</v>
      </c>
      <c r="BK65" s="2">
        <f t="shared" si="149"/>
        <v>100000</v>
      </c>
      <c r="BL65" s="2">
        <f t="shared" si="150"/>
        <v>100000</v>
      </c>
      <c r="BM65" s="2">
        <f t="shared" si="127"/>
        <v>100000</v>
      </c>
      <c r="BN65" s="8">
        <f t="shared" si="128"/>
        <v>4.3999999999999997E-2</v>
      </c>
      <c r="BO65" s="2">
        <f t="shared" si="129"/>
        <v>104033.33333333333</v>
      </c>
      <c r="BP65" s="2" t="str">
        <f t="shared" si="130"/>
        <v>nie</v>
      </c>
      <c r="BQ65" s="2">
        <f t="shared" si="131"/>
        <v>2000</v>
      </c>
      <c r="BR65" s="1">
        <f t="shared" si="163"/>
        <v>48</v>
      </c>
      <c r="BS65" s="1">
        <f t="shared" si="115"/>
        <v>47</v>
      </c>
      <c r="BT65" s="1">
        <f t="shared" si="156"/>
        <v>52</v>
      </c>
      <c r="BU65" s="6"/>
      <c r="BV65" s="2">
        <f t="shared" si="94"/>
        <v>4800</v>
      </c>
      <c r="BW65" s="8">
        <f t="shared" si="164"/>
        <v>5.2499999999999998E-2</v>
      </c>
      <c r="BX65" s="2">
        <f t="shared" si="95"/>
        <v>5031</v>
      </c>
      <c r="BY65" s="2">
        <f t="shared" si="165"/>
        <v>96</v>
      </c>
      <c r="BZ65" s="2">
        <f t="shared" si="120"/>
        <v>9900</v>
      </c>
      <c r="CA65" s="8">
        <f t="shared" si="116"/>
        <v>4.3999999999999997E-2</v>
      </c>
      <c r="CB65" s="2">
        <f t="shared" si="117"/>
        <v>10299.299999999999</v>
      </c>
      <c r="CC65" s="2">
        <f t="shared" si="118"/>
        <v>198</v>
      </c>
      <c r="CD65" s="2">
        <f t="shared" si="132"/>
        <v>0</v>
      </c>
      <c r="CE65" s="2">
        <f t="shared" si="96"/>
        <v>0</v>
      </c>
      <c r="CF65" s="2">
        <f t="shared" si="97"/>
        <v>98.550000000000182</v>
      </c>
      <c r="CG65" s="1">
        <f t="shared" si="159"/>
        <v>0</v>
      </c>
      <c r="CH65" s="2">
        <f t="shared" si="133"/>
        <v>98.550000000000182</v>
      </c>
      <c r="CI65" s="1">
        <f t="shared" si="89"/>
        <v>0</v>
      </c>
      <c r="CJ65" s="2">
        <f t="shared" si="98"/>
        <v>98.550000000000182</v>
      </c>
      <c r="CK65" s="2">
        <f t="shared" si="99"/>
        <v>119462.18333333333</v>
      </c>
      <c r="CL65" s="2">
        <f t="shared" si="134"/>
        <v>0</v>
      </c>
      <c r="CM65" s="2">
        <f t="shared" si="47"/>
        <v>348.07462499999997</v>
      </c>
      <c r="CN65" s="2">
        <f t="shared" si="135"/>
        <v>119114.10870833334</v>
      </c>
      <c r="CO65" s="2">
        <f t="shared" si="48"/>
        <v>2294</v>
      </c>
      <c r="CP65" s="2">
        <f t="shared" si="136"/>
        <v>3261.9548333333337</v>
      </c>
      <c r="CQ65" s="2">
        <f t="shared" si="137"/>
        <v>113558.153875</v>
      </c>
      <c r="CS65" s="5">
        <f t="shared" si="151"/>
        <v>1000</v>
      </c>
      <c r="CT65" s="2">
        <f t="shared" si="152"/>
        <v>100000</v>
      </c>
      <c r="CU65" s="2">
        <f t="shared" si="153"/>
        <v>100000</v>
      </c>
      <c r="CV65" s="2">
        <f t="shared" si="154"/>
        <v>116367.40575000001</v>
      </c>
      <c r="CW65" s="8">
        <f t="shared" si="138"/>
        <v>4.9000000000000002E-2</v>
      </c>
      <c r="CX65" s="2">
        <f t="shared" si="139"/>
        <v>121594.24172493751</v>
      </c>
      <c r="CY65" s="2" t="str">
        <f t="shared" si="140"/>
        <v>nie</v>
      </c>
      <c r="CZ65" s="2">
        <f t="shared" si="53"/>
        <v>0</v>
      </c>
      <c r="DA65" s="2">
        <f t="shared" si="54"/>
        <v>0</v>
      </c>
      <c r="DB65" s="2">
        <f t="shared" si="55"/>
        <v>121594.24172493751</v>
      </c>
      <c r="DC65" s="2">
        <f t="shared" si="141"/>
        <v>0</v>
      </c>
      <c r="DD65" s="2">
        <f t="shared" si="56"/>
        <v>352.04190862500002</v>
      </c>
      <c r="DE65" s="2">
        <f t="shared" si="57"/>
        <v>121242.19981631251</v>
      </c>
      <c r="DF65" s="2">
        <f t="shared" si="142"/>
        <v>3000</v>
      </c>
      <c r="DG65" s="2">
        <f t="shared" si="143"/>
        <v>3532.9059277381275</v>
      </c>
      <c r="DH65" s="2">
        <f t="shared" si="58"/>
        <v>114709.29388857438</v>
      </c>
    </row>
    <row r="66" spans="2:115">
      <c r="B66" s="232"/>
      <c r="C66" s="1">
        <f t="shared" si="102"/>
        <v>29</v>
      </c>
      <c r="D66" s="2">
        <f t="shared" si="105"/>
        <v>112110.68788166667</v>
      </c>
      <c r="E66" s="2">
        <f t="shared" si="106"/>
        <v>108966.20499375001</v>
      </c>
      <c r="F66" s="2">
        <f t="shared" si="107"/>
        <v>111778.60236666666</v>
      </c>
      <c r="G66" s="2">
        <f t="shared" si="108"/>
        <v>107726.871325</v>
      </c>
      <c r="H66" s="2">
        <f t="shared" si="109"/>
        <v>113019.11576250002</v>
      </c>
      <c r="I66" s="2">
        <f t="shared" si="110"/>
        <v>108081.76051562502</v>
      </c>
      <c r="J66" s="2">
        <f t="shared" si="103"/>
        <v>109193.78779759032</v>
      </c>
      <c r="K66" s="2">
        <f t="shared" si="104"/>
        <v>107163.532875</v>
      </c>
      <c r="W66" s="1">
        <f t="shared" si="144"/>
        <v>48</v>
      </c>
      <c r="X66" s="2">
        <f t="shared" si="121"/>
        <v>112114.42632809999</v>
      </c>
      <c r="Y66" s="8">
        <f t="shared" si="157"/>
        <v>4.3200000000000002E-2</v>
      </c>
      <c r="Z66" s="5">
        <f t="shared" si="145"/>
        <v>1149</v>
      </c>
      <c r="AA66" s="2">
        <f t="shared" si="146"/>
        <v>114785.1</v>
      </c>
      <c r="AB66" s="2">
        <f t="shared" si="37"/>
        <v>114900</v>
      </c>
      <c r="AC66" s="2">
        <f t="shared" si="147"/>
        <v>114900</v>
      </c>
      <c r="AD66" s="8">
        <f t="shared" si="122"/>
        <v>4.9000000000000002E-2</v>
      </c>
      <c r="AE66" s="2">
        <f t="shared" si="2"/>
        <v>120530.09999999999</v>
      </c>
      <c r="AF66" s="2" t="str">
        <f t="shared" si="123"/>
        <v>nie</v>
      </c>
      <c r="AG66" s="2">
        <f t="shared" si="124"/>
        <v>1149</v>
      </c>
      <c r="AH66" s="1">
        <f t="shared" si="79"/>
        <v>0</v>
      </c>
      <c r="AI66" s="1">
        <f t="shared" si="111"/>
        <v>0</v>
      </c>
      <c r="AJ66" s="1">
        <f t="shared" si="155"/>
        <v>0</v>
      </c>
      <c r="AK66" s="6"/>
      <c r="AL66" s="2">
        <f t="shared" si="90"/>
        <v>0</v>
      </c>
      <c r="AM66" s="8">
        <f t="shared" si="160"/>
        <v>4.9000000000000002E-2</v>
      </c>
      <c r="AN66" s="2">
        <f t="shared" si="91"/>
        <v>0</v>
      </c>
      <c r="AO66" s="2">
        <f t="shared" si="161"/>
        <v>0</v>
      </c>
      <c r="AP66" s="2">
        <f t="shared" si="119"/>
        <v>0</v>
      </c>
      <c r="AQ66" s="8">
        <f t="shared" si="112"/>
        <v>4.3200000000000002E-2</v>
      </c>
      <c r="AR66" s="2">
        <f t="shared" si="113"/>
        <v>0</v>
      </c>
      <c r="AS66" s="2">
        <f t="shared" si="114"/>
        <v>0</v>
      </c>
      <c r="AT66" s="2">
        <f t="shared" si="39"/>
        <v>0</v>
      </c>
      <c r="AU66" s="2">
        <f t="shared" si="92"/>
        <v>0</v>
      </c>
      <c r="AV66" s="2">
        <f t="shared" si="82"/>
        <v>8.7323199999809731</v>
      </c>
      <c r="AW66" s="1">
        <f t="shared" si="158"/>
        <v>0</v>
      </c>
      <c r="AX66" s="2">
        <f t="shared" si="125"/>
        <v>8.7323199999809731</v>
      </c>
      <c r="AY66" s="1">
        <f t="shared" si="83"/>
        <v>0</v>
      </c>
      <c r="AZ66" s="2">
        <f t="shared" si="40"/>
        <v>8.7323199999809731</v>
      </c>
      <c r="BA66" s="2">
        <f t="shared" si="93"/>
        <v>120538.83231999997</v>
      </c>
      <c r="BB66" s="2">
        <f t="shared" si="126"/>
        <v>168.75436524799997</v>
      </c>
      <c r="BC66" s="2">
        <f t="shared" si="41"/>
        <v>517.00927372799993</v>
      </c>
      <c r="BD66" s="2">
        <f t="shared" si="10"/>
        <v>120021.82304627197</v>
      </c>
      <c r="BE66" s="2">
        <f t="shared" si="42"/>
        <v>1149</v>
      </c>
      <c r="BF66" s="2">
        <f t="shared" si="11"/>
        <v>3684.0681407999946</v>
      </c>
      <c r="BG66" s="2">
        <f t="shared" si="12"/>
        <v>115188.75490547197</v>
      </c>
      <c r="BI66" s="8">
        <f t="shared" si="162"/>
        <v>2.9000000000000001E-2</v>
      </c>
      <c r="BJ66" s="5">
        <f t="shared" si="148"/>
        <v>1000</v>
      </c>
      <c r="BK66" s="2">
        <f t="shared" si="149"/>
        <v>100000</v>
      </c>
      <c r="BL66" s="2">
        <f t="shared" si="150"/>
        <v>100000</v>
      </c>
      <c r="BM66" s="2">
        <f t="shared" si="127"/>
        <v>100000</v>
      </c>
      <c r="BN66" s="8">
        <f t="shared" si="128"/>
        <v>4.3999999999999997E-2</v>
      </c>
      <c r="BO66" s="2">
        <f t="shared" si="129"/>
        <v>104400</v>
      </c>
      <c r="BP66" s="2" t="str">
        <f t="shared" si="130"/>
        <v>tak</v>
      </c>
      <c r="BQ66" s="2">
        <f t="shared" si="131"/>
        <v>0</v>
      </c>
      <c r="BR66" s="1">
        <f t="shared" si="163"/>
        <v>48</v>
      </c>
      <c r="BS66" s="1">
        <f t="shared" si="115"/>
        <v>47</v>
      </c>
      <c r="BT66" s="1">
        <f t="shared" si="156"/>
        <v>52</v>
      </c>
      <c r="BU66" s="6"/>
      <c r="BV66" s="2">
        <f t="shared" si="94"/>
        <v>4800</v>
      </c>
      <c r="BW66" s="8">
        <f t="shared" si="164"/>
        <v>5.2499999999999998E-2</v>
      </c>
      <c r="BX66" s="2">
        <f t="shared" si="95"/>
        <v>5052</v>
      </c>
      <c r="BY66" s="2">
        <f t="shared" si="165"/>
        <v>96</v>
      </c>
      <c r="BZ66" s="2">
        <f t="shared" si="120"/>
        <v>9900</v>
      </c>
      <c r="CA66" s="8">
        <f t="shared" si="116"/>
        <v>4.3999999999999997E-2</v>
      </c>
      <c r="CB66" s="2">
        <f t="shared" si="117"/>
        <v>10335.6</v>
      </c>
      <c r="CC66" s="2">
        <f t="shared" si="118"/>
        <v>198</v>
      </c>
      <c r="CD66" s="2">
        <f t="shared" si="132"/>
        <v>4.5</v>
      </c>
      <c r="CE66" s="2">
        <f t="shared" si="96"/>
        <v>687.60000000000036</v>
      </c>
      <c r="CF66" s="2">
        <f t="shared" si="97"/>
        <v>790.65000000000055</v>
      </c>
      <c r="CG66" s="1">
        <f t="shared" si="159"/>
        <v>0</v>
      </c>
      <c r="CH66" s="2">
        <f t="shared" si="133"/>
        <v>790.65000000000055</v>
      </c>
      <c r="CI66" s="1">
        <f t="shared" si="89"/>
        <v>7</v>
      </c>
      <c r="CJ66" s="2">
        <f t="shared" si="98"/>
        <v>90.650000000000546</v>
      </c>
      <c r="CK66" s="2">
        <f t="shared" si="99"/>
        <v>119886.15000000001</v>
      </c>
      <c r="CL66" s="2">
        <f t="shared" si="134"/>
        <v>167.84061</v>
      </c>
      <c r="CM66" s="2">
        <f t="shared" si="47"/>
        <v>515.91523499999994</v>
      </c>
      <c r="CN66" s="2">
        <f t="shared" si="135"/>
        <v>119370.23476500002</v>
      </c>
      <c r="CO66" s="2">
        <f t="shared" si="48"/>
        <v>294</v>
      </c>
      <c r="CP66" s="2">
        <f t="shared" si="136"/>
        <v>3722.5085000000017</v>
      </c>
      <c r="CQ66" s="2">
        <f t="shared" si="137"/>
        <v>115353.72626500002</v>
      </c>
      <c r="CS66" s="5">
        <f t="shared" si="151"/>
        <v>1000</v>
      </c>
      <c r="CT66" s="2">
        <f t="shared" si="152"/>
        <v>100000</v>
      </c>
      <c r="CU66" s="2">
        <f t="shared" si="153"/>
        <v>100000</v>
      </c>
      <c r="CV66" s="2">
        <f t="shared" si="154"/>
        <v>116367.40575000001</v>
      </c>
      <c r="CW66" s="8">
        <f t="shared" si="138"/>
        <v>4.9000000000000002E-2</v>
      </c>
      <c r="CX66" s="2">
        <f t="shared" si="139"/>
        <v>122069.40863175</v>
      </c>
      <c r="CY66" s="2" t="str">
        <f t="shared" si="140"/>
        <v>nie</v>
      </c>
      <c r="CZ66" s="2">
        <f t="shared" si="53"/>
        <v>0</v>
      </c>
      <c r="DA66" s="2">
        <f t="shared" si="54"/>
        <v>0</v>
      </c>
      <c r="DB66" s="2">
        <f t="shared" si="55"/>
        <v>122069.40863175</v>
      </c>
      <c r="DC66" s="2">
        <f t="shared" si="141"/>
        <v>170.89717208445001</v>
      </c>
      <c r="DD66" s="2">
        <f t="shared" si="56"/>
        <v>522.93908070945008</v>
      </c>
      <c r="DE66" s="2">
        <f t="shared" si="57"/>
        <v>121546.46955104056</v>
      </c>
      <c r="DF66" s="2">
        <f t="shared" si="142"/>
        <v>3000</v>
      </c>
      <c r="DG66" s="2">
        <f t="shared" si="143"/>
        <v>3623.1876400325009</v>
      </c>
      <c r="DH66" s="2">
        <f t="shared" si="58"/>
        <v>114923.28191100806</v>
      </c>
      <c r="DJ66" s="14"/>
      <c r="DK66" s="14"/>
    </row>
    <row r="67" spans="2:115">
      <c r="B67" s="232"/>
      <c r="C67" s="1">
        <f t="shared" si="102"/>
        <v>30</v>
      </c>
      <c r="D67" s="2">
        <f t="shared" si="105"/>
        <v>112560.01828999999</v>
      </c>
      <c r="E67" s="2">
        <f t="shared" si="106"/>
        <v>109330.16262449999</v>
      </c>
      <c r="F67" s="2">
        <f t="shared" si="107"/>
        <v>112184.8982</v>
      </c>
      <c r="G67" s="2">
        <f t="shared" si="108"/>
        <v>108055.97095</v>
      </c>
      <c r="H67" s="2">
        <f t="shared" si="109"/>
        <v>113472.08707500002</v>
      </c>
      <c r="I67" s="2">
        <f t="shared" si="110"/>
        <v>108448.66727875001</v>
      </c>
      <c r="J67" s="2">
        <f t="shared" si="103"/>
        <v>109525.46392802551</v>
      </c>
      <c r="K67" s="2">
        <f t="shared" si="104"/>
        <v>107419.41944999999</v>
      </c>
      <c r="W67" s="1">
        <f t="shared" si="144"/>
        <v>49</v>
      </c>
      <c r="X67" s="2">
        <f t="shared" si="121"/>
        <v>112385.36952505956</v>
      </c>
      <c r="Y67" s="8">
        <f t="shared" si="157"/>
        <v>4.3200000000000002E-2</v>
      </c>
      <c r="Z67" s="5">
        <f t="shared" si="145"/>
        <v>1149</v>
      </c>
      <c r="AA67" s="2">
        <f t="shared" si="146"/>
        <v>114785.1</v>
      </c>
      <c r="AB67" s="2">
        <f t="shared" si="37"/>
        <v>114900</v>
      </c>
      <c r="AC67" s="2">
        <f t="shared" si="147"/>
        <v>120530.09999999999</v>
      </c>
      <c r="AD67" s="8">
        <f t="shared" si="122"/>
        <v>4.9000000000000002E-2</v>
      </c>
      <c r="AE67" s="2">
        <f t="shared" si="2"/>
        <v>121022.26457500001</v>
      </c>
      <c r="AF67" s="2" t="str">
        <f t="shared" si="123"/>
        <v>nie</v>
      </c>
      <c r="AG67" s="2">
        <f t="shared" si="124"/>
        <v>1149</v>
      </c>
      <c r="AH67" s="1">
        <f t="shared" si="79"/>
        <v>0</v>
      </c>
      <c r="AI67" s="1">
        <f t="shared" si="111"/>
        <v>0</v>
      </c>
      <c r="AJ67" s="1">
        <f t="shared" si="155"/>
        <v>0</v>
      </c>
      <c r="AK67" s="1">
        <f t="shared" ref="AK67:AK98" si="166">IF(zapadalnosc_TOS/12&gt;=AK$18,AJ55,0)</f>
        <v>0</v>
      </c>
      <c r="AL67" s="2">
        <f t="shared" si="90"/>
        <v>0</v>
      </c>
      <c r="AM67" s="8">
        <f t="shared" si="160"/>
        <v>4.9000000000000002E-2</v>
      </c>
      <c r="AN67" s="2">
        <f t="shared" si="91"/>
        <v>0</v>
      </c>
      <c r="AO67" s="2">
        <f t="shared" si="161"/>
        <v>0</v>
      </c>
      <c r="AP67" s="2">
        <f t="shared" si="119"/>
        <v>0</v>
      </c>
      <c r="AQ67" s="8">
        <f t="shared" si="112"/>
        <v>4.3200000000000002E-2</v>
      </c>
      <c r="AR67" s="2">
        <f t="shared" si="113"/>
        <v>0</v>
      </c>
      <c r="AS67" s="2">
        <f t="shared" si="114"/>
        <v>0</v>
      </c>
      <c r="AT67" s="2">
        <f t="shared" si="39"/>
        <v>0</v>
      </c>
      <c r="AU67" s="2">
        <f t="shared" si="92"/>
        <v>0</v>
      </c>
      <c r="AV67" s="2">
        <f t="shared" si="82"/>
        <v>8.7323199999809731</v>
      </c>
      <c r="AW67" s="1">
        <f t="shared" si="158"/>
        <v>0</v>
      </c>
      <c r="AX67" s="2">
        <f t="shared" si="125"/>
        <v>8.7323199999809731</v>
      </c>
      <c r="AY67" s="1">
        <f t="shared" si="83"/>
        <v>0</v>
      </c>
      <c r="AZ67" s="2">
        <f t="shared" si="40"/>
        <v>8.7323199999809731</v>
      </c>
      <c r="BA67" s="2">
        <f t="shared" si="93"/>
        <v>121030.99689499999</v>
      </c>
      <c r="BB67" s="2">
        <f t="shared" si="126"/>
        <v>0</v>
      </c>
      <c r="BC67" s="2">
        <f t="shared" si="41"/>
        <v>517.00927372799993</v>
      </c>
      <c r="BD67" s="2">
        <f t="shared" si="10"/>
        <v>120513.98762127198</v>
      </c>
      <c r="BE67" s="2">
        <f t="shared" si="42"/>
        <v>1149</v>
      </c>
      <c r="BF67" s="2">
        <f t="shared" si="11"/>
        <v>3777.5794100499979</v>
      </c>
      <c r="BG67" s="2">
        <f t="shared" si="12"/>
        <v>115587.40821122199</v>
      </c>
      <c r="BI67" s="8">
        <f t="shared" si="162"/>
        <v>2.9000000000000001E-2</v>
      </c>
      <c r="BJ67" s="5">
        <f t="shared" si="148"/>
        <v>1045</v>
      </c>
      <c r="BK67" s="2">
        <f t="shared" si="149"/>
        <v>104395.5</v>
      </c>
      <c r="BL67" s="2">
        <f t="shared" si="150"/>
        <v>104500</v>
      </c>
      <c r="BM67" s="2">
        <f t="shared" si="127"/>
        <v>104500</v>
      </c>
      <c r="BN67" s="8">
        <f t="shared" si="128"/>
        <v>5.2499999999999998E-2</v>
      </c>
      <c r="BO67" s="2">
        <f t="shared" si="129"/>
        <v>104957.1875</v>
      </c>
      <c r="BP67" s="2" t="str">
        <f t="shared" si="130"/>
        <v>nie</v>
      </c>
      <c r="BQ67" s="2">
        <f t="shared" si="131"/>
        <v>457.1875</v>
      </c>
      <c r="BR67" s="1">
        <f t="shared" si="163"/>
        <v>7</v>
      </c>
      <c r="BS67" s="1">
        <f t="shared" si="115"/>
        <v>48</v>
      </c>
      <c r="BT67" s="1">
        <f t="shared" si="156"/>
        <v>47</v>
      </c>
      <c r="BU67" s="1">
        <f t="shared" ref="BU67:BU98" si="167">IF(zapadalnosc_COI/12&gt;=BU$18,BT55,0)</f>
        <v>52</v>
      </c>
      <c r="BV67" s="2">
        <f t="shared" si="94"/>
        <v>700</v>
      </c>
      <c r="BW67" s="8">
        <f t="shared" si="164"/>
        <v>5.2499999999999998E-2</v>
      </c>
      <c r="BX67" s="2">
        <f t="shared" si="95"/>
        <v>703.0625</v>
      </c>
      <c r="BY67" s="2">
        <f t="shared" si="165"/>
        <v>3.0625</v>
      </c>
      <c r="BZ67" s="2">
        <f t="shared" si="120"/>
        <v>14700</v>
      </c>
      <c r="CA67" s="8">
        <f t="shared" si="116"/>
        <v>4.3999999999999997E-2</v>
      </c>
      <c r="CB67" s="2">
        <f t="shared" si="117"/>
        <v>14753.900000000001</v>
      </c>
      <c r="CC67" s="2">
        <f t="shared" si="118"/>
        <v>294</v>
      </c>
      <c r="CD67" s="2">
        <f t="shared" si="132"/>
        <v>0</v>
      </c>
      <c r="CE67" s="2">
        <f t="shared" si="96"/>
        <v>0</v>
      </c>
      <c r="CF67" s="2">
        <f t="shared" si="97"/>
        <v>90.650000000000546</v>
      </c>
      <c r="CG67" s="1">
        <f t="shared" si="159"/>
        <v>0</v>
      </c>
      <c r="CH67" s="2">
        <f t="shared" si="133"/>
        <v>90.650000000000546</v>
      </c>
      <c r="CI67" s="1">
        <f t="shared" si="89"/>
        <v>0</v>
      </c>
      <c r="CJ67" s="2">
        <f t="shared" si="98"/>
        <v>90.650000000000546</v>
      </c>
      <c r="CK67" s="2">
        <f t="shared" si="99"/>
        <v>120504.79999999999</v>
      </c>
      <c r="CL67" s="2">
        <f t="shared" si="134"/>
        <v>0</v>
      </c>
      <c r="CM67" s="2">
        <f t="shared" si="47"/>
        <v>515.91523499999994</v>
      </c>
      <c r="CN67" s="2">
        <f t="shared" si="135"/>
        <v>119988.884765</v>
      </c>
      <c r="CO67" s="2">
        <f t="shared" si="48"/>
        <v>754.25</v>
      </c>
      <c r="CP67" s="2">
        <f t="shared" si="136"/>
        <v>3752.6044999999976</v>
      </c>
      <c r="CQ67" s="2">
        <f t="shared" si="137"/>
        <v>115482.03026499999</v>
      </c>
      <c r="CS67" s="5">
        <f t="shared" si="151"/>
        <v>1000</v>
      </c>
      <c r="CT67" s="2">
        <f t="shared" si="152"/>
        <v>100000</v>
      </c>
      <c r="CU67" s="2">
        <f t="shared" si="153"/>
        <v>100000</v>
      </c>
      <c r="CV67" s="2">
        <f t="shared" si="154"/>
        <v>122069.40863175</v>
      </c>
      <c r="CW67" s="8">
        <f t="shared" si="138"/>
        <v>4.9000000000000002E-2</v>
      </c>
      <c r="CX67" s="2">
        <f t="shared" si="139"/>
        <v>122567.85871699633</v>
      </c>
      <c r="CY67" s="2" t="str">
        <f t="shared" si="140"/>
        <v>nie</v>
      </c>
      <c r="CZ67" s="2">
        <f t="shared" si="53"/>
        <v>0</v>
      </c>
      <c r="DA67" s="2">
        <f t="shared" si="54"/>
        <v>0</v>
      </c>
      <c r="DB67" s="2">
        <f t="shared" si="55"/>
        <v>122567.85871699633</v>
      </c>
      <c r="DC67" s="2">
        <f t="shared" si="141"/>
        <v>0</v>
      </c>
      <c r="DD67" s="2">
        <f t="shared" si="56"/>
        <v>522.93908070945008</v>
      </c>
      <c r="DE67" s="2">
        <f t="shared" si="57"/>
        <v>122044.91963628688</v>
      </c>
      <c r="DF67" s="2">
        <f t="shared" si="142"/>
        <v>3000</v>
      </c>
      <c r="DG67" s="2">
        <f t="shared" si="143"/>
        <v>3717.8931562293023</v>
      </c>
      <c r="DH67" s="2">
        <f t="shared" si="58"/>
        <v>115327.02648005758</v>
      </c>
    </row>
    <row r="68" spans="2:115">
      <c r="B68" s="232"/>
      <c r="C68" s="1">
        <f t="shared" si="102"/>
        <v>31</v>
      </c>
      <c r="D68" s="2">
        <f t="shared" si="105"/>
        <v>113009.34869833334</v>
      </c>
      <c r="E68" s="2">
        <f t="shared" si="106"/>
        <v>109694.12025525</v>
      </c>
      <c r="F68" s="2">
        <f t="shared" si="107"/>
        <v>112591.19403333333</v>
      </c>
      <c r="G68" s="2">
        <f t="shared" si="108"/>
        <v>108385.07057500001</v>
      </c>
      <c r="H68" s="2">
        <f t="shared" si="109"/>
        <v>113925.05838750003</v>
      </c>
      <c r="I68" s="2">
        <f t="shared" si="110"/>
        <v>108815.57404187502</v>
      </c>
      <c r="J68" s="2">
        <f t="shared" si="103"/>
        <v>109858.14752470689</v>
      </c>
      <c r="K68" s="2">
        <f t="shared" si="104"/>
        <v>107675.306025</v>
      </c>
      <c r="W68" s="1">
        <f t="shared" si="144"/>
        <v>50</v>
      </c>
      <c r="X68" s="2">
        <f t="shared" si="121"/>
        <v>112656.31272201912</v>
      </c>
      <c r="Y68" s="8">
        <f t="shared" si="157"/>
        <v>4.3200000000000002E-2</v>
      </c>
      <c r="Z68" s="5">
        <f t="shared" si="145"/>
        <v>1149</v>
      </c>
      <c r="AA68" s="2">
        <f t="shared" si="146"/>
        <v>114785.1</v>
      </c>
      <c r="AB68" s="2">
        <f t="shared" si="37"/>
        <v>114900</v>
      </c>
      <c r="AC68" s="2">
        <f t="shared" si="147"/>
        <v>120530.09999999999</v>
      </c>
      <c r="AD68" s="8">
        <f t="shared" si="122"/>
        <v>4.9000000000000002E-2</v>
      </c>
      <c r="AE68" s="2">
        <f t="shared" si="2"/>
        <v>121514.42915</v>
      </c>
      <c r="AF68" s="2" t="str">
        <f t="shared" si="123"/>
        <v>nie</v>
      </c>
      <c r="AG68" s="2">
        <f t="shared" si="124"/>
        <v>1149</v>
      </c>
      <c r="AH68" s="1">
        <f t="shared" si="79"/>
        <v>0</v>
      </c>
      <c r="AI68" s="1">
        <f t="shared" si="111"/>
        <v>0</v>
      </c>
      <c r="AJ68" s="1">
        <f t="shared" si="155"/>
        <v>0</v>
      </c>
      <c r="AK68" s="1">
        <f t="shared" si="166"/>
        <v>0</v>
      </c>
      <c r="AL68" s="2">
        <f t="shared" si="90"/>
        <v>0</v>
      </c>
      <c r="AM68" s="8">
        <f t="shared" si="160"/>
        <v>4.9000000000000002E-2</v>
      </c>
      <c r="AN68" s="2">
        <f t="shared" si="91"/>
        <v>0</v>
      </c>
      <c r="AO68" s="2">
        <f t="shared" si="161"/>
        <v>0</v>
      </c>
      <c r="AP68" s="2">
        <f t="shared" si="119"/>
        <v>0</v>
      </c>
      <c r="AQ68" s="8">
        <f t="shared" si="112"/>
        <v>4.3200000000000002E-2</v>
      </c>
      <c r="AR68" s="2">
        <f t="shared" si="113"/>
        <v>0</v>
      </c>
      <c r="AS68" s="2">
        <f t="shared" si="114"/>
        <v>0</v>
      </c>
      <c r="AT68" s="2">
        <f t="shared" si="39"/>
        <v>0</v>
      </c>
      <c r="AU68" s="2">
        <f t="shared" si="92"/>
        <v>0</v>
      </c>
      <c r="AV68" s="2">
        <f t="shared" si="82"/>
        <v>8.7323199999809731</v>
      </c>
      <c r="AW68" s="1">
        <f t="shared" si="158"/>
        <v>0</v>
      </c>
      <c r="AX68" s="2">
        <f t="shared" si="125"/>
        <v>8.7323199999809731</v>
      </c>
      <c r="AY68" s="1">
        <f t="shared" si="83"/>
        <v>0</v>
      </c>
      <c r="AZ68" s="2">
        <f t="shared" si="40"/>
        <v>8.7323199999809731</v>
      </c>
      <c r="BA68" s="2">
        <f t="shared" si="93"/>
        <v>121523.16146999998</v>
      </c>
      <c r="BB68" s="2">
        <f t="shared" si="126"/>
        <v>0</v>
      </c>
      <c r="BC68" s="2">
        <f t="shared" si="41"/>
        <v>517.00927372799993</v>
      </c>
      <c r="BD68" s="2">
        <f t="shared" si="10"/>
        <v>121006.15219627197</v>
      </c>
      <c r="BE68" s="2">
        <f t="shared" si="42"/>
        <v>1149</v>
      </c>
      <c r="BF68" s="2">
        <f t="shared" si="11"/>
        <v>3871.0906792999958</v>
      </c>
      <c r="BG68" s="2">
        <f t="shared" si="12"/>
        <v>115986.06151697197</v>
      </c>
      <c r="BI68" s="8">
        <f t="shared" si="162"/>
        <v>2.9000000000000001E-2</v>
      </c>
      <c r="BJ68" s="5">
        <f t="shared" si="148"/>
        <v>1045</v>
      </c>
      <c r="BK68" s="2">
        <f t="shared" si="149"/>
        <v>104395.5</v>
      </c>
      <c r="BL68" s="2">
        <f t="shared" si="150"/>
        <v>104500</v>
      </c>
      <c r="BM68" s="2">
        <f t="shared" si="127"/>
        <v>104500</v>
      </c>
      <c r="BN68" s="8">
        <f t="shared" si="128"/>
        <v>5.2499999999999998E-2</v>
      </c>
      <c r="BO68" s="2">
        <f t="shared" si="129"/>
        <v>105414.375</v>
      </c>
      <c r="BP68" s="2" t="str">
        <f t="shared" si="130"/>
        <v>nie</v>
      </c>
      <c r="BQ68" s="2">
        <f t="shared" si="131"/>
        <v>914.375</v>
      </c>
      <c r="BR68" s="1">
        <f t="shared" si="163"/>
        <v>7</v>
      </c>
      <c r="BS68" s="1">
        <f t="shared" si="115"/>
        <v>48</v>
      </c>
      <c r="BT68" s="1">
        <f t="shared" si="156"/>
        <v>47</v>
      </c>
      <c r="BU68" s="1">
        <f t="shared" si="167"/>
        <v>52</v>
      </c>
      <c r="BV68" s="2">
        <f t="shared" si="94"/>
        <v>700</v>
      </c>
      <c r="BW68" s="8">
        <f t="shared" si="164"/>
        <v>5.2499999999999998E-2</v>
      </c>
      <c r="BX68" s="2">
        <f t="shared" si="95"/>
        <v>706.125</v>
      </c>
      <c r="BY68" s="2">
        <f t="shared" si="165"/>
        <v>6.125</v>
      </c>
      <c r="BZ68" s="2">
        <f t="shared" si="120"/>
        <v>14700</v>
      </c>
      <c r="CA68" s="8">
        <f t="shared" si="116"/>
        <v>4.3999999999999997E-2</v>
      </c>
      <c r="CB68" s="2">
        <f t="shared" si="117"/>
        <v>14807.800000000001</v>
      </c>
      <c r="CC68" s="2">
        <f t="shared" si="118"/>
        <v>294</v>
      </c>
      <c r="CD68" s="2">
        <f t="shared" si="132"/>
        <v>0</v>
      </c>
      <c r="CE68" s="2">
        <f t="shared" si="96"/>
        <v>0</v>
      </c>
      <c r="CF68" s="2">
        <f t="shared" si="97"/>
        <v>90.650000000000546</v>
      </c>
      <c r="CG68" s="1">
        <f t="shared" si="159"/>
        <v>0</v>
      </c>
      <c r="CH68" s="2">
        <f t="shared" si="133"/>
        <v>90.650000000000546</v>
      </c>
      <c r="CI68" s="1">
        <f t="shared" si="89"/>
        <v>0</v>
      </c>
      <c r="CJ68" s="2">
        <f t="shared" si="98"/>
        <v>90.650000000000546</v>
      </c>
      <c r="CK68" s="2">
        <f t="shared" si="99"/>
        <v>121018.95</v>
      </c>
      <c r="CL68" s="2">
        <f t="shared" si="134"/>
        <v>0</v>
      </c>
      <c r="CM68" s="2">
        <f t="shared" si="47"/>
        <v>515.91523499999994</v>
      </c>
      <c r="CN68" s="2">
        <f t="shared" si="135"/>
        <v>120503.034765</v>
      </c>
      <c r="CO68" s="2">
        <f t="shared" si="48"/>
        <v>1214.5</v>
      </c>
      <c r="CP68" s="2">
        <f t="shared" si="136"/>
        <v>3762.8454999999994</v>
      </c>
      <c r="CQ68" s="2">
        <f t="shared" si="137"/>
        <v>115525.68926500001</v>
      </c>
      <c r="CS68" s="5">
        <f t="shared" si="151"/>
        <v>1000</v>
      </c>
      <c r="CT68" s="2">
        <f t="shared" si="152"/>
        <v>100000</v>
      </c>
      <c r="CU68" s="2">
        <f t="shared" si="153"/>
        <v>100000</v>
      </c>
      <c r="CV68" s="2">
        <f t="shared" si="154"/>
        <v>122069.40863175</v>
      </c>
      <c r="CW68" s="8">
        <f t="shared" si="138"/>
        <v>4.9000000000000002E-2</v>
      </c>
      <c r="CX68" s="2">
        <f t="shared" si="139"/>
        <v>123066.30880224262</v>
      </c>
      <c r="CY68" s="2" t="str">
        <f t="shared" si="140"/>
        <v>nie</v>
      </c>
      <c r="CZ68" s="2">
        <f t="shared" si="53"/>
        <v>0</v>
      </c>
      <c r="DA68" s="2">
        <f t="shared" si="54"/>
        <v>0</v>
      </c>
      <c r="DB68" s="2">
        <f t="shared" si="55"/>
        <v>123066.30880224262</v>
      </c>
      <c r="DC68" s="2">
        <f t="shared" si="141"/>
        <v>0</v>
      </c>
      <c r="DD68" s="2">
        <f t="shared" si="56"/>
        <v>522.93908070945008</v>
      </c>
      <c r="DE68" s="2">
        <f t="shared" si="57"/>
        <v>122543.36972153318</v>
      </c>
      <c r="DF68" s="2">
        <f t="shared" si="142"/>
        <v>3000</v>
      </c>
      <c r="DG68" s="2">
        <f t="shared" si="143"/>
        <v>3812.5986724260983</v>
      </c>
      <c r="DH68" s="2">
        <f t="shared" si="58"/>
        <v>115730.77104910708</v>
      </c>
    </row>
    <row r="69" spans="2:115">
      <c r="B69" s="232"/>
      <c r="C69" s="1">
        <f t="shared" si="102"/>
        <v>32</v>
      </c>
      <c r="D69" s="2">
        <f t="shared" si="105"/>
        <v>113458.67910666666</v>
      </c>
      <c r="E69" s="2">
        <f t="shared" si="106"/>
        <v>110058.077886</v>
      </c>
      <c r="F69" s="2">
        <f t="shared" si="107"/>
        <v>112997.48986666668</v>
      </c>
      <c r="G69" s="2">
        <f t="shared" si="108"/>
        <v>108714.17020000002</v>
      </c>
      <c r="H69" s="2">
        <f t="shared" si="109"/>
        <v>114378.02970000001</v>
      </c>
      <c r="I69" s="2">
        <f t="shared" si="110"/>
        <v>109182.48080500001</v>
      </c>
      <c r="J69" s="2">
        <f t="shared" si="103"/>
        <v>110191.84164781318</v>
      </c>
      <c r="K69" s="2">
        <f t="shared" si="104"/>
        <v>107931.19259999999</v>
      </c>
      <c r="W69" s="1">
        <f t="shared" si="144"/>
        <v>51</v>
      </c>
      <c r="X69" s="2">
        <f t="shared" si="121"/>
        <v>112927.25591897871</v>
      </c>
      <c r="Y69" s="8">
        <f t="shared" si="157"/>
        <v>4.3200000000000002E-2</v>
      </c>
      <c r="Z69" s="5">
        <f t="shared" si="145"/>
        <v>1149</v>
      </c>
      <c r="AA69" s="2">
        <f t="shared" si="146"/>
        <v>114785.1</v>
      </c>
      <c r="AB69" s="2">
        <f t="shared" si="37"/>
        <v>114900</v>
      </c>
      <c r="AC69" s="2">
        <f t="shared" si="147"/>
        <v>120530.09999999999</v>
      </c>
      <c r="AD69" s="8">
        <f t="shared" si="122"/>
        <v>4.9000000000000002E-2</v>
      </c>
      <c r="AE69" s="2">
        <f t="shared" si="2"/>
        <v>122006.593725</v>
      </c>
      <c r="AF69" s="2" t="str">
        <f t="shared" si="123"/>
        <v>nie</v>
      </c>
      <c r="AG69" s="2">
        <f t="shared" si="124"/>
        <v>1149</v>
      </c>
      <c r="AH69" s="1">
        <f t="shared" si="79"/>
        <v>0</v>
      </c>
      <c r="AI69" s="1">
        <f t="shared" si="111"/>
        <v>0</v>
      </c>
      <c r="AJ69" s="1">
        <f t="shared" si="155"/>
        <v>0</v>
      </c>
      <c r="AK69" s="1">
        <f t="shared" si="166"/>
        <v>0</v>
      </c>
      <c r="AL69" s="2">
        <f t="shared" si="90"/>
        <v>0</v>
      </c>
      <c r="AM69" s="8">
        <f t="shared" si="160"/>
        <v>4.9000000000000002E-2</v>
      </c>
      <c r="AN69" s="2">
        <f t="shared" si="91"/>
        <v>0</v>
      </c>
      <c r="AO69" s="2">
        <f t="shared" si="161"/>
        <v>0</v>
      </c>
      <c r="AP69" s="2">
        <f t="shared" si="119"/>
        <v>0</v>
      </c>
      <c r="AQ69" s="8">
        <f t="shared" si="112"/>
        <v>4.3200000000000002E-2</v>
      </c>
      <c r="AR69" s="2">
        <f t="shared" si="113"/>
        <v>0</v>
      </c>
      <c r="AS69" s="2">
        <f t="shared" si="114"/>
        <v>0</v>
      </c>
      <c r="AT69" s="2">
        <f t="shared" si="39"/>
        <v>0</v>
      </c>
      <c r="AU69" s="2">
        <f t="shared" si="92"/>
        <v>0</v>
      </c>
      <c r="AV69" s="2">
        <f t="shared" si="82"/>
        <v>8.7323199999809731</v>
      </c>
      <c r="AW69" s="1">
        <f t="shared" si="158"/>
        <v>0</v>
      </c>
      <c r="AX69" s="2">
        <f t="shared" si="125"/>
        <v>8.7323199999809731</v>
      </c>
      <c r="AY69" s="1">
        <f t="shared" si="83"/>
        <v>0</v>
      </c>
      <c r="AZ69" s="2">
        <f t="shared" si="40"/>
        <v>8.7323199999809731</v>
      </c>
      <c r="BA69" s="2">
        <f t="shared" si="93"/>
        <v>122015.32604499998</v>
      </c>
      <c r="BB69" s="2">
        <f t="shared" si="126"/>
        <v>0</v>
      </c>
      <c r="BC69" s="2">
        <f t="shared" si="41"/>
        <v>517.00927372799993</v>
      </c>
      <c r="BD69" s="2">
        <f t="shared" si="10"/>
        <v>121498.31677127197</v>
      </c>
      <c r="BE69" s="2">
        <f t="shared" si="42"/>
        <v>1149</v>
      </c>
      <c r="BF69" s="2">
        <f t="shared" si="11"/>
        <v>3964.601948549996</v>
      </c>
      <c r="BG69" s="2">
        <f t="shared" si="12"/>
        <v>116384.71482272197</v>
      </c>
      <c r="BI69" s="8">
        <f t="shared" si="162"/>
        <v>2.9000000000000001E-2</v>
      </c>
      <c r="BJ69" s="5">
        <f t="shared" si="148"/>
        <v>1045</v>
      </c>
      <c r="BK69" s="2">
        <f t="shared" si="149"/>
        <v>104395.5</v>
      </c>
      <c r="BL69" s="2">
        <f t="shared" si="150"/>
        <v>104500</v>
      </c>
      <c r="BM69" s="2">
        <f t="shared" si="127"/>
        <v>104500</v>
      </c>
      <c r="BN69" s="8">
        <f t="shared" si="128"/>
        <v>5.2499999999999998E-2</v>
      </c>
      <c r="BO69" s="2">
        <f t="shared" si="129"/>
        <v>105871.5625</v>
      </c>
      <c r="BP69" s="2" t="str">
        <f t="shared" si="130"/>
        <v>nie</v>
      </c>
      <c r="BQ69" s="2">
        <f t="shared" si="131"/>
        <v>1371.5625</v>
      </c>
      <c r="BR69" s="1">
        <f t="shared" si="163"/>
        <v>7</v>
      </c>
      <c r="BS69" s="1">
        <f t="shared" si="115"/>
        <v>48</v>
      </c>
      <c r="BT69" s="1">
        <f t="shared" si="156"/>
        <v>47</v>
      </c>
      <c r="BU69" s="1">
        <f t="shared" si="167"/>
        <v>52</v>
      </c>
      <c r="BV69" s="2">
        <f t="shared" si="94"/>
        <v>700</v>
      </c>
      <c r="BW69" s="8">
        <f t="shared" si="164"/>
        <v>5.2499999999999998E-2</v>
      </c>
      <c r="BX69" s="2">
        <f t="shared" si="95"/>
        <v>709.1875</v>
      </c>
      <c r="BY69" s="2">
        <f t="shared" si="165"/>
        <v>9.1875</v>
      </c>
      <c r="BZ69" s="2">
        <f t="shared" si="120"/>
        <v>14700</v>
      </c>
      <c r="CA69" s="8">
        <f t="shared" si="116"/>
        <v>4.3999999999999997E-2</v>
      </c>
      <c r="CB69" s="2">
        <f t="shared" si="117"/>
        <v>14861.699999999999</v>
      </c>
      <c r="CC69" s="2">
        <f t="shared" si="118"/>
        <v>294</v>
      </c>
      <c r="CD69" s="2">
        <f t="shared" si="132"/>
        <v>0</v>
      </c>
      <c r="CE69" s="2">
        <f t="shared" si="96"/>
        <v>0</v>
      </c>
      <c r="CF69" s="2">
        <f t="shared" si="97"/>
        <v>90.650000000000546</v>
      </c>
      <c r="CG69" s="1">
        <f t="shared" si="159"/>
        <v>0</v>
      </c>
      <c r="CH69" s="2">
        <f t="shared" si="133"/>
        <v>90.650000000000546</v>
      </c>
      <c r="CI69" s="1">
        <f t="shared" si="89"/>
        <v>0</v>
      </c>
      <c r="CJ69" s="2">
        <f t="shared" si="98"/>
        <v>90.650000000000546</v>
      </c>
      <c r="CK69" s="2">
        <f t="shared" si="99"/>
        <v>121533.09999999999</v>
      </c>
      <c r="CL69" s="2">
        <f t="shared" si="134"/>
        <v>0</v>
      </c>
      <c r="CM69" s="2">
        <f t="shared" si="47"/>
        <v>515.91523499999994</v>
      </c>
      <c r="CN69" s="2">
        <f t="shared" si="135"/>
        <v>121017.184765</v>
      </c>
      <c r="CO69" s="2">
        <f t="shared" si="48"/>
        <v>1674.75</v>
      </c>
      <c r="CP69" s="2">
        <f t="shared" si="136"/>
        <v>3773.0864999999985</v>
      </c>
      <c r="CQ69" s="2">
        <f t="shared" si="137"/>
        <v>115569.34826499999</v>
      </c>
      <c r="CS69" s="5">
        <f t="shared" si="151"/>
        <v>1000</v>
      </c>
      <c r="CT69" s="2">
        <f t="shared" si="152"/>
        <v>100000</v>
      </c>
      <c r="CU69" s="2">
        <f t="shared" si="153"/>
        <v>100000</v>
      </c>
      <c r="CV69" s="2">
        <f t="shared" si="154"/>
        <v>122069.40863175</v>
      </c>
      <c r="CW69" s="8">
        <f t="shared" si="138"/>
        <v>4.9000000000000002E-2</v>
      </c>
      <c r="CX69" s="2">
        <f t="shared" si="139"/>
        <v>123564.75888748895</v>
      </c>
      <c r="CY69" s="2" t="str">
        <f t="shared" si="140"/>
        <v>nie</v>
      </c>
      <c r="CZ69" s="2">
        <f t="shared" si="53"/>
        <v>0</v>
      </c>
      <c r="DA69" s="2">
        <f t="shared" si="54"/>
        <v>0</v>
      </c>
      <c r="DB69" s="2">
        <f t="shared" si="55"/>
        <v>123564.75888748895</v>
      </c>
      <c r="DC69" s="2">
        <f t="shared" si="141"/>
        <v>0</v>
      </c>
      <c r="DD69" s="2">
        <f t="shared" si="56"/>
        <v>522.93908070945008</v>
      </c>
      <c r="DE69" s="2">
        <f t="shared" si="57"/>
        <v>123041.8198067795</v>
      </c>
      <c r="DF69" s="2">
        <f t="shared" si="142"/>
        <v>3000</v>
      </c>
      <c r="DG69" s="2">
        <f t="shared" si="143"/>
        <v>3907.3041886229003</v>
      </c>
      <c r="DH69" s="2">
        <f t="shared" si="58"/>
        <v>116134.5156181566</v>
      </c>
    </row>
    <row r="70" spans="2:115">
      <c r="B70" s="232"/>
      <c r="C70" s="1">
        <f t="shared" ref="C70:C101" si="168">W51</f>
        <v>33</v>
      </c>
      <c r="D70" s="2">
        <f t="shared" si="105"/>
        <v>113908.009515</v>
      </c>
      <c r="E70" s="2">
        <f t="shared" si="106"/>
        <v>110422.03551674999</v>
      </c>
      <c r="F70" s="2">
        <f t="shared" si="107"/>
        <v>113403.78569999999</v>
      </c>
      <c r="G70" s="2">
        <f t="shared" si="108"/>
        <v>109043.269825</v>
      </c>
      <c r="H70" s="2">
        <f t="shared" si="109"/>
        <v>114831.00101250003</v>
      </c>
      <c r="I70" s="2">
        <f t="shared" si="110"/>
        <v>109549.38756812502</v>
      </c>
      <c r="J70" s="2">
        <f t="shared" ref="J70:J101" si="169">FV(INDEX(scenariusz_I_konto,MATCH(ROUNDUP(C70/12,0),scenariusz_I_rok,0))/12*(1-podatek_Belki),1,0,-J69,1)</f>
        <v>110526.54936681842</v>
      </c>
      <c r="K70" s="2">
        <f t="shared" ref="K70:K101" si="170">X51</f>
        <v>108187.07917499998</v>
      </c>
      <c r="W70" s="1">
        <f t="shared" si="144"/>
        <v>52</v>
      </c>
      <c r="X70" s="2">
        <f t="shared" si="121"/>
        <v>113198.19911593829</v>
      </c>
      <c r="Y70" s="8">
        <f t="shared" si="157"/>
        <v>4.3200000000000002E-2</v>
      </c>
      <c r="Z70" s="5">
        <f t="shared" si="145"/>
        <v>1149</v>
      </c>
      <c r="AA70" s="2">
        <f t="shared" si="146"/>
        <v>114785.1</v>
      </c>
      <c r="AB70" s="2">
        <f t="shared" si="37"/>
        <v>114900</v>
      </c>
      <c r="AC70" s="2">
        <f t="shared" si="147"/>
        <v>120530.09999999999</v>
      </c>
      <c r="AD70" s="8">
        <f t="shared" si="122"/>
        <v>4.9000000000000002E-2</v>
      </c>
      <c r="AE70" s="2">
        <f t="shared" si="2"/>
        <v>122498.75829999999</v>
      </c>
      <c r="AF70" s="2" t="str">
        <f t="shared" si="123"/>
        <v>nie</v>
      </c>
      <c r="AG70" s="2">
        <f t="shared" si="124"/>
        <v>1149</v>
      </c>
      <c r="AH70" s="1">
        <f t="shared" si="79"/>
        <v>0</v>
      </c>
      <c r="AI70" s="1">
        <f t="shared" si="111"/>
        <v>0</v>
      </c>
      <c r="AJ70" s="1">
        <f t="shared" si="155"/>
        <v>0</v>
      </c>
      <c r="AK70" s="1">
        <f t="shared" si="166"/>
        <v>0</v>
      </c>
      <c r="AL70" s="2">
        <f t="shared" si="90"/>
        <v>0</v>
      </c>
      <c r="AM70" s="8">
        <f t="shared" si="160"/>
        <v>4.9000000000000002E-2</v>
      </c>
      <c r="AN70" s="2">
        <f t="shared" si="91"/>
        <v>0</v>
      </c>
      <c r="AO70" s="2">
        <f t="shared" si="161"/>
        <v>0</v>
      </c>
      <c r="AP70" s="2">
        <f t="shared" si="119"/>
        <v>0</v>
      </c>
      <c r="AQ70" s="8">
        <f t="shared" si="112"/>
        <v>4.3200000000000002E-2</v>
      </c>
      <c r="AR70" s="2">
        <f t="shared" si="113"/>
        <v>0</v>
      </c>
      <c r="AS70" s="2">
        <f t="shared" si="114"/>
        <v>0</v>
      </c>
      <c r="AT70" s="2">
        <f t="shared" si="39"/>
        <v>0</v>
      </c>
      <c r="AU70" s="2">
        <f t="shared" si="92"/>
        <v>0</v>
      </c>
      <c r="AV70" s="2">
        <f t="shared" si="82"/>
        <v>8.7323199999809731</v>
      </c>
      <c r="AW70" s="1">
        <f t="shared" si="158"/>
        <v>0</v>
      </c>
      <c r="AX70" s="2">
        <f t="shared" si="125"/>
        <v>8.7323199999809731</v>
      </c>
      <c r="AY70" s="1">
        <f t="shared" si="83"/>
        <v>0</v>
      </c>
      <c r="AZ70" s="2">
        <f t="shared" si="40"/>
        <v>8.7323199999809731</v>
      </c>
      <c r="BA70" s="2">
        <f t="shared" si="93"/>
        <v>122507.49061999997</v>
      </c>
      <c r="BB70" s="2">
        <f t="shared" si="126"/>
        <v>0</v>
      </c>
      <c r="BC70" s="2">
        <f t="shared" si="41"/>
        <v>517.00927372799993</v>
      </c>
      <c r="BD70" s="2">
        <f t="shared" si="10"/>
        <v>121990.48134627196</v>
      </c>
      <c r="BE70" s="2">
        <f t="shared" si="42"/>
        <v>1149</v>
      </c>
      <c r="BF70" s="2">
        <f t="shared" si="11"/>
        <v>4058.1132177999939</v>
      </c>
      <c r="BG70" s="2">
        <f t="shared" si="12"/>
        <v>116783.36812847196</v>
      </c>
      <c r="BI70" s="8">
        <f t="shared" si="162"/>
        <v>2.9000000000000001E-2</v>
      </c>
      <c r="BJ70" s="5">
        <f t="shared" si="148"/>
        <v>1045</v>
      </c>
      <c r="BK70" s="2">
        <f t="shared" si="149"/>
        <v>104395.5</v>
      </c>
      <c r="BL70" s="2">
        <f t="shared" si="150"/>
        <v>104500</v>
      </c>
      <c r="BM70" s="2">
        <f t="shared" si="127"/>
        <v>104500</v>
      </c>
      <c r="BN70" s="8">
        <f t="shared" si="128"/>
        <v>5.2499999999999998E-2</v>
      </c>
      <c r="BO70" s="2">
        <f t="shared" si="129"/>
        <v>106328.75000000001</v>
      </c>
      <c r="BP70" s="2" t="str">
        <f t="shared" si="130"/>
        <v>nie</v>
      </c>
      <c r="BQ70" s="2">
        <f t="shared" si="131"/>
        <v>1828.7500000000146</v>
      </c>
      <c r="BR70" s="1">
        <f t="shared" si="163"/>
        <v>7</v>
      </c>
      <c r="BS70" s="1">
        <f t="shared" si="115"/>
        <v>48</v>
      </c>
      <c r="BT70" s="1">
        <f t="shared" si="156"/>
        <v>47</v>
      </c>
      <c r="BU70" s="1">
        <f t="shared" si="167"/>
        <v>52</v>
      </c>
      <c r="BV70" s="2">
        <f t="shared" si="94"/>
        <v>700</v>
      </c>
      <c r="BW70" s="8">
        <f t="shared" si="164"/>
        <v>5.2499999999999998E-2</v>
      </c>
      <c r="BX70" s="2">
        <f t="shared" si="95"/>
        <v>712.25</v>
      </c>
      <c r="BY70" s="2">
        <f t="shared" si="165"/>
        <v>12.25</v>
      </c>
      <c r="BZ70" s="2">
        <f t="shared" si="120"/>
        <v>14700</v>
      </c>
      <c r="CA70" s="8">
        <f t="shared" si="116"/>
        <v>4.3999999999999997E-2</v>
      </c>
      <c r="CB70" s="2">
        <f t="shared" si="117"/>
        <v>14915.599999999999</v>
      </c>
      <c r="CC70" s="2">
        <f t="shared" si="118"/>
        <v>294</v>
      </c>
      <c r="CD70" s="2">
        <f t="shared" si="132"/>
        <v>0</v>
      </c>
      <c r="CE70" s="2">
        <f t="shared" si="96"/>
        <v>0</v>
      </c>
      <c r="CF70" s="2">
        <f t="shared" si="97"/>
        <v>90.650000000000546</v>
      </c>
      <c r="CG70" s="1">
        <f t="shared" si="159"/>
        <v>0</v>
      </c>
      <c r="CH70" s="2">
        <f t="shared" si="133"/>
        <v>90.650000000000546</v>
      </c>
      <c r="CI70" s="1">
        <f t="shared" si="89"/>
        <v>0</v>
      </c>
      <c r="CJ70" s="2">
        <f t="shared" si="98"/>
        <v>90.650000000000546</v>
      </c>
      <c r="CK70" s="2">
        <f t="shared" si="99"/>
        <v>122047.25</v>
      </c>
      <c r="CL70" s="2">
        <f t="shared" si="134"/>
        <v>0</v>
      </c>
      <c r="CM70" s="2">
        <f t="shared" si="47"/>
        <v>515.91523499999994</v>
      </c>
      <c r="CN70" s="2">
        <f t="shared" si="135"/>
        <v>121531.33476500001</v>
      </c>
      <c r="CO70" s="2">
        <f t="shared" si="48"/>
        <v>2135.0000000000146</v>
      </c>
      <c r="CP70" s="2">
        <f t="shared" si="136"/>
        <v>3783.3274999999971</v>
      </c>
      <c r="CQ70" s="2">
        <f t="shared" si="137"/>
        <v>115613.00726499999</v>
      </c>
      <c r="CS70" s="5">
        <f t="shared" si="151"/>
        <v>1000</v>
      </c>
      <c r="CT70" s="2">
        <f t="shared" si="152"/>
        <v>100000</v>
      </c>
      <c r="CU70" s="2">
        <f t="shared" si="153"/>
        <v>100000</v>
      </c>
      <c r="CV70" s="2">
        <f t="shared" si="154"/>
        <v>122069.40863175</v>
      </c>
      <c r="CW70" s="8">
        <f t="shared" si="138"/>
        <v>4.9000000000000002E-2</v>
      </c>
      <c r="CX70" s="2">
        <f t="shared" si="139"/>
        <v>124063.20897273526</v>
      </c>
      <c r="CY70" s="2" t="str">
        <f t="shared" si="140"/>
        <v>nie</v>
      </c>
      <c r="CZ70" s="2">
        <f t="shared" si="53"/>
        <v>0</v>
      </c>
      <c r="DA70" s="2">
        <f t="shared" si="54"/>
        <v>0</v>
      </c>
      <c r="DB70" s="2">
        <f t="shared" si="55"/>
        <v>124063.20897273526</v>
      </c>
      <c r="DC70" s="2">
        <f t="shared" si="141"/>
        <v>0</v>
      </c>
      <c r="DD70" s="2">
        <f t="shared" si="56"/>
        <v>522.93908070945008</v>
      </c>
      <c r="DE70" s="2">
        <f t="shared" si="57"/>
        <v>123540.26989202581</v>
      </c>
      <c r="DF70" s="2">
        <f t="shared" si="142"/>
        <v>3000</v>
      </c>
      <c r="DG70" s="2">
        <f t="shared" si="143"/>
        <v>4002.009704819699</v>
      </c>
      <c r="DH70" s="2">
        <f t="shared" si="58"/>
        <v>116538.26018720611</v>
      </c>
    </row>
    <row r="71" spans="2:115">
      <c r="B71" s="232"/>
      <c r="C71" s="1">
        <f t="shared" si="168"/>
        <v>34</v>
      </c>
      <c r="D71" s="2">
        <f t="shared" si="105"/>
        <v>114357.33992333332</v>
      </c>
      <c r="E71" s="2">
        <f t="shared" si="106"/>
        <v>110785.99314749999</v>
      </c>
      <c r="F71" s="2">
        <f t="shared" si="107"/>
        <v>113810.08153333333</v>
      </c>
      <c r="G71" s="2">
        <f t="shared" si="108"/>
        <v>109372.36945</v>
      </c>
      <c r="H71" s="2">
        <f t="shared" si="109"/>
        <v>115283.97232500001</v>
      </c>
      <c r="I71" s="2">
        <f t="shared" si="110"/>
        <v>109916.29433125001</v>
      </c>
      <c r="J71" s="2">
        <f t="shared" si="169"/>
        <v>110862.27376052014</v>
      </c>
      <c r="K71" s="2">
        <f t="shared" si="170"/>
        <v>108442.96574999999</v>
      </c>
      <c r="W71" s="1">
        <f t="shared" si="144"/>
        <v>53</v>
      </c>
      <c r="X71" s="2">
        <f t="shared" si="121"/>
        <v>113469.14231289788</v>
      </c>
      <c r="Y71" s="8">
        <f t="shared" si="157"/>
        <v>4.3200000000000002E-2</v>
      </c>
      <c r="Z71" s="5">
        <f t="shared" si="145"/>
        <v>1149</v>
      </c>
      <c r="AA71" s="2">
        <f t="shared" si="146"/>
        <v>114785.1</v>
      </c>
      <c r="AB71" s="2">
        <f t="shared" si="37"/>
        <v>114900</v>
      </c>
      <c r="AC71" s="2">
        <f t="shared" si="147"/>
        <v>120530.09999999999</v>
      </c>
      <c r="AD71" s="8">
        <f t="shared" si="122"/>
        <v>4.9000000000000002E-2</v>
      </c>
      <c r="AE71" s="2">
        <f t="shared" si="2"/>
        <v>122990.922875</v>
      </c>
      <c r="AF71" s="2" t="str">
        <f t="shared" si="123"/>
        <v>nie</v>
      </c>
      <c r="AG71" s="2">
        <f t="shared" si="124"/>
        <v>1149</v>
      </c>
      <c r="AH71" s="1">
        <f t="shared" si="79"/>
        <v>0</v>
      </c>
      <c r="AI71" s="1">
        <f t="shared" si="111"/>
        <v>0</v>
      </c>
      <c r="AJ71" s="1">
        <f t="shared" si="155"/>
        <v>0</v>
      </c>
      <c r="AK71" s="1">
        <f t="shared" si="166"/>
        <v>0</v>
      </c>
      <c r="AL71" s="2">
        <f t="shared" si="90"/>
        <v>0</v>
      </c>
      <c r="AM71" s="8">
        <f t="shared" si="160"/>
        <v>4.9000000000000002E-2</v>
      </c>
      <c r="AN71" s="2">
        <f t="shared" si="91"/>
        <v>0</v>
      </c>
      <c r="AO71" s="2">
        <f t="shared" si="161"/>
        <v>0</v>
      </c>
      <c r="AP71" s="2">
        <f t="shared" si="119"/>
        <v>0</v>
      </c>
      <c r="AQ71" s="8">
        <f t="shared" si="112"/>
        <v>4.3200000000000002E-2</v>
      </c>
      <c r="AR71" s="2">
        <f t="shared" si="113"/>
        <v>0</v>
      </c>
      <c r="AS71" s="2">
        <f t="shared" si="114"/>
        <v>0</v>
      </c>
      <c r="AT71" s="2">
        <f t="shared" si="39"/>
        <v>0</v>
      </c>
      <c r="AU71" s="2">
        <f t="shared" si="92"/>
        <v>0</v>
      </c>
      <c r="AV71" s="2">
        <f t="shared" si="82"/>
        <v>8.7323199999809731</v>
      </c>
      <c r="AW71" s="1">
        <f t="shared" si="158"/>
        <v>0</v>
      </c>
      <c r="AX71" s="2">
        <f t="shared" si="125"/>
        <v>8.7323199999809731</v>
      </c>
      <c r="AY71" s="1">
        <f t="shared" si="83"/>
        <v>0</v>
      </c>
      <c r="AZ71" s="2">
        <f t="shared" si="40"/>
        <v>8.7323199999809731</v>
      </c>
      <c r="BA71" s="2">
        <f t="shared" si="93"/>
        <v>122999.65519499998</v>
      </c>
      <c r="BB71" s="2">
        <f t="shared" si="126"/>
        <v>0</v>
      </c>
      <c r="BC71" s="2">
        <f t="shared" si="41"/>
        <v>517.00927372799993</v>
      </c>
      <c r="BD71" s="2">
        <f t="shared" si="10"/>
        <v>122482.64592127198</v>
      </c>
      <c r="BE71" s="2">
        <f t="shared" si="42"/>
        <v>1149</v>
      </c>
      <c r="BF71" s="2">
        <f t="shared" si="11"/>
        <v>4151.6244870499968</v>
      </c>
      <c r="BG71" s="2">
        <f t="shared" si="12"/>
        <v>117182.02143422198</v>
      </c>
      <c r="BI71" s="8">
        <f t="shared" si="162"/>
        <v>2.9000000000000001E-2</v>
      </c>
      <c r="BJ71" s="5">
        <f t="shared" si="148"/>
        <v>1045</v>
      </c>
      <c r="BK71" s="2">
        <f t="shared" si="149"/>
        <v>104395.5</v>
      </c>
      <c r="BL71" s="2">
        <f t="shared" si="150"/>
        <v>104500</v>
      </c>
      <c r="BM71" s="2">
        <f t="shared" si="127"/>
        <v>104500</v>
      </c>
      <c r="BN71" s="8">
        <f t="shared" si="128"/>
        <v>5.2499999999999998E-2</v>
      </c>
      <c r="BO71" s="2">
        <f t="shared" si="129"/>
        <v>106785.93750000001</v>
      </c>
      <c r="BP71" s="2" t="str">
        <f t="shared" si="130"/>
        <v>nie</v>
      </c>
      <c r="BQ71" s="2">
        <f t="shared" si="131"/>
        <v>2090</v>
      </c>
      <c r="BR71" s="1">
        <f t="shared" si="163"/>
        <v>7</v>
      </c>
      <c r="BS71" s="1">
        <f t="shared" si="115"/>
        <v>48</v>
      </c>
      <c r="BT71" s="1">
        <f t="shared" si="156"/>
        <v>47</v>
      </c>
      <c r="BU71" s="1">
        <f t="shared" si="167"/>
        <v>52</v>
      </c>
      <c r="BV71" s="2">
        <f t="shared" si="94"/>
        <v>700</v>
      </c>
      <c r="BW71" s="8">
        <f t="shared" si="164"/>
        <v>5.2499999999999998E-2</v>
      </c>
      <c r="BX71" s="2">
        <f t="shared" si="95"/>
        <v>715.31250000000011</v>
      </c>
      <c r="BY71" s="2">
        <f t="shared" si="165"/>
        <v>14</v>
      </c>
      <c r="BZ71" s="2">
        <f t="shared" si="120"/>
        <v>14700</v>
      </c>
      <c r="CA71" s="8">
        <f t="shared" si="116"/>
        <v>4.3999999999999997E-2</v>
      </c>
      <c r="CB71" s="2">
        <f t="shared" si="117"/>
        <v>14969.5</v>
      </c>
      <c r="CC71" s="2">
        <f t="shared" si="118"/>
        <v>294</v>
      </c>
      <c r="CD71" s="2">
        <f t="shared" si="132"/>
        <v>0</v>
      </c>
      <c r="CE71" s="2">
        <f t="shared" si="96"/>
        <v>0</v>
      </c>
      <c r="CF71" s="2">
        <f t="shared" si="97"/>
        <v>90.650000000000546</v>
      </c>
      <c r="CG71" s="1">
        <f t="shared" si="159"/>
        <v>0</v>
      </c>
      <c r="CH71" s="2">
        <f t="shared" si="133"/>
        <v>90.650000000000546</v>
      </c>
      <c r="CI71" s="1">
        <f t="shared" si="89"/>
        <v>0</v>
      </c>
      <c r="CJ71" s="2">
        <f t="shared" si="98"/>
        <v>90.650000000000546</v>
      </c>
      <c r="CK71" s="2">
        <f t="shared" si="99"/>
        <v>122561.40000000001</v>
      </c>
      <c r="CL71" s="2">
        <f t="shared" si="134"/>
        <v>0</v>
      </c>
      <c r="CM71" s="2">
        <f t="shared" si="47"/>
        <v>515.91523499999994</v>
      </c>
      <c r="CN71" s="2">
        <f t="shared" si="135"/>
        <v>122045.48476500002</v>
      </c>
      <c r="CO71" s="2">
        <f t="shared" si="48"/>
        <v>2398</v>
      </c>
      <c r="CP71" s="2">
        <f t="shared" si="136"/>
        <v>3831.0460000000016</v>
      </c>
      <c r="CQ71" s="2">
        <f t="shared" si="137"/>
        <v>115816.43876500001</v>
      </c>
      <c r="CS71" s="5">
        <f t="shared" si="151"/>
        <v>1000</v>
      </c>
      <c r="CT71" s="2">
        <f t="shared" si="152"/>
        <v>100000</v>
      </c>
      <c r="CU71" s="2">
        <f t="shared" si="153"/>
        <v>100000</v>
      </c>
      <c r="CV71" s="2">
        <f t="shared" si="154"/>
        <v>122069.40863175</v>
      </c>
      <c r="CW71" s="8">
        <f t="shared" si="138"/>
        <v>4.9000000000000002E-2</v>
      </c>
      <c r="CX71" s="2">
        <f t="shared" si="139"/>
        <v>124561.65905798158</v>
      </c>
      <c r="CY71" s="2" t="str">
        <f t="shared" si="140"/>
        <v>nie</v>
      </c>
      <c r="CZ71" s="2">
        <f t="shared" si="53"/>
        <v>0</v>
      </c>
      <c r="DA71" s="2">
        <f t="shared" si="54"/>
        <v>0</v>
      </c>
      <c r="DB71" s="2">
        <f t="shared" si="55"/>
        <v>124561.65905798158</v>
      </c>
      <c r="DC71" s="2">
        <f t="shared" si="141"/>
        <v>0</v>
      </c>
      <c r="DD71" s="2">
        <f t="shared" si="56"/>
        <v>522.93908070945008</v>
      </c>
      <c r="DE71" s="2">
        <f t="shared" si="57"/>
        <v>124038.71997727214</v>
      </c>
      <c r="DF71" s="2">
        <f t="shared" si="142"/>
        <v>3000</v>
      </c>
      <c r="DG71" s="2">
        <f t="shared" si="143"/>
        <v>4096.7152210165004</v>
      </c>
      <c r="DH71" s="2">
        <f t="shared" si="58"/>
        <v>116942.00475625563</v>
      </c>
    </row>
    <row r="72" spans="2:115">
      <c r="B72" s="233"/>
      <c r="C72" s="1">
        <f t="shared" si="168"/>
        <v>35</v>
      </c>
      <c r="D72" s="2">
        <f t="shared" si="105"/>
        <v>114806.67033166667</v>
      </c>
      <c r="E72" s="2">
        <f t="shared" si="106"/>
        <v>111149.95077825</v>
      </c>
      <c r="F72" s="2">
        <f t="shared" si="107"/>
        <v>114216.37736666667</v>
      </c>
      <c r="G72" s="2">
        <f t="shared" si="108"/>
        <v>109701.469075</v>
      </c>
      <c r="H72" s="2">
        <f t="shared" si="109"/>
        <v>115736.94363750002</v>
      </c>
      <c r="I72" s="2">
        <f t="shared" si="110"/>
        <v>110283.20109437502</v>
      </c>
      <c r="J72" s="2">
        <f t="shared" si="169"/>
        <v>111199.01791706773</v>
      </c>
      <c r="K72" s="2">
        <f t="shared" si="170"/>
        <v>108698.852325</v>
      </c>
      <c r="W72" s="1">
        <f t="shared" si="144"/>
        <v>54</v>
      </c>
      <c r="X72" s="2">
        <f t="shared" si="121"/>
        <v>113740.08550985744</v>
      </c>
      <c r="Y72" s="8">
        <f t="shared" si="157"/>
        <v>4.3200000000000002E-2</v>
      </c>
      <c r="Z72" s="5">
        <f t="shared" si="145"/>
        <v>1149</v>
      </c>
      <c r="AA72" s="2">
        <f t="shared" si="146"/>
        <v>114785.1</v>
      </c>
      <c r="AB72" s="2">
        <f t="shared" si="37"/>
        <v>114900</v>
      </c>
      <c r="AC72" s="2">
        <f t="shared" si="147"/>
        <v>120530.09999999999</v>
      </c>
      <c r="AD72" s="8">
        <f t="shared" si="122"/>
        <v>4.9000000000000002E-2</v>
      </c>
      <c r="AE72" s="2">
        <f t="shared" si="2"/>
        <v>123483.08744999999</v>
      </c>
      <c r="AF72" s="2" t="str">
        <f t="shared" si="123"/>
        <v>nie</v>
      </c>
      <c r="AG72" s="2">
        <f t="shared" si="124"/>
        <v>1149</v>
      </c>
      <c r="AH72" s="1">
        <f t="shared" si="79"/>
        <v>0</v>
      </c>
      <c r="AI72" s="1">
        <f t="shared" si="111"/>
        <v>0</v>
      </c>
      <c r="AJ72" s="1">
        <f t="shared" si="155"/>
        <v>0</v>
      </c>
      <c r="AK72" s="1">
        <f t="shared" si="166"/>
        <v>0</v>
      </c>
      <c r="AL72" s="2">
        <f t="shared" si="90"/>
        <v>0</v>
      </c>
      <c r="AM72" s="8">
        <f t="shared" si="160"/>
        <v>4.9000000000000002E-2</v>
      </c>
      <c r="AN72" s="2">
        <f t="shared" si="91"/>
        <v>0</v>
      </c>
      <c r="AO72" s="2">
        <f t="shared" si="161"/>
        <v>0</v>
      </c>
      <c r="AP72" s="2">
        <f t="shared" si="119"/>
        <v>0</v>
      </c>
      <c r="AQ72" s="8">
        <f t="shared" si="112"/>
        <v>4.3200000000000002E-2</v>
      </c>
      <c r="AR72" s="2">
        <f t="shared" si="113"/>
        <v>0</v>
      </c>
      <c r="AS72" s="2">
        <f t="shared" si="114"/>
        <v>0</v>
      </c>
      <c r="AT72" s="2">
        <f t="shared" si="39"/>
        <v>0</v>
      </c>
      <c r="AU72" s="2">
        <f t="shared" si="92"/>
        <v>0</v>
      </c>
      <c r="AV72" s="2">
        <f t="shared" si="82"/>
        <v>8.7323199999809731</v>
      </c>
      <c r="AW72" s="1">
        <f t="shared" si="158"/>
        <v>0</v>
      </c>
      <c r="AX72" s="2">
        <f t="shared" si="125"/>
        <v>8.7323199999809731</v>
      </c>
      <c r="AY72" s="1">
        <f t="shared" si="83"/>
        <v>0</v>
      </c>
      <c r="AZ72" s="2">
        <f t="shared" si="40"/>
        <v>8.7323199999809731</v>
      </c>
      <c r="BA72" s="2">
        <f t="shared" si="93"/>
        <v>123491.81976999997</v>
      </c>
      <c r="BB72" s="2">
        <f t="shared" si="126"/>
        <v>0</v>
      </c>
      <c r="BC72" s="2">
        <f t="shared" si="41"/>
        <v>517.00927372799993</v>
      </c>
      <c r="BD72" s="2">
        <f t="shared" si="10"/>
        <v>122974.81049627197</v>
      </c>
      <c r="BE72" s="2">
        <f t="shared" si="42"/>
        <v>1149</v>
      </c>
      <c r="BF72" s="2">
        <f t="shared" si="11"/>
        <v>4245.1357562999947</v>
      </c>
      <c r="BG72" s="2">
        <f t="shared" si="12"/>
        <v>117580.67473997198</v>
      </c>
      <c r="BI72" s="8">
        <f t="shared" si="162"/>
        <v>2.9000000000000001E-2</v>
      </c>
      <c r="BJ72" s="5">
        <f t="shared" si="148"/>
        <v>1045</v>
      </c>
      <c r="BK72" s="2">
        <f t="shared" si="149"/>
        <v>104395.5</v>
      </c>
      <c r="BL72" s="2">
        <f t="shared" si="150"/>
        <v>104500</v>
      </c>
      <c r="BM72" s="2">
        <f t="shared" si="127"/>
        <v>104500</v>
      </c>
      <c r="BN72" s="8">
        <f t="shared" si="128"/>
        <v>5.2499999999999998E-2</v>
      </c>
      <c r="BO72" s="2">
        <f t="shared" si="129"/>
        <v>107243.12500000001</v>
      </c>
      <c r="BP72" s="2" t="str">
        <f t="shared" si="130"/>
        <v>nie</v>
      </c>
      <c r="BQ72" s="2">
        <f t="shared" si="131"/>
        <v>2090</v>
      </c>
      <c r="BR72" s="1">
        <f t="shared" si="163"/>
        <v>7</v>
      </c>
      <c r="BS72" s="1">
        <f t="shared" si="115"/>
        <v>48</v>
      </c>
      <c r="BT72" s="1">
        <f t="shared" si="156"/>
        <v>47</v>
      </c>
      <c r="BU72" s="1">
        <f t="shared" si="167"/>
        <v>52</v>
      </c>
      <c r="BV72" s="2">
        <f t="shared" si="94"/>
        <v>700</v>
      </c>
      <c r="BW72" s="8">
        <f t="shared" si="164"/>
        <v>5.2499999999999998E-2</v>
      </c>
      <c r="BX72" s="2">
        <f t="shared" si="95"/>
        <v>718.37500000000011</v>
      </c>
      <c r="BY72" s="2">
        <f t="shared" si="165"/>
        <v>14</v>
      </c>
      <c r="BZ72" s="2">
        <f t="shared" si="120"/>
        <v>14700</v>
      </c>
      <c r="CA72" s="8">
        <f t="shared" si="116"/>
        <v>4.3999999999999997E-2</v>
      </c>
      <c r="CB72" s="2">
        <f t="shared" si="117"/>
        <v>15023.4</v>
      </c>
      <c r="CC72" s="2">
        <f t="shared" si="118"/>
        <v>294</v>
      </c>
      <c r="CD72" s="2">
        <f t="shared" si="132"/>
        <v>0</v>
      </c>
      <c r="CE72" s="2">
        <f t="shared" si="96"/>
        <v>0</v>
      </c>
      <c r="CF72" s="2">
        <f t="shared" si="97"/>
        <v>90.650000000000546</v>
      </c>
      <c r="CG72" s="1">
        <f t="shared" si="159"/>
        <v>0</v>
      </c>
      <c r="CH72" s="2">
        <f t="shared" si="133"/>
        <v>90.650000000000546</v>
      </c>
      <c r="CI72" s="1">
        <f t="shared" si="89"/>
        <v>0</v>
      </c>
      <c r="CJ72" s="2">
        <f t="shared" si="98"/>
        <v>90.650000000000546</v>
      </c>
      <c r="CK72" s="2">
        <f t="shared" si="99"/>
        <v>123075.55</v>
      </c>
      <c r="CL72" s="2">
        <f t="shared" si="134"/>
        <v>0</v>
      </c>
      <c r="CM72" s="2">
        <f t="shared" si="47"/>
        <v>515.91523499999994</v>
      </c>
      <c r="CN72" s="2">
        <f t="shared" si="135"/>
        <v>122559.63476500001</v>
      </c>
      <c r="CO72" s="2">
        <f t="shared" si="48"/>
        <v>2398</v>
      </c>
      <c r="CP72" s="2">
        <f t="shared" si="136"/>
        <v>3928.7345000000005</v>
      </c>
      <c r="CQ72" s="2">
        <f t="shared" si="137"/>
        <v>116232.900265</v>
      </c>
      <c r="CS72" s="5">
        <f t="shared" si="151"/>
        <v>1000</v>
      </c>
      <c r="CT72" s="2">
        <f t="shared" si="152"/>
        <v>100000</v>
      </c>
      <c r="CU72" s="2">
        <f t="shared" si="153"/>
        <v>100000</v>
      </c>
      <c r="CV72" s="2">
        <f t="shared" si="154"/>
        <v>122069.40863175</v>
      </c>
      <c r="CW72" s="8">
        <f t="shared" si="138"/>
        <v>4.9000000000000002E-2</v>
      </c>
      <c r="CX72" s="2">
        <f t="shared" si="139"/>
        <v>125060.10914322788</v>
      </c>
      <c r="CY72" s="2" t="str">
        <f t="shared" si="140"/>
        <v>nie</v>
      </c>
      <c r="CZ72" s="2">
        <f t="shared" si="53"/>
        <v>0</v>
      </c>
      <c r="DA72" s="2">
        <f t="shared" si="54"/>
        <v>0</v>
      </c>
      <c r="DB72" s="2">
        <f t="shared" si="55"/>
        <v>125060.10914322788</v>
      </c>
      <c r="DC72" s="2">
        <f t="shared" si="141"/>
        <v>0</v>
      </c>
      <c r="DD72" s="2">
        <f t="shared" si="56"/>
        <v>522.93908070945008</v>
      </c>
      <c r="DE72" s="2">
        <f t="shared" si="57"/>
        <v>124537.17006251843</v>
      </c>
      <c r="DF72" s="2">
        <f t="shared" si="142"/>
        <v>3000</v>
      </c>
      <c r="DG72" s="2">
        <f t="shared" si="143"/>
        <v>4191.4207372132969</v>
      </c>
      <c r="DH72" s="2">
        <f t="shared" si="58"/>
        <v>117345.74932530514</v>
      </c>
    </row>
    <row r="73" spans="2:115">
      <c r="B73" s="231">
        <f>ROUNDUP(C74/12,0)</f>
        <v>4</v>
      </c>
      <c r="C73" s="3">
        <f t="shared" si="168"/>
        <v>36</v>
      </c>
      <c r="D73" s="10">
        <f t="shared" si="105"/>
        <v>114445.57741151999</v>
      </c>
      <c r="E73" s="10">
        <f t="shared" si="106"/>
        <v>111634.74927071999</v>
      </c>
      <c r="F73" s="10">
        <f t="shared" si="107"/>
        <v>114450.47537500001</v>
      </c>
      <c r="G73" s="10">
        <f t="shared" si="108"/>
        <v>109858.37087500001</v>
      </c>
      <c r="H73" s="10">
        <f t="shared" si="109"/>
        <v>116015.363841375</v>
      </c>
      <c r="I73" s="10">
        <f t="shared" si="110"/>
        <v>110475.55674887499</v>
      </c>
      <c r="J73" s="10">
        <f t="shared" si="169"/>
        <v>111536.78493399083</v>
      </c>
      <c r="K73" s="10">
        <f t="shared" si="170"/>
        <v>108954.73889999998</v>
      </c>
      <c r="W73" s="1">
        <f t="shared" si="144"/>
        <v>55</v>
      </c>
      <c r="X73" s="2">
        <f t="shared" si="121"/>
        <v>114011.02870681701</v>
      </c>
      <c r="Y73" s="8">
        <f t="shared" si="157"/>
        <v>4.3200000000000002E-2</v>
      </c>
      <c r="Z73" s="5">
        <f t="shared" si="145"/>
        <v>1149</v>
      </c>
      <c r="AA73" s="2">
        <f t="shared" si="146"/>
        <v>114785.1</v>
      </c>
      <c r="AB73" s="2">
        <f t="shared" si="37"/>
        <v>114900</v>
      </c>
      <c r="AC73" s="2">
        <f t="shared" si="147"/>
        <v>120530.09999999999</v>
      </c>
      <c r="AD73" s="8">
        <f t="shared" si="122"/>
        <v>4.9000000000000002E-2</v>
      </c>
      <c r="AE73" s="2">
        <f t="shared" si="2"/>
        <v>123975.25202499999</v>
      </c>
      <c r="AF73" s="2" t="str">
        <f t="shared" si="123"/>
        <v>nie</v>
      </c>
      <c r="AG73" s="2">
        <f t="shared" si="124"/>
        <v>1149</v>
      </c>
      <c r="AH73" s="1">
        <f t="shared" si="79"/>
        <v>0</v>
      </c>
      <c r="AI73" s="1">
        <f t="shared" si="111"/>
        <v>0</v>
      </c>
      <c r="AJ73" s="1">
        <f t="shared" si="155"/>
        <v>0</v>
      </c>
      <c r="AK73" s="1">
        <f t="shared" si="166"/>
        <v>0</v>
      </c>
      <c r="AL73" s="2">
        <f t="shared" si="90"/>
        <v>0</v>
      </c>
      <c r="AM73" s="8">
        <f t="shared" si="160"/>
        <v>4.9000000000000002E-2</v>
      </c>
      <c r="AN73" s="2">
        <f t="shared" si="91"/>
        <v>0</v>
      </c>
      <c r="AO73" s="2">
        <f t="shared" si="161"/>
        <v>0</v>
      </c>
      <c r="AP73" s="2">
        <f t="shared" si="119"/>
        <v>0</v>
      </c>
      <c r="AQ73" s="8">
        <f t="shared" si="112"/>
        <v>4.3200000000000002E-2</v>
      </c>
      <c r="AR73" s="2">
        <f t="shared" si="113"/>
        <v>0</v>
      </c>
      <c r="AS73" s="2">
        <f t="shared" si="114"/>
        <v>0</v>
      </c>
      <c r="AT73" s="2">
        <f t="shared" si="39"/>
        <v>0</v>
      </c>
      <c r="AU73" s="2">
        <f t="shared" si="92"/>
        <v>0</v>
      </c>
      <c r="AV73" s="2">
        <f t="shared" si="82"/>
        <v>8.7323199999809731</v>
      </c>
      <c r="AW73" s="1">
        <f t="shared" si="158"/>
        <v>0</v>
      </c>
      <c r="AX73" s="2">
        <f t="shared" si="125"/>
        <v>8.7323199999809731</v>
      </c>
      <c r="AY73" s="1">
        <f t="shared" si="83"/>
        <v>0</v>
      </c>
      <c r="AZ73" s="2">
        <f t="shared" si="40"/>
        <v>8.7323199999809731</v>
      </c>
      <c r="BA73" s="2">
        <f t="shared" si="93"/>
        <v>123983.98434499998</v>
      </c>
      <c r="BB73" s="2">
        <f t="shared" si="126"/>
        <v>0</v>
      </c>
      <c r="BC73" s="2">
        <f t="shared" si="41"/>
        <v>517.00927372799993</v>
      </c>
      <c r="BD73" s="2">
        <f t="shared" si="10"/>
        <v>123466.97507127197</v>
      </c>
      <c r="BE73" s="2">
        <f t="shared" si="42"/>
        <v>1149</v>
      </c>
      <c r="BF73" s="2">
        <f t="shared" si="11"/>
        <v>4338.6470255499953</v>
      </c>
      <c r="BG73" s="2">
        <f t="shared" si="12"/>
        <v>117979.32804572198</v>
      </c>
      <c r="BI73" s="8">
        <f t="shared" si="162"/>
        <v>2.9000000000000001E-2</v>
      </c>
      <c r="BJ73" s="5">
        <f t="shared" si="148"/>
        <v>1045</v>
      </c>
      <c r="BK73" s="2">
        <f t="shared" si="149"/>
        <v>104395.5</v>
      </c>
      <c r="BL73" s="2">
        <f t="shared" si="150"/>
        <v>104500</v>
      </c>
      <c r="BM73" s="2">
        <f t="shared" si="127"/>
        <v>104500</v>
      </c>
      <c r="BN73" s="8">
        <f t="shared" si="128"/>
        <v>5.2499999999999998E-2</v>
      </c>
      <c r="BO73" s="2">
        <f t="shared" si="129"/>
        <v>107700.31249999999</v>
      </c>
      <c r="BP73" s="2" t="str">
        <f t="shared" si="130"/>
        <v>nie</v>
      </c>
      <c r="BQ73" s="2">
        <f t="shared" si="131"/>
        <v>2090</v>
      </c>
      <c r="BR73" s="1">
        <f t="shared" si="163"/>
        <v>7</v>
      </c>
      <c r="BS73" s="1">
        <f t="shared" si="115"/>
        <v>48</v>
      </c>
      <c r="BT73" s="1">
        <f t="shared" si="156"/>
        <v>47</v>
      </c>
      <c r="BU73" s="1">
        <f t="shared" si="167"/>
        <v>52</v>
      </c>
      <c r="BV73" s="2">
        <f t="shared" si="94"/>
        <v>700</v>
      </c>
      <c r="BW73" s="8">
        <f t="shared" si="164"/>
        <v>5.2499999999999998E-2</v>
      </c>
      <c r="BX73" s="2">
        <f t="shared" si="95"/>
        <v>721.43749999999989</v>
      </c>
      <c r="BY73" s="2">
        <f t="shared" si="165"/>
        <v>14</v>
      </c>
      <c r="BZ73" s="2">
        <f t="shared" si="120"/>
        <v>14700</v>
      </c>
      <c r="CA73" s="8">
        <f t="shared" si="116"/>
        <v>4.3999999999999997E-2</v>
      </c>
      <c r="CB73" s="2">
        <f t="shared" si="117"/>
        <v>15077.300000000001</v>
      </c>
      <c r="CC73" s="2">
        <f t="shared" si="118"/>
        <v>294</v>
      </c>
      <c r="CD73" s="2">
        <f t="shared" si="132"/>
        <v>0</v>
      </c>
      <c r="CE73" s="2">
        <f t="shared" si="96"/>
        <v>0</v>
      </c>
      <c r="CF73" s="2">
        <f t="shared" si="97"/>
        <v>90.650000000000546</v>
      </c>
      <c r="CG73" s="1">
        <f t="shared" si="159"/>
        <v>0</v>
      </c>
      <c r="CH73" s="2">
        <f t="shared" si="133"/>
        <v>90.650000000000546</v>
      </c>
      <c r="CI73" s="1">
        <f t="shared" si="89"/>
        <v>0</v>
      </c>
      <c r="CJ73" s="2">
        <f t="shared" si="98"/>
        <v>90.650000000000546</v>
      </c>
      <c r="CK73" s="2">
        <f t="shared" si="99"/>
        <v>123589.69999999998</v>
      </c>
      <c r="CL73" s="2">
        <f t="shared" si="134"/>
        <v>0</v>
      </c>
      <c r="CM73" s="2">
        <f t="shared" si="47"/>
        <v>515.91523499999994</v>
      </c>
      <c r="CN73" s="2">
        <f t="shared" si="135"/>
        <v>123073.78476499999</v>
      </c>
      <c r="CO73" s="2">
        <f t="shared" si="48"/>
        <v>2398</v>
      </c>
      <c r="CP73" s="2">
        <f t="shared" si="136"/>
        <v>4026.4229999999966</v>
      </c>
      <c r="CQ73" s="2">
        <f t="shared" si="137"/>
        <v>116649.36176499999</v>
      </c>
      <c r="CS73" s="5">
        <f t="shared" si="151"/>
        <v>1000</v>
      </c>
      <c r="CT73" s="2">
        <f t="shared" si="152"/>
        <v>100000</v>
      </c>
      <c r="CU73" s="2">
        <f t="shared" si="153"/>
        <v>100000</v>
      </c>
      <c r="CV73" s="2">
        <f t="shared" si="154"/>
        <v>122069.40863175</v>
      </c>
      <c r="CW73" s="8">
        <f t="shared" si="138"/>
        <v>4.9000000000000002E-2</v>
      </c>
      <c r="CX73" s="2">
        <f t="shared" si="139"/>
        <v>125558.5592284742</v>
      </c>
      <c r="CY73" s="2" t="str">
        <f t="shared" si="140"/>
        <v>nie</v>
      </c>
      <c r="CZ73" s="2">
        <f t="shared" si="53"/>
        <v>0</v>
      </c>
      <c r="DA73" s="2">
        <f t="shared" si="54"/>
        <v>0</v>
      </c>
      <c r="DB73" s="2">
        <f t="shared" si="55"/>
        <v>125558.5592284742</v>
      </c>
      <c r="DC73" s="2">
        <f t="shared" si="141"/>
        <v>0</v>
      </c>
      <c r="DD73" s="2">
        <f t="shared" si="56"/>
        <v>522.93908070945008</v>
      </c>
      <c r="DE73" s="2">
        <f t="shared" si="57"/>
        <v>125035.62014776476</v>
      </c>
      <c r="DF73" s="2">
        <f t="shared" si="142"/>
        <v>3000</v>
      </c>
      <c r="DG73" s="2">
        <f t="shared" si="143"/>
        <v>4286.1262534100979</v>
      </c>
      <c r="DH73" s="2">
        <f t="shared" si="58"/>
        <v>117749.49389435466</v>
      </c>
    </row>
    <row r="74" spans="2:115">
      <c r="B74" s="232"/>
      <c r="C74" s="1">
        <f t="shared" si="168"/>
        <v>37</v>
      </c>
      <c r="D74" s="2">
        <f t="shared" si="105"/>
        <v>115029.65241152</v>
      </c>
      <c r="E74" s="2">
        <f t="shared" si="106"/>
        <v>111727.81827071999</v>
      </c>
      <c r="F74" s="2">
        <f t="shared" si="107"/>
        <v>114874.44204166668</v>
      </c>
      <c r="G74" s="2">
        <f t="shared" si="108"/>
        <v>110184.77387500001</v>
      </c>
      <c r="H74" s="2">
        <f t="shared" si="109"/>
        <v>116490.53074818752</v>
      </c>
      <c r="I74" s="2">
        <f t="shared" si="110"/>
        <v>110860.44194339315</v>
      </c>
      <c r="J74" s="2">
        <f t="shared" si="169"/>
        <v>111875.57791822783</v>
      </c>
      <c r="K74" s="2">
        <f t="shared" si="170"/>
        <v>109218.04618567499</v>
      </c>
      <c r="W74" s="1">
        <f t="shared" si="144"/>
        <v>56</v>
      </c>
      <c r="X74" s="2">
        <f t="shared" si="121"/>
        <v>114281.9719037766</v>
      </c>
      <c r="Y74" s="8">
        <f t="shared" si="157"/>
        <v>4.3200000000000002E-2</v>
      </c>
      <c r="Z74" s="5">
        <f t="shared" si="145"/>
        <v>1149</v>
      </c>
      <c r="AA74" s="2">
        <f t="shared" si="146"/>
        <v>114785.1</v>
      </c>
      <c r="AB74" s="2">
        <f t="shared" si="37"/>
        <v>114900</v>
      </c>
      <c r="AC74" s="2">
        <f t="shared" si="147"/>
        <v>120530.09999999999</v>
      </c>
      <c r="AD74" s="8">
        <f t="shared" si="122"/>
        <v>4.9000000000000002E-2</v>
      </c>
      <c r="AE74" s="2">
        <f t="shared" si="2"/>
        <v>124467.41659999998</v>
      </c>
      <c r="AF74" s="2" t="str">
        <f t="shared" si="123"/>
        <v>nie</v>
      </c>
      <c r="AG74" s="2">
        <f t="shared" si="124"/>
        <v>1149</v>
      </c>
      <c r="AH74" s="1">
        <f t="shared" si="79"/>
        <v>0</v>
      </c>
      <c r="AI74" s="1">
        <f t="shared" si="111"/>
        <v>0</v>
      </c>
      <c r="AJ74" s="1">
        <f t="shared" si="155"/>
        <v>0</v>
      </c>
      <c r="AK74" s="1">
        <f t="shared" si="166"/>
        <v>0</v>
      </c>
      <c r="AL74" s="2">
        <f t="shared" si="90"/>
        <v>0</v>
      </c>
      <c r="AM74" s="8">
        <f t="shared" si="160"/>
        <v>4.9000000000000002E-2</v>
      </c>
      <c r="AN74" s="2">
        <f t="shared" si="91"/>
        <v>0</v>
      </c>
      <c r="AO74" s="2">
        <f t="shared" si="161"/>
        <v>0</v>
      </c>
      <c r="AP74" s="2">
        <f t="shared" si="119"/>
        <v>0</v>
      </c>
      <c r="AQ74" s="8">
        <f t="shared" si="112"/>
        <v>4.3200000000000002E-2</v>
      </c>
      <c r="AR74" s="2">
        <f t="shared" si="113"/>
        <v>0</v>
      </c>
      <c r="AS74" s="2">
        <f t="shared" si="114"/>
        <v>0</v>
      </c>
      <c r="AT74" s="2">
        <f t="shared" si="39"/>
        <v>0</v>
      </c>
      <c r="AU74" s="2">
        <f t="shared" si="92"/>
        <v>0</v>
      </c>
      <c r="AV74" s="2">
        <f t="shared" si="82"/>
        <v>8.7323199999809731</v>
      </c>
      <c r="AW74" s="1">
        <f t="shared" si="158"/>
        <v>0</v>
      </c>
      <c r="AX74" s="2">
        <f t="shared" si="125"/>
        <v>8.7323199999809731</v>
      </c>
      <c r="AY74" s="1">
        <f t="shared" si="83"/>
        <v>0</v>
      </c>
      <c r="AZ74" s="2">
        <f t="shared" si="40"/>
        <v>8.7323199999809731</v>
      </c>
      <c r="BA74" s="2">
        <f t="shared" si="93"/>
        <v>124476.14891999996</v>
      </c>
      <c r="BB74" s="2">
        <f t="shared" si="126"/>
        <v>0</v>
      </c>
      <c r="BC74" s="2">
        <f t="shared" si="41"/>
        <v>517.00927372799993</v>
      </c>
      <c r="BD74" s="2">
        <f t="shared" si="10"/>
        <v>123959.13964627196</v>
      </c>
      <c r="BE74" s="2">
        <f t="shared" si="42"/>
        <v>1149</v>
      </c>
      <c r="BF74" s="2">
        <f t="shared" si="11"/>
        <v>4432.1582947999932</v>
      </c>
      <c r="BG74" s="2">
        <f t="shared" si="12"/>
        <v>118377.98135147196</v>
      </c>
      <c r="BI74" s="8">
        <f t="shared" si="162"/>
        <v>2.9000000000000001E-2</v>
      </c>
      <c r="BJ74" s="5">
        <f t="shared" si="148"/>
        <v>1045</v>
      </c>
      <c r="BK74" s="2">
        <f t="shared" si="149"/>
        <v>104395.5</v>
      </c>
      <c r="BL74" s="2">
        <f t="shared" si="150"/>
        <v>104500</v>
      </c>
      <c r="BM74" s="2">
        <f t="shared" si="127"/>
        <v>104500</v>
      </c>
      <c r="BN74" s="8">
        <f t="shared" si="128"/>
        <v>5.2499999999999998E-2</v>
      </c>
      <c r="BO74" s="2">
        <f t="shared" si="129"/>
        <v>108157.49999999999</v>
      </c>
      <c r="BP74" s="2" t="str">
        <f t="shared" si="130"/>
        <v>nie</v>
      </c>
      <c r="BQ74" s="2">
        <f t="shared" si="131"/>
        <v>2090</v>
      </c>
      <c r="BR74" s="1">
        <f t="shared" si="163"/>
        <v>7</v>
      </c>
      <c r="BS74" s="1">
        <f t="shared" si="115"/>
        <v>48</v>
      </c>
      <c r="BT74" s="1">
        <f t="shared" si="156"/>
        <v>47</v>
      </c>
      <c r="BU74" s="1">
        <f t="shared" si="167"/>
        <v>52</v>
      </c>
      <c r="BV74" s="2">
        <f t="shared" si="94"/>
        <v>700</v>
      </c>
      <c r="BW74" s="8">
        <f t="shared" si="164"/>
        <v>5.2499999999999998E-2</v>
      </c>
      <c r="BX74" s="2">
        <f t="shared" si="95"/>
        <v>724.5</v>
      </c>
      <c r="BY74" s="2">
        <f t="shared" si="165"/>
        <v>14</v>
      </c>
      <c r="BZ74" s="2">
        <f t="shared" si="120"/>
        <v>14700</v>
      </c>
      <c r="CA74" s="8">
        <f t="shared" si="116"/>
        <v>4.3999999999999997E-2</v>
      </c>
      <c r="CB74" s="2">
        <f t="shared" si="117"/>
        <v>15131.2</v>
      </c>
      <c r="CC74" s="2">
        <f t="shared" si="118"/>
        <v>294</v>
      </c>
      <c r="CD74" s="2">
        <f t="shared" si="132"/>
        <v>0</v>
      </c>
      <c r="CE74" s="2">
        <f t="shared" si="96"/>
        <v>0</v>
      </c>
      <c r="CF74" s="2">
        <f t="shared" si="97"/>
        <v>90.650000000000546</v>
      </c>
      <c r="CG74" s="1">
        <f t="shared" si="159"/>
        <v>0</v>
      </c>
      <c r="CH74" s="2">
        <f t="shared" si="133"/>
        <v>90.650000000000546</v>
      </c>
      <c r="CI74" s="1">
        <f t="shared" si="89"/>
        <v>0</v>
      </c>
      <c r="CJ74" s="2">
        <f t="shared" si="98"/>
        <v>90.650000000000546</v>
      </c>
      <c r="CK74" s="2">
        <f t="shared" si="99"/>
        <v>124103.84999999998</v>
      </c>
      <c r="CL74" s="2">
        <f t="shared" si="134"/>
        <v>0</v>
      </c>
      <c r="CM74" s="2">
        <f t="shared" si="47"/>
        <v>515.91523499999994</v>
      </c>
      <c r="CN74" s="2">
        <f t="shared" si="135"/>
        <v>123587.93476499998</v>
      </c>
      <c r="CO74" s="2">
        <f t="shared" si="48"/>
        <v>2398</v>
      </c>
      <c r="CP74" s="2">
        <f t="shared" si="136"/>
        <v>4124.1114999999954</v>
      </c>
      <c r="CQ74" s="2">
        <f t="shared" si="137"/>
        <v>117065.82326499998</v>
      </c>
      <c r="CS74" s="5">
        <f t="shared" si="151"/>
        <v>1000</v>
      </c>
      <c r="CT74" s="2">
        <f t="shared" si="152"/>
        <v>100000</v>
      </c>
      <c r="CU74" s="2">
        <f t="shared" si="153"/>
        <v>100000</v>
      </c>
      <c r="CV74" s="2">
        <f t="shared" si="154"/>
        <v>122069.40863175</v>
      </c>
      <c r="CW74" s="8">
        <f t="shared" si="138"/>
        <v>4.9000000000000002E-2</v>
      </c>
      <c r="CX74" s="2">
        <f t="shared" si="139"/>
        <v>126057.0093137205</v>
      </c>
      <c r="CY74" s="2" t="str">
        <f t="shared" si="140"/>
        <v>nie</v>
      </c>
      <c r="CZ74" s="2">
        <f t="shared" si="53"/>
        <v>0</v>
      </c>
      <c r="DA74" s="2">
        <f t="shared" si="54"/>
        <v>0</v>
      </c>
      <c r="DB74" s="2">
        <f t="shared" si="55"/>
        <v>126057.0093137205</v>
      </c>
      <c r="DC74" s="2">
        <f t="shared" si="141"/>
        <v>0</v>
      </c>
      <c r="DD74" s="2">
        <f t="shared" si="56"/>
        <v>522.93908070945008</v>
      </c>
      <c r="DE74" s="2">
        <f t="shared" si="57"/>
        <v>125534.07023301105</v>
      </c>
      <c r="DF74" s="2">
        <f t="shared" si="142"/>
        <v>3000</v>
      </c>
      <c r="DG74" s="2">
        <f t="shared" si="143"/>
        <v>4380.8317696068943</v>
      </c>
      <c r="DH74" s="2">
        <f t="shared" si="58"/>
        <v>118153.23846340415</v>
      </c>
    </row>
    <row r="75" spans="2:115">
      <c r="B75" s="232"/>
      <c r="C75" s="1">
        <f t="shared" si="168"/>
        <v>38</v>
      </c>
      <c r="D75" s="2">
        <f t="shared" si="105"/>
        <v>115498.82741151999</v>
      </c>
      <c r="E75" s="2">
        <f t="shared" si="106"/>
        <v>111727.81827071999</v>
      </c>
      <c r="F75" s="2">
        <f t="shared" si="107"/>
        <v>115298.40870833336</v>
      </c>
      <c r="G75" s="2">
        <f t="shared" si="108"/>
        <v>110511.17687500002</v>
      </c>
      <c r="H75" s="2">
        <f t="shared" si="109"/>
        <v>116965.697655</v>
      </c>
      <c r="I75" s="2">
        <f t="shared" si="110"/>
        <v>111245.32713791124</v>
      </c>
      <c r="J75" s="2">
        <f t="shared" si="169"/>
        <v>112215.39998615446</v>
      </c>
      <c r="K75" s="2">
        <f t="shared" si="170"/>
        <v>109481.35347134997</v>
      </c>
      <c r="W75" s="1">
        <f t="shared" si="144"/>
        <v>57</v>
      </c>
      <c r="X75" s="2">
        <f t="shared" si="121"/>
        <v>114552.91510073615</v>
      </c>
      <c r="Y75" s="8">
        <f t="shared" si="157"/>
        <v>4.3200000000000002E-2</v>
      </c>
      <c r="Z75" s="5">
        <f t="shared" si="145"/>
        <v>1149</v>
      </c>
      <c r="AA75" s="2">
        <f t="shared" si="146"/>
        <v>114785.1</v>
      </c>
      <c r="AB75" s="2">
        <f t="shared" si="37"/>
        <v>114900</v>
      </c>
      <c r="AC75" s="2">
        <f t="shared" si="147"/>
        <v>120530.09999999999</v>
      </c>
      <c r="AD75" s="8">
        <f t="shared" si="122"/>
        <v>4.9000000000000002E-2</v>
      </c>
      <c r="AE75" s="2">
        <f t="shared" si="2"/>
        <v>124959.581175</v>
      </c>
      <c r="AF75" s="2" t="str">
        <f t="shared" si="123"/>
        <v>nie</v>
      </c>
      <c r="AG75" s="2">
        <f t="shared" si="124"/>
        <v>1149</v>
      </c>
      <c r="AH75" s="1">
        <f t="shared" si="79"/>
        <v>0</v>
      </c>
      <c r="AI75" s="1">
        <f t="shared" ref="AI75:AI106" si="171">IF(zapadalnosc_TOS/12&gt;=AI$18,AH63,0)</f>
        <v>0</v>
      </c>
      <c r="AJ75" s="1">
        <f t="shared" si="155"/>
        <v>0</v>
      </c>
      <c r="AK75" s="1">
        <f t="shared" si="166"/>
        <v>0</v>
      </c>
      <c r="AL75" s="2">
        <f t="shared" si="90"/>
        <v>0</v>
      </c>
      <c r="AM75" s="8">
        <f t="shared" si="160"/>
        <v>4.9000000000000002E-2</v>
      </c>
      <c r="AN75" s="2">
        <f t="shared" si="91"/>
        <v>0</v>
      </c>
      <c r="AO75" s="2">
        <f t="shared" si="161"/>
        <v>0</v>
      </c>
      <c r="AP75" s="2">
        <f t="shared" si="119"/>
        <v>0</v>
      </c>
      <c r="AQ75" s="8">
        <f t="shared" ref="AQ75:AQ106" si="172">marza_TOS+Y75</f>
        <v>4.3200000000000002E-2</v>
      </c>
      <c r="AR75" s="2">
        <f t="shared" si="113"/>
        <v>0</v>
      </c>
      <c r="AS75" s="2">
        <f t="shared" ref="AS75:AS106" si="173">SUM(AI75:AK75)*koszt_wczesniejszy_wykup_TOS</f>
        <v>0</v>
      </c>
      <c r="AT75" s="2">
        <f t="shared" si="39"/>
        <v>0</v>
      </c>
      <c r="AU75" s="2">
        <f t="shared" si="92"/>
        <v>0</v>
      </c>
      <c r="AV75" s="2">
        <f t="shared" si="82"/>
        <v>8.7323199999809731</v>
      </c>
      <c r="AW75" s="1">
        <f t="shared" si="158"/>
        <v>0</v>
      </c>
      <c r="AX75" s="2">
        <f t="shared" si="125"/>
        <v>8.7323199999809731</v>
      </c>
      <c r="AY75" s="1">
        <f t="shared" si="83"/>
        <v>0</v>
      </c>
      <c r="AZ75" s="2">
        <f t="shared" si="40"/>
        <v>8.7323199999809731</v>
      </c>
      <c r="BA75" s="2">
        <f t="shared" si="93"/>
        <v>124968.31349499998</v>
      </c>
      <c r="BB75" s="2">
        <f t="shared" si="126"/>
        <v>0</v>
      </c>
      <c r="BC75" s="2">
        <f t="shared" si="41"/>
        <v>517.00927372799993</v>
      </c>
      <c r="BD75" s="2">
        <f t="shared" si="10"/>
        <v>124451.30422127197</v>
      </c>
      <c r="BE75" s="2">
        <f t="shared" si="42"/>
        <v>1149</v>
      </c>
      <c r="BF75" s="2">
        <f t="shared" si="11"/>
        <v>4525.6695640499966</v>
      </c>
      <c r="BG75" s="2">
        <f t="shared" si="12"/>
        <v>118776.63465722198</v>
      </c>
      <c r="BI75" s="8">
        <f t="shared" si="162"/>
        <v>2.9000000000000001E-2</v>
      </c>
      <c r="BJ75" s="5">
        <f t="shared" si="148"/>
        <v>1045</v>
      </c>
      <c r="BK75" s="2">
        <f t="shared" si="149"/>
        <v>104395.5</v>
      </c>
      <c r="BL75" s="2">
        <f t="shared" si="150"/>
        <v>104500</v>
      </c>
      <c r="BM75" s="2">
        <f t="shared" si="127"/>
        <v>104500</v>
      </c>
      <c r="BN75" s="8">
        <f t="shared" si="128"/>
        <v>5.2499999999999998E-2</v>
      </c>
      <c r="BO75" s="2">
        <f t="shared" si="129"/>
        <v>108614.6875</v>
      </c>
      <c r="BP75" s="2" t="str">
        <f t="shared" si="130"/>
        <v>nie</v>
      </c>
      <c r="BQ75" s="2">
        <f t="shared" si="131"/>
        <v>2090</v>
      </c>
      <c r="BR75" s="1">
        <f t="shared" si="163"/>
        <v>7</v>
      </c>
      <c r="BS75" s="1">
        <f t="shared" ref="BS75:BS106" si="174">IF(zapadalnosc_COI/12&gt;=BS$18,BR63,0)</f>
        <v>48</v>
      </c>
      <c r="BT75" s="1">
        <f t="shared" si="156"/>
        <v>47</v>
      </c>
      <c r="BU75" s="1">
        <f t="shared" si="167"/>
        <v>52</v>
      </c>
      <c r="BV75" s="2">
        <f t="shared" si="94"/>
        <v>700</v>
      </c>
      <c r="BW75" s="8">
        <f t="shared" si="164"/>
        <v>5.2499999999999998E-2</v>
      </c>
      <c r="BX75" s="2">
        <f t="shared" si="95"/>
        <v>727.5625</v>
      </c>
      <c r="BY75" s="2">
        <f t="shared" si="165"/>
        <v>14</v>
      </c>
      <c r="BZ75" s="2">
        <f t="shared" si="120"/>
        <v>14700</v>
      </c>
      <c r="CA75" s="8">
        <f t="shared" ref="CA75:CA106" si="175">marza_COI+BI75</f>
        <v>4.3999999999999997E-2</v>
      </c>
      <c r="CB75" s="2">
        <f t="shared" si="117"/>
        <v>15185.099999999999</v>
      </c>
      <c r="CC75" s="2">
        <f t="shared" ref="CC75:CC106" si="176">SUM(BS75:BU75)*koszt_wczesniejszy_wykup_COI</f>
        <v>294</v>
      </c>
      <c r="CD75" s="2">
        <f t="shared" si="132"/>
        <v>0</v>
      </c>
      <c r="CE75" s="2">
        <f t="shared" si="96"/>
        <v>0</v>
      </c>
      <c r="CF75" s="2">
        <f t="shared" si="97"/>
        <v>90.650000000000546</v>
      </c>
      <c r="CG75" s="1">
        <f t="shared" si="159"/>
        <v>0</v>
      </c>
      <c r="CH75" s="2">
        <f t="shared" si="133"/>
        <v>90.650000000000546</v>
      </c>
      <c r="CI75" s="1">
        <f t="shared" si="89"/>
        <v>0</v>
      </c>
      <c r="CJ75" s="2">
        <f t="shared" si="98"/>
        <v>90.650000000000546</v>
      </c>
      <c r="CK75" s="2">
        <f t="shared" si="99"/>
        <v>124618</v>
      </c>
      <c r="CL75" s="2">
        <f t="shared" si="134"/>
        <v>0</v>
      </c>
      <c r="CM75" s="2">
        <f t="shared" si="47"/>
        <v>515.91523499999994</v>
      </c>
      <c r="CN75" s="2">
        <f t="shared" si="135"/>
        <v>124102.08476500001</v>
      </c>
      <c r="CO75" s="2">
        <f t="shared" si="48"/>
        <v>2398</v>
      </c>
      <c r="CP75" s="2">
        <f t="shared" si="136"/>
        <v>4221.8</v>
      </c>
      <c r="CQ75" s="2">
        <f t="shared" si="137"/>
        <v>117482.284765</v>
      </c>
      <c r="CS75" s="5">
        <f t="shared" si="151"/>
        <v>1000</v>
      </c>
      <c r="CT75" s="2">
        <f t="shared" si="152"/>
        <v>100000</v>
      </c>
      <c r="CU75" s="2">
        <f t="shared" si="153"/>
        <v>100000</v>
      </c>
      <c r="CV75" s="2">
        <f t="shared" si="154"/>
        <v>122069.40863175</v>
      </c>
      <c r="CW75" s="8">
        <f t="shared" si="138"/>
        <v>4.9000000000000002E-2</v>
      </c>
      <c r="CX75" s="2">
        <f t="shared" si="139"/>
        <v>126555.45939896682</v>
      </c>
      <c r="CY75" s="2" t="str">
        <f t="shared" si="140"/>
        <v>nie</v>
      </c>
      <c r="CZ75" s="2">
        <f t="shared" si="53"/>
        <v>0</v>
      </c>
      <c r="DA75" s="2">
        <f t="shared" si="54"/>
        <v>0</v>
      </c>
      <c r="DB75" s="2">
        <f t="shared" si="55"/>
        <v>126555.45939896682</v>
      </c>
      <c r="DC75" s="2">
        <f t="shared" si="141"/>
        <v>0</v>
      </c>
      <c r="DD75" s="2">
        <f t="shared" si="56"/>
        <v>522.93908070945008</v>
      </c>
      <c r="DE75" s="2">
        <f t="shared" si="57"/>
        <v>126032.52031825738</v>
      </c>
      <c r="DF75" s="2">
        <f t="shared" si="142"/>
        <v>3000</v>
      </c>
      <c r="DG75" s="2">
        <f t="shared" si="143"/>
        <v>4475.5372858036962</v>
      </c>
      <c r="DH75" s="2">
        <f t="shared" si="58"/>
        <v>118556.98303245367</v>
      </c>
    </row>
    <row r="76" spans="2:115">
      <c r="B76" s="232"/>
      <c r="C76" s="1">
        <f t="shared" si="168"/>
        <v>39</v>
      </c>
      <c r="D76" s="2">
        <f t="shared" si="105"/>
        <v>115968.00241151999</v>
      </c>
      <c r="E76" s="2">
        <f t="shared" si="106"/>
        <v>111937.22352072</v>
      </c>
      <c r="F76" s="2">
        <f t="shared" si="107"/>
        <v>115722.37537499999</v>
      </c>
      <c r="G76" s="2">
        <f t="shared" si="108"/>
        <v>110837.579875</v>
      </c>
      <c r="H76" s="2">
        <f t="shared" si="109"/>
        <v>117440.86456181252</v>
      </c>
      <c r="I76" s="2">
        <f t="shared" si="110"/>
        <v>111630.21233242939</v>
      </c>
      <c r="J76" s="2">
        <f t="shared" si="169"/>
        <v>112556.2542636124</v>
      </c>
      <c r="K76" s="2">
        <f t="shared" si="170"/>
        <v>109744.66075702498</v>
      </c>
      <c r="W76" s="1">
        <f t="shared" si="144"/>
        <v>58</v>
      </c>
      <c r="X76" s="2">
        <f t="shared" si="121"/>
        <v>114823.85829769574</v>
      </c>
      <c r="Y76" s="8">
        <f t="shared" si="157"/>
        <v>4.3200000000000002E-2</v>
      </c>
      <c r="Z76" s="5">
        <f t="shared" si="145"/>
        <v>1149</v>
      </c>
      <c r="AA76" s="2">
        <f t="shared" si="146"/>
        <v>114785.1</v>
      </c>
      <c r="AB76" s="2">
        <f t="shared" si="37"/>
        <v>114900</v>
      </c>
      <c r="AC76" s="2">
        <f t="shared" si="147"/>
        <v>120530.09999999999</v>
      </c>
      <c r="AD76" s="8">
        <f t="shared" si="122"/>
        <v>4.9000000000000002E-2</v>
      </c>
      <c r="AE76" s="2">
        <f t="shared" si="2"/>
        <v>125451.74574999999</v>
      </c>
      <c r="AF76" s="2" t="str">
        <f t="shared" si="123"/>
        <v>nie</v>
      </c>
      <c r="AG76" s="2">
        <f t="shared" si="124"/>
        <v>1149</v>
      </c>
      <c r="AH76" s="1">
        <f t="shared" si="79"/>
        <v>0</v>
      </c>
      <c r="AI76" s="1">
        <f t="shared" si="171"/>
        <v>0</v>
      </c>
      <c r="AJ76" s="1">
        <f t="shared" si="155"/>
        <v>0</v>
      </c>
      <c r="AK76" s="1">
        <f t="shared" si="166"/>
        <v>0</v>
      </c>
      <c r="AL76" s="2">
        <f t="shared" si="90"/>
        <v>0</v>
      </c>
      <c r="AM76" s="8">
        <f t="shared" si="160"/>
        <v>4.9000000000000002E-2</v>
      </c>
      <c r="AN76" s="2">
        <f t="shared" si="91"/>
        <v>0</v>
      </c>
      <c r="AO76" s="2">
        <f t="shared" si="161"/>
        <v>0</v>
      </c>
      <c r="AP76" s="2">
        <f t="shared" si="119"/>
        <v>0</v>
      </c>
      <c r="AQ76" s="8">
        <f t="shared" si="172"/>
        <v>4.3200000000000002E-2</v>
      </c>
      <c r="AR76" s="2">
        <f t="shared" si="113"/>
        <v>0</v>
      </c>
      <c r="AS76" s="2">
        <f t="shared" si="173"/>
        <v>0</v>
      </c>
      <c r="AT76" s="2">
        <f t="shared" si="39"/>
        <v>0</v>
      </c>
      <c r="AU76" s="2">
        <f t="shared" si="92"/>
        <v>0</v>
      </c>
      <c r="AV76" s="2">
        <f t="shared" si="82"/>
        <v>8.7323199999809731</v>
      </c>
      <c r="AW76" s="1">
        <f t="shared" si="158"/>
        <v>0</v>
      </c>
      <c r="AX76" s="2">
        <f t="shared" si="125"/>
        <v>8.7323199999809731</v>
      </c>
      <c r="AY76" s="1">
        <f t="shared" si="83"/>
        <v>0</v>
      </c>
      <c r="AZ76" s="2">
        <f t="shared" si="40"/>
        <v>8.7323199999809731</v>
      </c>
      <c r="BA76" s="2">
        <f t="shared" si="93"/>
        <v>125460.47806999997</v>
      </c>
      <c r="BB76" s="2">
        <f t="shared" si="126"/>
        <v>0</v>
      </c>
      <c r="BC76" s="2">
        <f t="shared" si="41"/>
        <v>517.00927372799993</v>
      </c>
      <c r="BD76" s="2">
        <f t="shared" si="10"/>
        <v>124943.46879627196</v>
      </c>
      <c r="BE76" s="2">
        <f t="shared" si="42"/>
        <v>1149</v>
      </c>
      <c r="BF76" s="2">
        <f t="shared" si="11"/>
        <v>4619.1808332999944</v>
      </c>
      <c r="BG76" s="2">
        <f t="shared" si="12"/>
        <v>119175.28796297197</v>
      </c>
      <c r="BI76" s="8">
        <f t="shared" si="162"/>
        <v>2.9000000000000001E-2</v>
      </c>
      <c r="BJ76" s="5">
        <f t="shared" si="148"/>
        <v>1045</v>
      </c>
      <c r="BK76" s="2">
        <f t="shared" si="149"/>
        <v>104395.5</v>
      </c>
      <c r="BL76" s="2">
        <f t="shared" si="150"/>
        <v>104500</v>
      </c>
      <c r="BM76" s="2">
        <f t="shared" si="127"/>
        <v>104500</v>
      </c>
      <c r="BN76" s="8">
        <f t="shared" si="128"/>
        <v>5.2499999999999998E-2</v>
      </c>
      <c r="BO76" s="2">
        <f t="shared" si="129"/>
        <v>109071.875</v>
      </c>
      <c r="BP76" s="2" t="str">
        <f t="shared" si="130"/>
        <v>nie</v>
      </c>
      <c r="BQ76" s="2">
        <f t="shared" si="131"/>
        <v>2090</v>
      </c>
      <c r="BR76" s="1">
        <f t="shared" si="163"/>
        <v>7</v>
      </c>
      <c r="BS76" s="1">
        <f t="shared" si="174"/>
        <v>48</v>
      </c>
      <c r="BT76" s="1">
        <f t="shared" si="156"/>
        <v>47</v>
      </c>
      <c r="BU76" s="1">
        <f t="shared" si="167"/>
        <v>52</v>
      </c>
      <c r="BV76" s="2">
        <f t="shared" si="94"/>
        <v>700</v>
      </c>
      <c r="BW76" s="8">
        <f t="shared" si="164"/>
        <v>5.2499999999999998E-2</v>
      </c>
      <c r="BX76" s="2">
        <f t="shared" si="95"/>
        <v>730.625</v>
      </c>
      <c r="BY76" s="2">
        <f t="shared" si="165"/>
        <v>14</v>
      </c>
      <c r="BZ76" s="2">
        <f t="shared" si="120"/>
        <v>14700</v>
      </c>
      <c r="CA76" s="8">
        <f t="shared" si="175"/>
        <v>4.3999999999999997E-2</v>
      </c>
      <c r="CB76" s="2">
        <f t="shared" si="117"/>
        <v>15239</v>
      </c>
      <c r="CC76" s="2">
        <f t="shared" si="176"/>
        <v>294</v>
      </c>
      <c r="CD76" s="2">
        <f t="shared" si="132"/>
        <v>0</v>
      </c>
      <c r="CE76" s="2">
        <f t="shared" si="96"/>
        <v>0</v>
      </c>
      <c r="CF76" s="2">
        <f t="shared" si="97"/>
        <v>90.650000000000546</v>
      </c>
      <c r="CG76" s="1">
        <f t="shared" si="159"/>
        <v>0</v>
      </c>
      <c r="CH76" s="2">
        <f t="shared" si="133"/>
        <v>90.650000000000546</v>
      </c>
      <c r="CI76" s="1">
        <f t="shared" si="89"/>
        <v>0</v>
      </c>
      <c r="CJ76" s="2">
        <f t="shared" si="98"/>
        <v>90.650000000000546</v>
      </c>
      <c r="CK76" s="2">
        <f t="shared" si="99"/>
        <v>125132.15</v>
      </c>
      <c r="CL76" s="2">
        <f t="shared" si="134"/>
        <v>0</v>
      </c>
      <c r="CM76" s="2">
        <f t="shared" si="47"/>
        <v>515.91523499999994</v>
      </c>
      <c r="CN76" s="2">
        <f t="shared" si="135"/>
        <v>124616.234765</v>
      </c>
      <c r="CO76" s="2">
        <f t="shared" si="48"/>
        <v>2398</v>
      </c>
      <c r="CP76" s="2">
        <f t="shared" si="136"/>
        <v>4319.4884999999986</v>
      </c>
      <c r="CQ76" s="2">
        <f t="shared" si="137"/>
        <v>117898.74626500001</v>
      </c>
      <c r="CS76" s="5">
        <f t="shared" si="151"/>
        <v>1000</v>
      </c>
      <c r="CT76" s="2">
        <f t="shared" si="152"/>
        <v>100000</v>
      </c>
      <c r="CU76" s="2">
        <f t="shared" si="153"/>
        <v>100000</v>
      </c>
      <c r="CV76" s="2">
        <f t="shared" si="154"/>
        <v>122069.40863175</v>
      </c>
      <c r="CW76" s="8">
        <f t="shared" si="138"/>
        <v>4.9000000000000002E-2</v>
      </c>
      <c r="CX76" s="2">
        <f t="shared" si="139"/>
        <v>127053.90948421312</v>
      </c>
      <c r="CY76" s="2" t="str">
        <f t="shared" si="140"/>
        <v>nie</v>
      </c>
      <c r="CZ76" s="2">
        <f t="shared" si="53"/>
        <v>0</v>
      </c>
      <c r="DA76" s="2">
        <f t="shared" si="54"/>
        <v>0</v>
      </c>
      <c r="DB76" s="2">
        <f t="shared" si="55"/>
        <v>127053.90948421312</v>
      </c>
      <c r="DC76" s="2">
        <f t="shared" si="141"/>
        <v>0</v>
      </c>
      <c r="DD76" s="2">
        <f t="shared" si="56"/>
        <v>522.93908070945008</v>
      </c>
      <c r="DE76" s="2">
        <f t="shared" si="57"/>
        <v>126530.97040350367</v>
      </c>
      <c r="DF76" s="2">
        <f t="shared" si="142"/>
        <v>3000</v>
      </c>
      <c r="DG76" s="2">
        <f t="shared" si="143"/>
        <v>4570.2428020004918</v>
      </c>
      <c r="DH76" s="2">
        <f t="shared" si="58"/>
        <v>118960.72760150318</v>
      </c>
    </row>
    <row r="77" spans="2:115">
      <c r="B77" s="232"/>
      <c r="C77" s="1">
        <f t="shared" si="168"/>
        <v>40</v>
      </c>
      <c r="D77" s="2">
        <f t="shared" si="105"/>
        <v>116437.17741151998</v>
      </c>
      <c r="E77" s="2">
        <f t="shared" si="106"/>
        <v>112317.25527071998</v>
      </c>
      <c r="F77" s="2">
        <f t="shared" si="107"/>
        <v>116146.34204166666</v>
      </c>
      <c r="G77" s="2">
        <f t="shared" si="108"/>
        <v>111163.982875</v>
      </c>
      <c r="H77" s="2">
        <f t="shared" si="109"/>
        <v>117916.03146862501</v>
      </c>
      <c r="I77" s="2">
        <f t="shared" si="110"/>
        <v>112015.0975269475</v>
      </c>
      <c r="J77" s="2">
        <f t="shared" si="169"/>
        <v>112898.14388593813</v>
      </c>
      <c r="K77" s="2">
        <f t="shared" si="170"/>
        <v>110007.96804269998</v>
      </c>
      <c r="W77" s="1">
        <f t="shared" si="144"/>
        <v>59</v>
      </c>
      <c r="X77" s="2">
        <f t="shared" si="121"/>
        <v>115094.80149465532</v>
      </c>
      <c r="Y77" s="8">
        <f t="shared" si="157"/>
        <v>4.3200000000000002E-2</v>
      </c>
      <c r="Z77" s="5">
        <f t="shared" si="145"/>
        <v>1149</v>
      </c>
      <c r="AA77" s="2">
        <f t="shared" si="146"/>
        <v>114785.1</v>
      </c>
      <c r="AB77" s="2">
        <f t="shared" si="37"/>
        <v>114900</v>
      </c>
      <c r="AC77" s="2">
        <f t="shared" si="147"/>
        <v>120530.09999999999</v>
      </c>
      <c r="AD77" s="8">
        <f t="shared" si="122"/>
        <v>4.9000000000000002E-2</v>
      </c>
      <c r="AE77" s="2">
        <f t="shared" si="2"/>
        <v>125943.91032499999</v>
      </c>
      <c r="AF77" s="2" t="str">
        <f t="shared" si="123"/>
        <v>nie</v>
      </c>
      <c r="AG77" s="2">
        <f t="shared" si="124"/>
        <v>1149</v>
      </c>
      <c r="AH77" s="1">
        <f t="shared" si="79"/>
        <v>0</v>
      </c>
      <c r="AI77" s="1">
        <f t="shared" si="171"/>
        <v>0</v>
      </c>
      <c r="AJ77" s="1">
        <f t="shared" si="155"/>
        <v>0</v>
      </c>
      <c r="AK77" s="1">
        <f t="shared" si="166"/>
        <v>0</v>
      </c>
      <c r="AL77" s="2">
        <f t="shared" si="90"/>
        <v>0</v>
      </c>
      <c r="AM77" s="8">
        <f t="shared" si="160"/>
        <v>4.9000000000000002E-2</v>
      </c>
      <c r="AN77" s="2">
        <f t="shared" si="91"/>
        <v>0</v>
      </c>
      <c r="AO77" s="2">
        <f t="shared" si="161"/>
        <v>0</v>
      </c>
      <c r="AP77" s="2">
        <f t="shared" si="119"/>
        <v>0</v>
      </c>
      <c r="AQ77" s="8">
        <f t="shared" si="172"/>
        <v>4.3200000000000002E-2</v>
      </c>
      <c r="AR77" s="2">
        <f t="shared" si="113"/>
        <v>0</v>
      </c>
      <c r="AS77" s="2">
        <f t="shared" si="173"/>
        <v>0</v>
      </c>
      <c r="AT77" s="2">
        <f t="shared" si="39"/>
        <v>0</v>
      </c>
      <c r="AU77" s="2">
        <f t="shared" si="92"/>
        <v>0</v>
      </c>
      <c r="AV77" s="2">
        <f t="shared" si="82"/>
        <v>8.7323199999809731</v>
      </c>
      <c r="AW77" s="1">
        <f t="shared" si="158"/>
        <v>0</v>
      </c>
      <c r="AX77" s="2">
        <f t="shared" si="125"/>
        <v>8.7323199999809731</v>
      </c>
      <c r="AY77" s="1">
        <f t="shared" si="83"/>
        <v>0</v>
      </c>
      <c r="AZ77" s="2">
        <f t="shared" si="40"/>
        <v>8.7323199999809731</v>
      </c>
      <c r="BA77" s="2">
        <f t="shared" si="93"/>
        <v>125952.64264499997</v>
      </c>
      <c r="BB77" s="2">
        <f t="shared" si="126"/>
        <v>0</v>
      </c>
      <c r="BC77" s="2">
        <f t="shared" si="41"/>
        <v>517.00927372799993</v>
      </c>
      <c r="BD77" s="2">
        <f t="shared" si="10"/>
        <v>125435.63337127196</v>
      </c>
      <c r="BE77" s="2">
        <f t="shared" si="42"/>
        <v>1149</v>
      </c>
      <c r="BF77" s="2">
        <f t="shared" si="11"/>
        <v>4712.6921025499942</v>
      </c>
      <c r="BG77" s="2">
        <f t="shared" si="12"/>
        <v>119573.94126872197</v>
      </c>
      <c r="BI77" s="8">
        <f t="shared" si="162"/>
        <v>2.9000000000000001E-2</v>
      </c>
      <c r="BJ77" s="5">
        <f t="shared" si="148"/>
        <v>1045</v>
      </c>
      <c r="BK77" s="2">
        <f t="shared" si="149"/>
        <v>104395.5</v>
      </c>
      <c r="BL77" s="2">
        <f t="shared" si="150"/>
        <v>104500</v>
      </c>
      <c r="BM77" s="2">
        <f t="shared" si="127"/>
        <v>104500</v>
      </c>
      <c r="BN77" s="8">
        <f t="shared" si="128"/>
        <v>5.2499999999999998E-2</v>
      </c>
      <c r="BO77" s="2">
        <f t="shared" si="129"/>
        <v>109529.0625</v>
      </c>
      <c r="BP77" s="2" t="str">
        <f t="shared" si="130"/>
        <v>nie</v>
      </c>
      <c r="BQ77" s="2">
        <f t="shared" si="131"/>
        <v>2090</v>
      </c>
      <c r="BR77" s="1">
        <f t="shared" si="163"/>
        <v>7</v>
      </c>
      <c r="BS77" s="1">
        <f t="shared" si="174"/>
        <v>48</v>
      </c>
      <c r="BT77" s="1">
        <f t="shared" si="156"/>
        <v>47</v>
      </c>
      <c r="BU77" s="1">
        <f t="shared" si="167"/>
        <v>52</v>
      </c>
      <c r="BV77" s="2">
        <f t="shared" si="94"/>
        <v>700</v>
      </c>
      <c r="BW77" s="8">
        <f t="shared" si="164"/>
        <v>5.2499999999999998E-2</v>
      </c>
      <c r="BX77" s="2">
        <f t="shared" si="95"/>
        <v>733.6875</v>
      </c>
      <c r="BY77" s="2">
        <f t="shared" si="165"/>
        <v>14</v>
      </c>
      <c r="BZ77" s="2">
        <f t="shared" si="120"/>
        <v>14700</v>
      </c>
      <c r="CA77" s="8">
        <f t="shared" si="175"/>
        <v>4.3999999999999997E-2</v>
      </c>
      <c r="CB77" s="2">
        <f t="shared" si="117"/>
        <v>15292.9</v>
      </c>
      <c r="CC77" s="2">
        <f t="shared" si="176"/>
        <v>294</v>
      </c>
      <c r="CD77" s="2">
        <f t="shared" si="132"/>
        <v>0</v>
      </c>
      <c r="CE77" s="2">
        <f t="shared" si="96"/>
        <v>0</v>
      </c>
      <c r="CF77" s="2">
        <f t="shared" si="97"/>
        <v>90.650000000000546</v>
      </c>
      <c r="CG77" s="1">
        <f t="shared" si="159"/>
        <v>0</v>
      </c>
      <c r="CH77" s="2">
        <f t="shared" si="133"/>
        <v>90.650000000000546</v>
      </c>
      <c r="CI77" s="1">
        <f t="shared" si="89"/>
        <v>0</v>
      </c>
      <c r="CJ77" s="2">
        <f t="shared" si="98"/>
        <v>90.650000000000546</v>
      </c>
      <c r="CK77" s="2">
        <f t="shared" si="99"/>
        <v>125646.29999999999</v>
      </c>
      <c r="CL77" s="2">
        <f t="shared" si="134"/>
        <v>0</v>
      </c>
      <c r="CM77" s="2">
        <f t="shared" si="47"/>
        <v>515.91523499999994</v>
      </c>
      <c r="CN77" s="2">
        <f t="shared" si="135"/>
        <v>125130.384765</v>
      </c>
      <c r="CO77" s="2">
        <f t="shared" si="48"/>
        <v>2398</v>
      </c>
      <c r="CP77" s="2">
        <f t="shared" si="136"/>
        <v>4417.1769999999979</v>
      </c>
      <c r="CQ77" s="2">
        <f t="shared" si="137"/>
        <v>118315.207765</v>
      </c>
      <c r="CS77" s="5">
        <f t="shared" si="151"/>
        <v>1000</v>
      </c>
      <c r="CT77" s="2">
        <f t="shared" si="152"/>
        <v>100000</v>
      </c>
      <c r="CU77" s="2">
        <f t="shared" si="153"/>
        <v>100000</v>
      </c>
      <c r="CV77" s="2">
        <f t="shared" si="154"/>
        <v>122069.40863175</v>
      </c>
      <c r="CW77" s="8">
        <f t="shared" si="138"/>
        <v>4.9000000000000002E-2</v>
      </c>
      <c r="CX77" s="2">
        <f t="shared" si="139"/>
        <v>127552.35956945946</v>
      </c>
      <c r="CY77" s="2" t="str">
        <f t="shared" si="140"/>
        <v>nie</v>
      </c>
      <c r="CZ77" s="2">
        <f t="shared" si="53"/>
        <v>0</v>
      </c>
      <c r="DA77" s="2">
        <f t="shared" si="54"/>
        <v>0</v>
      </c>
      <c r="DB77" s="2">
        <f t="shared" si="55"/>
        <v>127552.35956945946</v>
      </c>
      <c r="DC77" s="2">
        <f t="shared" si="141"/>
        <v>0</v>
      </c>
      <c r="DD77" s="2">
        <f t="shared" si="56"/>
        <v>522.93908070945008</v>
      </c>
      <c r="DE77" s="2">
        <f t="shared" si="57"/>
        <v>127029.42048875001</v>
      </c>
      <c r="DF77" s="2">
        <f t="shared" si="142"/>
        <v>3000</v>
      </c>
      <c r="DG77" s="2">
        <f t="shared" si="143"/>
        <v>4664.9483181972964</v>
      </c>
      <c r="DH77" s="2">
        <f t="shared" si="58"/>
        <v>119364.47217055272</v>
      </c>
    </row>
    <row r="78" spans="2:115">
      <c r="B78" s="232"/>
      <c r="C78" s="1">
        <f t="shared" si="168"/>
        <v>41</v>
      </c>
      <c r="D78" s="2">
        <f t="shared" si="105"/>
        <v>116906.35241152</v>
      </c>
      <c r="E78" s="2">
        <f t="shared" si="106"/>
        <v>112697.28702072</v>
      </c>
      <c r="F78" s="2">
        <f t="shared" si="107"/>
        <v>116570.30870833334</v>
      </c>
      <c r="G78" s="2">
        <f t="shared" si="108"/>
        <v>111497.675875</v>
      </c>
      <c r="H78" s="2">
        <f t="shared" si="109"/>
        <v>118391.19837543751</v>
      </c>
      <c r="I78" s="2">
        <f t="shared" si="110"/>
        <v>112399.98272146564</v>
      </c>
      <c r="J78" s="2">
        <f t="shared" si="169"/>
        <v>113241.07199799168</v>
      </c>
      <c r="K78" s="2">
        <f t="shared" si="170"/>
        <v>110271.27532837499</v>
      </c>
      <c r="W78" s="1">
        <f t="shared" si="144"/>
        <v>60</v>
      </c>
      <c r="X78" s="2">
        <f t="shared" si="121"/>
        <v>115365.74469161486</v>
      </c>
      <c r="Y78" s="8">
        <f t="shared" si="157"/>
        <v>4.3200000000000002E-2</v>
      </c>
      <c r="Z78" s="5">
        <f t="shared" si="145"/>
        <v>1149</v>
      </c>
      <c r="AA78" s="2">
        <f t="shared" si="146"/>
        <v>114785.1</v>
      </c>
      <c r="AB78" s="2">
        <f t="shared" si="37"/>
        <v>114900</v>
      </c>
      <c r="AC78" s="2">
        <f t="shared" si="147"/>
        <v>120530.09999999999</v>
      </c>
      <c r="AD78" s="8">
        <f t="shared" si="122"/>
        <v>4.9000000000000002E-2</v>
      </c>
      <c r="AE78" s="2">
        <f t="shared" si="2"/>
        <v>126436.07489999998</v>
      </c>
      <c r="AF78" s="2" t="str">
        <f t="shared" si="123"/>
        <v>nie</v>
      </c>
      <c r="AG78" s="2">
        <f t="shared" si="124"/>
        <v>1149</v>
      </c>
      <c r="AH78" s="1">
        <f t="shared" si="79"/>
        <v>0</v>
      </c>
      <c r="AI78" s="1">
        <f t="shared" si="171"/>
        <v>0</v>
      </c>
      <c r="AJ78" s="1">
        <f t="shared" si="155"/>
        <v>0</v>
      </c>
      <c r="AK78" s="1">
        <f t="shared" si="166"/>
        <v>0</v>
      </c>
      <c r="AL78" s="2">
        <f t="shared" si="90"/>
        <v>0</v>
      </c>
      <c r="AM78" s="8">
        <f t="shared" si="160"/>
        <v>4.9000000000000002E-2</v>
      </c>
      <c r="AN78" s="2">
        <f t="shared" si="91"/>
        <v>0</v>
      </c>
      <c r="AO78" s="2">
        <f t="shared" si="161"/>
        <v>0</v>
      </c>
      <c r="AP78" s="2">
        <f t="shared" si="119"/>
        <v>0</v>
      </c>
      <c r="AQ78" s="8">
        <f t="shared" si="172"/>
        <v>4.3200000000000002E-2</v>
      </c>
      <c r="AR78" s="2">
        <f t="shared" si="113"/>
        <v>0</v>
      </c>
      <c r="AS78" s="2">
        <f t="shared" si="173"/>
        <v>0</v>
      </c>
      <c r="AT78" s="2">
        <f t="shared" si="39"/>
        <v>0</v>
      </c>
      <c r="AU78" s="2">
        <f t="shared" si="92"/>
        <v>0</v>
      </c>
      <c r="AV78" s="2">
        <f t="shared" si="82"/>
        <v>8.7323199999809731</v>
      </c>
      <c r="AW78" s="1">
        <f t="shared" si="158"/>
        <v>0</v>
      </c>
      <c r="AX78" s="2">
        <f t="shared" si="125"/>
        <v>8.7323199999809731</v>
      </c>
      <c r="AY78" s="1">
        <f t="shared" si="83"/>
        <v>0</v>
      </c>
      <c r="AZ78" s="2">
        <f t="shared" si="40"/>
        <v>8.7323199999809731</v>
      </c>
      <c r="BA78" s="2">
        <f t="shared" si="93"/>
        <v>126444.80721999996</v>
      </c>
      <c r="BB78" s="2">
        <f t="shared" si="126"/>
        <v>164.37824938599994</v>
      </c>
      <c r="BC78" s="2">
        <f t="shared" si="41"/>
        <v>681.3875231139998</v>
      </c>
      <c r="BD78" s="2">
        <f t="shared" si="10"/>
        <v>125763.41969688596</v>
      </c>
      <c r="BE78" s="2">
        <f t="shared" si="42"/>
        <v>1149</v>
      </c>
      <c r="BF78" s="2">
        <f t="shared" si="11"/>
        <v>4806.2033717999921</v>
      </c>
      <c r="BG78" s="2">
        <f t="shared" si="12"/>
        <v>119808.21632508597</v>
      </c>
      <c r="BI78" s="8">
        <f t="shared" si="162"/>
        <v>2.9000000000000001E-2</v>
      </c>
      <c r="BJ78" s="5">
        <f t="shared" si="148"/>
        <v>1045</v>
      </c>
      <c r="BK78" s="2">
        <f t="shared" si="149"/>
        <v>104395.5</v>
      </c>
      <c r="BL78" s="2">
        <f t="shared" si="150"/>
        <v>104500</v>
      </c>
      <c r="BM78" s="2">
        <f t="shared" si="127"/>
        <v>104500</v>
      </c>
      <c r="BN78" s="8">
        <f t="shared" si="128"/>
        <v>5.2499999999999998E-2</v>
      </c>
      <c r="BO78" s="2">
        <f t="shared" si="129"/>
        <v>109986.25</v>
      </c>
      <c r="BP78" s="2" t="str">
        <f t="shared" si="130"/>
        <v>nie</v>
      </c>
      <c r="BQ78" s="2">
        <f t="shared" si="131"/>
        <v>2090</v>
      </c>
      <c r="BR78" s="1">
        <f t="shared" si="163"/>
        <v>7</v>
      </c>
      <c r="BS78" s="1">
        <f t="shared" si="174"/>
        <v>48</v>
      </c>
      <c r="BT78" s="1">
        <f t="shared" si="156"/>
        <v>47</v>
      </c>
      <c r="BU78" s="1">
        <f t="shared" si="167"/>
        <v>52</v>
      </c>
      <c r="BV78" s="2">
        <f t="shared" si="94"/>
        <v>700</v>
      </c>
      <c r="BW78" s="8">
        <f t="shared" si="164"/>
        <v>5.2499999999999998E-2</v>
      </c>
      <c r="BX78" s="2">
        <f t="shared" si="95"/>
        <v>736.75</v>
      </c>
      <c r="BY78" s="2">
        <f t="shared" si="165"/>
        <v>14</v>
      </c>
      <c r="BZ78" s="2">
        <f t="shared" si="120"/>
        <v>14700</v>
      </c>
      <c r="CA78" s="8">
        <f t="shared" si="175"/>
        <v>4.3999999999999997E-2</v>
      </c>
      <c r="CB78" s="2">
        <f t="shared" si="117"/>
        <v>15346.800000000001</v>
      </c>
      <c r="CC78" s="2">
        <f t="shared" si="176"/>
        <v>294</v>
      </c>
      <c r="CD78" s="2">
        <f t="shared" si="132"/>
        <v>5486.25</v>
      </c>
      <c r="CE78" s="2">
        <f t="shared" si="96"/>
        <v>5883.5500000000011</v>
      </c>
      <c r="CF78" s="2">
        <f t="shared" si="97"/>
        <v>11460.45</v>
      </c>
      <c r="CG78" s="1">
        <f t="shared" si="159"/>
        <v>52</v>
      </c>
      <c r="CH78" s="2">
        <f t="shared" si="133"/>
        <v>6265.6500000000005</v>
      </c>
      <c r="CI78" s="1">
        <f t="shared" si="89"/>
        <v>62</v>
      </c>
      <c r="CJ78" s="2">
        <f t="shared" si="98"/>
        <v>65.650000000000546</v>
      </c>
      <c r="CK78" s="2">
        <f t="shared" si="99"/>
        <v>126160.45</v>
      </c>
      <c r="CL78" s="2">
        <f t="shared" si="134"/>
        <v>164.00858499999998</v>
      </c>
      <c r="CM78" s="2">
        <f t="shared" si="47"/>
        <v>679.92381999999998</v>
      </c>
      <c r="CN78" s="2">
        <f t="shared" si="135"/>
        <v>125480.52618</v>
      </c>
      <c r="CO78" s="2">
        <f t="shared" si="48"/>
        <v>2398</v>
      </c>
      <c r="CP78" s="2">
        <f t="shared" si="136"/>
        <v>4514.8654999999999</v>
      </c>
      <c r="CQ78" s="2">
        <f t="shared" si="137"/>
        <v>118567.66068</v>
      </c>
      <c r="CS78" s="5">
        <f t="shared" si="151"/>
        <v>1000</v>
      </c>
      <c r="CT78" s="2">
        <f t="shared" si="152"/>
        <v>100000</v>
      </c>
      <c r="CU78" s="2">
        <f t="shared" si="153"/>
        <v>100000</v>
      </c>
      <c r="CV78" s="2">
        <f t="shared" si="154"/>
        <v>122069.40863175</v>
      </c>
      <c r="CW78" s="8">
        <f t="shared" si="138"/>
        <v>4.9000000000000002E-2</v>
      </c>
      <c r="CX78" s="2">
        <f t="shared" si="139"/>
        <v>128050.80965470575</v>
      </c>
      <c r="CY78" s="2" t="str">
        <f t="shared" si="140"/>
        <v>nie</v>
      </c>
      <c r="CZ78" s="2">
        <f t="shared" si="53"/>
        <v>0</v>
      </c>
      <c r="DA78" s="2">
        <f t="shared" si="54"/>
        <v>0</v>
      </c>
      <c r="DB78" s="2">
        <f t="shared" si="55"/>
        <v>128050.80965470575</v>
      </c>
      <c r="DC78" s="2">
        <f t="shared" si="141"/>
        <v>166.46605255111746</v>
      </c>
      <c r="DD78" s="2">
        <f t="shared" si="56"/>
        <v>689.40513326056748</v>
      </c>
      <c r="DE78" s="2">
        <f t="shared" si="57"/>
        <v>127361.40452144518</v>
      </c>
      <c r="DF78" s="2">
        <f t="shared" si="142"/>
        <v>3000</v>
      </c>
      <c r="DG78" s="2">
        <f t="shared" si="143"/>
        <v>4759.6538343940929</v>
      </c>
      <c r="DH78" s="2">
        <f t="shared" si="58"/>
        <v>119601.75068705108</v>
      </c>
    </row>
    <row r="79" spans="2:115">
      <c r="B79" s="232"/>
      <c r="C79" s="1">
        <f t="shared" si="168"/>
        <v>42</v>
      </c>
      <c r="D79" s="2">
        <f t="shared" si="105"/>
        <v>117375.52741151999</v>
      </c>
      <c r="E79" s="2">
        <f t="shared" si="106"/>
        <v>113077.31877071998</v>
      </c>
      <c r="F79" s="2">
        <f t="shared" si="107"/>
        <v>116994.27537500001</v>
      </c>
      <c r="G79" s="2">
        <f t="shared" si="108"/>
        <v>111841.08887500002</v>
      </c>
      <c r="H79" s="2">
        <f t="shared" si="109"/>
        <v>118866.36528225</v>
      </c>
      <c r="I79" s="2">
        <f t="shared" si="110"/>
        <v>112784.86791598375</v>
      </c>
      <c r="J79" s="2">
        <f t="shared" si="169"/>
        <v>113585.04175418557</v>
      </c>
      <c r="K79" s="2">
        <f t="shared" si="170"/>
        <v>110534.58261404997</v>
      </c>
      <c r="W79" s="1">
        <f t="shared" si="144"/>
        <v>61</v>
      </c>
      <c r="X79" s="2">
        <f t="shared" si="121"/>
        <v>115644.54524128627</v>
      </c>
      <c r="Y79" s="8">
        <f t="shared" si="157"/>
        <v>4.3200000000000002E-2</v>
      </c>
      <c r="Z79" s="5">
        <f t="shared" si="145"/>
        <v>1149</v>
      </c>
      <c r="AA79" s="2">
        <f t="shared" si="146"/>
        <v>114785.1</v>
      </c>
      <c r="AB79" s="2">
        <f t="shared" si="37"/>
        <v>114900</v>
      </c>
      <c r="AC79" s="2">
        <f t="shared" si="147"/>
        <v>126436.07489999998</v>
      </c>
      <c r="AD79" s="8">
        <f t="shared" si="122"/>
        <v>4.9000000000000002E-2</v>
      </c>
      <c r="AE79" s="2">
        <f t="shared" si="2"/>
        <v>126952.355539175</v>
      </c>
      <c r="AF79" s="2" t="str">
        <f t="shared" si="123"/>
        <v>nie</v>
      </c>
      <c r="AG79" s="2">
        <f t="shared" si="124"/>
        <v>1149</v>
      </c>
      <c r="AH79" s="1">
        <f t="shared" si="79"/>
        <v>0</v>
      </c>
      <c r="AI79" s="1">
        <f t="shared" si="171"/>
        <v>0</v>
      </c>
      <c r="AJ79" s="1">
        <f t="shared" si="155"/>
        <v>0</v>
      </c>
      <c r="AK79" s="1">
        <f t="shared" si="166"/>
        <v>0</v>
      </c>
      <c r="AL79" s="2">
        <f t="shared" si="90"/>
        <v>0</v>
      </c>
      <c r="AM79" s="8">
        <f t="shared" si="160"/>
        <v>4.9000000000000002E-2</v>
      </c>
      <c r="AN79" s="2">
        <f t="shared" si="91"/>
        <v>0</v>
      </c>
      <c r="AO79" s="2">
        <f t="shared" si="161"/>
        <v>0</v>
      </c>
      <c r="AP79" s="2">
        <f t="shared" si="119"/>
        <v>0</v>
      </c>
      <c r="AQ79" s="8">
        <f t="shared" si="172"/>
        <v>4.3200000000000002E-2</v>
      </c>
      <c r="AR79" s="2">
        <f t="shared" si="113"/>
        <v>0</v>
      </c>
      <c r="AS79" s="2">
        <f t="shared" si="173"/>
        <v>0</v>
      </c>
      <c r="AT79" s="2">
        <f t="shared" si="39"/>
        <v>0</v>
      </c>
      <c r="AU79" s="2">
        <f t="shared" si="92"/>
        <v>0</v>
      </c>
      <c r="AV79" s="2">
        <f t="shared" si="82"/>
        <v>8.7323199999809731</v>
      </c>
      <c r="AW79" s="1">
        <f t="shared" si="158"/>
        <v>0</v>
      </c>
      <c r="AX79" s="2">
        <f t="shared" si="125"/>
        <v>8.7323199999809731</v>
      </c>
      <c r="AY79" s="1">
        <f t="shared" si="83"/>
        <v>0</v>
      </c>
      <c r="AZ79" s="2">
        <f t="shared" si="40"/>
        <v>8.7323199999809731</v>
      </c>
      <c r="BA79" s="2">
        <f t="shared" si="93"/>
        <v>126961.08785917498</v>
      </c>
      <c r="BB79" s="2">
        <f t="shared" si="126"/>
        <v>0</v>
      </c>
      <c r="BC79" s="2">
        <f t="shared" si="41"/>
        <v>681.3875231139998</v>
      </c>
      <c r="BD79" s="2">
        <f t="shared" si="10"/>
        <v>126279.70033606098</v>
      </c>
      <c r="BE79" s="2">
        <f t="shared" si="42"/>
        <v>1149</v>
      </c>
      <c r="BF79" s="2">
        <f t="shared" si="11"/>
        <v>4904.2966932432464</v>
      </c>
      <c r="BG79" s="2">
        <f t="shared" si="12"/>
        <v>120226.40364281774</v>
      </c>
      <c r="BI79" s="8">
        <f t="shared" si="162"/>
        <v>2.9000000000000001E-2</v>
      </c>
      <c r="BJ79" s="5">
        <f t="shared" si="148"/>
        <v>1045</v>
      </c>
      <c r="BK79" s="2">
        <f t="shared" si="149"/>
        <v>104395.5</v>
      </c>
      <c r="BL79" s="2">
        <f t="shared" si="150"/>
        <v>104500</v>
      </c>
      <c r="BM79" s="2">
        <f t="shared" si="127"/>
        <v>104500</v>
      </c>
      <c r="BN79" s="8">
        <f t="shared" si="128"/>
        <v>4.3999999999999997E-2</v>
      </c>
      <c r="BO79" s="2">
        <f t="shared" si="129"/>
        <v>104883.16666666667</v>
      </c>
      <c r="BP79" s="2" t="str">
        <f t="shared" si="130"/>
        <v>nie</v>
      </c>
      <c r="BQ79" s="2">
        <f t="shared" si="131"/>
        <v>2090</v>
      </c>
      <c r="BR79" s="1">
        <f t="shared" si="163"/>
        <v>114</v>
      </c>
      <c r="BS79" s="1">
        <f t="shared" si="174"/>
        <v>7</v>
      </c>
      <c r="BT79" s="1">
        <f t="shared" si="156"/>
        <v>48</v>
      </c>
      <c r="BU79" s="1">
        <f t="shared" si="167"/>
        <v>47</v>
      </c>
      <c r="BV79" s="2">
        <f t="shared" si="94"/>
        <v>11400</v>
      </c>
      <c r="BW79" s="8">
        <f t="shared" si="164"/>
        <v>5.2499999999999998E-2</v>
      </c>
      <c r="BX79" s="2">
        <f t="shared" si="95"/>
        <v>11449.875</v>
      </c>
      <c r="BY79" s="2">
        <f t="shared" si="165"/>
        <v>49.875</v>
      </c>
      <c r="BZ79" s="2">
        <f t="shared" si="120"/>
        <v>10200</v>
      </c>
      <c r="CA79" s="8">
        <f t="shared" si="175"/>
        <v>4.3999999999999997E-2</v>
      </c>
      <c r="CB79" s="2">
        <f t="shared" si="117"/>
        <v>10237.4</v>
      </c>
      <c r="CC79" s="2">
        <f t="shared" si="176"/>
        <v>204</v>
      </c>
      <c r="CD79" s="2">
        <f t="shared" si="132"/>
        <v>0</v>
      </c>
      <c r="CE79" s="2">
        <f t="shared" si="96"/>
        <v>0</v>
      </c>
      <c r="CF79" s="2">
        <f t="shared" si="97"/>
        <v>65.650000000000546</v>
      </c>
      <c r="CG79" s="1">
        <f t="shared" si="159"/>
        <v>0</v>
      </c>
      <c r="CH79" s="2">
        <f t="shared" si="133"/>
        <v>65.650000000000546</v>
      </c>
      <c r="CI79" s="1">
        <f t="shared" si="89"/>
        <v>0</v>
      </c>
      <c r="CJ79" s="2">
        <f t="shared" si="98"/>
        <v>65.650000000000546</v>
      </c>
      <c r="CK79" s="2">
        <f t="shared" si="99"/>
        <v>126636.09166666666</v>
      </c>
      <c r="CL79" s="2">
        <f t="shared" si="134"/>
        <v>0</v>
      </c>
      <c r="CM79" s="2">
        <f t="shared" si="47"/>
        <v>679.92381999999998</v>
      </c>
      <c r="CN79" s="2">
        <f t="shared" si="135"/>
        <v>125956.16784666666</v>
      </c>
      <c r="CO79" s="2">
        <f t="shared" si="48"/>
        <v>2343.875</v>
      </c>
      <c r="CP79" s="2">
        <f t="shared" si="136"/>
        <v>4615.5211666666655</v>
      </c>
      <c r="CQ79" s="2">
        <f t="shared" si="137"/>
        <v>118996.77168000001</v>
      </c>
      <c r="CS79" s="5">
        <f t="shared" si="151"/>
        <v>1000</v>
      </c>
      <c r="CT79" s="2">
        <f t="shared" si="152"/>
        <v>100000</v>
      </c>
      <c r="CU79" s="2">
        <f t="shared" si="153"/>
        <v>100000</v>
      </c>
      <c r="CV79" s="2">
        <f t="shared" si="154"/>
        <v>128050.80965470575</v>
      </c>
      <c r="CW79" s="8">
        <f t="shared" si="138"/>
        <v>4.9000000000000002E-2</v>
      </c>
      <c r="CX79" s="2">
        <f t="shared" si="139"/>
        <v>128573.68379412915</v>
      </c>
      <c r="CY79" s="2" t="str">
        <f t="shared" si="140"/>
        <v>nie</v>
      </c>
      <c r="CZ79" s="2">
        <f t="shared" si="53"/>
        <v>0</v>
      </c>
      <c r="DA79" s="2">
        <f t="shared" si="54"/>
        <v>0</v>
      </c>
      <c r="DB79" s="2">
        <f t="shared" si="55"/>
        <v>128573.68379412915</v>
      </c>
      <c r="DC79" s="2">
        <f t="shared" si="141"/>
        <v>0</v>
      </c>
      <c r="DD79" s="2">
        <f t="shared" si="56"/>
        <v>689.40513326056748</v>
      </c>
      <c r="DE79" s="2">
        <f t="shared" si="57"/>
        <v>127884.27866086857</v>
      </c>
      <c r="DF79" s="2">
        <f t="shared" si="142"/>
        <v>3000</v>
      </c>
      <c r="DG79" s="2">
        <f t="shared" si="143"/>
        <v>4858.9999208845375</v>
      </c>
      <c r="DH79" s="2">
        <f t="shared" si="58"/>
        <v>120025.27873998403</v>
      </c>
    </row>
    <row r="80" spans="2:115">
      <c r="B80" s="232"/>
      <c r="C80" s="1">
        <f t="shared" si="168"/>
        <v>43</v>
      </c>
      <c r="D80" s="2">
        <f t="shared" si="105"/>
        <v>117844.70241151999</v>
      </c>
      <c r="E80" s="2">
        <f t="shared" si="106"/>
        <v>113457.35052071999</v>
      </c>
      <c r="F80" s="2">
        <f t="shared" si="107"/>
        <v>117418.24204166669</v>
      </c>
      <c r="G80" s="2">
        <f t="shared" si="108"/>
        <v>112184.50187500002</v>
      </c>
      <c r="H80" s="2">
        <f t="shared" si="109"/>
        <v>119341.53218906251</v>
      </c>
      <c r="I80" s="2">
        <f t="shared" si="110"/>
        <v>113169.75311050189</v>
      </c>
      <c r="J80" s="2">
        <f t="shared" si="169"/>
        <v>113930.05631851392</v>
      </c>
      <c r="K80" s="2">
        <f t="shared" si="170"/>
        <v>110797.88989972498</v>
      </c>
      <c r="W80" s="1">
        <f t="shared" si="144"/>
        <v>62</v>
      </c>
      <c r="X80" s="2">
        <f t="shared" si="121"/>
        <v>115923.34579095765</v>
      </c>
      <c r="Y80" s="8">
        <f t="shared" si="157"/>
        <v>4.3200000000000002E-2</v>
      </c>
      <c r="Z80" s="5">
        <f t="shared" si="145"/>
        <v>1149</v>
      </c>
      <c r="AA80" s="2">
        <f t="shared" si="146"/>
        <v>114785.1</v>
      </c>
      <c r="AB80" s="2">
        <f t="shared" si="37"/>
        <v>114900</v>
      </c>
      <c r="AC80" s="2">
        <f t="shared" si="147"/>
        <v>126436.07489999998</v>
      </c>
      <c r="AD80" s="8">
        <f t="shared" si="122"/>
        <v>4.9000000000000002E-2</v>
      </c>
      <c r="AE80" s="2">
        <f t="shared" si="2"/>
        <v>127468.63617834997</v>
      </c>
      <c r="AF80" s="2" t="str">
        <f t="shared" si="123"/>
        <v>nie</v>
      </c>
      <c r="AG80" s="2">
        <f t="shared" si="124"/>
        <v>1149</v>
      </c>
      <c r="AH80" s="1">
        <f t="shared" si="79"/>
        <v>0</v>
      </c>
      <c r="AI80" s="1">
        <f t="shared" si="171"/>
        <v>0</v>
      </c>
      <c r="AJ80" s="1">
        <f t="shared" si="155"/>
        <v>0</v>
      </c>
      <c r="AK80" s="1">
        <f t="shared" si="166"/>
        <v>0</v>
      </c>
      <c r="AL80" s="2">
        <f t="shared" si="90"/>
        <v>0</v>
      </c>
      <c r="AM80" s="8">
        <f t="shared" si="160"/>
        <v>4.9000000000000002E-2</v>
      </c>
      <c r="AN80" s="2">
        <f t="shared" si="91"/>
        <v>0</v>
      </c>
      <c r="AO80" s="2">
        <f t="shared" si="161"/>
        <v>0</v>
      </c>
      <c r="AP80" s="2">
        <f t="shared" si="119"/>
        <v>0</v>
      </c>
      <c r="AQ80" s="8">
        <f t="shared" si="172"/>
        <v>4.3200000000000002E-2</v>
      </c>
      <c r="AR80" s="2">
        <f t="shared" si="113"/>
        <v>0</v>
      </c>
      <c r="AS80" s="2">
        <f t="shared" si="173"/>
        <v>0</v>
      </c>
      <c r="AT80" s="2">
        <f t="shared" si="39"/>
        <v>0</v>
      </c>
      <c r="AU80" s="2">
        <f t="shared" si="92"/>
        <v>0</v>
      </c>
      <c r="AV80" s="2">
        <f t="shared" si="82"/>
        <v>8.7323199999809731</v>
      </c>
      <c r="AW80" s="1">
        <f t="shared" si="158"/>
        <v>0</v>
      </c>
      <c r="AX80" s="2">
        <f t="shared" si="125"/>
        <v>8.7323199999809731</v>
      </c>
      <c r="AY80" s="1">
        <f t="shared" si="83"/>
        <v>0</v>
      </c>
      <c r="AZ80" s="2">
        <f t="shared" si="40"/>
        <v>8.7323199999809731</v>
      </c>
      <c r="BA80" s="2">
        <f t="shared" si="93"/>
        <v>127477.36849834996</v>
      </c>
      <c r="BB80" s="2">
        <f t="shared" si="126"/>
        <v>0</v>
      </c>
      <c r="BC80" s="2">
        <f t="shared" si="41"/>
        <v>681.3875231139998</v>
      </c>
      <c r="BD80" s="2">
        <f t="shared" si="10"/>
        <v>126795.98097523596</v>
      </c>
      <c r="BE80" s="2">
        <f t="shared" si="42"/>
        <v>1149</v>
      </c>
      <c r="BF80" s="2">
        <f t="shared" si="11"/>
        <v>5002.3900146864917</v>
      </c>
      <c r="BG80" s="2">
        <f t="shared" si="12"/>
        <v>120644.59096054947</v>
      </c>
      <c r="BI80" s="8">
        <f t="shared" si="162"/>
        <v>2.9000000000000001E-2</v>
      </c>
      <c r="BJ80" s="5">
        <f t="shared" si="148"/>
        <v>1045</v>
      </c>
      <c r="BK80" s="2">
        <f t="shared" si="149"/>
        <v>104395.5</v>
      </c>
      <c r="BL80" s="2">
        <f t="shared" si="150"/>
        <v>104500</v>
      </c>
      <c r="BM80" s="2">
        <f t="shared" si="127"/>
        <v>104500</v>
      </c>
      <c r="BN80" s="8">
        <f t="shared" si="128"/>
        <v>4.3999999999999997E-2</v>
      </c>
      <c r="BO80" s="2">
        <f t="shared" si="129"/>
        <v>105266.33333333334</v>
      </c>
      <c r="BP80" s="2" t="str">
        <f t="shared" si="130"/>
        <v>nie</v>
      </c>
      <c r="BQ80" s="2">
        <f t="shared" si="131"/>
        <v>2090</v>
      </c>
      <c r="BR80" s="1">
        <f t="shared" si="163"/>
        <v>114</v>
      </c>
      <c r="BS80" s="1">
        <f t="shared" si="174"/>
        <v>7</v>
      </c>
      <c r="BT80" s="1">
        <f t="shared" si="156"/>
        <v>48</v>
      </c>
      <c r="BU80" s="1">
        <f t="shared" si="167"/>
        <v>47</v>
      </c>
      <c r="BV80" s="2">
        <f t="shared" si="94"/>
        <v>11400</v>
      </c>
      <c r="BW80" s="8">
        <f t="shared" si="164"/>
        <v>5.2499999999999998E-2</v>
      </c>
      <c r="BX80" s="2">
        <f t="shared" si="95"/>
        <v>11499.75</v>
      </c>
      <c r="BY80" s="2">
        <f t="shared" si="165"/>
        <v>99.75</v>
      </c>
      <c r="BZ80" s="2">
        <f t="shared" si="120"/>
        <v>10200</v>
      </c>
      <c r="CA80" s="8">
        <f t="shared" si="175"/>
        <v>4.3999999999999997E-2</v>
      </c>
      <c r="CB80" s="2">
        <f t="shared" si="117"/>
        <v>10274.800000000001</v>
      </c>
      <c r="CC80" s="2">
        <f t="shared" si="176"/>
        <v>204</v>
      </c>
      <c r="CD80" s="2">
        <f t="shared" si="132"/>
        <v>0</v>
      </c>
      <c r="CE80" s="2">
        <f t="shared" si="96"/>
        <v>0</v>
      </c>
      <c r="CF80" s="2">
        <f t="shared" si="97"/>
        <v>65.650000000000546</v>
      </c>
      <c r="CG80" s="1">
        <f t="shared" si="159"/>
        <v>0</v>
      </c>
      <c r="CH80" s="2">
        <f t="shared" si="133"/>
        <v>65.650000000000546</v>
      </c>
      <c r="CI80" s="1">
        <f t="shared" si="89"/>
        <v>0</v>
      </c>
      <c r="CJ80" s="2">
        <f t="shared" si="98"/>
        <v>65.650000000000546</v>
      </c>
      <c r="CK80" s="2">
        <f t="shared" si="99"/>
        <v>127106.53333333334</v>
      </c>
      <c r="CL80" s="2">
        <f t="shared" si="134"/>
        <v>0</v>
      </c>
      <c r="CM80" s="2">
        <f t="shared" si="47"/>
        <v>679.92381999999998</v>
      </c>
      <c r="CN80" s="2">
        <f t="shared" si="135"/>
        <v>126426.60951333334</v>
      </c>
      <c r="CO80" s="2">
        <f t="shared" si="48"/>
        <v>2393.75</v>
      </c>
      <c r="CP80" s="2">
        <f t="shared" si="136"/>
        <v>4695.4288333333343</v>
      </c>
      <c r="CQ80" s="2">
        <f t="shared" si="137"/>
        <v>119337.43068</v>
      </c>
      <c r="CS80" s="5">
        <f t="shared" si="151"/>
        <v>1000</v>
      </c>
      <c r="CT80" s="2">
        <f t="shared" si="152"/>
        <v>100000</v>
      </c>
      <c r="CU80" s="2">
        <f t="shared" si="153"/>
        <v>100000</v>
      </c>
      <c r="CV80" s="2">
        <f t="shared" si="154"/>
        <v>128050.80965470575</v>
      </c>
      <c r="CW80" s="8">
        <f t="shared" si="138"/>
        <v>4.9000000000000002E-2</v>
      </c>
      <c r="CX80" s="2">
        <f t="shared" si="139"/>
        <v>129096.55793355251</v>
      </c>
      <c r="CY80" s="2" t="str">
        <f t="shared" si="140"/>
        <v>nie</v>
      </c>
      <c r="CZ80" s="2">
        <f t="shared" si="53"/>
        <v>0</v>
      </c>
      <c r="DA80" s="2">
        <f t="shared" si="54"/>
        <v>0</v>
      </c>
      <c r="DB80" s="2">
        <f t="shared" si="55"/>
        <v>129096.55793355251</v>
      </c>
      <c r="DC80" s="2">
        <f t="shared" si="141"/>
        <v>0</v>
      </c>
      <c r="DD80" s="2">
        <f t="shared" si="56"/>
        <v>689.40513326056748</v>
      </c>
      <c r="DE80" s="2">
        <f t="shared" si="57"/>
        <v>128407.15280029194</v>
      </c>
      <c r="DF80" s="2">
        <f t="shared" si="142"/>
        <v>3000</v>
      </c>
      <c r="DG80" s="2">
        <f t="shared" si="143"/>
        <v>4958.3460073749775</v>
      </c>
      <c r="DH80" s="2">
        <f t="shared" si="58"/>
        <v>120448.80679291696</v>
      </c>
    </row>
    <row r="81" spans="2:112">
      <c r="B81" s="232"/>
      <c r="C81" s="1">
        <f t="shared" si="168"/>
        <v>44</v>
      </c>
      <c r="D81" s="2">
        <f t="shared" si="105"/>
        <v>118313.87741151998</v>
      </c>
      <c r="E81" s="2">
        <f t="shared" si="106"/>
        <v>113837.38227071999</v>
      </c>
      <c r="F81" s="2">
        <f t="shared" si="107"/>
        <v>117842.20870833335</v>
      </c>
      <c r="G81" s="2">
        <f t="shared" si="108"/>
        <v>112527.91487500002</v>
      </c>
      <c r="H81" s="2">
        <f t="shared" si="109"/>
        <v>119816.699095875</v>
      </c>
      <c r="I81" s="2">
        <f t="shared" si="110"/>
        <v>113554.63830501999</v>
      </c>
      <c r="J81" s="2">
        <f t="shared" si="169"/>
        <v>114276.11886458141</v>
      </c>
      <c r="K81" s="2">
        <f t="shared" si="170"/>
        <v>111061.19718539999</v>
      </c>
      <c r="W81" s="1">
        <f t="shared" si="144"/>
        <v>63</v>
      </c>
      <c r="X81" s="2">
        <f t="shared" si="121"/>
        <v>116202.14634062907</v>
      </c>
      <c r="Y81" s="8">
        <f t="shared" si="157"/>
        <v>4.3200000000000002E-2</v>
      </c>
      <c r="Z81" s="5">
        <f t="shared" si="145"/>
        <v>1149</v>
      </c>
      <c r="AA81" s="2">
        <f t="shared" si="146"/>
        <v>114785.1</v>
      </c>
      <c r="AB81" s="2">
        <f t="shared" si="37"/>
        <v>114900</v>
      </c>
      <c r="AC81" s="2">
        <f t="shared" si="147"/>
        <v>126436.07489999998</v>
      </c>
      <c r="AD81" s="8">
        <f t="shared" si="122"/>
        <v>4.9000000000000002E-2</v>
      </c>
      <c r="AE81" s="2">
        <f t="shared" si="2"/>
        <v>127984.91681752499</v>
      </c>
      <c r="AF81" s="2" t="str">
        <f t="shared" si="123"/>
        <v>nie</v>
      </c>
      <c r="AG81" s="2">
        <f t="shared" si="124"/>
        <v>1149</v>
      </c>
      <c r="AH81" s="1">
        <f t="shared" si="79"/>
        <v>0</v>
      </c>
      <c r="AI81" s="1">
        <f t="shared" si="171"/>
        <v>0</v>
      </c>
      <c r="AJ81" s="1">
        <f t="shared" si="155"/>
        <v>0</v>
      </c>
      <c r="AK81" s="1">
        <f t="shared" si="166"/>
        <v>0</v>
      </c>
      <c r="AL81" s="2">
        <f t="shared" si="90"/>
        <v>0</v>
      </c>
      <c r="AM81" s="8">
        <f t="shared" si="160"/>
        <v>4.9000000000000002E-2</v>
      </c>
      <c r="AN81" s="2">
        <f t="shared" si="91"/>
        <v>0</v>
      </c>
      <c r="AO81" s="2">
        <f t="shared" si="161"/>
        <v>0</v>
      </c>
      <c r="AP81" s="2">
        <f t="shared" si="119"/>
        <v>0</v>
      </c>
      <c r="AQ81" s="8">
        <f t="shared" si="172"/>
        <v>4.3200000000000002E-2</v>
      </c>
      <c r="AR81" s="2">
        <f t="shared" si="113"/>
        <v>0</v>
      </c>
      <c r="AS81" s="2">
        <f t="shared" si="173"/>
        <v>0</v>
      </c>
      <c r="AT81" s="2">
        <f t="shared" si="39"/>
        <v>0</v>
      </c>
      <c r="AU81" s="2">
        <f t="shared" si="92"/>
        <v>0</v>
      </c>
      <c r="AV81" s="2">
        <f t="shared" si="82"/>
        <v>8.7323199999809731</v>
      </c>
      <c r="AW81" s="1">
        <f t="shared" si="158"/>
        <v>0</v>
      </c>
      <c r="AX81" s="2">
        <f t="shared" si="125"/>
        <v>8.7323199999809731</v>
      </c>
      <c r="AY81" s="1">
        <f t="shared" si="83"/>
        <v>0</v>
      </c>
      <c r="AZ81" s="2">
        <f t="shared" si="40"/>
        <v>8.7323199999809731</v>
      </c>
      <c r="BA81" s="2">
        <f t="shared" si="93"/>
        <v>127993.64913752498</v>
      </c>
      <c r="BB81" s="2">
        <f t="shared" si="126"/>
        <v>0</v>
      </c>
      <c r="BC81" s="2">
        <f t="shared" si="41"/>
        <v>681.3875231139998</v>
      </c>
      <c r="BD81" s="2">
        <f t="shared" si="10"/>
        <v>127312.26161441098</v>
      </c>
      <c r="BE81" s="2">
        <f t="shared" si="42"/>
        <v>1149</v>
      </c>
      <c r="BF81" s="2">
        <f t="shared" si="11"/>
        <v>5100.4833361297451</v>
      </c>
      <c r="BG81" s="2">
        <f t="shared" si="12"/>
        <v>121062.77827828123</v>
      </c>
      <c r="BI81" s="8">
        <f t="shared" si="162"/>
        <v>2.9000000000000001E-2</v>
      </c>
      <c r="BJ81" s="5">
        <f t="shared" si="148"/>
        <v>1045</v>
      </c>
      <c r="BK81" s="2">
        <f t="shared" si="149"/>
        <v>104395.5</v>
      </c>
      <c r="BL81" s="2">
        <f t="shared" si="150"/>
        <v>104500</v>
      </c>
      <c r="BM81" s="2">
        <f t="shared" si="127"/>
        <v>104500</v>
      </c>
      <c r="BN81" s="8">
        <f t="shared" si="128"/>
        <v>4.3999999999999997E-2</v>
      </c>
      <c r="BO81" s="2">
        <f t="shared" si="129"/>
        <v>105649.49999999999</v>
      </c>
      <c r="BP81" s="2" t="str">
        <f t="shared" si="130"/>
        <v>nie</v>
      </c>
      <c r="BQ81" s="2">
        <f t="shared" si="131"/>
        <v>2090</v>
      </c>
      <c r="BR81" s="1">
        <f t="shared" si="163"/>
        <v>114</v>
      </c>
      <c r="BS81" s="1">
        <f t="shared" si="174"/>
        <v>7</v>
      </c>
      <c r="BT81" s="1">
        <f t="shared" si="156"/>
        <v>48</v>
      </c>
      <c r="BU81" s="1">
        <f t="shared" si="167"/>
        <v>47</v>
      </c>
      <c r="BV81" s="2">
        <f t="shared" si="94"/>
        <v>11400</v>
      </c>
      <c r="BW81" s="8">
        <f t="shared" si="164"/>
        <v>5.2499999999999998E-2</v>
      </c>
      <c r="BX81" s="2">
        <f t="shared" si="95"/>
        <v>11549.625</v>
      </c>
      <c r="BY81" s="2">
        <f t="shared" si="165"/>
        <v>149.625</v>
      </c>
      <c r="BZ81" s="2">
        <f t="shared" si="120"/>
        <v>10200</v>
      </c>
      <c r="CA81" s="8">
        <f t="shared" si="175"/>
        <v>4.3999999999999997E-2</v>
      </c>
      <c r="CB81" s="2">
        <f t="shared" si="117"/>
        <v>10312.199999999999</v>
      </c>
      <c r="CC81" s="2">
        <f t="shared" si="176"/>
        <v>204</v>
      </c>
      <c r="CD81" s="2">
        <f t="shared" si="132"/>
        <v>0</v>
      </c>
      <c r="CE81" s="2">
        <f t="shared" si="96"/>
        <v>0</v>
      </c>
      <c r="CF81" s="2">
        <f t="shared" si="97"/>
        <v>65.650000000000546</v>
      </c>
      <c r="CG81" s="1">
        <f t="shared" si="159"/>
        <v>0</v>
      </c>
      <c r="CH81" s="2">
        <f t="shared" si="133"/>
        <v>65.650000000000546</v>
      </c>
      <c r="CI81" s="1">
        <f t="shared" si="89"/>
        <v>0</v>
      </c>
      <c r="CJ81" s="2">
        <f t="shared" si="98"/>
        <v>65.650000000000546</v>
      </c>
      <c r="CK81" s="2">
        <f t="shared" si="99"/>
        <v>127576.97499999998</v>
      </c>
      <c r="CL81" s="2">
        <f t="shared" si="134"/>
        <v>0</v>
      </c>
      <c r="CM81" s="2">
        <f t="shared" si="47"/>
        <v>679.92381999999998</v>
      </c>
      <c r="CN81" s="2">
        <f t="shared" si="135"/>
        <v>126897.05117999998</v>
      </c>
      <c r="CO81" s="2">
        <f t="shared" si="48"/>
        <v>2443.625</v>
      </c>
      <c r="CP81" s="2">
        <f t="shared" si="136"/>
        <v>4775.3364999999958</v>
      </c>
      <c r="CQ81" s="2">
        <f t="shared" si="137"/>
        <v>119678.08967999999</v>
      </c>
      <c r="CS81" s="5">
        <f t="shared" si="151"/>
        <v>1000</v>
      </c>
      <c r="CT81" s="2">
        <f t="shared" si="152"/>
        <v>100000</v>
      </c>
      <c r="CU81" s="2">
        <f t="shared" si="153"/>
        <v>100000</v>
      </c>
      <c r="CV81" s="2">
        <f t="shared" si="154"/>
        <v>128050.80965470575</v>
      </c>
      <c r="CW81" s="8">
        <f t="shared" si="138"/>
        <v>4.9000000000000002E-2</v>
      </c>
      <c r="CX81" s="2">
        <f t="shared" si="139"/>
        <v>129619.43207297591</v>
      </c>
      <c r="CY81" s="2" t="str">
        <f t="shared" si="140"/>
        <v>nie</v>
      </c>
      <c r="CZ81" s="2">
        <f t="shared" si="53"/>
        <v>0</v>
      </c>
      <c r="DA81" s="2">
        <f t="shared" si="54"/>
        <v>0</v>
      </c>
      <c r="DB81" s="2">
        <f t="shared" si="55"/>
        <v>129619.43207297591</v>
      </c>
      <c r="DC81" s="2">
        <f t="shared" si="141"/>
        <v>0</v>
      </c>
      <c r="DD81" s="2">
        <f t="shared" si="56"/>
        <v>689.40513326056748</v>
      </c>
      <c r="DE81" s="2">
        <f t="shared" si="57"/>
        <v>128930.02693971533</v>
      </c>
      <c r="DF81" s="2">
        <f t="shared" si="142"/>
        <v>3000</v>
      </c>
      <c r="DG81" s="2">
        <f t="shared" si="143"/>
        <v>5057.6920938654221</v>
      </c>
      <c r="DH81" s="2">
        <f t="shared" si="58"/>
        <v>120872.33484584991</v>
      </c>
    </row>
    <row r="82" spans="2:112">
      <c r="B82" s="232"/>
      <c r="C82" s="1">
        <f t="shared" si="168"/>
        <v>45</v>
      </c>
      <c r="D82" s="2">
        <f t="shared" si="105"/>
        <v>118783.05241152</v>
      </c>
      <c r="E82" s="2">
        <f t="shared" si="106"/>
        <v>114217.41402072</v>
      </c>
      <c r="F82" s="2">
        <f t="shared" si="107"/>
        <v>118266.17537499999</v>
      </c>
      <c r="G82" s="2">
        <f t="shared" si="108"/>
        <v>112871.32787499999</v>
      </c>
      <c r="H82" s="2">
        <f t="shared" si="109"/>
        <v>120291.86600268751</v>
      </c>
      <c r="I82" s="2">
        <f t="shared" si="110"/>
        <v>113939.52349953813</v>
      </c>
      <c r="J82" s="2">
        <f t="shared" si="169"/>
        <v>114623.23257563257</v>
      </c>
      <c r="K82" s="2">
        <f t="shared" si="170"/>
        <v>111324.50447107498</v>
      </c>
      <c r="W82" s="1">
        <f t="shared" si="144"/>
        <v>64</v>
      </c>
      <c r="X82" s="2">
        <f t="shared" si="121"/>
        <v>116480.94689030047</v>
      </c>
      <c r="Y82" s="8">
        <f t="shared" si="157"/>
        <v>4.3200000000000002E-2</v>
      </c>
      <c r="Z82" s="5">
        <f t="shared" si="145"/>
        <v>1149</v>
      </c>
      <c r="AA82" s="2">
        <f t="shared" si="146"/>
        <v>114785.1</v>
      </c>
      <c r="AB82" s="2">
        <f t="shared" si="37"/>
        <v>114900</v>
      </c>
      <c r="AC82" s="2">
        <f t="shared" si="147"/>
        <v>126436.07489999998</v>
      </c>
      <c r="AD82" s="8">
        <f t="shared" si="122"/>
        <v>4.9000000000000002E-2</v>
      </c>
      <c r="AE82" s="2">
        <f t="shared" si="2"/>
        <v>128501.19745669997</v>
      </c>
      <c r="AF82" s="2" t="str">
        <f t="shared" si="123"/>
        <v>nie</v>
      </c>
      <c r="AG82" s="2">
        <f t="shared" si="124"/>
        <v>1149</v>
      </c>
      <c r="AH82" s="1">
        <f t="shared" si="79"/>
        <v>0</v>
      </c>
      <c r="AI82" s="1">
        <f t="shared" si="171"/>
        <v>0</v>
      </c>
      <c r="AJ82" s="1">
        <f t="shared" si="155"/>
        <v>0</v>
      </c>
      <c r="AK82" s="1">
        <f t="shared" si="166"/>
        <v>0</v>
      </c>
      <c r="AL82" s="2">
        <f t="shared" si="90"/>
        <v>0</v>
      </c>
      <c r="AM82" s="8">
        <f t="shared" si="160"/>
        <v>4.9000000000000002E-2</v>
      </c>
      <c r="AN82" s="2">
        <f t="shared" si="91"/>
        <v>0</v>
      </c>
      <c r="AO82" s="2">
        <f t="shared" si="161"/>
        <v>0</v>
      </c>
      <c r="AP82" s="2">
        <f t="shared" si="119"/>
        <v>0</v>
      </c>
      <c r="AQ82" s="8">
        <f t="shared" si="172"/>
        <v>4.3200000000000002E-2</v>
      </c>
      <c r="AR82" s="2">
        <f t="shared" si="113"/>
        <v>0</v>
      </c>
      <c r="AS82" s="2">
        <f t="shared" si="173"/>
        <v>0</v>
      </c>
      <c r="AT82" s="2">
        <f t="shared" si="39"/>
        <v>0</v>
      </c>
      <c r="AU82" s="2">
        <f t="shared" si="92"/>
        <v>0</v>
      </c>
      <c r="AV82" s="2">
        <f t="shared" si="82"/>
        <v>8.7323199999809731</v>
      </c>
      <c r="AW82" s="1">
        <f t="shared" si="158"/>
        <v>0</v>
      </c>
      <c r="AX82" s="2">
        <f t="shared" si="125"/>
        <v>8.7323199999809731</v>
      </c>
      <c r="AY82" s="1">
        <f t="shared" si="83"/>
        <v>0</v>
      </c>
      <c r="AZ82" s="2">
        <f t="shared" si="40"/>
        <v>8.7323199999809731</v>
      </c>
      <c r="BA82" s="2">
        <f t="shared" si="93"/>
        <v>128509.92977669995</v>
      </c>
      <c r="BB82" s="2">
        <f t="shared" si="126"/>
        <v>0</v>
      </c>
      <c r="BC82" s="2">
        <f t="shared" si="41"/>
        <v>681.3875231139998</v>
      </c>
      <c r="BD82" s="2">
        <f t="shared" si="10"/>
        <v>127828.54225358595</v>
      </c>
      <c r="BE82" s="2">
        <f t="shared" si="42"/>
        <v>1149</v>
      </c>
      <c r="BF82" s="2">
        <f t="shared" si="11"/>
        <v>5198.5766575729913</v>
      </c>
      <c r="BG82" s="2">
        <f t="shared" si="12"/>
        <v>121480.96559601296</v>
      </c>
      <c r="BI82" s="8">
        <f t="shared" si="162"/>
        <v>2.9000000000000001E-2</v>
      </c>
      <c r="BJ82" s="5">
        <f t="shared" si="148"/>
        <v>1045</v>
      </c>
      <c r="BK82" s="2">
        <f t="shared" si="149"/>
        <v>104395.5</v>
      </c>
      <c r="BL82" s="2">
        <f t="shared" si="150"/>
        <v>104500</v>
      </c>
      <c r="BM82" s="2">
        <f t="shared" si="127"/>
        <v>104500</v>
      </c>
      <c r="BN82" s="8">
        <f t="shared" si="128"/>
        <v>4.3999999999999997E-2</v>
      </c>
      <c r="BO82" s="2">
        <f t="shared" si="129"/>
        <v>106032.66666666666</v>
      </c>
      <c r="BP82" s="2" t="str">
        <f t="shared" si="130"/>
        <v>nie</v>
      </c>
      <c r="BQ82" s="2">
        <f t="shared" si="131"/>
        <v>2090</v>
      </c>
      <c r="BR82" s="1">
        <f t="shared" si="163"/>
        <v>114</v>
      </c>
      <c r="BS82" s="1">
        <f t="shared" si="174"/>
        <v>7</v>
      </c>
      <c r="BT82" s="1">
        <f t="shared" si="156"/>
        <v>48</v>
      </c>
      <c r="BU82" s="1">
        <f t="shared" si="167"/>
        <v>47</v>
      </c>
      <c r="BV82" s="2">
        <f t="shared" si="94"/>
        <v>11400</v>
      </c>
      <c r="BW82" s="8">
        <f t="shared" si="164"/>
        <v>5.2499999999999998E-2</v>
      </c>
      <c r="BX82" s="2">
        <f t="shared" si="95"/>
        <v>11599.5</v>
      </c>
      <c r="BY82" s="2">
        <f t="shared" si="165"/>
        <v>199.5</v>
      </c>
      <c r="BZ82" s="2">
        <f t="shared" si="120"/>
        <v>10200</v>
      </c>
      <c r="CA82" s="8">
        <f t="shared" si="175"/>
        <v>4.3999999999999997E-2</v>
      </c>
      <c r="CB82" s="2">
        <f t="shared" si="117"/>
        <v>10349.599999999999</v>
      </c>
      <c r="CC82" s="2">
        <f t="shared" si="176"/>
        <v>204</v>
      </c>
      <c r="CD82" s="2">
        <f t="shared" si="132"/>
        <v>0</v>
      </c>
      <c r="CE82" s="2">
        <f t="shared" si="96"/>
        <v>0</v>
      </c>
      <c r="CF82" s="2">
        <f t="shared" si="97"/>
        <v>65.650000000000546</v>
      </c>
      <c r="CG82" s="1">
        <f t="shared" si="159"/>
        <v>0</v>
      </c>
      <c r="CH82" s="2">
        <f t="shared" si="133"/>
        <v>65.650000000000546</v>
      </c>
      <c r="CI82" s="1">
        <f t="shared" si="89"/>
        <v>0</v>
      </c>
      <c r="CJ82" s="2">
        <f t="shared" si="98"/>
        <v>65.650000000000546</v>
      </c>
      <c r="CK82" s="2">
        <f t="shared" si="99"/>
        <v>128047.41666666666</v>
      </c>
      <c r="CL82" s="2">
        <f t="shared" si="134"/>
        <v>0</v>
      </c>
      <c r="CM82" s="2">
        <f t="shared" si="47"/>
        <v>679.92381999999998</v>
      </c>
      <c r="CN82" s="2">
        <f t="shared" si="135"/>
        <v>127367.49284666666</v>
      </c>
      <c r="CO82" s="2">
        <f t="shared" si="48"/>
        <v>2493.5</v>
      </c>
      <c r="CP82" s="2">
        <f t="shared" si="136"/>
        <v>4855.2441666666646</v>
      </c>
      <c r="CQ82" s="2">
        <f t="shared" si="137"/>
        <v>120018.74867999999</v>
      </c>
      <c r="CS82" s="5">
        <f t="shared" si="151"/>
        <v>1000</v>
      </c>
      <c r="CT82" s="2">
        <f t="shared" si="152"/>
        <v>100000</v>
      </c>
      <c r="CU82" s="2">
        <f t="shared" si="153"/>
        <v>100000</v>
      </c>
      <c r="CV82" s="2">
        <f t="shared" si="154"/>
        <v>128050.80965470575</v>
      </c>
      <c r="CW82" s="8">
        <f t="shared" si="138"/>
        <v>4.9000000000000002E-2</v>
      </c>
      <c r="CX82" s="2">
        <f t="shared" si="139"/>
        <v>130142.30621239927</v>
      </c>
      <c r="CY82" s="2" t="str">
        <f t="shared" si="140"/>
        <v>nie</v>
      </c>
      <c r="CZ82" s="2">
        <f t="shared" si="53"/>
        <v>0</v>
      </c>
      <c r="DA82" s="2">
        <f t="shared" si="54"/>
        <v>0</v>
      </c>
      <c r="DB82" s="2">
        <f t="shared" si="55"/>
        <v>130142.30621239927</v>
      </c>
      <c r="DC82" s="2">
        <f t="shared" si="141"/>
        <v>0</v>
      </c>
      <c r="DD82" s="2">
        <f t="shared" si="56"/>
        <v>689.40513326056748</v>
      </c>
      <c r="DE82" s="2">
        <f t="shared" si="57"/>
        <v>129452.9010791387</v>
      </c>
      <c r="DF82" s="2">
        <f t="shared" si="142"/>
        <v>3000</v>
      </c>
      <c r="DG82" s="2">
        <f t="shared" si="143"/>
        <v>5157.0381803558612</v>
      </c>
      <c r="DH82" s="2">
        <f t="shared" si="58"/>
        <v>121295.86289878284</v>
      </c>
    </row>
    <row r="83" spans="2:112">
      <c r="B83" s="232"/>
      <c r="C83" s="1">
        <f t="shared" si="168"/>
        <v>46</v>
      </c>
      <c r="D83" s="2">
        <f t="shared" si="105"/>
        <v>119252.22741151998</v>
      </c>
      <c r="E83" s="2">
        <f t="shared" si="106"/>
        <v>114597.44577071999</v>
      </c>
      <c r="F83" s="2">
        <f t="shared" si="107"/>
        <v>118690.14204166667</v>
      </c>
      <c r="G83" s="2">
        <f t="shared" si="108"/>
        <v>113214.740875</v>
      </c>
      <c r="H83" s="2">
        <f t="shared" si="109"/>
        <v>120767.03290949999</v>
      </c>
      <c r="I83" s="2">
        <f t="shared" si="110"/>
        <v>114324.40869405624</v>
      </c>
      <c r="J83" s="2">
        <f t="shared" si="169"/>
        <v>114971.40064458107</v>
      </c>
      <c r="K83" s="2">
        <f t="shared" si="170"/>
        <v>111587.81175674999</v>
      </c>
      <c r="W83" s="1">
        <f t="shared" si="144"/>
        <v>65</v>
      </c>
      <c r="X83" s="2">
        <f t="shared" ref="X83:X114" si="177">zakup_domyslny_wartosc*IFERROR((INDEX(scenariusz_I_inflacja_skumulowana,MATCH(ROUNDDOWN(W83/12,0),scenariusz_I_rok,0))+1),1)
*(1+MOD(W83,12)*INDEX(scenariusz_I_inflacja,MATCH(ROUNDUP(W83/12,0),scenariusz_I_rok,0))/12)</f>
        <v>116759.74743997189</v>
      </c>
      <c r="Y83" s="8">
        <f t="shared" si="157"/>
        <v>4.3200000000000002E-2</v>
      </c>
      <c r="Z83" s="5">
        <f t="shared" si="145"/>
        <v>1149</v>
      </c>
      <c r="AA83" s="2">
        <f t="shared" si="146"/>
        <v>114785.1</v>
      </c>
      <c r="AB83" s="2">
        <f t="shared" si="37"/>
        <v>114900</v>
      </c>
      <c r="AC83" s="2">
        <f t="shared" si="147"/>
        <v>126436.07489999998</v>
      </c>
      <c r="AD83" s="8">
        <f t="shared" ref="AD83:AD114" si="178">IF(AND(MOD($W83,zapadalnosc_TOS)&lt;=zmiana_oprocentowania_co_ile_mc_TOS,MOD($W83,zapadalnosc_TOS)&lt;&gt;0),proc_I_okres_TOS,(marza_TOS+$Y83))</f>
        <v>4.9000000000000002E-2</v>
      </c>
      <c r="AE83" s="2">
        <f t="shared" ref="AE83:AE146" si="179">AC83*(1+AD83*IF(MOD($W83,12)&lt;&gt;0,MOD($W83,12),12)/12)</f>
        <v>129017.47809587499</v>
      </c>
      <c r="AF83" s="2" t="str">
        <f t="shared" ref="AF83:AF114" si="180">IF(MOD($W83,zapadalnosc_TOS)=0,"tak","nie")</f>
        <v>nie</v>
      </c>
      <c r="AG83" s="2">
        <f t="shared" ref="AG83:AG114" si="181">IF(MOD($W83,zapadalnosc_TOS)=0,0,
IF(AND(MOD($W83,zapadalnosc_TOS)&lt;zapadalnosc_TOS,MOD($W83,zapadalnosc_TOS)&lt;=koszt_wczesniejszy_wykup_ochrona_TOS),
MIN(AE83-AB83,Z83*koszt_wczesniejszy_wykup_TOS),Z83*koszt_wczesniejszy_wykup_TOS))</f>
        <v>1149</v>
      </c>
      <c r="AH83" s="1">
        <f t="shared" si="79"/>
        <v>0</v>
      </c>
      <c r="AI83" s="1">
        <f t="shared" si="171"/>
        <v>0</v>
      </c>
      <c r="AJ83" s="1">
        <f t="shared" si="155"/>
        <v>0</v>
      </c>
      <c r="AK83" s="1">
        <f t="shared" si="166"/>
        <v>0</v>
      </c>
      <c r="AL83" s="2">
        <f t="shared" si="90"/>
        <v>0</v>
      </c>
      <c r="AM83" s="8">
        <f t="shared" si="160"/>
        <v>4.9000000000000002E-2</v>
      </c>
      <c r="AN83" s="2">
        <f t="shared" si="91"/>
        <v>0</v>
      </c>
      <c r="AO83" s="2">
        <f t="shared" si="161"/>
        <v>0</v>
      </c>
      <c r="AP83" s="2">
        <f t="shared" si="119"/>
        <v>0</v>
      </c>
      <c r="AQ83" s="8">
        <f t="shared" si="172"/>
        <v>4.3200000000000002E-2</v>
      </c>
      <c r="AR83" s="2">
        <f t="shared" si="113"/>
        <v>0</v>
      </c>
      <c r="AS83" s="2">
        <f t="shared" si="173"/>
        <v>0</v>
      </c>
      <c r="AT83" s="2">
        <f t="shared" si="39"/>
        <v>0</v>
      </c>
      <c r="AU83" s="2">
        <f t="shared" si="92"/>
        <v>0</v>
      </c>
      <c r="AV83" s="2">
        <f t="shared" si="82"/>
        <v>8.7323199999809731</v>
      </c>
      <c r="AW83" s="1">
        <f t="shared" si="158"/>
        <v>0</v>
      </c>
      <c r="AX83" s="2">
        <f t="shared" ref="AX83:AX114" si="182">AV83-AW83*zamiana_TOS</f>
        <v>8.7323199999809731</v>
      </c>
      <c r="AY83" s="1">
        <f t="shared" si="83"/>
        <v>0</v>
      </c>
      <c r="AZ83" s="2">
        <f t="shared" si="40"/>
        <v>8.7323199999809731</v>
      </c>
      <c r="BA83" s="2">
        <f t="shared" si="93"/>
        <v>129026.21041587497</v>
      </c>
      <c r="BB83" s="2">
        <f t="shared" ref="BB83:BB114" si="183">MIN(IF(MOD($W83,12)=0,INDEX(IKE_oplata_wskaznik,MATCH(ROUNDUP($W83/12,0),IKE_oplata_rok,0)),0)*BA83,200)</f>
        <v>0</v>
      </c>
      <c r="BC83" s="2">
        <f t="shared" si="41"/>
        <v>681.3875231139998</v>
      </c>
      <c r="BD83" s="2">
        <f t="shared" ref="BD83:BD146" si="184">BA83-BC83</f>
        <v>128344.82289276097</v>
      </c>
      <c r="BE83" s="2">
        <f t="shared" si="42"/>
        <v>1149</v>
      </c>
      <c r="BF83" s="2">
        <f t="shared" ref="BF83:BF146" si="185">(BA83-BE83-zakup_domyslny_wartosc)*podatek_Belki</f>
        <v>5296.6699790162447</v>
      </c>
      <c r="BG83" s="2">
        <f t="shared" ref="BG83:BG146" si="186">BA83-BC83-BE83-BF83</f>
        <v>121899.15291374474</v>
      </c>
      <c r="BI83" s="8">
        <f t="shared" si="162"/>
        <v>2.9000000000000001E-2</v>
      </c>
      <c r="BJ83" s="5">
        <f t="shared" si="148"/>
        <v>1045</v>
      </c>
      <c r="BK83" s="2">
        <f t="shared" si="149"/>
        <v>104395.5</v>
      </c>
      <c r="BL83" s="2">
        <f t="shared" si="150"/>
        <v>104500</v>
      </c>
      <c r="BM83" s="2">
        <f t="shared" ref="BM83:BM114" si="187">BL83</f>
        <v>104500</v>
      </c>
      <c r="BN83" s="8">
        <f t="shared" ref="BN83:BN114" si="188">IF(AND(MOD($W83,zapadalnosc_COI)&lt;=zmiana_oprocentowania_co_ile_mc_COI,MOD($W83,zapadalnosc_COI)&lt;&gt;0),proc_I_okres_COI,(marza_COI+$BI83))</f>
        <v>4.3999999999999997E-2</v>
      </c>
      <c r="BO83" s="2">
        <f t="shared" ref="BO83:BO114" si="189">BM83*(1+BN83*IF(MOD($W83,12)&lt;&gt;0,MOD($W83,12),12)/12)</f>
        <v>106415.83333333333</v>
      </c>
      <c r="BP83" s="2" t="str">
        <f t="shared" ref="BP83:BP114" si="190">IF(MOD($W83,zapadalnosc_COI)=0,"tak","nie")</f>
        <v>nie</v>
      </c>
      <c r="BQ83" s="2">
        <f t="shared" ref="BQ83:BQ114" si="191">IF(MOD($W83,zapadalnosc_COI)=0,0,
IF(AND(MOD($W83,zapadalnosc_COI)&lt;zapadalnosc_COI,MOD($W83,zapadalnosc_COI)&lt;=koszt_wczesniejszy_wykup_ochrona_COI),
MIN(BO83-BL83,BJ83*koszt_wczesniejszy_wykup_COI),BJ83*koszt_wczesniejszy_wykup_COI))</f>
        <v>2090</v>
      </c>
      <c r="BR83" s="1">
        <f t="shared" si="163"/>
        <v>114</v>
      </c>
      <c r="BS83" s="1">
        <f t="shared" si="174"/>
        <v>7</v>
      </c>
      <c r="BT83" s="1">
        <f t="shared" si="156"/>
        <v>48</v>
      </c>
      <c r="BU83" s="1">
        <f t="shared" si="167"/>
        <v>47</v>
      </c>
      <c r="BV83" s="2">
        <f t="shared" si="94"/>
        <v>11400</v>
      </c>
      <c r="BW83" s="8">
        <f t="shared" si="164"/>
        <v>5.2499999999999998E-2</v>
      </c>
      <c r="BX83" s="2">
        <f t="shared" si="95"/>
        <v>11649.375000000002</v>
      </c>
      <c r="BY83" s="2">
        <f t="shared" si="165"/>
        <v>228</v>
      </c>
      <c r="BZ83" s="2">
        <f t="shared" si="120"/>
        <v>10200</v>
      </c>
      <c r="CA83" s="8">
        <f t="shared" si="175"/>
        <v>4.3999999999999997E-2</v>
      </c>
      <c r="CB83" s="2">
        <f t="shared" si="117"/>
        <v>10387</v>
      </c>
      <c r="CC83" s="2">
        <f t="shared" si="176"/>
        <v>204</v>
      </c>
      <c r="CD83" s="2">
        <f t="shared" ref="CD83:CD114" si="192">IF(MOD($W83,wyplata_odsetek_COI)=0, (BO83-BL83),0)
-IF(AND(BP83="tak",BK84&lt;&gt;""),BK84-BL83,0)</f>
        <v>0</v>
      </c>
      <c r="CE83" s="2">
        <f t="shared" si="96"/>
        <v>0</v>
      </c>
      <c r="CF83" s="2">
        <f t="shared" si="97"/>
        <v>65.650000000000546</v>
      </c>
      <c r="CG83" s="1">
        <f t="shared" si="159"/>
        <v>0</v>
      </c>
      <c r="CH83" s="2">
        <f t="shared" ref="CH83:CH114" si="193">CF83-CG83*zamiana_COI</f>
        <v>65.650000000000546</v>
      </c>
      <c r="CI83" s="1">
        <f t="shared" si="89"/>
        <v>0</v>
      </c>
      <c r="CJ83" s="2">
        <f t="shared" si="98"/>
        <v>65.650000000000546</v>
      </c>
      <c r="CK83" s="2">
        <f t="shared" si="99"/>
        <v>128517.85833333332</v>
      </c>
      <c r="CL83" s="2">
        <f t="shared" ref="CL83:CL114" si="194">MIN(IF(MOD($W83,12)=0,INDEX(IKE_oplata_wskaznik,MATCH(ROUNDUP($W83/12,0),IKE_oplata_rok,0)),0)*CK83,200)</f>
        <v>0</v>
      </c>
      <c r="CM83" s="2">
        <f t="shared" si="47"/>
        <v>679.92381999999998</v>
      </c>
      <c r="CN83" s="2">
        <f t="shared" ref="CN83:CN114" si="195">CK83-CM83</f>
        <v>127837.93451333333</v>
      </c>
      <c r="CO83" s="2">
        <f t="shared" si="48"/>
        <v>2522</v>
      </c>
      <c r="CP83" s="2">
        <f t="shared" ref="CP83:CP114" si="196">(CK83-CO83-zakup_domyslny_wartosc)*podatek_Belki</f>
        <v>4939.2130833333313</v>
      </c>
      <c r="CQ83" s="2">
        <f t="shared" ref="CQ83:CQ114" si="197">CK83-CM83-CO83-CP83</f>
        <v>120376.72142999999</v>
      </c>
      <c r="CS83" s="5">
        <f t="shared" si="151"/>
        <v>1000</v>
      </c>
      <c r="CT83" s="2">
        <f t="shared" si="152"/>
        <v>100000</v>
      </c>
      <c r="CU83" s="2">
        <f t="shared" si="153"/>
        <v>100000</v>
      </c>
      <c r="CV83" s="2">
        <f t="shared" si="154"/>
        <v>128050.80965470575</v>
      </c>
      <c r="CW83" s="8">
        <f t="shared" ref="CW83:CW114" si="198">IF(AND(MOD($W83,zapadalnosc_EDO)&lt;=12,MOD($W83,zapadalnosc_EDO)&lt;&gt;0),proc_I_okres_EDO,(marza_EDO+$BI83))</f>
        <v>4.9000000000000002E-2</v>
      </c>
      <c r="CX83" s="2">
        <f t="shared" ref="CX83:CX114" si="199">CV83*(1+CW83*IF(MOD($W83,12)&lt;&gt;0,MOD($W83,12),12)/12)</f>
        <v>130665.18035182267</v>
      </c>
      <c r="CY83" s="2" t="str">
        <f t="shared" ref="CY83:CY114" si="200">IF(MOD($W83,zapadalnosc_EDO)=0,"tak","nie")</f>
        <v>nie</v>
      </c>
      <c r="CZ83" s="2">
        <f t="shared" si="53"/>
        <v>0</v>
      </c>
      <c r="DA83" s="2">
        <f t="shared" si="54"/>
        <v>0</v>
      </c>
      <c r="DB83" s="2">
        <f t="shared" si="55"/>
        <v>130665.18035182267</v>
      </c>
      <c r="DC83" s="2">
        <f t="shared" ref="DC83:DC114" si="201">MIN(IF(MOD(W83,12)=0,INDEX(IKE_oplata_wskaznik,MATCH(ROUNDUP(W83/12,0),IKE_oplata_rok,0)),0)*DB83,200)</f>
        <v>0</v>
      </c>
      <c r="DD83" s="2">
        <f t="shared" si="56"/>
        <v>689.40513326056748</v>
      </c>
      <c r="DE83" s="2">
        <f t="shared" si="57"/>
        <v>129975.77521856209</v>
      </c>
      <c r="DF83" s="2">
        <f t="shared" ref="DF83:DF114" si="202">IF(AND(MOD($W83,zapadalnosc_EDO)&lt;zapadalnosc_EDO,MOD($W83,zapadalnosc_EDO)&lt;&gt;0),MIN(CX83-CU83,CS83*koszt_wczesniejszy_wykup_EDO),0)</f>
        <v>3000</v>
      </c>
      <c r="DG83" s="2">
        <f t="shared" ref="DG83:DG114" si="203">(CX83-DF83-zakup_domyslny_wartosc)*podatek_Belki</f>
        <v>5256.3842668463067</v>
      </c>
      <c r="DH83" s="2">
        <f t="shared" si="58"/>
        <v>121719.39095171579</v>
      </c>
    </row>
    <row r="84" spans="2:112">
      <c r="B84" s="233"/>
      <c r="C84" s="1">
        <f t="shared" si="168"/>
        <v>47</v>
      </c>
      <c r="D84" s="2">
        <f t="shared" si="105"/>
        <v>119721.40241151999</v>
      </c>
      <c r="E84" s="2">
        <f t="shared" si="106"/>
        <v>114977.47752071999</v>
      </c>
      <c r="F84" s="2">
        <f t="shared" si="107"/>
        <v>119114.10870833334</v>
      </c>
      <c r="G84" s="2">
        <f t="shared" si="108"/>
        <v>113558.153875</v>
      </c>
      <c r="H84" s="2">
        <f t="shared" si="109"/>
        <v>121242.19981631251</v>
      </c>
      <c r="I84" s="2">
        <f t="shared" si="110"/>
        <v>114709.29388857438</v>
      </c>
      <c r="J84" s="2">
        <f t="shared" si="169"/>
        <v>115320.62627403898</v>
      </c>
      <c r="K84" s="2">
        <f t="shared" si="170"/>
        <v>111851.11904242499</v>
      </c>
      <c r="W84" s="1">
        <f t="shared" ref="W84:W115" si="204">W83+1</f>
        <v>66</v>
      </c>
      <c r="X84" s="2">
        <f t="shared" si="177"/>
        <v>117038.54798964327</v>
      </c>
      <c r="Y84" s="8">
        <f t="shared" si="157"/>
        <v>4.3200000000000002E-2</v>
      </c>
      <c r="Z84" s="5">
        <f t="shared" ref="Z84:Z115" si="205">IF(AF83="tak",
ROUNDDOWN(AE83/zamiana_TOS,0),
Z83)</f>
        <v>1149</v>
      </c>
      <c r="AA84" s="2">
        <f t="shared" ref="AA84:AA115" si="206">IF(AF83="tak",
Z84*zamiana_TOS,
AA83)</f>
        <v>114785.1</v>
      </c>
      <c r="AB84" s="2">
        <f t="shared" ref="AB84:AB147" si="207">IF(AF83="tak",
Z84*100,
AB83)</f>
        <v>114900</v>
      </c>
      <c r="AC84" s="2">
        <f t="shared" ref="AC84:AC115" si="208">IF(AF83="tak",
 AB84,
IF(MOD($W84,kapitalizacja_odsetek_mc_TOS)&lt;&gt;1,AC83,AE83))</f>
        <v>126436.07489999998</v>
      </c>
      <c r="AD84" s="8">
        <f t="shared" si="178"/>
        <v>4.9000000000000002E-2</v>
      </c>
      <c r="AE84" s="2">
        <f t="shared" si="179"/>
        <v>129533.75873504997</v>
      </c>
      <c r="AF84" s="2" t="str">
        <f t="shared" si="180"/>
        <v>nie</v>
      </c>
      <c r="AG84" s="2">
        <f t="shared" si="181"/>
        <v>1149</v>
      </c>
      <c r="AH84" s="1">
        <f t="shared" si="79"/>
        <v>0</v>
      </c>
      <c r="AI84" s="1">
        <f t="shared" si="171"/>
        <v>0</v>
      </c>
      <c r="AJ84" s="1">
        <f t="shared" si="155"/>
        <v>0</v>
      </c>
      <c r="AK84" s="1">
        <f t="shared" si="166"/>
        <v>0</v>
      </c>
      <c r="AL84" s="2">
        <f t="shared" si="90"/>
        <v>0</v>
      </c>
      <c r="AM84" s="8">
        <f t="shared" si="160"/>
        <v>4.9000000000000002E-2</v>
      </c>
      <c r="AN84" s="2">
        <f t="shared" si="91"/>
        <v>0</v>
      </c>
      <c r="AO84" s="2">
        <f t="shared" si="161"/>
        <v>0</v>
      </c>
      <c r="AP84" s="2">
        <f t="shared" si="119"/>
        <v>0</v>
      </c>
      <c r="AQ84" s="8">
        <f t="shared" si="172"/>
        <v>4.3200000000000002E-2</v>
      </c>
      <c r="AR84" s="2">
        <f t="shared" si="113"/>
        <v>0</v>
      </c>
      <c r="AS84" s="2">
        <f t="shared" si="173"/>
        <v>0</v>
      </c>
      <c r="AT84" s="2">
        <f t="shared" ref="AT84:AT147" si="209">IF(AND(AF84="tak",AA85&lt;&gt;""),
 AE84-AA85,
0)</f>
        <v>0</v>
      </c>
      <c r="AU84" s="2">
        <f t="shared" si="92"/>
        <v>0</v>
      </c>
      <c r="AV84" s="2">
        <f t="shared" si="82"/>
        <v>8.7323199999809731</v>
      </c>
      <c r="AW84" s="1">
        <f t="shared" si="158"/>
        <v>0</v>
      </c>
      <c r="AX84" s="2">
        <f t="shared" si="182"/>
        <v>8.7323199999809731</v>
      </c>
      <c r="AY84" s="1">
        <f t="shared" si="83"/>
        <v>0</v>
      </c>
      <c r="AZ84" s="2">
        <f t="shared" ref="AZ84:AZ147" si="210">AX84-AY84*100</f>
        <v>8.7323199999809731</v>
      </c>
      <c r="BA84" s="2">
        <f t="shared" si="93"/>
        <v>129542.49105504995</v>
      </c>
      <c r="BB84" s="2">
        <f t="shared" si="183"/>
        <v>0</v>
      </c>
      <c r="BC84" s="2">
        <f t="shared" ref="BC84:BC147" si="211">BB84+BC83</f>
        <v>681.3875231139998</v>
      </c>
      <c r="BD84" s="2">
        <f t="shared" si="184"/>
        <v>128861.10353193595</v>
      </c>
      <c r="BE84" s="2">
        <f t="shared" ref="BE84:BE147" si="212">AG84+AO84+AS84</f>
        <v>1149</v>
      </c>
      <c r="BF84" s="2">
        <f t="shared" si="185"/>
        <v>5394.76330045949</v>
      </c>
      <c r="BG84" s="2">
        <f t="shared" si="186"/>
        <v>122317.34023147647</v>
      </c>
      <c r="BI84" s="8">
        <f t="shared" si="162"/>
        <v>2.9000000000000001E-2</v>
      </c>
      <c r="BJ84" s="5">
        <f t="shared" ref="BJ84:BJ115" si="213">IF(BP83="tak",
ROUNDDOWN(BO83/zamiana_COI,0),
BJ83)</f>
        <v>1045</v>
      </c>
      <c r="BK84" s="2">
        <f t="shared" ref="BK84:BK115" si="214">IF(BP83="tak",
BJ84*zamiana_COI,
BK83)</f>
        <v>104395.5</v>
      </c>
      <c r="BL84" s="2">
        <f t="shared" ref="BL84:BL115" si="215">IF(BP83="tak",
BJ84*100,
BL83)</f>
        <v>104500</v>
      </c>
      <c r="BM84" s="2">
        <f t="shared" si="187"/>
        <v>104500</v>
      </c>
      <c r="BN84" s="8">
        <f t="shared" si="188"/>
        <v>4.3999999999999997E-2</v>
      </c>
      <c r="BO84" s="2">
        <f t="shared" si="189"/>
        <v>106799</v>
      </c>
      <c r="BP84" s="2" t="str">
        <f t="shared" si="190"/>
        <v>nie</v>
      </c>
      <c r="BQ84" s="2">
        <f t="shared" si="191"/>
        <v>2090</v>
      </c>
      <c r="BR84" s="1">
        <f t="shared" si="163"/>
        <v>114</v>
      </c>
      <c r="BS84" s="1">
        <f t="shared" si="174"/>
        <v>7</v>
      </c>
      <c r="BT84" s="1">
        <f t="shared" si="156"/>
        <v>48</v>
      </c>
      <c r="BU84" s="1">
        <f t="shared" si="167"/>
        <v>47</v>
      </c>
      <c r="BV84" s="2">
        <f t="shared" si="94"/>
        <v>11400</v>
      </c>
      <c r="BW84" s="8">
        <f t="shared" si="164"/>
        <v>5.2499999999999998E-2</v>
      </c>
      <c r="BX84" s="2">
        <f t="shared" si="95"/>
        <v>11699.250000000002</v>
      </c>
      <c r="BY84" s="2">
        <f t="shared" si="165"/>
        <v>228</v>
      </c>
      <c r="BZ84" s="2">
        <f t="shared" si="120"/>
        <v>10200</v>
      </c>
      <c r="CA84" s="8">
        <f t="shared" si="175"/>
        <v>4.3999999999999997E-2</v>
      </c>
      <c r="CB84" s="2">
        <f t="shared" si="117"/>
        <v>10424.4</v>
      </c>
      <c r="CC84" s="2">
        <f t="shared" si="176"/>
        <v>204</v>
      </c>
      <c r="CD84" s="2">
        <f t="shared" si="192"/>
        <v>0</v>
      </c>
      <c r="CE84" s="2">
        <f t="shared" si="96"/>
        <v>0</v>
      </c>
      <c r="CF84" s="2">
        <f t="shared" si="97"/>
        <v>65.650000000000546</v>
      </c>
      <c r="CG84" s="1">
        <f t="shared" si="159"/>
        <v>0</v>
      </c>
      <c r="CH84" s="2">
        <f t="shared" si="193"/>
        <v>65.650000000000546</v>
      </c>
      <c r="CI84" s="1">
        <f t="shared" si="89"/>
        <v>0</v>
      </c>
      <c r="CJ84" s="2">
        <f t="shared" si="98"/>
        <v>65.650000000000546</v>
      </c>
      <c r="CK84" s="2">
        <f t="shared" si="99"/>
        <v>128988.29999999999</v>
      </c>
      <c r="CL84" s="2">
        <f t="shared" si="194"/>
        <v>0</v>
      </c>
      <c r="CM84" s="2">
        <f t="shared" ref="CM84:CM147" si="216">CL84+CM83</f>
        <v>679.92381999999998</v>
      </c>
      <c r="CN84" s="2">
        <f t="shared" si="195"/>
        <v>128308.37617999999</v>
      </c>
      <c r="CO84" s="2">
        <f t="shared" ref="CO84:CO147" si="217">BQ84+BY84+CC84</f>
        <v>2522</v>
      </c>
      <c r="CP84" s="2">
        <f t="shared" si="196"/>
        <v>5028.5969999999979</v>
      </c>
      <c r="CQ84" s="2">
        <f t="shared" si="197"/>
        <v>120757.77918</v>
      </c>
      <c r="CS84" s="5">
        <f t="shared" ref="CS84:CS115" si="218">IF(CY83="tak",
ROUNDDOWN(CX83/zamiana_EDO,0),
CS83)</f>
        <v>1000</v>
      </c>
      <c r="CT84" s="2">
        <f t="shared" ref="CT84:CT115" si="219">IF(CY83="tak",
CS84*zamiana_EDO,
CT83)</f>
        <v>100000</v>
      </c>
      <c r="CU84" s="2">
        <f t="shared" ref="CU84:CU115" si="220">IF(CY83="tak",
CS84*100,
CU83)</f>
        <v>100000</v>
      </c>
      <c r="CV84" s="2">
        <f t="shared" ref="CV84:CV115" si="221">IF(CY83="tak",
 CU84,
IF(MOD($W84,kapitalizacja_odsetek_mc_EDO)&lt;&gt;1,CV83,CX83))</f>
        <v>128050.80965470575</v>
      </c>
      <c r="CW84" s="8">
        <f t="shared" si="198"/>
        <v>4.9000000000000002E-2</v>
      </c>
      <c r="CX84" s="2">
        <f t="shared" si="199"/>
        <v>131188.05449124603</v>
      </c>
      <c r="CY84" s="2" t="str">
        <f t="shared" si="200"/>
        <v>nie</v>
      </c>
      <c r="CZ84" s="2">
        <f t="shared" ref="CZ84:CZ147" si="222">IF(AND(CY84="tak",CT85&lt;&gt;""),
 CX84-CT85,
0)</f>
        <v>0</v>
      </c>
      <c r="DA84" s="2">
        <f t="shared" ref="DA84:DA147" si="223">DA83+CZ84</f>
        <v>0</v>
      </c>
      <c r="DB84" s="2">
        <f t="shared" ref="DB84:DB147" si="224">DA83+CX84</f>
        <v>131188.05449124603</v>
      </c>
      <c r="DC84" s="2">
        <f t="shared" si="201"/>
        <v>0</v>
      </c>
      <c r="DD84" s="2">
        <f t="shared" ref="DD84:DD147" si="225">DC84+DD83</f>
        <v>689.40513326056748</v>
      </c>
      <c r="DE84" s="2">
        <f t="shared" ref="DE84:DE147" si="226">DB84-DD84</f>
        <v>130498.64935798546</v>
      </c>
      <c r="DF84" s="2">
        <f t="shared" si="202"/>
        <v>3000</v>
      </c>
      <c r="DG84" s="2">
        <f t="shared" si="203"/>
        <v>5355.7303533367458</v>
      </c>
      <c r="DH84" s="2">
        <f t="shared" ref="DH84:DH147" si="227">DB84-DD84-DF84-DG84</f>
        <v>122142.91900464871</v>
      </c>
    </row>
    <row r="85" spans="2:112">
      <c r="B85" s="231">
        <f>ROUNDUP(C86/12,0)</f>
        <v>5</v>
      </c>
      <c r="C85" s="3">
        <f t="shared" si="168"/>
        <v>48</v>
      </c>
      <c r="D85" s="10">
        <f t="shared" si="105"/>
        <v>120021.82304627197</v>
      </c>
      <c r="E85" s="10">
        <f t="shared" si="106"/>
        <v>115188.75490547197</v>
      </c>
      <c r="F85" s="10">
        <f t="shared" si="107"/>
        <v>119370.23476500002</v>
      </c>
      <c r="G85" s="10">
        <f t="shared" si="108"/>
        <v>115353.72626500002</v>
      </c>
      <c r="H85" s="10">
        <f t="shared" si="109"/>
        <v>121546.46955104056</v>
      </c>
      <c r="I85" s="10">
        <f t="shared" si="110"/>
        <v>114923.28191100806</v>
      </c>
      <c r="J85" s="10">
        <f t="shared" si="169"/>
        <v>115670.91267634637</v>
      </c>
      <c r="K85" s="10">
        <f t="shared" si="170"/>
        <v>112114.42632809999</v>
      </c>
      <c r="W85" s="1">
        <f t="shared" si="204"/>
        <v>67</v>
      </c>
      <c r="X85" s="2">
        <f t="shared" si="177"/>
        <v>117317.34853931468</v>
      </c>
      <c r="Y85" s="8">
        <f t="shared" si="157"/>
        <v>4.3200000000000002E-2</v>
      </c>
      <c r="Z85" s="5">
        <f t="shared" si="205"/>
        <v>1149</v>
      </c>
      <c r="AA85" s="2">
        <f t="shared" si="206"/>
        <v>114785.1</v>
      </c>
      <c r="AB85" s="2">
        <f t="shared" si="207"/>
        <v>114900</v>
      </c>
      <c r="AC85" s="2">
        <f t="shared" si="208"/>
        <v>126436.07489999998</v>
      </c>
      <c r="AD85" s="8">
        <f t="shared" si="178"/>
        <v>4.9000000000000002E-2</v>
      </c>
      <c r="AE85" s="2">
        <f t="shared" si="179"/>
        <v>130050.03937422499</v>
      </c>
      <c r="AF85" s="2" t="str">
        <f t="shared" si="180"/>
        <v>nie</v>
      </c>
      <c r="AG85" s="2">
        <f t="shared" si="181"/>
        <v>1149</v>
      </c>
      <c r="AH85" s="1">
        <f t="shared" si="79"/>
        <v>0</v>
      </c>
      <c r="AI85" s="1">
        <f t="shared" si="171"/>
        <v>0</v>
      </c>
      <c r="AJ85" s="1">
        <f t="shared" si="155"/>
        <v>0</v>
      </c>
      <c r="AK85" s="1">
        <f t="shared" si="166"/>
        <v>0</v>
      </c>
      <c r="AL85" s="2">
        <f t="shared" si="90"/>
        <v>0</v>
      </c>
      <c r="AM85" s="8">
        <f t="shared" si="160"/>
        <v>4.9000000000000002E-2</v>
      </c>
      <c r="AN85" s="2">
        <f t="shared" si="91"/>
        <v>0</v>
      </c>
      <c r="AO85" s="2">
        <f t="shared" si="161"/>
        <v>0</v>
      </c>
      <c r="AP85" s="2">
        <f t="shared" si="119"/>
        <v>0</v>
      </c>
      <c r="AQ85" s="8">
        <f t="shared" si="172"/>
        <v>4.3200000000000002E-2</v>
      </c>
      <c r="AR85" s="2">
        <f t="shared" si="113"/>
        <v>0</v>
      </c>
      <c r="AS85" s="2">
        <f t="shared" si="173"/>
        <v>0</v>
      </c>
      <c r="AT85" s="2">
        <f t="shared" si="209"/>
        <v>0</v>
      </c>
      <c r="AU85" s="2">
        <f t="shared" si="92"/>
        <v>0</v>
      </c>
      <c r="AV85" s="2">
        <f t="shared" si="82"/>
        <v>8.7323199999809731</v>
      </c>
      <c r="AW85" s="1">
        <f t="shared" si="158"/>
        <v>0</v>
      </c>
      <c r="AX85" s="2">
        <f t="shared" si="182"/>
        <v>8.7323199999809731</v>
      </c>
      <c r="AY85" s="1">
        <f t="shared" si="83"/>
        <v>0</v>
      </c>
      <c r="AZ85" s="2">
        <f t="shared" si="210"/>
        <v>8.7323199999809731</v>
      </c>
      <c r="BA85" s="2">
        <f t="shared" si="93"/>
        <v>130058.77169422497</v>
      </c>
      <c r="BB85" s="2">
        <f t="shared" si="183"/>
        <v>0</v>
      </c>
      <c r="BC85" s="2">
        <f t="shared" si="211"/>
        <v>681.3875231139998</v>
      </c>
      <c r="BD85" s="2">
        <f t="shared" si="184"/>
        <v>129377.38417111097</v>
      </c>
      <c r="BE85" s="2">
        <f t="shared" si="212"/>
        <v>1149</v>
      </c>
      <c r="BF85" s="2">
        <f t="shared" si="185"/>
        <v>5492.8566219027443</v>
      </c>
      <c r="BG85" s="2">
        <f t="shared" si="186"/>
        <v>122735.52754920823</v>
      </c>
      <c r="BI85" s="8">
        <f t="shared" si="162"/>
        <v>2.9000000000000001E-2</v>
      </c>
      <c r="BJ85" s="5">
        <f t="shared" si="213"/>
        <v>1045</v>
      </c>
      <c r="BK85" s="2">
        <f t="shared" si="214"/>
        <v>104395.5</v>
      </c>
      <c r="BL85" s="2">
        <f t="shared" si="215"/>
        <v>104500</v>
      </c>
      <c r="BM85" s="2">
        <f t="shared" si="187"/>
        <v>104500</v>
      </c>
      <c r="BN85" s="8">
        <f t="shared" si="188"/>
        <v>4.3999999999999997E-2</v>
      </c>
      <c r="BO85" s="2">
        <f t="shared" si="189"/>
        <v>107182.16666666667</v>
      </c>
      <c r="BP85" s="2" t="str">
        <f t="shared" si="190"/>
        <v>nie</v>
      </c>
      <c r="BQ85" s="2">
        <f t="shared" si="191"/>
        <v>2090</v>
      </c>
      <c r="BR85" s="1">
        <f t="shared" si="163"/>
        <v>114</v>
      </c>
      <c r="BS85" s="1">
        <f t="shared" si="174"/>
        <v>7</v>
      </c>
      <c r="BT85" s="1">
        <f t="shared" si="156"/>
        <v>48</v>
      </c>
      <c r="BU85" s="1">
        <f t="shared" si="167"/>
        <v>47</v>
      </c>
      <c r="BV85" s="2">
        <f t="shared" si="94"/>
        <v>11400</v>
      </c>
      <c r="BW85" s="8">
        <f t="shared" si="164"/>
        <v>5.2499999999999998E-2</v>
      </c>
      <c r="BX85" s="2">
        <f t="shared" si="95"/>
        <v>11749.124999999998</v>
      </c>
      <c r="BY85" s="2">
        <f t="shared" si="165"/>
        <v>228</v>
      </c>
      <c r="BZ85" s="2">
        <f t="shared" si="120"/>
        <v>10200</v>
      </c>
      <c r="CA85" s="8">
        <f t="shared" si="175"/>
        <v>4.3999999999999997E-2</v>
      </c>
      <c r="CB85" s="2">
        <f t="shared" si="117"/>
        <v>10461.800000000001</v>
      </c>
      <c r="CC85" s="2">
        <f t="shared" si="176"/>
        <v>204</v>
      </c>
      <c r="CD85" s="2">
        <f t="shared" si="192"/>
        <v>0</v>
      </c>
      <c r="CE85" s="2">
        <f t="shared" si="96"/>
        <v>0</v>
      </c>
      <c r="CF85" s="2">
        <f t="shared" si="97"/>
        <v>65.650000000000546</v>
      </c>
      <c r="CG85" s="1">
        <f t="shared" si="159"/>
        <v>0</v>
      </c>
      <c r="CH85" s="2">
        <f t="shared" si="193"/>
        <v>65.650000000000546</v>
      </c>
      <c r="CI85" s="1">
        <f t="shared" si="89"/>
        <v>0</v>
      </c>
      <c r="CJ85" s="2">
        <f t="shared" si="98"/>
        <v>65.650000000000546</v>
      </c>
      <c r="CK85" s="2">
        <f t="shared" si="99"/>
        <v>129458.74166666667</v>
      </c>
      <c r="CL85" s="2">
        <f t="shared" si="194"/>
        <v>0</v>
      </c>
      <c r="CM85" s="2">
        <f t="shared" si="216"/>
        <v>679.92381999999998</v>
      </c>
      <c r="CN85" s="2">
        <f t="shared" si="195"/>
        <v>128778.81784666667</v>
      </c>
      <c r="CO85" s="2">
        <f t="shared" si="217"/>
        <v>2522</v>
      </c>
      <c r="CP85" s="2">
        <f t="shared" si="196"/>
        <v>5117.9809166666673</v>
      </c>
      <c r="CQ85" s="2">
        <f t="shared" si="197"/>
        <v>121138.83693</v>
      </c>
      <c r="CS85" s="5">
        <f t="shared" si="218"/>
        <v>1000</v>
      </c>
      <c r="CT85" s="2">
        <f t="shared" si="219"/>
        <v>100000</v>
      </c>
      <c r="CU85" s="2">
        <f t="shared" si="220"/>
        <v>100000</v>
      </c>
      <c r="CV85" s="2">
        <f t="shared" si="221"/>
        <v>128050.80965470575</v>
      </c>
      <c r="CW85" s="8">
        <f t="shared" si="198"/>
        <v>4.9000000000000002E-2</v>
      </c>
      <c r="CX85" s="2">
        <f t="shared" si="199"/>
        <v>131710.92863066943</v>
      </c>
      <c r="CY85" s="2" t="str">
        <f t="shared" si="200"/>
        <v>nie</v>
      </c>
      <c r="CZ85" s="2">
        <f t="shared" si="222"/>
        <v>0</v>
      </c>
      <c r="DA85" s="2">
        <f t="shared" si="223"/>
        <v>0</v>
      </c>
      <c r="DB85" s="2">
        <f t="shared" si="224"/>
        <v>131710.92863066943</v>
      </c>
      <c r="DC85" s="2">
        <f t="shared" si="201"/>
        <v>0</v>
      </c>
      <c r="DD85" s="2">
        <f t="shared" si="225"/>
        <v>689.40513326056748</v>
      </c>
      <c r="DE85" s="2">
        <f t="shared" si="226"/>
        <v>131021.52349740885</v>
      </c>
      <c r="DF85" s="2">
        <f t="shared" si="202"/>
        <v>3000</v>
      </c>
      <c r="DG85" s="2">
        <f t="shared" si="203"/>
        <v>5455.0764398271913</v>
      </c>
      <c r="DH85" s="2">
        <f t="shared" si="227"/>
        <v>122566.44705758167</v>
      </c>
    </row>
    <row r="86" spans="2:112">
      <c r="B86" s="232"/>
      <c r="C86" s="1">
        <f t="shared" si="168"/>
        <v>49</v>
      </c>
      <c r="D86" s="2">
        <f t="shared" si="105"/>
        <v>120513.98762127198</v>
      </c>
      <c r="E86" s="2">
        <f t="shared" si="106"/>
        <v>115587.40821122199</v>
      </c>
      <c r="F86" s="2">
        <f t="shared" si="107"/>
        <v>119988.884765</v>
      </c>
      <c r="G86" s="2">
        <f t="shared" si="108"/>
        <v>115482.03026499999</v>
      </c>
      <c r="H86" s="2">
        <f t="shared" si="109"/>
        <v>122044.91963628688</v>
      </c>
      <c r="I86" s="2">
        <f t="shared" si="110"/>
        <v>115327.02648005758</v>
      </c>
      <c r="J86" s="2">
        <f t="shared" si="169"/>
        <v>116022.26307360077</v>
      </c>
      <c r="K86" s="2">
        <f t="shared" si="170"/>
        <v>112385.36952505956</v>
      </c>
      <c r="W86" s="1">
        <f t="shared" si="204"/>
        <v>68</v>
      </c>
      <c r="X86" s="2">
        <f t="shared" si="177"/>
        <v>117596.14908898609</v>
      </c>
      <c r="Y86" s="8">
        <f t="shared" si="157"/>
        <v>4.3200000000000002E-2</v>
      </c>
      <c r="Z86" s="5">
        <f t="shared" si="205"/>
        <v>1149</v>
      </c>
      <c r="AA86" s="2">
        <f t="shared" si="206"/>
        <v>114785.1</v>
      </c>
      <c r="AB86" s="2">
        <f t="shared" si="207"/>
        <v>114900</v>
      </c>
      <c r="AC86" s="2">
        <f t="shared" si="208"/>
        <v>126436.07489999998</v>
      </c>
      <c r="AD86" s="8">
        <f t="shared" si="178"/>
        <v>4.9000000000000002E-2</v>
      </c>
      <c r="AE86" s="2">
        <f t="shared" si="179"/>
        <v>130566.32001339998</v>
      </c>
      <c r="AF86" s="2" t="str">
        <f t="shared" si="180"/>
        <v>nie</v>
      </c>
      <c r="AG86" s="2">
        <f t="shared" si="181"/>
        <v>1149</v>
      </c>
      <c r="AH86" s="1">
        <f t="shared" si="79"/>
        <v>0</v>
      </c>
      <c r="AI86" s="1">
        <f t="shared" si="171"/>
        <v>0</v>
      </c>
      <c r="AJ86" s="1">
        <f t="shared" si="155"/>
        <v>0</v>
      </c>
      <c r="AK86" s="1">
        <f t="shared" si="166"/>
        <v>0</v>
      </c>
      <c r="AL86" s="2">
        <f t="shared" si="90"/>
        <v>0</v>
      </c>
      <c r="AM86" s="8">
        <f t="shared" si="160"/>
        <v>4.9000000000000002E-2</v>
      </c>
      <c r="AN86" s="2">
        <f t="shared" si="91"/>
        <v>0</v>
      </c>
      <c r="AO86" s="2">
        <f t="shared" si="161"/>
        <v>0</v>
      </c>
      <c r="AP86" s="2">
        <f t="shared" si="119"/>
        <v>0</v>
      </c>
      <c r="AQ86" s="8">
        <f t="shared" si="172"/>
        <v>4.3200000000000002E-2</v>
      </c>
      <c r="AR86" s="2">
        <f t="shared" si="113"/>
        <v>0</v>
      </c>
      <c r="AS86" s="2">
        <f t="shared" si="173"/>
        <v>0</v>
      </c>
      <c r="AT86" s="2">
        <f t="shared" si="209"/>
        <v>0</v>
      </c>
      <c r="AU86" s="2">
        <f t="shared" si="92"/>
        <v>0</v>
      </c>
      <c r="AV86" s="2">
        <f t="shared" si="82"/>
        <v>8.7323199999809731</v>
      </c>
      <c r="AW86" s="1">
        <f t="shared" si="158"/>
        <v>0</v>
      </c>
      <c r="AX86" s="2">
        <f t="shared" si="182"/>
        <v>8.7323199999809731</v>
      </c>
      <c r="AY86" s="1">
        <f t="shared" si="83"/>
        <v>0</v>
      </c>
      <c r="AZ86" s="2">
        <f t="shared" si="210"/>
        <v>8.7323199999809731</v>
      </c>
      <c r="BA86" s="2">
        <f t="shared" si="93"/>
        <v>130575.05233339996</v>
      </c>
      <c r="BB86" s="2">
        <f t="shared" si="183"/>
        <v>0</v>
      </c>
      <c r="BC86" s="2">
        <f t="shared" si="211"/>
        <v>681.3875231139998</v>
      </c>
      <c r="BD86" s="2">
        <f t="shared" si="184"/>
        <v>129893.66481028596</v>
      </c>
      <c r="BE86" s="2">
        <f t="shared" si="212"/>
        <v>1149</v>
      </c>
      <c r="BF86" s="2">
        <f t="shared" si="185"/>
        <v>5590.9499433459923</v>
      </c>
      <c r="BG86" s="2">
        <f t="shared" si="186"/>
        <v>123153.71486693998</v>
      </c>
      <c r="BI86" s="8">
        <f t="shared" si="162"/>
        <v>2.9000000000000001E-2</v>
      </c>
      <c r="BJ86" s="5">
        <f t="shared" si="213"/>
        <v>1045</v>
      </c>
      <c r="BK86" s="2">
        <f t="shared" si="214"/>
        <v>104395.5</v>
      </c>
      <c r="BL86" s="2">
        <f t="shared" si="215"/>
        <v>104500</v>
      </c>
      <c r="BM86" s="2">
        <f t="shared" si="187"/>
        <v>104500</v>
      </c>
      <c r="BN86" s="8">
        <f t="shared" si="188"/>
        <v>4.3999999999999997E-2</v>
      </c>
      <c r="BO86" s="2">
        <f t="shared" si="189"/>
        <v>107565.33333333334</v>
      </c>
      <c r="BP86" s="2" t="str">
        <f t="shared" si="190"/>
        <v>nie</v>
      </c>
      <c r="BQ86" s="2">
        <f t="shared" si="191"/>
        <v>2090</v>
      </c>
      <c r="BR86" s="1">
        <f t="shared" si="163"/>
        <v>114</v>
      </c>
      <c r="BS86" s="1">
        <f t="shared" si="174"/>
        <v>7</v>
      </c>
      <c r="BT86" s="1">
        <f t="shared" si="156"/>
        <v>48</v>
      </c>
      <c r="BU86" s="1">
        <f t="shared" si="167"/>
        <v>47</v>
      </c>
      <c r="BV86" s="2">
        <f t="shared" si="94"/>
        <v>11400</v>
      </c>
      <c r="BW86" s="8">
        <f t="shared" si="164"/>
        <v>5.2499999999999998E-2</v>
      </c>
      <c r="BX86" s="2">
        <f t="shared" si="95"/>
        <v>11798.999999999998</v>
      </c>
      <c r="BY86" s="2">
        <f t="shared" si="165"/>
        <v>228</v>
      </c>
      <c r="BZ86" s="2">
        <f t="shared" si="120"/>
        <v>10200</v>
      </c>
      <c r="CA86" s="8">
        <f t="shared" si="175"/>
        <v>4.3999999999999997E-2</v>
      </c>
      <c r="CB86" s="2">
        <f t="shared" si="117"/>
        <v>10499.2</v>
      </c>
      <c r="CC86" s="2">
        <f t="shared" si="176"/>
        <v>204</v>
      </c>
      <c r="CD86" s="2">
        <f t="shared" si="192"/>
        <v>0</v>
      </c>
      <c r="CE86" s="2">
        <f t="shared" si="96"/>
        <v>0</v>
      </c>
      <c r="CF86" s="2">
        <f t="shared" si="97"/>
        <v>65.650000000000546</v>
      </c>
      <c r="CG86" s="1">
        <f t="shared" si="159"/>
        <v>0</v>
      </c>
      <c r="CH86" s="2">
        <f t="shared" si="193"/>
        <v>65.650000000000546</v>
      </c>
      <c r="CI86" s="1">
        <f t="shared" si="89"/>
        <v>0</v>
      </c>
      <c r="CJ86" s="2">
        <f t="shared" si="98"/>
        <v>65.650000000000546</v>
      </c>
      <c r="CK86" s="2">
        <f t="shared" si="99"/>
        <v>129929.18333333333</v>
      </c>
      <c r="CL86" s="2">
        <f t="shared" si="194"/>
        <v>0</v>
      </c>
      <c r="CM86" s="2">
        <f t="shared" si="216"/>
        <v>679.92381999999998</v>
      </c>
      <c r="CN86" s="2">
        <f t="shared" si="195"/>
        <v>129249.25951333334</v>
      </c>
      <c r="CO86" s="2">
        <f t="shared" si="217"/>
        <v>2522</v>
      </c>
      <c r="CP86" s="2">
        <f t="shared" si="196"/>
        <v>5207.364833333334</v>
      </c>
      <c r="CQ86" s="2">
        <f t="shared" si="197"/>
        <v>121519.89468</v>
      </c>
      <c r="CS86" s="5">
        <f t="shared" si="218"/>
        <v>1000</v>
      </c>
      <c r="CT86" s="2">
        <f t="shared" si="219"/>
        <v>100000</v>
      </c>
      <c r="CU86" s="2">
        <f t="shared" si="220"/>
        <v>100000</v>
      </c>
      <c r="CV86" s="2">
        <f t="shared" si="221"/>
        <v>128050.80965470575</v>
      </c>
      <c r="CW86" s="8">
        <f t="shared" si="198"/>
        <v>4.9000000000000002E-2</v>
      </c>
      <c r="CX86" s="2">
        <f t="shared" si="199"/>
        <v>132233.80277009279</v>
      </c>
      <c r="CY86" s="2" t="str">
        <f t="shared" si="200"/>
        <v>nie</v>
      </c>
      <c r="CZ86" s="2">
        <f t="shared" si="222"/>
        <v>0</v>
      </c>
      <c r="DA86" s="2">
        <f t="shared" si="223"/>
        <v>0</v>
      </c>
      <c r="DB86" s="2">
        <f t="shared" si="224"/>
        <v>132233.80277009279</v>
      </c>
      <c r="DC86" s="2">
        <f t="shared" si="201"/>
        <v>0</v>
      </c>
      <c r="DD86" s="2">
        <f t="shared" si="225"/>
        <v>689.40513326056748</v>
      </c>
      <c r="DE86" s="2">
        <f t="shared" si="226"/>
        <v>131544.39763683223</v>
      </c>
      <c r="DF86" s="2">
        <f t="shared" si="202"/>
        <v>3000</v>
      </c>
      <c r="DG86" s="2">
        <f t="shared" si="203"/>
        <v>5554.4225263176304</v>
      </c>
      <c r="DH86" s="2">
        <f t="shared" si="227"/>
        <v>122989.9751105146</v>
      </c>
    </row>
    <row r="87" spans="2:112">
      <c r="B87" s="232"/>
      <c r="C87" s="1">
        <f t="shared" si="168"/>
        <v>50</v>
      </c>
      <c r="D87" s="2">
        <f t="shared" si="105"/>
        <v>121006.15219627197</v>
      </c>
      <c r="E87" s="2">
        <f t="shared" si="106"/>
        <v>115986.06151697197</v>
      </c>
      <c r="F87" s="2">
        <f t="shared" si="107"/>
        <v>120503.034765</v>
      </c>
      <c r="G87" s="2">
        <f t="shared" si="108"/>
        <v>115525.68926500001</v>
      </c>
      <c r="H87" s="2">
        <f t="shared" si="109"/>
        <v>122543.36972153318</v>
      </c>
      <c r="I87" s="2">
        <f t="shared" si="110"/>
        <v>115730.77104910708</v>
      </c>
      <c r="J87" s="2">
        <f t="shared" si="169"/>
        <v>116374.68069768684</v>
      </c>
      <c r="K87" s="2">
        <f t="shared" si="170"/>
        <v>112656.31272201912</v>
      </c>
      <c r="W87" s="1">
        <f t="shared" si="204"/>
        <v>69</v>
      </c>
      <c r="X87" s="2">
        <f t="shared" si="177"/>
        <v>117874.94963865748</v>
      </c>
      <c r="Y87" s="8">
        <f t="shared" si="157"/>
        <v>4.3200000000000002E-2</v>
      </c>
      <c r="Z87" s="5">
        <f t="shared" si="205"/>
        <v>1149</v>
      </c>
      <c r="AA87" s="2">
        <f t="shared" si="206"/>
        <v>114785.1</v>
      </c>
      <c r="AB87" s="2">
        <f t="shared" si="207"/>
        <v>114900</v>
      </c>
      <c r="AC87" s="2">
        <f t="shared" si="208"/>
        <v>126436.07489999998</v>
      </c>
      <c r="AD87" s="8">
        <f t="shared" si="178"/>
        <v>4.9000000000000002E-2</v>
      </c>
      <c r="AE87" s="2">
        <f t="shared" si="179"/>
        <v>131082.600652575</v>
      </c>
      <c r="AF87" s="2" t="str">
        <f t="shared" si="180"/>
        <v>nie</v>
      </c>
      <c r="AG87" s="2">
        <f t="shared" si="181"/>
        <v>1149</v>
      </c>
      <c r="AH87" s="1">
        <f t="shared" si="79"/>
        <v>0</v>
      </c>
      <c r="AI87" s="1">
        <f t="shared" si="171"/>
        <v>0</v>
      </c>
      <c r="AJ87" s="1">
        <f t="shared" ref="AJ87:AJ118" si="228">IF(zapadalnosc_TOS/12&gt;=AJ$18,AI75,0)</f>
        <v>0</v>
      </c>
      <c r="AK87" s="1">
        <f t="shared" si="166"/>
        <v>0</v>
      </c>
      <c r="AL87" s="2">
        <f t="shared" si="90"/>
        <v>0</v>
      </c>
      <c r="AM87" s="8">
        <f t="shared" si="160"/>
        <v>4.9000000000000002E-2</v>
      </c>
      <c r="AN87" s="2">
        <f t="shared" si="91"/>
        <v>0</v>
      </c>
      <c r="AO87" s="2">
        <f t="shared" si="161"/>
        <v>0</v>
      </c>
      <c r="AP87" s="2">
        <f t="shared" si="119"/>
        <v>0</v>
      </c>
      <c r="AQ87" s="8">
        <f t="shared" si="172"/>
        <v>4.3200000000000002E-2</v>
      </c>
      <c r="AR87" s="2">
        <f t="shared" si="113"/>
        <v>0</v>
      </c>
      <c r="AS87" s="2">
        <f t="shared" si="173"/>
        <v>0</v>
      </c>
      <c r="AT87" s="2">
        <f t="shared" si="209"/>
        <v>0</v>
      </c>
      <c r="AU87" s="2">
        <f t="shared" si="92"/>
        <v>0</v>
      </c>
      <c r="AV87" s="2">
        <f t="shared" si="82"/>
        <v>8.7323199999809731</v>
      </c>
      <c r="AW87" s="1">
        <f t="shared" si="158"/>
        <v>0</v>
      </c>
      <c r="AX87" s="2">
        <f t="shared" si="182"/>
        <v>8.7323199999809731</v>
      </c>
      <c r="AY87" s="1">
        <f t="shared" si="83"/>
        <v>0</v>
      </c>
      <c r="AZ87" s="2">
        <f t="shared" si="210"/>
        <v>8.7323199999809731</v>
      </c>
      <c r="BA87" s="2">
        <f t="shared" si="93"/>
        <v>131091.33297257498</v>
      </c>
      <c r="BB87" s="2">
        <f t="shared" si="183"/>
        <v>0</v>
      </c>
      <c r="BC87" s="2">
        <f t="shared" si="211"/>
        <v>681.3875231139998</v>
      </c>
      <c r="BD87" s="2">
        <f t="shared" si="184"/>
        <v>130409.94544946098</v>
      </c>
      <c r="BE87" s="2">
        <f t="shared" si="212"/>
        <v>1149</v>
      </c>
      <c r="BF87" s="2">
        <f t="shared" si="185"/>
        <v>5689.0432647892458</v>
      </c>
      <c r="BG87" s="2">
        <f t="shared" si="186"/>
        <v>123571.90218467174</v>
      </c>
      <c r="BI87" s="8">
        <f t="shared" si="162"/>
        <v>2.9000000000000001E-2</v>
      </c>
      <c r="BJ87" s="5">
        <f t="shared" si="213"/>
        <v>1045</v>
      </c>
      <c r="BK87" s="2">
        <f t="shared" si="214"/>
        <v>104395.5</v>
      </c>
      <c r="BL87" s="2">
        <f t="shared" si="215"/>
        <v>104500</v>
      </c>
      <c r="BM87" s="2">
        <f t="shared" si="187"/>
        <v>104500</v>
      </c>
      <c r="BN87" s="8">
        <f t="shared" si="188"/>
        <v>4.3999999999999997E-2</v>
      </c>
      <c r="BO87" s="2">
        <f t="shared" si="189"/>
        <v>107948.49999999999</v>
      </c>
      <c r="BP87" s="2" t="str">
        <f t="shared" si="190"/>
        <v>nie</v>
      </c>
      <c r="BQ87" s="2">
        <f t="shared" si="191"/>
        <v>2090</v>
      </c>
      <c r="BR87" s="1">
        <f t="shared" si="163"/>
        <v>114</v>
      </c>
      <c r="BS87" s="1">
        <f t="shared" si="174"/>
        <v>7</v>
      </c>
      <c r="BT87" s="1">
        <f t="shared" ref="BT87:BT118" si="229">IF(zapadalnosc_COI/12&gt;=BT$18,BS75,0)</f>
        <v>48</v>
      </c>
      <c r="BU87" s="1">
        <f t="shared" si="167"/>
        <v>47</v>
      </c>
      <c r="BV87" s="2">
        <f t="shared" si="94"/>
        <v>11400</v>
      </c>
      <c r="BW87" s="8">
        <f t="shared" si="164"/>
        <v>5.2499999999999998E-2</v>
      </c>
      <c r="BX87" s="2">
        <f t="shared" si="95"/>
        <v>11848.875</v>
      </c>
      <c r="BY87" s="2">
        <f t="shared" si="165"/>
        <v>228</v>
      </c>
      <c r="BZ87" s="2">
        <f t="shared" si="120"/>
        <v>10200</v>
      </c>
      <c r="CA87" s="8">
        <f t="shared" si="175"/>
        <v>4.3999999999999997E-2</v>
      </c>
      <c r="CB87" s="2">
        <f t="shared" si="117"/>
        <v>10536.599999999999</v>
      </c>
      <c r="CC87" s="2">
        <f t="shared" si="176"/>
        <v>204</v>
      </c>
      <c r="CD87" s="2">
        <f t="shared" si="192"/>
        <v>0</v>
      </c>
      <c r="CE87" s="2">
        <f t="shared" si="96"/>
        <v>0</v>
      </c>
      <c r="CF87" s="2">
        <f t="shared" si="97"/>
        <v>65.650000000000546</v>
      </c>
      <c r="CG87" s="1">
        <f t="shared" si="159"/>
        <v>0</v>
      </c>
      <c r="CH87" s="2">
        <f t="shared" si="193"/>
        <v>65.650000000000546</v>
      </c>
      <c r="CI87" s="1">
        <f t="shared" si="89"/>
        <v>0</v>
      </c>
      <c r="CJ87" s="2">
        <f t="shared" si="98"/>
        <v>65.650000000000546</v>
      </c>
      <c r="CK87" s="2">
        <f t="shared" si="99"/>
        <v>130399.62499999997</v>
      </c>
      <c r="CL87" s="2">
        <f t="shared" si="194"/>
        <v>0</v>
      </c>
      <c r="CM87" s="2">
        <f t="shared" si="216"/>
        <v>679.92381999999998</v>
      </c>
      <c r="CN87" s="2">
        <f t="shared" si="195"/>
        <v>129719.70117999997</v>
      </c>
      <c r="CO87" s="2">
        <f t="shared" si="217"/>
        <v>2522</v>
      </c>
      <c r="CP87" s="2">
        <f t="shared" si="196"/>
        <v>5296.7487499999943</v>
      </c>
      <c r="CQ87" s="2">
        <f t="shared" si="197"/>
        <v>121900.95242999998</v>
      </c>
      <c r="CS87" s="5">
        <f t="shared" si="218"/>
        <v>1000</v>
      </c>
      <c r="CT87" s="2">
        <f t="shared" si="219"/>
        <v>100000</v>
      </c>
      <c r="CU87" s="2">
        <f t="shared" si="220"/>
        <v>100000</v>
      </c>
      <c r="CV87" s="2">
        <f t="shared" si="221"/>
        <v>128050.80965470575</v>
      </c>
      <c r="CW87" s="8">
        <f t="shared" si="198"/>
        <v>4.9000000000000002E-2</v>
      </c>
      <c r="CX87" s="2">
        <f t="shared" si="199"/>
        <v>132756.67690951619</v>
      </c>
      <c r="CY87" s="2" t="str">
        <f t="shared" si="200"/>
        <v>nie</v>
      </c>
      <c r="CZ87" s="2">
        <f t="shared" si="222"/>
        <v>0</v>
      </c>
      <c r="DA87" s="2">
        <f t="shared" si="223"/>
        <v>0</v>
      </c>
      <c r="DB87" s="2">
        <f t="shared" si="224"/>
        <v>132756.67690951619</v>
      </c>
      <c r="DC87" s="2">
        <f t="shared" si="201"/>
        <v>0</v>
      </c>
      <c r="DD87" s="2">
        <f t="shared" si="225"/>
        <v>689.40513326056748</v>
      </c>
      <c r="DE87" s="2">
        <f t="shared" si="226"/>
        <v>132067.27177625563</v>
      </c>
      <c r="DF87" s="2">
        <f t="shared" si="202"/>
        <v>3000</v>
      </c>
      <c r="DG87" s="2">
        <f t="shared" si="203"/>
        <v>5653.7686128080759</v>
      </c>
      <c r="DH87" s="2">
        <f t="shared" si="227"/>
        <v>123413.50316344755</v>
      </c>
    </row>
    <row r="88" spans="2:112">
      <c r="B88" s="232"/>
      <c r="C88" s="1">
        <f t="shared" si="168"/>
        <v>51</v>
      </c>
      <c r="D88" s="2">
        <f t="shared" si="105"/>
        <v>121498.31677127197</v>
      </c>
      <c r="E88" s="2">
        <f t="shared" si="106"/>
        <v>116384.71482272197</v>
      </c>
      <c r="F88" s="2">
        <f t="shared" si="107"/>
        <v>121017.184765</v>
      </c>
      <c r="G88" s="2">
        <f t="shared" si="108"/>
        <v>115569.34826499999</v>
      </c>
      <c r="H88" s="2">
        <f t="shared" si="109"/>
        <v>123041.8198067795</v>
      </c>
      <c r="I88" s="2">
        <f t="shared" si="110"/>
        <v>116134.5156181566</v>
      </c>
      <c r="J88" s="2">
        <f t="shared" si="169"/>
        <v>116728.16879030607</v>
      </c>
      <c r="K88" s="2">
        <f t="shared" si="170"/>
        <v>112927.25591897871</v>
      </c>
      <c r="W88" s="1">
        <f t="shared" si="204"/>
        <v>70</v>
      </c>
      <c r="X88" s="2">
        <f t="shared" si="177"/>
        <v>118153.75018832889</v>
      </c>
      <c r="Y88" s="8">
        <f t="shared" si="157"/>
        <v>4.3200000000000002E-2</v>
      </c>
      <c r="Z88" s="5">
        <f t="shared" si="205"/>
        <v>1149</v>
      </c>
      <c r="AA88" s="2">
        <f t="shared" si="206"/>
        <v>114785.1</v>
      </c>
      <c r="AB88" s="2">
        <f t="shared" si="207"/>
        <v>114900</v>
      </c>
      <c r="AC88" s="2">
        <f t="shared" si="208"/>
        <v>126436.07489999998</v>
      </c>
      <c r="AD88" s="8">
        <f t="shared" si="178"/>
        <v>4.9000000000000002E-2</v>
      </c>
      <c r="AE88" s="2">
        <f t="shared" si="179"/>
        <v>131598.88129174997</v>
      </c>
      <c r="AF88" s="2" t="str">
        <f t="shared" si="180"/>
        <v>nie</v>
      </c>
      <c r="AG88" s="2">
        <f t="shared" si="181"/>
        <v>1149</v>
      </c>
      <c r="AH88" s="1">
        <f t="shared" si="79"/>
        <v>0</v>
      </c>
      <c r="AI88" s="1">
        <f t="shared" si="171"/>
        <v>0</v>
      </c>
      <c r="AJ88" s="1">
        <f t="shared" si="228"/>
        <v>0</v>
      </c>
      <c r="AK88" s="1">
        <f t="shared" si="166"/>
        <v>0</v>
      </c>
      <c r="AL88" s="2">
        <f t="shared" si="90"/>
        <v>0</v>
      </c>
      <c r="AM88" s="8">
        <f t="shared" si="160"/>
        <v>4.9000000000000002E-2</v>
      </c>
      <c r="AN88" s="2">
        <f t="shared" si="91"/>
        <v>0</v>
      </c>
      <c r="AO88" s="2">
        <f t="shared" si="161"/>
        <v>0</v>
      </c>
      <c r="AP88" s="2">
        <f t="shared" si="119"/>
        <v>0</v>
      </c>
      <c r="AQ88" s="8">
        <f t="shared" si="172"/>
        <v>4.3200000000000002E-2</v>
      </c>
      <c r="AR88" s="2">
        <f t="shared" si="113"/>
        <v>0</v>
      </c>
      <c r="AS88" s="2">
        <f t="shared" si="173"/>
        <v>0</v>
      </c>
      <c r="AT88" s="2">
        <f t="shared" si="209"/>
        <v>0</v>
      </c>
      <c r="AU88" s="2">
        <f t="shared" si="92"/>
        <v>0</v>
      </c>
      <c r="AV88" s="2">
        <f t="shared" si="82"/>
        <v>8.7323199999809731</v>
      </c>
      <c r="AW88" s="1">
        <f t="shared" si="158"/>
        <v>0</v>
      </c>
      <c r="AX88" s="2">
        <f t="shared" si="182"/>
        <v>8.7323199999809731</v>
      </c>
      <c r="AY88" s="1">
        <f t="shared" si="83"/>
        <v>0</v>
      </c>
      <c r="AZ88" s="2">
        <f t="shared" si="210"/>
        <v>8.7323199999809731</v>
      </c>
      <c r="BA88" s="2">
        <f t="shared" si="93"/>
        <v>131607.61361174996</v>
      </c>
      <c r="BB88" s="2">
        <f t="shared" si="183"/>
        <v>0</v>
      </c>
      <c r="BC88" s="2">
        <f t="shared" si="211"/>
        <v>681.3875231139998</v>
      </c>
      <c r="BD88" s="2">
        <f t="shared" si="184"/>
        <v>130926.22608863596</v>
      </c>
      <c r="BE88" s="2">
        <f t="shared" si="212"/>
        <v>1149</v>
      </c>
      <c r="BF88" s="2">
        <f t="shared" si="185"/>
        <v>5787.1365862324919</v>
      </c>
      <c r="BG88" s="2">
        <f t="shared" si="186"/>
        <v>123990.08950240347</v>
      </c>
      <c r="BI88" s="8">
        <f t="shared" si="162"/>
        <v>2.9000000000000001E-2</v>
      </c>
      <c r="BJ88" s="5">
        <f t="shared" si="213"/>
        <v>1045</v>
      </c>
      <c r="BK88" s="2">
        <f t="shared" si="214"/>
        <v>104395.5</v>
      </c>
      <c r="BL88" s="2">
        <f t="shared" si="215"/>
        <v>104500</v>
      </c>
      <c r="BM88" s="2">
        <f t="shared" si="187"/>
        <v>104500</v>
      </c>
      <c r="BN88" s="8">
        <f t="shared" si="188"/>
        <v>4.3999999999999997E-2</v>
      </c>
      <c r="BO88" s="2">
        <f t="shared" si="189"/>
        <v>108331.66666666666</v>
      </c>
      <c r="BP88" s="2" t="str">
        <f t="shared" si="190"/>
        <v>nie</v>
      </c>
      <c r="BQ88" s="2">
        <f t="shared" si="191"/>
        <v>2090</v>
      </c>
      <c r="BR88" s="1">
        <f t="shared" si="163"/>
        <v>114</v>
      </c>
      <c r="BS88" s="1">
        <f t="shared" si="174"/>
        <v>7</v>
      </c>
      <c r="BT88" s="1">
        <f t="shared" si="229"/>
        <v>48</v>
      </c>
      <c r="BU88" s="1">
        <f t="shared" si="167"/>
        <v>47</v>
      </c>
      <c r="BV88" s="2">
        <f t="shared" si="94"/>
        <v>11400</v>
      </c>
      <c r="BW88" s="8">
        <f t="shared" si="164"/>
        <v>5.2499999999999998E-2</v>
      </c>
      <c r="BX88" s="2">
        <f t="shared" si="95"/>
        <v>11898.75</v>
      </c>
      <c r="BY88" s="2">
        <f t="shared" si="165"/>
        <v>228</v>
      </c>
      <c r="BZ88" s="2">
        <f t="shared" si="120"/>
        <v>10200</v>
      </c>
      <c r="CA88" s="8">
        <f t="shared" si="175"/>
        <v>4.3999999999999997E-2</v>
      </c>
      <c r="CB88" s="2">
        <f t="shared" si="117"/>
        <v>10574</v>
      </c>
      <c r="CC88" s="2">
        <f t="shared" si="176"/>
        <v>204</v>
      </c>
      <c r="CD88" s="2">
        <f t="shared" si="192"/>
        <v>0</v>
      </c>
      <c r="CE88" s="2">
        <f t="shared" si="96"/>
        <v>0</v>
      </c>
      <c r="CF88" s="2">
        <f t="shared" si="97"/>
        <v>65.650000000000546</v>
      </c>
      <c r="CG88" s="1">
        <f t="shared" si="159"/>
        <v>0</v>
      </c>
      <c r="CH88" s="2">
        <f t="shared" si="193"/>
        <v>65.650000000000546</v>
      </c>
      <c r="CI88" s="1">
        <f t="shared" si="89"/>
        <v>0</v>
      </c>
      <c r="CJ88" s="2">
        <f t="shared" si="98"/>
        <v>65.650000000000546</v>
      </c>
      <c r="CK88" s="2">
        <f t="shared" si="99"/>
        <v>130870.06666666665</v>
      </c>
      <c r="CL88" s="2">
        <f t="shared" si="194"/>
        <v>0</v>
      </c>
      <c r="CM88" s="2">
        <f t="shared" si="216"/>
        <v>679.92381999999998</v>
      </c>
      <c r="CN88" s="2">
        <f t="shared" si="195"/>
        <v>130190.14284666665</v>
      </c>
      <c r="CO88" s="2">
        <f t="shared" si="217"/>
        <v>2522</v>
      </c>
      <c r="CP88" s="2">
        <f t="shared" si="196"/>
        <v>5386.1326666666637</v>
      </c>
      <c r="CQ88" s="2">
        <f t="shared" si="197"/>
        <v>122282.01018</v>
      </c>
      <c r="CS88" s="5">
        <f t="shared" si="218"/>
        <v>1000</v>
      </c>
      <c r="CT88" s="2">
        <f t="shared" si="219"/>
        <v>100000</v>
      </c>
      <c r="CU88" s="2">
        <f t="shared" si="220"/>
        <v>100000</v>
      </c>
      <c r="CV88" s="2">
        <f t="shared" si="221"/>
        <v>128050.80965470575</v>
      </c>
      <c r="CW88" s="8">
        <f t="shared" si="198"/>
        <v>4.9000000000000002E-2</v>
      </c>
      <c r="CX88" s="2">
        <f t="shared" si="199"/>
        <v>133279.55104893955</v>
      </c>
      <c r="CY88" s="2" t="str">
        <f t="shared" si="200"/>
        <v>nie</v>
      </c>
      <c r="CZ88" s="2">
        <f t="shared" si="222"/>
        <v>0</v>
      </c>
      <c r="DA88" s="2">
        <f t="shared" si="223"/>
        <v>0</v>
      </c>
      <c r="DB88" s="2">
        <f t="shared" si="224"/>
        <v>133279.55104893955</v>
      </c>
      <c r="DC88" s="2">
        <f t="shared" si="201"/>
        <v>0</v>
      </c>
      <c r="DD88" s="2">
        <f t="shared" si="225"/>
        <v>689.40513326056748</v>
      </c>
      <c r="DE88" s="2">
        <f t="shared" si="226"/>
        <v>132590.14591567899</v>
      </c>
      <c r="DF88" s="2">
        <f t="shared" si="202"/>
        <v>3000</v>
      </c>
      <c r="DG88" s="2">
        <f t="shared" si="203"/>
        <v>5753.114699298515</v>
      </c>
      <c r="DH88" s="2">
        <f t="shared" si="227"/>
        <v>123837.03121638048</v>
      </c>
    </row>
    <row r="89" spans="2:112">
      <c r="B89" s="232"/>
      <c r="C89" s="1">
        <f t="shared" si="168"/>
        <v>52</v>
      </c>
      <c r="D89" s="2">
        <f t="shared" si="105"/>
        <v>121990.48134627196</v>
      </c>
      <c r="E89" s="2">
        <f t="shared" si="106"/>
        <v>116783.36812847196</v>
      </c>
      <c r="F89" s="2">
        <f t="shared" si="107"/>
        <v>121531.33476500001</v>
      </c>
      <c r="G89" s="2">
        <f t="shared" si="108"/>
        <v>115613.00726499999</v>
      </c>
      <c r="H89" s="2">
        <f t="shared" si="109"/>
        <v>123540.26989202581</v>
      </c>
      <c r="I89" s="2">
        <f t="shared" si="110"/>
        <v>116538.26018720611</v>
      </c>
      <c r="J89" s="2">
        <f t="shared" si="169"/>
        <v>117082.73060300662</v>
      </c>
      <c r="K89" s="2">
        <f t="shared" si="170"/>
        <v>113198.19911593829</v>
      </c>
      <c r="W89" s="1">
        <f t="shared" si="204"/>
        <v>71</v>
      </c>
      <c r="X89" s="2">
        <f t="shared" si="177"/>
        <v>118432.5507380003</v>
      </c>
      <c r="Y89" s="8">
        <f t="shared" ref="Y89:Y120" si="230">MAX(INDEX(scenariusz_I_WIBOR6M,MATCH(ROUNDUP(W89/12,0),scenariusz_I_rok,0)),0)</f>
        <v>4.3200000000000002E-2</v>
      </c>
      <c r="Z89" s="5">
        <f t="shared" si="205"/>
        <v>1149</v>
      </c>
      <c r="AA89" s="2">
        <f t="shared" si="206"/>
        <v>114785.1</v>
      </c>
      <c r="AB89" s="2">
        <f t="shared" si="207"/>
        <v>114900</v>
      </c>
      <c r="AC89" s="2">
        <f t="shared" si="208"/>
        <v>126436.07489999998</v>
      </c>
      <c r="AD89" s="8">
        <f t="shared" si="178"/>
        <v>4.9000000000000002E-2</v>
      </c>
      <c r="AE89" s="2">
        <f t="shared" si="179"/>
        <v>132115.16193092498</v>
      </c>
      <c r="AF89" s="2" t="str">
        <f t="shared" si="180"/>
        <v>nie</v>
      </c>
      <c r="AG89" s="2">
        <f t="shared" si="181"/>
        <v>1149</v>
      </c>
      <c r="AH89" s="1">
        <f t="shared" si="79"/>
        <v>0</v>
      </c>
      <c r="AI89" s="1">
        <f t="shared" si="171"/>
        <v>0</v>
      </c>
      <c r="AJ89" s="1">
        <f t="shared" si="228"/>
        <v>0</v>
      </c>
      <c r="AK89" s="1">
        <f t="shared" si="166"/>
        <v>0</v>
      </c>
      <c r="AL89" s="2">
        <f t="shared" si="90"/>
        <v>0</v>
      </c>
      <c r="AM89" s="8">
        <f t="shared" si="160"/>
        <v>4.9000000000000002E-2</v>
      </c>
      <c r="AN89" s="2">
        <f t="shared" si="91"/>
        <v>0</v>
      </c>
      <c r="AO89" s="2">
        <f t="shared" si="161"/>
        <v>0</v>
      </c>
      <c r="AP89" s="2">
        <f t="shared" si="119"/>
        <v>0</v>
      </c>
      <c r="AQ89" s="8">
        <f t="shared" si="172"/>
        <v>4.3200000000000002E-2</v>
      </c>
      <c r="AR89" s="2">
        <f t="shared" si="113"/>
        <v>0</v>
      </c>
      <c r="AS89" s="2">
        <f t="shared" si="173"/>
        <v>0</v>
      </c>
      <c r="AT89" s="2">
        <f t="shared" si="209"/>
        <v>0</v>
      </c>
      <c r="AU89" s="2">
        <f t="shared" si="92"/>
        <v>0</v>
      </c>
      <c r="AV89" s="2">
        <f t="shared" si="82"/>
        <v>8.7323199999809731</v>
      </c>
      <c r="AW89" s="1">
        <f t="shared" si="158"/>
        <v>0</v>
      </c>
      <c r="AX89" s="2">
        <f t="shared" si="182"/>
        <v>8.7323199999809731</v>
      </c>
      <c r="AY89" s="1">
        <f t="shared" si="83"/>
        <v>0</v>
      </c>
      <c r="AZ89" s="2">
        <f t="shared" si="210"/>
        <v>8.7323199999809731</v>
      </c>
      <c r="BA89" s="2">
        <f t="shared" si="93"/>
        <v>132123.89425092496</v>
      </c>
      <c r="BB89" s="2">
        <f t="shared" si="183"/>
        <v>0</v>
      </c>
      <c r="BC89" s="2">
        <f t="shared" si="211"/>
        <v>681.3875231139998</v>
      </c>
      <c r="BD89" s="2">
        <f t="shared" si="184"/>
        <v>131442.50672781095</v>
      </c>
      <c r="BE89" s="2">
        <f t="shared" si="212"/>
        <v>1149</v>
      </c>
      <c r="BF89" s="2">
        <f t="shared" si="185"/>
        <v>5885.2299076757427</v>
      </c>
      <c r="BG89" s="2">
        <f t="shared" si="186"/>
        <v>124408.2768201352</v>
      </c>
      <c r="BI89" s="8">
        <f t="shared" si="162"/>
        <v>2.9000000000000001E-2</v>
      </c>
      <c r="BJ89" s="5">
        <f t="shared" si="213"/>
        <v>1045</v>
      </c>
      <c r="BK89" s="2">
        <f t="shared" si="214"/>
        <v>104395.5</v>
      </c>
      <c r="BL89" s="2">
        <f t="shared" si="215"/>
        <v>104500</v>
      </c>
      <c r="BM89" s="2">
        <f t="shared" si="187"/>
        <v>104500</v>
      </c>
      <c r="BN89" s="8">
        <f t="shared" si="188"/>
        <v>4.3999999999999997E-2</v>
      </c>
      <c r="BO89" s="2">
        <f t="shared" si="189"/>
        <v>108714.83333333333</v>
      </c>
      <c r="BP89" s="2" t="str">
        <f t="shared" si="190"/>
        <v>nie</v>
      </c>
      <c r="BQ89" s="2">
        <f t="shared" si="191"/>
        <v>2090</v>
      </c>
      <c r="BR89" s="1">
        <f t="shared" si="163"/>
        <v>114</v>
      </c>
      <c r="BS89" s="1">
        <f t="shared" si="174"/>
        <v>7</v>
      </c>
      <c r="BT89" s="1">
        <f t="shared" si="229"/>
        <v>48</v>
      </c>
      <c r="BU89" s="1">
        <f t="shared" si="167"/>
        <v>47</v>
      </c>
      <c r="BV89" s="2">
        <f t="shared" si="94"/>
        <v>11400</v>
      </c>
      <c r="BW89" s="8">
        <f t="shared" si="164"/>
        <v>5.2499999999999998E-2</v>
      </c>
      <c r="BX89" s="2">
        <f t="shared" si="95"/>
        <v>11948.625</v>
      </c>
      <c r="BY89" s="2">
        <f t="shared" si="165"/>
        <v>228</v>
      </c>
      <c r="BZ89" s="2">
        <f t="shared" si="120"/>
        <v>10200</v>
      </c>
      <c r="CA89" s="8">
        <f t="shared" si="175"/>
        <v>4.3999999999999997E-2</v>
      </c>
      <c r="CB89" s="2">
        <f t="shared" si="117"/>
        <v>10611.4</v>
      </c>
      <c r="CC89" s="2">
        <f t="shared" si="176"/>
        <v>204</v>
      </c>
      <c r="CD89" s="2">
        <f t="shared" si="192"/>
        <v>0</v>
      </c>
      <c r="CE89" s="2">
        <f t="shared" si="96"/>
        <v>0</v>
      </c>
      <c r="CF89" s="2">
        <f t="shared" si="97"/>
        <v>65.650000000000546</v>
      </c>
      <c r="CG89" s="1">
        <f t="shared" si="159"/>
        <v>0</v>
      </c>
      <c r="CH89" s="2">
        <f t="shared" si="193"/>
        <v>65.650000000000546</v>
      </c>
      <c r="CI89" s="1">
        <f t="shared" si="89"/>
        <v>0</v>
      </c>
      <c r="CJ89" s="2">
        <f t="shared" si="98"/>
        <v>65.650000000000546</v>
      </c>
      <c r="CK89" s="2">
        <f t="shared" si="99"/>
        <v>131340.50833333333</v>
      </c>
      <c r="CL89" s="2">
        <f t="shared" si="194"/>
        <v>0</v>
      </c>
      <c r="CM89" s="2">
        <f t="shared" si="216"/>
        <v>679.92381999999998</v>
      </c>
      <c r="CN89" s="2">
        <f t="shared" si="195"/>
        <v>130660.58451333334</v>
      </c>
      <c r="CO89" s="2">
        <f t="shared" si="217"/>
        <v>2522</v>
      </c>
      <c r="CP89" s="2">
        <f t="shared" si="196"/>
        <v>5475.5165833333331</v>
      </c>
      <c r="CQ89" s="2">
        <f t="shared" si="197"/>
        <v>122663.06793</v>
      </c>
      <c r="CS89" s="5">
        <f t="shared" si="218"/>
        <v>1000</v>
      </c>
      <c r="CT89" s="2">
        <f t="shared" si="219"/>
        <v>100000</v>
      </c>
      <c r="CU89" s="2">
        <f t="shared" si="220"/>
        <v>100000</v>
      </c>
      <c r="CV89" s="2">
        <f t="shared" si="221"/>
        <v>128050.80965470575</v>
      </c>
      <c r="CW89" s="8">
        <f t="shared" si="198"/>
        <v>4.9000000000000002E-2</v>
      </c>
      <c r="CX89" s="2">
        <f t="shared" si="199"/>
        <v>133802.42518836295</v>
      </c>
      <c r="CY89" s="2" t="str">
        <f t="shared" si="200"/>
        <v>nie</v>
      </c>
      <c r="CZ89" s="2">
        <f t="shared" si="222"/>
        <v>0</v>
      </c>
      <c r="DA89" s="2">
        <f t="shared" si="223"/>
        <v>0</v>
      </c>
      <c r="DB89" s="2">
        <f t="shared" si="224"/>
        <v>133802.42518836295</v>
      </c>
      <c r="DC89" s="2">
        <f t="shared" si="201"/>
        <v>0</v>
      </c>
      <c r="DD89" s="2">
        <f t="shared" si="225"/>
        <v>689.40513326056748</v>
      </c>
      <c r="DE89" s="2">
        <f t="shared" si="226"/>
        <v>133113.02005510239</v>
      </c>
      <c r="DF89" s="2">
        <f t="shared" si="202"/>
        <v>3000</v>
      </c>
      <c r="DG89" s="2">
        <f t="shared" si="203"/>
        <v>5852.4607857889605</v>
      </c>
      <c r="DH89" s="2">
        <f t="shared" si="227"/>
        <v>124260.55926931342</v>
      </c>
    </row>
    <row r="90" spans="2:112">
      <c r="B90" s="232"/>
      <c r="C90" s="1">
        <f t="shared" si="168"/>
        <v>53</v>
      </c>
      <c r="D90" s="2">
        <f t="shared" si="105"/>
        <v>122482.64592127198</v>
      </c>
      <c r="E90" s="2">
        <f t="shared" si="106"/>
        <v>117182.02143422198</v>
      </c>
      <c r="F90" s="2">
        <f t="shared" si="107"/>
        <v>122045.48476500002</v>
      </c>
      <c r="G90" s="2">
        <f t="shared" si="108"/>
        <v>115816.43876500001</v>
      </c>
      <c r="H90" s="2">
        <f t="shared" si="109"/>
        <v>124038.71997727214</v>
      </c>
      <c r="I90" s="2">
        <f t="shared" si="110"/>
        <v>116942.00475625563</v>
      </c>
      <c r="J90" s="2">
        <f t="shared" si="169"/>
        <v>117438.36939721326</v>
      </c>
      <c r="K90" s="2">
        <f t="shared" si="170"/>
        <v>113469.14231289788</v>
      </c>
      <c r="W90" s="1">
        <f t="shared" si="204"/>
        <v>72</v>
      </c>
      <c r="X90" s="2">
        <f t="shared" si="177"/>
        <v>118711.3512876717</v>
      </c>
      <c r="Y90" s="8">
        <f t="shared" si="230"/>
        <v>4.3200000000000002E-2</v>
      </c>
      <c r="Z90" s="5">
        <f t="shared" si="205"/>
        <v>1149</v>
      </c>
      <c r="AA90" s="2">
        <f t="shared" si="206"/>
        <v>114785.1</v>
      </c>
      <c r="AB90" s="2">
        <f t="shared" si="207"/>
        <v>114900</v>
      </c>
      <c r="AC90" s="2">
        <f t="shared" si="208"/>
        <v>126436.07489999998</v>
      </c>
      <c r="AD90" s="8">
        <f t="shared" si="178"/>
        <v>4.3200000000000002E-2</v>
      </c>
      <c r="AE90" s="2">
        <f t="shared" si="179"/>
        <v>131898.11333567995</v>
      </c>
      <c r="AF90" s="2" t="str">
        <f t="shared" si="180"/>
        <v>tak</v>
      </c>
      <c r="AG90" s="2">
        <f t="shared" si="181"/>
        <v>0</v>
      </c>
      <c r="AH90" s="1">
        <f t="shared" si="79"/>
        <v>0</v>
      </c>
      <c r="AI90" s="1">
        <f t="shared" si="171"/>
        <v>0</v>
      </c>
      <c r="AJ90" s="1">
        <f t="shared" si="228"/>
        <v>0</v>
      </c>
      <c r="AK90" s="1">
        <f t="shared" si="166"/>
        <v>0</v>
      </c>
      <c r="AL90" s="2">
        <f t="shared" si="90"/>
        <v>0</v>
      </c>
      <c r="AM90" s="8">
        <f t="shared" si="160"/>
        <v>4.9000000000000002E-2</v>
      </c>
      <c r="AN90" s="2">
        <f t="shared" si="91"/>
        <v>0</v>
      </c>
      <c r="AO90" s="2">
        <f t="shared" si="161"/>
        <v>0</v>
      </c>
      <c r="AP90" s="2">
        <f t="shared" si="119"/>
        <v>0</v>
      </c>
      <c r="AQ90" s="8">
        <f t="shared" si="172"/>
        <v>4.3200000000000002E-2</v>
      </c>
      <c r="AR90" s="2">
        <f t="shared" si="113"/>
        <v>0</v>
      </c>
      <c r="AS90" s="2">
        <f t="shared" si="173"/>
        <v>0</v>
      </c>
      <c r="AT90" s="2">
        <f t="shared" si="209"/>
        <v>30.113335679954616</v>
      </c>
      <c r="AU90" s="2">
        <f t="shared" si="92"/>
        <v>0</v>
      </c>
      <c r="AV90" s="2">
        <f t="shared" si="82"/>
        <v>38.845655679935589</v>
      </c>
      <c r="AW90" s="1">
        <f t="shared" si="158"/>
        <v>0</v>
      </c>
      <c r="AX90" s="2">
        <f t="shared" si="182"/>
        <v>38.845655679935589</v>
      </c>
      <c r="AY90" s="1">
        <f t="shared" si="83"/>
        <v>0</v>
      </c>
      <c r="AZ90" s="2">
        <f t="shared" si="210"/>
        <v>38.845655679935589</v>
      </c>
      <c r="BA90" s="2">
        <f t="shared" si="93"/>
        <v>131906.84565567994</v>
      </c>
      <c r="BB90" s="2">
        <f t="shared" si="183"/>
        <v>158.2882147868159</v>
      </c>
      <c r="BC90" s="2">
        <f t="shared" si="211"/>
        <v>839.67573790081565</v>
      </c>
      <c r="BD90" s="2">
        <f t="shared" si="184"/>
        <v>131067.16991777912</v>
      </c>
      <c r="BE90" s="2">
        <f t="shared" si="212"/>
        <v>0</v>
      </c>
      <c r="BF90" s="2">
        <f t="shared" si="185"/>
        <v>6062.3006745791881</v>
      </c>
      <c r="BG90" s="2">
        <f t="shared" si="186"/>
        <v>125004.86924319992</v>
      </c>
      <c r="BI90" s="8">
        <f t="shared" si="162"/>
        <v>2.9000000000000001E-2</v>
      </c>
      <c r="BJ90" s="5">
        <f t="shared" si="213"/>
        <v>1045</v>
      </c>
      <c r="BK90" s="2">
        <f t="shared" si="214"/>
        <v>104395.5</v>
      </c>
      <c r="BL90" s="2">
        <f t="shared" si="215"/>
        <v>104500</v>
      </c>
      <c r="BM90" s="2">
        <f t="shared" si="187"/>
        <v>104500</v>
      </c>
      <c r="BN90" s="8">
        <f t="shared" si="188"/>
        <v>4.3999999999999997E-2</v>
      </c>
      <c r="BO90" s="2">
        <f t="shared" si="189"/>
        <v>109098</v>
      </c>
      <c r="BP90" s="2" t="str">
        <f t="shared" si="190"/>
        <v>nie</v>
      </c>
      <c r="BQ90" s="2">
        <f t="shared" si="191"/>
        <v>2090</v>
      </c>
      <c r="BR90" s="1">
        <f t="shared" si="163"/>
        <v>114</v>
      </c>
      <c r="BS90" s="1">
        <f t="shared" si="174"/>
        <v>7</v>
      </c>
      <c r="BT90" s="1">
        <f t="shared" si="229"/>
        <v>48</v>
      </c>
      <c r="BU90" s="1">
        <f t="shared" si="167"/>
        <v>47</v>
      </c>
      <c r="BV90" s="2">
        <f t="shared" si="94"/>
        <v>11400</v>
      </c>
      <c r="BW90" s="8">
        <f t="shared" si="164"/>
        <v>5.2499999999999998E-2</v>
      </c>
      <c r="BX90" s="2">
        <f t="shared" si="95"/>
        <v>11998.5</v>
      </c>
      <c r="BY90" s="2">
        <f t="shared" si="165"/>
        <v>228</v>
      </c>
      <c r="BZ90" s="2">
        <f t="shared" si="120"/>
        <v>10200</v>
      </c>
      <c r="CA90" s="8">
        <f t="shared" si="175"/>
        <v>4.3999999999999997E-2</v>
      </c>
      <c r="CB90" s="2">
        <f t="shared" si="117"/>
        <v>10648.800000000001</v>
      </c>
      <c r="CC90" s="2">
        <f t="shared" si="176"/>
        <v>204</v>
      </c>
      <c r="CD90" s="2">
        <f t="shared" si="192"/>
        <v>4598</v>
      </c>
      <c r="CE90" s="2">
        <f t="shared" si="96"/>
        <v>5747.3000000000011</v>
      </c>
      <c r="CF90" s="2">
        <f t="shared" si="97"/>
        <v>10410.950000000001</v>
      </c>
      <c r="CG90" s="1">
        <f t="shared" si="159"/>
        <v>47</v>
      </c>
      <c r="CH90" s="2">
        <f t="shared" si="193"/>
        <v>5715.6500000000005</v>
      </c>
      <c r="CI90" s="1">
        <f t="shared" si="89"/>
        <v>57</v>
      </c>
      <c r="CJ90" s="2">
        <f t="shared" si="98"/>
        <v>15.650000000000546</v>
      </c>
      <c r="CK90" s="2">
        <f t="shared" si="99"/>
        <v>131810.94999999998</v>
      </c>
      <c r="CL90" s="2">
        <f t="shared" si="194"/>
        <v>158.17313999999996</v>
      </c>
      <c r="CM90" s="2">
        <f t="shared" si="216"/>
        <v>838.09695999999997</v>
      </c>
      <c r="CN90" s="2">
        <f t="shared" si="195"/>
        <v>130972.85303999999</v>
      </c>
      <c r="CO90" s="2">
        <f t="shared" si="217"/>
        <v>2522</v>
      </c>
      <c r="CP90" s="2">
        <f t="shared" si="196"/>
        <v>5564.900499999997</v>
      </c>
      <c r="CQ90" s="2">
        <f t="shared" si="197"/>
        <v>122885.95253999998</v>
      </c>
      <c r="CS90" s="5">
        <f t="shared" si="218"/>
        <v>1000</v>
      </c>
      <c r="CT90" s="2">
        <f t="shared" si="219"/>
        <v>100000</v>
      </c>
      <c r="CU90" s="2">
        <f t="shared" si="220"/>
        <v>100000</v>
      </c>
      <c r="CV90" s="2">
        <f t="shared" si="221"/>
        <v>128050.80965470575</v>
      </c>
      <c r="CW90" s="8">
        <f t="shared" si="198"/>
        <v>4.9000000000000002E-2</v>
      </c>
      <c r="CX90" s="2">
        <f t="shared" si="199"/>
        <v>134325.29932778631</v>
      </c>
      <c r="CY90" s="2" t="str">
        <f t="shared" si="200"/>
        <v>nie</v>
      </c>
      <c r="CZ90" s="2">
        <f t="shared" si="222"/>
        <v>0</v>
      </c>
      <c r="DA90" s="2">
        <f t="shared" si="223"/>
        <v>0</v>
      </c>
      <c r="DB90" s="2">
        <f t="shared" si="224"/>
        <v>134325.29932778631</v>
      </c>
      <c r="DC90" s="2">
        <f t="shared" si="201"/>
        <v>161.19035919334357</v>
      </c>
      <c r="DD90" s="2">
        <f t="shared" si="225"/>
        <v>850.59549245391099</v>
      </c>
      <c r="DE90" s="2">
        <f t="shared" si="226"/>
        <v>133474.70383533242</v>
      </c>
      <c r="DF90" s="2">
        <f t="shared" si="202"/>
        <v>3000</v>
      </c>
      <c r="DG90" s="2">
        <f t="shared" si="203"/>
        <v>5951.8068722793996</v>
      </c>
      <c r="DH90" s="2">
        <f t="shared" si="227"/>
        <v>124522.89696305302</v>
      </c>
    </row>
    <row r="91" spans="2:112">
      <c r="B91" s="232"/>
      <c r="C91" s="1">
        <f t="shared" si="168"/>
        <v>54</v>
      </c>
      <c r="D91" s="2">
        <f t="shared" si="105"/>
        <v>122974.81049627197</v>
      </c>
      <c r="E91" s="2">
        <f t="shared" si="106"/>
        <v>117580.67473997198</v>
      </c>
      <c r="F91" s="2">
        <f t="shared" si="107"/>
        <v>122559.63476500001</v>
      </c>
      <c r="G91" s="2">
        <f t="shared" si="108"/>
        <v>116232.900265</v>
      </c>
      <c r="H91" s="2">
        <f t="shared" si="109"/>
        <v>124537.17006251843</v>
      </c>
      <c r="I91" s="2">
        <f t="shared" si="110"/>
        <v>117345.74932530514</v>
      </c>
      <c r="J91" s="2">
        <f t="shared" si="169"/>
        <v>117795.0884442573</v>
      </c>
      <c r="K91" s="2">
        <f t="shared" si="170"/>
        <v>113740.08550985744</v>
      </c>
      <c r="W91" s="1">
        <f t="shared" si="204"/>
        <v>73</v>
      </c>
      <c r="X91" s="2">
        <f t="shared" si="177"/>
        <v>118998.23705328358</v>
      </c>
      <c r="Y91" s="8">
        <f t="shared" si="230"/>
        <v>4.3200000000000002E-2</v>
      </c>
      <c r="Z91" s="5">
        <f t="shared" si="205"/>
        <v>1320</v>
      </c>
      <c r="AA91" s="2">
        <f t="shared" si="206"/>
        <v>131868</v>
      </c>
      <c r="AB91" s="2">
        <f t="shared" si="207"/>
        <v>132000</v>
      </c>
      <c r="AC91" s="2">
        <f t="shared" si="208"/>
        <v>132000</v>
      </c>
      <c r="AD91" s="8">
        <f t="shared" si="178"/>
        <v>4.9000000000000002E-2</v>
      </c>
      <c r="AE91" s="2">
        <f t="shared" si="179"/>
        <v>132539</v>
      </c>
      <c r="AF91" s="2" t="str">
        <f t="shared" si="180"/>
        <v>nie</v>
      </c>
      <c r="AG91" s="2">
        <f t="shared" si="181"/>
        <v>539</v>
      </c>
      <c r="AH91" s="1">
        <f t="shared" si="79"/>
        <v>0</v>
      </c>
      <c r="AI91" s="1">
        <f t="shared" si="171"/>
        <v>0</v>
      </c>
      <c r="AJ91" s="1">
        <f t="shared" si="228"/>
        <v>0</v>
      </c>
      <c r="AK91" s="1">
        <f t="shared" si="166"/>
        <v>0</v>
      </c>
      <c r="AL91" s="2">
        <f t="shared" si="90"/>
        <v>0</v>
      </c>
      <c r="AM91" s="8">
        <f t="shared" si="160"/>
        <v>4.9000000000000002E-2</v>
      </c>
      <c r="AN91" s="2">
        <f t="shared" si="91"/>
        <v>0</v>
      </c>
      <c r="AO91" s="2">
        <f t="shared" si="161"/>
        <v>0</v>
      </c>
      <c r="AP91" s="2">
        <f t="shared" si="119"/>
        <v>0</v>
      </c>
      <c r="AQ91" s="8">
        <f t="shared" si="172"/>
        <v>4.3200000000000002E-2</v>
      </c>
      <c r="AR91" s="2">
        <f t="shared" si="113"/>
        <v>0</v>
      </c>
      <c r="AS91" s="2">
        <f t="shared" si="173"/>
        <v>0</v>
      </c>
      <c r="AT91" s="2">
        <f t="shared" si="209"/>
        <v>0</v>
      </c>
      <c r="AU91" s="2">
        <f t="shared" si="92"/>
        <v>0</v>
      </c>
      <c r="AV91" s="2">
        <f t="shared" si="82"/>
        <v>38.845655679935589</v>
      </c>
      <c r="AW91" s="1">
        <f t="shared" si="158"/>
        <v>0</v>
      </c>
      <c r="AX91" s="2">
        <f t="shared" si="182"/>
        <v>38.845655679935589</v>
      </c>
      <c r="AY91" s="1">
        <f t="shared" si="83"/>
        <v>0</v>
      </c>
      <c r="AZ91" s="2">
        <f t="shared" si="210"/>
        <v>38.845655679935589</v>
      </c>
      <c r="BA91" s="2">
        <f t="shared" si="93"/>
        <v>132577.84565567994</v>
      </c>
      <c r="BB91" s="2">
        <f t="shared" si="183"/>
        <v>0</v>
      </c>
      <c r="BC91" s="2">
        <f t="shared" si="211"/>
        <v>839.67573790081565</v>
      </c>
      <c r="BD91" s="2">
        <f t="shared" si="184"/>
        <v>131738.16991777913</v>
      </c>
      <c r="BE91" s="2">
        <f t="shared" si="212"/>
        <v>539</v>
      </c>
      <c r="BF91" s="2">
        <f t="shared" si="185"/>
        <v>6087.3806745791881</v>
      </c>
      <c r="BG91" s="2">
        <f t="shared" si="186"/>
        <v>125111.78924319995</v>
      </c>
      <c r="BI91" s="8">
        <f t="shared" si="162"/>
        <v>2.9000000000000001E-2</v>
      </c>
      <c r="BJ91" s="5">
        <f t="shared" si="213"/>
        <v>1045</v>
      </c>
      <c r="BK91" s="2">
        <f t="shared" si="214"/>
        <v>104395.5</v>
      </c>
      <c r="BL91" s="2">
        <f t="shared" si="215"/>
        <v>104500</v>
      </c>
      <c r="BM91" s="2">
        <f t="shared" si="187"/>
        <v>104500</v>
      </c>
      <c r="BN91" s="8">
        <f t="shared" si="188"/>
        <v>4.3999999999999997E-2</v>
      </c>
      <c r="BO91" s="2">
        <f t="shared" si="189"/>
        <v>104883.16666666667</v>
      </c>
      <c r="BP91" s="2" t="str">
        <f t="shared" si="190"/>
        <v>nie</v>
      </c>
      <c r="BQ91" s="2">
        <f t="shared" si="191"/>
        <v>2090</v>
      </c>
      <c r="BR91" s="1">
        <f t="shared" si="163"/>
        <v>104</v>
      </c>
      <c r="BS91" s="1">
        <f t="shared" si="174"/>
        <v>114</v>
      </c>
      <c r="BT91" s="1">
        <f t="shared" si="229"/>
        <v>7</v>
      </c>
      <c r="BU91" s="1">
        <f t="shared" si="167"/>
        <v>48</v>
      </c>
      <c r="BV91" s="2">
        <f t="shared" si="94"/>
        <v>10400</v>
      </c>
      <c r="BW91" s="8">
        <f t="shared" si="164"/>
        <v>5.2499999999999998E-2</v>
      </c>
      <c r="BX91" s="2">
        <f t="shared" si="95"/>
        <v>10445.5</v>
      </c>
      <c r="BY91" s="2">
        <f t="shared" si="165"/>
        <v>45.5</v>
      </c>
      <c r="BZ91" s="2">
        <f t="shared" si="120"/>
        <v>16900</v>
      </c>
      <c r="CA91" s="8">
        <f t="shared" si="175"/>
        <v>4.3999999999999997E-2</v>
      </c>
      <c r="CB91" s="2">
        <f t="shared" si="117"/>
        <v>16961.966666666667</v>
      </c>
      <c r="CC91" s="2">
        <f t="shared" si="176"/>
        <v>338</v>
      </c>
      <c r="CD91" s="2">
        <f t="shared" si="192"/>
        <v>0</v>
      </c>
      <c r="CE91" s="2">
        <f t="shared" si="96"/>
        <v>0</v>
      </c>
      <c r="CF91" s="2">
        <f t="shared" si="97"/>
        <v>15.650000000000546</v>
      </c>
      <c r="CG91" s="1">
        <f t="shared" si="159"/>
        <v>0</v>
      </c>
      <c r="CH91" s="2">
        <f t="shared" si="193"/>
        <v>15.650000000000546</v>
      </c>
      <c r="CI91" s="1">
        <f t="shared" si="89"/>
        <v>0</v>
      </c>
      <c r="CJ91" s="2">
        <f t="shared" si="98"/>
        <v>15.650000000000546</v>
      </c>
      <c r="CK91" s="2">
        <f t="shared" si="99"/>
        <v>132306.28333333333</v>
      </c>
      <c r="CL91" s="2">
        <f t="shared" si="194"/>
        <v>0</v>
      </c>
      <c r="CM91" s="2">
        <f t="shared" si="216"/>
        <v>838.09695999999997</v>
      </c>
      <c r="CN91" s="2">
        <f t="shared" si="195"/>
        <v>131468.18637333333</v>
      </c>
      <c r="CO91" s="2">
        <f t="shared" si="217"/>
        <v>2473.5</v>
      </c>
      <c r="CP91" s="2">
        <f t="shared" si="196"/>
        <v>5668.2288333333317</v>
      </c>
      <c r="CQ91" s="2">
        <f t="shared" si="197"/>
        <v>123326.45754</v>
      </c>
      <c r="CS91" s="5">
        <f t="shared" si="218"/>
        <v>1000</v>
      </c>
      <c r="CT91" s="2">
        <f t="shared" si="219"/>
        <v>100000</v>
      </c>
      <c r="CU91" s="2">
        <f t="shared" si="220"/>
        <v>100000</v>
      </c>
      <c r="CV91" s="2">
        <f t="shared" si="221"/>
        <v>134325.29932778631</v>
      </c>
      <c r="CW91" s="8">
        <f t="shared" si="198"/>
        <v>4.9000000000000002E-2</v>
      </c>
      <c r="CX91" s="2">
        <f t="shared" si="199"/>
        <v>134873.79430004145</v>
      </c>
      <c r="CY91" s="2" t="str">
        <f t="shared" si="200"/>
        <v>nie</v>
      </c>
      <c r="CZ91" s="2">
        <f t="shared" si="222"/>
        <v>0</v>
      </c>
      <c r="DA91" s="2">
        <f t="shared" si="223"/>
        <v>0</v>
      </c>
      <c r="DB91" s="2">
        <f t="shared" si="224"/>
        <v>134873.79430004145</v>
      </c>
      <c r="DC91" s="2">
        <f t="shared" si="201"/>
        <v>0</v>
      </c>
      <c r="DD91" s="2">
        <f t="shared" si="225"/>
        <v>850.59549245391099</v>
      </c>
      <c r="DE91" s="2">
        <f t="shared" si="226"/>
        <v>134023.19880758756</v>
      </c>
      <c r="DF91" s="2">
        <f t="shared" si="202"/>
        <v>3000</v>
      </c>
      <c r="DG91" s="2">
        <f t="shared" si="203"/>
        <v>6056.0209170078761</v>
      </c>
      <c r="DH91" s="2">
        <f t="shared" si="227"/>
        <v>124967.17789057968</v>
      </c>
    </row>
    <row r="92" spans="2:112">
      <c r="B92" s="232"/>
      <c r="C92" s="1">
        <f t="shared" si="168"/>
        <v>55</v>
      </c>
      <c r="D92" s="2">
        <f t="shared" si="105"/>
        <v>123466.97507127197</v>
      </c>
      <c r="E92" s="2">
        <f t="shared" si="106"/>
        <v>117979.32804572198</v>
      </c>
      <c r="F92" s="2">
        <f t="shared" si="107"/>
        <v>123073.78476499999</v>
      </c>
      <c r="G92" s="2">
        <f t="shared" si="108"/>
        <v>116649.36176499999</v>
      </c>
      <c r="H92" s="2">
        <f t="shared" si="109"/>
        <v>125035.62014776476</v>
      </c>
      <c r="I92" s="2">
        <f t="shared" si="110"/>
        <v>117749.49389435466</v>
      </c>
      <c r="J92" s="2">
        <f t="shared" si="169"/>
        <v>118152.89102540673</v>
      </c>
      <c r="K92" s="2">
        <f t="shared" si="170"/>
        <v>114011.02870681701</v>
      </c>
      <c r="W92" s="1">
        <f t="shared" si="204"/>
        <v>74</v>
      </c>
      <c r="X92" s="2">
        <f t="shared" si="177"/>
        <v>119285.12281889544</v>
      </c>
      <c r="Y92" s="8">
        <f t="shared" si="230"/>
        <v>4.3200000000000002E-2</v>
      </c>
      <c r="Z92" s="5">
        <f t="shared" si="205"/>
        <v>1320</v>
      </c>
      <c r="AA92" s="2">
        <f t="shared" si="206"/>
        <v>131868</v>
      </c>
      <c r="AB92" s="2">
        <f t="shared" si="207"/>
        <v>132000</v>
      </c>
      <c r="AC92" s="2">
        <f t="shared" si="208"/>
        <v>132000</v>
      </c>
      <c r="AD92" s="8">
        <f t="shared" si="178"/>
        <v>4.9000000000000002E-2</v>
      </c>
      <c r="AE92" s="2">
        <f t="shared" si="179"/>
        <v>133078</v>
      </c>
      <c r="AF92" s="2" t="str">
        <f t="shared" si="180"/>
        <v>nie</v>
      </c>
      <c r="AG92" s="2">
        <f t="shared" si="181"/>
        <v>1078</v>
      </c>
      <c r="AH92" s="1">
        <f t="shared" si="79"/>
        <v>0</v>
      </c>
      <c r="AI92" s="1">
        <f t="shared" si="171"/>
        <v>0</v>
      </c>
      <c r="AJ92" s="1">
        <f t="shared" si="228"/>
        <v>0</v>
      </c>
      <c r="AK92" s="1">
        <f t="shared" si="166"/>
        <v>0</v>
      </c>
      <c r="AL92" s="2">
        <f t="shared" si="90"/>
        <v>0</v>
      </c>
      <c r="AM92" s="8">
        <f t="shared" si="160"/>
        <v>4.9000000000000002E-2</v>
      </c>
      <c r="AN92" s="2">
        <f t="shared" si="91"/>
        <v>0</v>
      </c>
      <c r="AO92" s="2">
        <f t="shared" si="161"/>
        <v>0</v>
      </c>
      <c r="AP92" s="2">
        <f t="shared" si="119"/>
        <v>0</v>
      </c>
      <c r="AQ92" s="8">
        <f t="shared" si="172"/>
        <v>4.3200000000000002E-2</v>
      </c>
      <c r="AR92" s="2">
        <f t="shared" si="113"/>
        <v>0</v>
      </c>
      <c r="AS92" s="2">
        <f t="shared" si="173"/>
        <v>0</v>
      </c>
      <c r="AT92" s="2">
        <f t="shared" si="209"/>
        <v>0</v>
      </c>
      <c r="AU92" s="2">
        <f t="shared" si="92"/>
        <v>0</v>
      </c>
      <c r="AV92" s="2">
        <f t="shared" si="82"/>
        <v>38.845655679935589</v>
      </c>
      <c r="AW92" s="1">
        <f t="shared" si="158"/>
        <v>0</v>
      </c>
      <c r="AX92" s="2">
        <f t="shared" si="182"/>
        <v>38.845655679935589</v>
      </c>
      <c r="AY92" s="1">
        <f t="shared" si="83"/>
        <v>0</v>
      </c>
      <c r="AZ92" s="2">
        <f t="shared" si="210"/>
        <v>38.845655679935589</v>
      </c>
      <c r="BA92" s="2">
        <f t="shared" si="93"/>
        <v>133116.84565567994</v>
      </c>
      <c r="BB92" s="2">
        <f t="shared" si="183"/>
        <v>0</v>
      </c>
      <c r="BC92" s="2">
        <f t="shared" si="211"/>
        <v>839.67573790081565</v>
      </c>
      <c r="BD92" s="2">
        <f t="shared" si="184"/>
        <v>132277.16991777913</v>
      </c>
      <c r="BE92" s="2">
        <f t="shared" si="212"/>
        <v>1078</v>
      </c>
      <c r="BF92" s="2">
        <f t="shared" si="185"/>
        <v>6087.3806745791881</v>
      </c>
      <c r="BG92" s="2">
        <f t="shared" si="186"/>
        <v>125111.78924319995</v>
      </c>
      <c r="BI92" s="8">
        <f t="shared" si="162"/>
        <v>2.9000000000000001E-2</v>
      </c>
      <c r="BJ92" s="5">
        <f t="shared" si="213"/>
        <v>1045</v>
      </c>
      <c r="BK92" s="2">
        <f t="shared" si="214"/>
        <v>104395.5</v>
      </c>
      <c r="BL92" s="2">
        <f t="shared" si="215"/>
        <v>104500</v>
      </c>
      <c r="BM92" s="2">
        <f t="shared" si="187"/>
        <v>104500</v>
      </c>
      <c r="BN92" s="8">
        <f t="shared" si="188"/>
        <v>4.3999999999999997E-2</v>
      </c>
      <c r="BO92" s="2">
        <f t="shared" si="189"/>
        <v>105266.33333333334</v>
      </c>
      <c r="BP92" s="2" t="str">
        <f t="shared" si="190"/>
        <v>nie</v>
      </c>
      <c r="BQ92" s="2">
        <f t="shared" si="191"/>
        <v>2090</v>
      </c>
      <c r="BR92" s="1">
        <f t="shared" si="163"/>
        <v>104</v>
      </c>
      <c r="BS92" s="1">
        <f t="shared" si="174"/>
        <v>114</v>
      </c>
      <c r="BT92" s="1">
        <f t="shared" si="229"/>
        <v>7</v>
      </c>
      <c r="BU92" s="1">
        <f t="shared" si="167"/>
        <v>48</v>
      </c>
      <c r="BV92" s="2">
        <f t="shared" si="94"/>
        <v>10400</v>
      </c>
      <c r="BW92" s="8">
        <f t="shared" si="164"/>
        <v>5.2499999999999998E-2</v>
      </c>
      <c r="BX92" s="2">
        <f t="shared" si="95"/>
        <v>10491</v>
      </c>
      <c r="BY92" s="2">
        <f t="shared" si="165"/>
        <v>91</v>
      </c>
      <c r="BZ92" s="2">
        <f t="shared" si="120"/>
        <v>16900</v>
      </c>
      <c r="CA92" s="8">
        <f t="shared" si="175"/>
        <v>4.3999999999999997E-2</v>
      </c>
      <c r="CB92" s="2">
        <f t="shared" si="117"/>
        <v>17023.933333333334</v>
      </c>
      <c r="CC92" s="2">
        <f t="shared" si="176"/>
        <v>338</v>
      </c>
      <c r="CD92" s="2">
        <f t="shared" si="192"/>
        <v>0</v>
      </c>
      <c r="CE92" s="2">
        <f t="shared" si="96"/>
        <v>0</v>
      </c>
      <c r="CF92" s="2">
        <f t="shared" si="97"/>
        <v>15.650000000000546</v>
      </c>
      <c r="CG92" s="1">
        <f t="shared" si="159"/>
        <v>0</v>
      </c>
      <c r="CH92" s="2">
        <f t="shared" si="193"/>
        <v>15.650000000000546</v>
      </c>
      <c r="CI92" s="1">
        <f t="shared" si="89"/>
        <v>0</v>
      </c>
      <c r="CJ92" s="2">
        <f t="shared" si="98"/>
        <v>15.650000000000546</v>
      </c>
      <c r="CK92" s="2">
        <f t="shared" si="99"/>
        <v>132796.91666666666</v>
      </c>
      <c r="CL92" s="2">
        <f t="shared" si="194"/>
        <v>0</v>
      </c>
      <c r="CM92" s="2">
        <f t="shared" si="216"/>
        <v>838.09695999999997</v>
      </c>
      <c r="CN92" s="2">
        <f t="shared" si="195"/>
        <v>131958.81970666666</v>
      </c>
      <c r="CO92" s="2">
        <f t="shared" si="217"/>
        <v>2519</v>
      </c>
      <c r="CP92" s="2">
        <f t="shared" si="196"/>
        <v>5752.804166666665</v>
      </c>
      <c r="CQ92" s="2">
        <f t="shared" si="197"/>
        <v>123687.01553999999</v>
      </c>
      <c r="CS92" s="5">
        <f t="shared" si="218"/>
        <v>1000</v>
      </c>
      <c r="CT92" s="2">
        <f t="shared" si="219"/>
        <v>100000</v>
      </c>
      <c r="CU92" s="2">
        <f t="shared" si="220"/>
        <v>100000</v>
      </c>
      <c r="CV92" s="2">
        <f t="shared" si="221"/>
        <v>134325.29932778631</v>
      </c>
      <c r="CW92" s="8">
        <f t="shared" si="198"/>
        <v>4.9000000000000002E-2</v>
      </c>
      <c r="CX92" s="2">
        <f t="shared" si="199"/>
        <v>135422.28927229656</v>
      </c>
      <c r="CY92" s="2" t="str">
        <f t="shared" si="200"/>
        <v>nie</v>
      </c>
      <c r="CZ92" s="2">
        <f t="shared" si="222"/>
        <v>0</v>
      </c>
      <c r="DA92" s="2">
        <f t="shared" si="223"/>
        <v>0</v>
      </c>
      <c r="DB92" s="2">
        <f t="shared" si="224"/>
        <v>135422.28927229656</v>
      </c>
      <c r="DC92" s="2">
        <f t="shared" si="201"/>
        <v>0</v>
      </c>
      <c r="DD92" s="2">
        <f t="shared" si="225"/>
        <v>850.59549245391099</v>
      </c>
      <c r="DE92" s="2">
        <f t="shared" si="226"/>
        <v>134571.69377984264</v>
      </c>
      <c r="DF92" s="2">
        <f t="shared" si="202"/>
        <v>3000</v>
      </c>
      <c r="DG92" s="2">
        <f t="shared" si="203"/>
        <v>6160.234961736347</v>
      </c>
      <c r="DH92" s="2">
        <f t="shared" si="227"/>
        <v>125411.45881810629</v>
      </c>
    </row>
    <row r="93" spans="2:112">
      <c r="B93" s="232"/>
      <c r="C93" s="1">
        <f t="shared" si="168"/>
        <v>56</v>
      </c>
      <c r="D93" s="2">
        <f t="shared" si="105"/>
        <v>123959.13964627196</v>
      </c>
      <c r="E93" s="2">
        <f t="shared" si="106"/>
        <v>118377.98135147196</v>
      </c>
      <c r="F93" s="2">
        <f t="shared" si="107"/>
        <v>123587.93476499998</v>
      </c>
      <c r="G93" s="2">
        <f t="shared" si="108"/>
        <v>117065.82326499998</v>
      </c>
      <c r="H93" s="2">
        <f t="shared" si="109"/>
        <v>125534.07023301105</v>
      </c>
      <c r="I93" s="2">
        <f t="shared" si="110"/>
        <v>118153.23846340415</v>
      </c>
      <c r="J93" s="2">
        <f t="shared" si="169"/>
        <v>118511.7804318964</v>
      </c>
      <c r="K93" s="2">
        <f t="shared" si="170"/>
        <v>114281.9719037766</v>
      </c>
      <c r="W93" s="1">
        <f t="shared" si="204"/>
        <v>75</v>
      </c>
      <c r="X93" s="2">
        <f t="shared" si="177"/>
        <v>119572.00858450732</v>
      </c>
      <c r="Y93" s="8">
        <f t="shared" si="230"/>
        <v>4.3200000000000002E-2</v>
      </c>
      <c r="Z93" s="5">
        <f t="shared" si="205"/>
        <v>1320</v>
      </c>
      <c r="AA93" s="2">
        <f t="shared" si="206"/>
        <v>131868</v>
      </c>
      <c r="AB93" s="2">
        <f t="shared" si="207"/>
        <v>132000</v>
      </c>
      <c r="AC93" s="2">
        <f t="shared" si="208"/>
        <v>132000</v>
      </c>
      <c r="AD93" s="8">
        <f t="shared" si="178"/>
        <v>4.9000000000000002E-2</v>
      </c>
      <c r="AE93" s="2">
        <f t="shared" si="179"/>
        <v>133617</v>
      </c>
      <c r="AF93" s="2" t="str">
        <f t="shared" si="180"/>
        <v>nie</v>
      </c>
      <c r="AG93" s="2">
        <f t="shared" si="181"/>
        <v>1320</v>
      </c>
      <c r="AH93" s="1">
        <f t="shared" si="79"/>
        <v>0</v>
      </c>
      <c r="AI93" s="1">
        <f t="shared" si="171"/>
        <v>0</v>
      </c>
      <c r="AJ93" s="1">
        <f t="shared" si="228"/>
        <v>0</v>
      </c>
      <c r="AK93" s="1">
        <f t="shared" si="166"/>
        <v>0</v>
      </c>
      <c r="AL93" s="2">
        <f t="shared" si="90"/>
        <v>0</v>
      </c>
      <c r="AM93" s="8">
        <f t="shared" si="160"/>
        <v>4.9000000000000002E-2</v>
      </c>
      <c r="AN93" s="2">
        <f t="shared" si="91"/>
        <v>0</v>
      </c>
      <c r="AO93" s="2">
        <f t="shared" si="161"/>
        <v>0</v>
      </c>
      <c r="AP93" s="2">
        <f t="shared" si="119"/>
        <v>0</v>
      </c>
      <c r="AQ93" s="8">
        <f t="shared" si="172"/>
        <v>4.3200000000000002E-2</v>
      </c>
      <c r="AR93" s="2">
        <f t="shared" si="113"/>
        <v>0</v>
      </c>
      <c r="AS93" s="2">
        <f t="shared" si="173"/>
        <v>0</v>
      </c>
      <c r="AT93" s="2">
        <f t="shared" si="209"/>
        <v>0</v>
      </c>
      <c r="AU93" s="2">
        <f t="shared" si="92"/>
        <v>0</v>
      </c>
      <c r="AV93" s="2">
        <f t="shared" si="82"/>
        <v>38.845655679935589</v>
      </c>
      <c r="AW93" s="1">
        <f t="shared" si="158"/>
        <v>0</v>
      </c>
      <c r="AX93" s="2">
        <f t="shared" si="182"/>
        <v>38.845655679935589</v>
      </c>
      <c r="AY93" s="1">
        <f t="shared" si="83"/>
        <v>0</v>
      </c>
      <c r="AZ93" s="2">
        <f t="shared" si="210"/>
        <v>38.845655679935589</v>
      </c>
      <c r="BA93" s="2">
        <f t="shared" si="93"/>
        <v>133655.84565567994</v>
      </c>
      <c r="BB93" s="2">
        <f t="shared" si="183"/>
        <v>0</v>
      </c>
      <c r="BC93" s="2">
        <f t="shared" si="211"/>
        <v>839.67573790081565</v>
      </c>
      <c r="BD93" s="2">
        <f t="shared" si="184"/>
        <v>132816.16991777913</v>
      </c>
      <c r="BE93" s="2">
        <f t="shared" si="212"/>
        <v>1320</v>
      </c>
      <c r="BF93" s="2">
        <f t="shared" si="185"/>
        <v>6143.8106745791874</v>
      </c>
      <c r="BG93" s="2">
        <f t="shared" si="186"/>
        <v>125352.35924319994</v>
      </c>
      <c r="BI93" s="8">
        <f t="shared" si="162"/>
        <v>2.9000000000000001E-2</v>
      </c>
      <c r="BJ93" s="5">
        <f t="shared" si="213"/>
        <v>1045</v>
      </c>
      <c r="BK93" s="2">
        <f t="shared" si="214"/>
        <v>104395.5</v>
      </c>
      <c r="BL93" s="2">
        <f t="shared" si="215"/>
        <v>104500</v>
      </c>
      <c r="BM93" s="2">
        <f t="shared" si="187"/>
        <v>104500</v>
      </c>
      <c r="BN93" s="8">
        <f t="shared" si="188"/>
        <v>4.3999999999999997E-2</v>
      </c>
      <c r="BO93" s="2">
        <f t="shared" si="189"/>
        <v>105649.49999999999</v>
      </c>
      <c r="BP93" s="2" t="str">
        <f t="shared" si="190"/>
        <v>nie</v>
      </c>
      <c r="BQ93" s="2">
        <f t="shared" si="191"/>
        <v>2090</v>
      </c>
      <c r="BR93" s="1">
        <f t="shared" si="163"/>
        <v>104</v>
      </c>
      <c r="BS93" s="1">
        <f t="shared" si="174"/>
        <v>114</v>
      </c>
      <c r="BT93" s="1">
        <f t="shared" si="229"/>
        <v>7</v>
      </c>
      <c r="BU93" s="1">
        <f t="shared" si="167"/>
        <v>48</v>
      </c>
      <c r="BV93" s="2">
        <f t="shared" si="94"/>
        <v>10400</v>
      </c>
      <c r="BW93" s="8">
        <f t="shared" si="164"/>
        <v>5.2499999999999998E-2</v>
      </c>
      <c r="BX93" s="2">
        <f t="shared" si="95"/>
        <v>10536.5</v>
      </c>
      <c r="BY93" s="2">
        <f t="shared" si="165"/>
        <v>136.5</v>
      </c>
      <c r="BZ93" s="2">
        <f t="shared" si="120"/>
        <v>16900</v>
      </c>
      <c r="CA93" s="8">
        <f t="shared" si="175"/>
        <v>4.3999999999999997E-2</v>
      </c>
      <c r="CB93" s="2">
        <f t="shared" si="117"/>
        <v>17085.899999999998</v>
      </c>
      <c r="CC93" s="2">
        <f t="shared" si="176"/>
        <v>338</v>
      </c>
      <c r="CD93" s="2">
        <f t="shared" si="192"/>
        <v>0</v>
      </c>
      <c r="CE93" s="2">
        <f t="shared" si="96"/>
        <v>0</v>
      </c>
      <c r="CF93" s="2">
        <f t="shared" si="97"/>
        <v>15.650000000000546</v>
      </c>
      <c r="CG93" s="1">
        <f t="shared" si="159"/>
        <v>0</v>
      </c>
      <c r="CH93" s="2">
        <f t="shared" si="193"/>
        <v>15.650000000000546</v>
      </c>
      <c r="CI93" s="1">
        <f t="shared" si="89"/>
        <v>0</v>
      </c>
      <c r="CJ93" s="2">
        <f t="shared" si="98"/>
        <v>15.650000000000546</v>
      </c>
      <c r="CK93" s="2">
        <f t="shared" si="99"/>
        <v>133287.54999999999</v>
      </c>
      <c r="CL93" s="2">
        <f t="shared" si="194"/>
        <v>0</v>
      </c>
      <c r="CM93" s="2">
        <f t="shared" si="216"/>
        <v>838.09695999999997</v>
      </c>
      <c r="CN93" s="2">
        <f t="shared" si="195"/>
        <v>132449.45303999999</v>
      </c>
      <c r="CO93" s="2">
        <f t="shared" si="217"/>
        <v>2564.5</v>
      </c>
      <c r="CP93" s="2">
        <f t="shared" si="196"/>
        <v>5837.3794999999982</v>
      </c>
      <c r="CQ93" s="2">
        <f t="shared" si="197"/>
        <v>124047.57354</v>
      </c>
      <c r="CS93" s="5">
        <f t="shared" si="218"/>
        <v>1000</v>
      </c>
      <c r="CT93" s="2">
        <f t="shared" si="219"/>
        <v>100000</v>
      </c>
      <c r="CU93" s="2">
        <f t="shared" si="220"/>
        <v>100000</v>
      </c>
      <c r="CV93" s="2">
        <f t="shared" si="221"/>
        <v>134325.29932778631</v>
      </c>
      <c r="CW93" s="8">
        <f t="shared" si="198"/>
        <v>4.9000000000000002E-2</v>
      </c>
      <c r="CX93" s="2">
        <f t="shared" si="199"/>
        <v>135970.7842445517</v>
      </c>
      <c r="CY93" s="2" t="str">
        <f t="shared" si="200"/>
        <v>nie</v>
      </c>
      <c r="CZ93" s="2">
        <f t="shared" si="222"/>
        <v>0</v>
      </c>
      <c r="DA93" s="2">
        <f t="shared" si="223"/>
        <v>0</v>
      </c>
      <c r="DB93" s="2">
        <f t="shared" si="224"/>
        <v>135970.7842445517</v>
      </c>
      <c r="DC93" s="2">
        <f t="shared" si="201"/>
        <v>0</v>
      </c>
      <c r="DD93" s="2">
        <f t="shared" si="225"/>
        <v>850.59549245391099</v>
      </c>
      <c r="DE93" s="2">
        <f t="shared" si="226"/>
        <v>135120.18875209778</v>
      </c>
      <c r="DF93" s="2">
        <f t="shared" si="202"/>
        <v>3000</v>
      </c>
      <c r="DG93" s="2">
        <f t="shared" si="203"/>
        <v>6264.4490064648235</v>
      </c>
      <c r="DH93" s="2">
        <f t="shared" si="227"/>
        <v>125855.73974563295</v>
      </c>
    </row>
    <row r="94" spans="2:112">
      <c r="B94" s="232"/>
      <c r="C94" s="1">
        <f t="shared" si="168"/>
        <v>57</v>
      </c>
      <c r="D94" s="2">
        <f t="shared" si="105"/>
        <v>124451.30422127197</v>
      </c>
      <c r="E94" s="2">
        <f t="shared" si="106"/>
        <v>118776.63465722198</v>
      </c>
      <c r="F94" s="2">
        <f t="shared" si="107"/>
        <v>124102.08476500001</v>
      </c>
      <c r="G94" s="2">
        <f t="shared" si="108"/>
        <v>117482.284765</v>
      </c>
      <c r="H94" s="2">
        <f t="shared" si="109"/>
        <v>126032.52031825738</v>
      </c>
      <c r="I94" s="2">
        <f t="shared" si="110"/>
        <v>118556.98303245367</v>
      </c>
      <c r="J94" s="2">
        <f t="shared" si="169"/>
        <v>118871.7599649583</v>
      </c>
      <c r="K94" s="2">
        <f t="shared" si="170"/>
        <v>114552.91510073615</v>
      </c>
      <c r="W94" s="1">
        <f t="shared" si="204"/>
        <v>76</v>
      </c>
      <c r="X94" s="2">
        <f t="shared" si="177"/>
        <v>119858.8943501192</v>
      </c>
      <c r="Y94" s="8">
        <f t="shared" si="230"/>
        <v>4.3200000000000002E-2</v>
      </c>
      <c r="Z94" s="5">
        <f t="shared" si="205"/>
        <v>1320</v>
      </c>
      <c r="AA94" s="2">
        <f t="shared" si="206"/>
        <v>131868</v>
      </c>
      <c r="AB94" s="2">
        <f t="shared" si="207"/>
        <v>132000</v>
      </c>
      <c r="AC94" s="2">
        <f t="shared" si="208"/>
        <v>132000</v>
      </c>
      <c r="AD94" s="8">
        <f t="shared" si="178"/>
        <v>4.9000000000000002E-2</v>
      </c>
      <c r="AE94" s="2">
        <f t="shared" si="179"/>
        <v>134156</v>
      </c>
      <c r="AF94" s="2" t="str">
        <f t="shared" si="180"/>
        <v>nie</v>
      </c>
      <c r="AG94" s="2">
        <f t="shared" si="181"/>
        <v>1320</v>
      </c>
      <c r="AH94" s="1">
        <f t="shared" si="79"/>
        <v>0</v>
      </c>
      <c r="AI94" s="1">
        <f t="shared" si="171"/>
        <v>0</v>
      </c>
      <c r="AJ94" s="1">
        <f t="shared" si="228"/>
        <v>0</v>
      </c>
      <c r="AK94" s="1">
        <f t="shared" si="166"/>
        <v>0</v>
      </c>
      <c r="AL94" s="2">
        <f t="shared" si="90"/>
        <v>0</v>
      </c>
      <c r="AM94" s="8">
        <f t="shared" si="160"/>
        <v>4.9000000000000002E-2</v>
      </c>
      <c r="AN94" s="2">
        <f t="shared" si="91"/>
        <v>0</v>
      </c>
      <c r="AO94" s="2">
        <f t="shared" si="161"/>
        <v>0</v>
      </c>
      <c r="AP94" s="2">
        <f t="shared" si="119"/>
        <v>0</v>
      </c>
      <c r="AQ94" s="8">
        <f t="shared" si="172"/>
        <v>4.3200000000000002E-2</v>
      </c>
      <c r="AR94" s="2">
        <f t="shared" si="113"/>
        <v>0</v>
      </c>
      <c r="AS94" s="2">
        <f t="shared" si="173"/>
        <v>0</v>
      </c>
      <c r="AT94" s="2">
        <f t="shared" si="209"/>
        <v>0</v>
      </c>
      <c r="AU94" s="2">
        <f t="shared" si="92"/>
        <v>0</v>
      </c>
      <c r="AV94" s="2">
        <f t="shared" si="82"/>
        <v>38.845655679935589</v>
      </c>
      <c r="AW94" s="1">
        <f t="shared" ref="AW94:AW125" si="231">IF(AT94&lt;&gt;0,MIN(IF(AK94&lt;&gt;"",AK94,0),ROUNDDOWN(AV94/zamiana_TOS,0)),0)</f>
        <v>0</v>
      </c>
      <c r="AX94" s="2">
        <f t="shared" si="182"/>
        <v>38.845655679935589</v>
      </c>
      <c r="AY94" s="1">
        <f t="shared" si="83"/>
        <v>0</v>
      </c>
      <c r="AZ94" s="2">
        <f t="shared" si="210"/>
        <v>38.845655679935589</v>
      </c>
      <c r="BA94" s="2">
        <f t="shared" si="93"/>
        <v>134194.84565567994</v>
      </c>
      <c r="BB94" s="2">
        <f t="shared" si="183"/>
        <v>0</v>
      </c>
      <c r="BC94" s="2">
        <f t="shared" si="211"/>
        <v>839.67573790081565</v>
      </c>
      <c r="BD94" s="2">
        <f t="shared" si="184"/>
        <v>133355.16991777913</v>
      </c>
      <c r="BE94" s="2">
        <f t="shared" si="212"/>
        <v>1320</v>
      </c>
      <c r="BF94" s="2">
        <f t="shared" si="185"/>
        <v>6246.2206745791882</v>
      </c>
      <c r="BG94" s="2">
        <f t="shared" si="186"/>
        <v>125788.94924319994</v>
      </c>
      <c r="BI94" s="8">
        <f t="shared" si="162"/>
        <v>2.9000000000000001E-2</v>
      </c>
      <c r="BJ94" s="5">
        <f t="shared" si="213"/>
        <v>1045</v>
      </c>
      <c r="BK94" s="2">
        <f t="shared" si="214"/>
        <v>104395.5</v>
      </c>
      <c r="BL94" s="2">
        <f t="shared" si="215"/>
        <v>104500</v>
      </c>
      <c r="BM94" s="2">
        <f t="shared" si="187"/>
        <v>104500</v>
      </c>
      <c r="BN94" s="8">
        <f t="shared" si="188"/>
        <v>4.3999999999999997E-2</v>
      </c>
      <c r="BO94" s="2">
        <f t="shared" si="189"/>
        <v>106032.66666666666</v>
      </c>
      <c r="BP94" s="2" t="str">
        <f t="shared" si="190"/>
        <v>nie</v>
      </c>
      <c r="BQ94" s="2">
        <f t="shared" si="191"/>
        <v>2090</v>
      </c>
      <c r="BR94" s="1">
        <f t="shared" si="163"/>
        <v>104</v>
      </c>
      <c r="BS94" s="1">
        <f t="shared" si="174"/>
        <v>114</v>
      </c>
      <c r="BT94" s="1">
        <f t="shared" si="229"/>
        <v>7</v>
      </c>
      <c r="BU94" s="1">
        <f t="shared" si="167"/>
        <v>48</v>
      </c>
      <c r="BV94" s="2">
        <f t="shared" si="94"/>
        <v>10400</v>
      </c>
      <c r="BW94" s="8">
        <f t="shared" si="164"/>
        <v>5.2499999999999998E-2</v>
      </c>
      <c r="BX94" s="2">
        <f t="shared" si="95"/>
        <v>10582</v>
      </c>
      <c r="BY94" s="2">
        <f t="shared" si="165"/>
        <v>182</v>
      </c>
      <c r="BZ94" s="2">
        <f t="shared" si="120"/>
        <v>16900</v>
      </c>
      <c r="CA94" s="8">
        <f t="shared" si="175"/>
        <v>4.3999999999999997E-2</v>
      </c>
      <c r="CB94" s="2">
        <f t="shared" si="117"/>
        <v>17147.866666666665</v>
      </c>
      <c r="CC94" s="2">
        <f t="shared" si="176"/>
        <v>338</v>
      </c>
      <c r="CD94" s="2">
        <f t="shared" si="192"/>
        <v>0</v>
      </c>
      <c r="CE94" s="2">
        <f t="shared" si="96"/>
        <v>0</v>
      </c>
      <c r="CF94" s="2">
        <f t="shared" si="97"/>
        <v>15.650000000000546</v>
      </c>
      <c r="CG94" s="1">
        <f t="shared" ref="CG94:CG125" si="232">IF(CD94&lt;&gt;0,MIN(IF(BU94&lt;&gt;"",BU94,0),ROUNDDOWN(CF94/zamiana_COI,0)),0)</f>
        <v>0</v>
      </c>
      <c r="CH94" s="2">
        <f t="shared" si="193"/>
        <v>15.650000000000546</v>
      </c>
      <c r="CI94" s="1">
        <f t="shared" si="89"/>
        <v>0</v>
      </c>
      <c r="CJ94" s="2">
        <f t="shared" si="98"/>
        <v>15.650000000000546</v>
      </c>
      <c r="CK94" s="2">
        <f t="shared" si="99"/>
        <v>133778.18333333332</v>
      </c>
      <c r="CL94" s="2">
        <f t="shared" si="194"/>
        <v>0</v>
      </c>
      <c r="CM94" s="2">
        <f t="shared" si="216"/>
        <v>838.09695999999997</v>
      </c>
      <c r="CN94" s="2">
        <f t="shared" si="195"/>
        <v>132940.08637333332</v>
      </c>
      <c r="CO94" s="2">
        <f t="shared" si="217"/>
        <v>2610</v>
      </c>
      <c r="CP94" s="2">
        <f t="shared" si="196"/>
        <v>5921.9548333333305</v>
      </c>
      <c r="CQ94" s="2">
        <f t="shared" si="197"/>
        <v>124408.13153999999</v>
      </c>
      <c r="CS94" s="5">
        <f t="shared" si="218"/>
        <v>1000</v>
      </c>
      <c r="CT94" s="2">
        <f t="shared" si="219"/>
        <v>100000</v>
      </c>
      <c r="CU94" s="2">
        <f t="shared" si="220"/>
        <v>100000</v>
      </c>
      <c r="CV94" s="2">
        <f t="shared" si="221"/>
        <v>134325.29932778631</v>
      </c>
      <c r="CW94" s="8">
        <f t="shared" si="198"/>
        <v>4.9000000000000002E-2</v>
      </c>
      <c r="CX94" s="2">
        <f t="shared" si="199"/>
        <v>136519.27921680681</v>
      </c>
      <c r="CY94" s="2" t="str">
        <f t="shared" si="200"/>
        <v>nie</v>
      </c>
      <c r="CZ94" s="2">
        <f t="shared" si="222"/>
        <v>0</v>
      </c>
      <c r="DA94" s="2">
        <f t="shared" si="223"/>
        <v>0</v>
      </c>
      <c r="DB94" s="2">
        <f t="shared" si="224"/>
        <v>136519.27921680681</v>
      </c>
      <c r="DC94" s="2">
        <f t="shared" si="201"/>
        <v>0</v>
      </c>
      <c r="DD94" s="2">
        <f t="shared" si="225"/>
        <v>850.59549245391099</v>
      </c>
      <c r="DE94" s="2">
        <f t="shared" si="226"/>
        <v>135668.68372435292</v>
      </c>
      <c r="DF94" s="2">
        <f t="shared" si="202"/>
        <v>3000</v>
      </c>
      <c r="DG94" s="2">
        <f t="shared" si="203"/>
        <v>6368.6630511932945</v>
      </c>
      <c r="DH94" s="2">
        <f t="shared" si="227"/>
        <v>126300.02067315963</v>
      </c>
    </row>
    <row r="95" spans="2:112">
      <c r="B95" s="232"/>
      <c r="C95" s="1">
        <f t="shared" si="168"/>
        <v>58</v>
      </c>
      <c r="D95" s="2">
        <f t="shared" si="105"/>
        <v>124943.46879627196</v>
      </c>
      <c r="E95" s="2">
        <f t="shared" si="106"/>
        <v>119175.28796297197</v>
      </c>
      <c r="F95" s="2">
        <f t="shared" si="107"/>
        <v>124616.234765</v>
      </c>
      <c r="G95" s="2">
        <f t="shared" si="108"/>
        <v>117898.74626500001</v>
      </c>
      <c r="H95" s="2">
        <f t="shared" si="109"/>
        <v>126530.97040350367</v>
      </c>
      <c r="I95" s="2">
        <f t="shared" si="110"/>
        <v>118960.72760150318</v>
      </c>
      <c r="J95" s="2">
        <f t="shared" si="169"/>
        <v>119232.83293585187</v>
      </c>
      <c r="K95" s="2">
        <f t="shared" si="170"/>
        <v>114823.85829769574</v>
      </c>
      <c r="W95" s="1">
        <f t="shared" si="204"/>
        <v>77</v>
      </c>
      <c r="X95" s="2">
        <f t="shared" si="177"/>
        <v>120145.78011573108</v>
      </c>
      <c r="Y95" s="8">
        <f t="shared" si="230"/>
        <v>4.3200000000000002E-2</v>
      </c>
      <c r="Z95" s="5">
        <f t="shared" si="205"/>
        <v>1320</v>
      </c>
      <c r="AA95" s="2">
        <f t="shared" si="206"/>
        <v>131868</v>
      </c>
      <c r="AB95" s="2">
        <f t="shared" si="207"/>
        <v>132000</v>
      </c>
      <c r="AC95" s="2">
        <f t="shared" si="208"/>
        <v>132000</v>
      </c>
      <c r="AD95" s="8">
        <f t="shared" si="178"/>
        <v>4.9000000000000002E-2</v>
      </c>
      <c r="AE95" s="2">
        <f t="shared" si="179"/>
        <v>134695</v>
      </c>
      <c r="AF95" s="2" t="str">
        <f t="shared" si="180"/>
        <v>nie</v>
      </c>
      <c r="AG95" s="2">
        <f t="shared" si="181"/>
        <v>1320</v>
      </c>
      <c r="AH95" s="1">
        <f t="shared" ref="AH95:AH158" si="233">IF(AT94&lt;&gt;0,AW94+AY94,AH94)</f>
        <v>0</v>
      </c>
      <c r="AI95" s="1">
        <f t="shared" si="171"/>
        <v>0</v>
      </c>
      <c r="AJ95" s="1">
        <f t="shared" si="228"/>
        <v>0</v>
      </c>
      <c r="AK95" s="1">
        <f t="shared" si="166"/>
        <v>0</v>
      </c>
      <c r="AL95" s="2">
        <f t="shared" si="90"/>
        <v>0</v>
      </c>
      <c r="AM95" s="8">
        <f t="shared" ref="AM95:AM126" si="234">proc_I_okres_TOS</f>
        <v>4.9000000000000002E-2</v>
      </c>
      <c r="AN95" s="2">
        <f t="shared" si="91"/>
        <v>0</v>
      </c>
      <c r="AO95" s="2">
        <f t="shared" ref="AO95:AO126" si="235">MIN(AH95*koszt_wczesniejszy_wykup_TOS,AN95-AL95)</f>
        <v>0</v>
      </c>
      <c r="AP95" s="2">
        <f t="shared" si="119"/>
        <v>0</v>
      </c>
      <c r="AQ95" s="8">
        <f t="shared" si="172"/>
        <v>4.3200000000000002E-2</v>
      </c>
      <c r="AR95" s="2">
        <f t="shared" si="113"/>
        <v>0</v>
      </c>
      <c r="AS95" s="2">
        <f t="shared" si="173"/>
        <v>0</v>
      </c>
      <c r="AT95" s="2">
        <f t="shared" si="209"/>
        <v>0</v>
      </c>
      <c r="AU95" s="2">
        <f t="shared" si="92"/>
        <v>0</v>
      </c>
      <c r="AV95" s="2">
        <f t="shared" ref="AV95:AV158" si="236">AZ94+AT95+AU95</f>
        <v>38.845655679935589</v>
      </c>
      <c r="AW95" s="1">
        <f t="shared" si="231"/>
        <v>0</v>
      </c>
      <c r="AX95" s="2">
        <f t="shared" si="182"/>
        <v>38.845655679935589</v>
      </c>
      <c r="AY95" s="1">
        <f t="shared" ref="AY95:AY158" si="237">ROUNDDOWN(AX95/100,0)</f>
        <v>0</v>
      </c>
      <c r="AZ95" s="2">
        <f t="shared" si="210"/>
        <v>38.845655679935589</v>
      </c>
      <c r="BA95" s="2">
        <f t="shared" si="93"/>
        <v>134733.84565567994</v>
      </c>
      <c r="BB95" s="2">
        <f t="shared" si="183"/>
        <v>0</v>
      </c>
      <c r="BC95" s="2">
        <f t="shared" si="211"/>
        <v>839.67573790081565</v>
      </c>
      <c r="BD95" s="2">
        <f t="shared" si="184"/>
        <v>133894.16991777913</v>
      </c>
      <c r="BE95" s="2">
        <f t="shared" si="212"/>
        <v>1320</v>
      </c>
      <c r="BF95" s="2">
        <f t="shared" si="185"/>
        <v>6348.6306745791881</v>
      </c>
      <c r="BG95" s="2">
        <f t="shared" si="186"/>
        <v>126225.53924319995</v>
      </c>
      <c r="BI95" s="8">
        <f t="shared" ref="BI95:BI126" si="238">MAX(INDEX(scenariusz_I_inflacja,MATCH(ROUNDUP(W95/12,0)-1,scenariusz_I_rok,0)),0)</f>
        <v>2.9000000000000001E-2</v>
      </c>
      <c r="BJ95" s="5">
        <f t="shared" si="213"/>
        <v>1045</v>
      </c>
      <c r="BK95" s="2">
        <f t="shared" si="214"/>
        <v>104395.5</v>
      </c>
      <c r="BL95" s="2">
        <f t="shared" si="215"/>
        <v>104500</v>
      </c>
      <c r="BM95" s="2">
        <f t="shared" si="187"/>
        <v>104500</v>
      </c>
      <c r="BN95" s="8">
        <f t="shared" si="188"/>
        <v>4.3999999999999997E-2</v>
      </c>
      <c r="BO95" s="2">
        <f t="shared" si="189"/>
        <v>106415.83333333333</v>
      </c>
      <c r="BP95" s="2" t="str">
        <f t="shared" si="190"/>
        <v>nie</v>
      </c>
      <c r="BQ95" s="2">
        <f t="shared" si="191"/>
        <v>2090</v>
      </c>
      <c r="BR95" s="1">
        <f t="shared" ref="BR95:BR126" si="239">IF(CD94&lt;&gt;0,CG94+CI94,BR94)</f>
        <v>104</v>
      </c>
      <c r="BS95" s="1">
        <f t="shared" si="174"/>
        <v>114</v>
      </c>
      <c r="BT95" s="1">
        <f t="shared" si="229"/>
        <v>7</v>
      </c>
      <c r="BU95" s="1">
        <f t="shared" si="167"/>
        <v>48</v>
      </c>
      <c r="BV95" s="2">
        <f t="shared" si="94"/>
        <v>10400</v>
      </c>
      <c r="BW95" s="8">
        <f t="shared" ref="BW95:BW126" si="240">proc_I_okres_COI</f>
        <v>5.2499999999999998E-2</v>
      </c>
      <c r="BX95" s="2">
        <f t="shared" si="95"/>
        <v>10627.500000000002</v>
      </c>
      <c r="BY95" s="2">
        <f t="shared" ref="BY95:BY126" si="241">MIN(BR95*koszt_wczesniejszy_wykup_COI,BX95-BV95)</f>
        <v>208</v>
      </c>
      <c r="BZ95" s="2">
        <f t="shared" si="120"/>
        <v>16900</v>
      </c>
      <c r="CA95" s="8">
        <f t="shared" si="175"/>
        <v>4.3999999999999997E-2</v>
      </c>
      <c r="CB95" s="2">
        <f t="shared" si="117"/>
        <v>17209.833333333332</v>
      </c>
      <c r="CC95" s="2">
        <f t="shared" si="176"/>
        <v>338</v>
      </c>
      <c r="CD95" s="2">
        <f t="shared" si="192"/>
        <v>0</v>
      </c>
      <c r="CE95" s="2">
        <f t="shared" si="96"/>
        <v>0</v>
      </c>
      <c r="CF95" s="2">
        <f t="shared" si="97"/>
        <v>15.650000000000546</v>
      </c>
      <c r="CG95" s="1">
        <f t="shared" si="232"/>
        <v>0</v>
      </c>
      <c r="CH95" s="2">
        <f t="shared" si="193"/>
        <v>15.650000000000546</v>
      </c>
      <c r="CI95" s="1">
        <f t="shared" ref="CI95:CI158" si="242">ROUNDDOWN(CH95/100,0)</f>
        <v>0</v>
      </c>
      <c r="CJ95" s="2">
        <f t="shared" si="98"/>
        <v>15.650000000000546</v>
      </c>
      <c r="CK95" s="2">
        <f t="shared" si="99"/>
        <v>134268.81666666665</v>
      </c>
      <c r="CL95" s="2">
        <f t="shared" si="194"/>
        <v>0</v>
      </c>
      <c r="CM95" s="2">
        <f t="shared" si="216"/>
        <v>838.09695999999997</v>
      </c>
      <c r="CN95" s="2">
        <f t="shared" si="195"/>
        <v>133430.71970666666</v>
      </c>
      <c r="CO95" s="2">
        <f t="shared" si="217"/>
        <v>2636</v>
      </c>
      <c r="CP95" s="2">
        <f t="shared" si="196"/>
        <v>6010.2351666666636</v>
      </c>
      <c r="CQ95" s="2">
        <f t="shared" si="197"/>
        <v>124784.48453999999</v>
      </c>
      <c r="CS95" s="5">
        <f t="shared" si="218"/>
        <v>1000</v>
      </c>
      <c r="CT95" s="2">
        <f t="shared" si="219"/>
        <v>100000</v>
      </c>
      <c r="CU95" s="2">
        <f t="shared" si="220"/>
        <v>100000</v>
      </c>
      <c r="CV95" s="2">
        <f t="shared" si="221"/>
        <v>134325.29932778631</v>
      </c>
      <c r="CW95" s="8">
        <f t="shared" si="198"/>
        <v>4.9000000000000002E-2</v>
      </c>
      <c r="CX95" s="2">
        <f t="shared" si="199"/>
        <v>137067.77418906195</v>
      </c>
      <c r="CY95" s="2" t="str">
        <f t="shared" si="200"/>
        <v>nie</v>
      </c>
      <c r="CZ95" s="2">
        <f t="shared" si="222"/>
        <v>0</v>
      </c>
      <c r="DA95" s="2">
        <f t="shared" si="223"/>
        <v>0</v>
      </c>
      <c r="DB95" s="2">
        <f t="shared" si="224"/>
        <v>137067.77418906195</v>
      </c>
      <c r="DC95" s="2">
        <f t="shared" si="201"/>
        <v>0</v>
      </c>
      <c r="DD95" s="2">
        <f t="shared" si="225"/>
        <v>850.59549245391099</v>
      </c>
      <c r="DE95" s="2">
        <f t="shared" si="226"/>
        <v>136217.17869660805</v>
      </c>
      <c r="DF95" s="2">
        <f t="shared" si="202"/>
        <v>3000</v>
      </c>
      <c r="DG95" s="2">
        <f t="shared" si="203"/>
        <v>6472.8770959217709</v>
      </c>
      <c r="DH95" s="2">
        <f t="shared" si="227"/>
        <v>126744.30160068629</v>
      </c>
    </row>
    <row r="96" spans="2:112">
      <c r="B96" s="233"/>
      <c r="C96" s="1">
        <f t="shared" si="168"/>
        <v>59</v>
      </c>
      <c r="D96" s="2">
        <f t="shared" si="105"/>
        <v>125435.63337127196</v>
      </c>
      <c r="E96" s="2">
        <f t="shared" si="106"/>
        <v>119573.94126872197</v>
      </c>
      <c r="F96" s="2">
        <f t="shared" si="107"/>
        <v>125130.384765</v>
      </c>
      <c r="G96" s="2">
        <f t="shared" si="108"/>
        <v>118315.207765</v>
      </c>
      <c r="H96" s="2">
        <f t="shared" si="109"/>
        <v>127029.42048875001</v>
      </c>
      <c r="I96" s="2">
        <f t="shared" si="110"/>
        <v>119364.47217055272</v>
      </c>
      <c r="J96" s="2">
        <f t="shared" si="169"/>
        <v>119595.00266589453</v>
      </c>
      <c r="K96" s="2">
        <f t="shared" si="170"/>
        <v>115094.80149465532</v>
      </c>
      <c r="W96" s="1">
        <f t="shared" si="204"/>
        <v>78</v>
      </c>
      <c r="X96" s="2">
        <f t="shared" si="177"/>
        <v>120432.66588134294</v>
      </c>
      <c r="Y96" s="8">
        <f t="shared" si="230"/>
        <v>4.3200000000000002E-2</v>
      </c>
      <c r="Z96" s="5">
        <f t="shared" si="205"/>
        <v>1320</v>
      </c>
      <c r="AA96" s="2">
        <f t="shared" si="206"/>
        <v>131868</v>
      </c>
      <c r="AB96" s="2">
        <f t="shared" si="207"/>
        <v>132000</v>
      </c>
      <c r="AC96" s="2">
        <f t="shared" si="208"/>
        <v>132000</v>
      </c>
      <c r="AD96" s="8">
        <f t="shared" si="178"/>
        <v>4.9000000000000002E-2</v>
      </c>
      <c r="AE96" s="2">
        <f t="shared" si="179"/>
        <v>135234</v>
      </c>
      <c r="AF96" s="2" t="str">
        <f t="shared" si="180"/>
        <v>nie</v>
      </c>
      <c r="AG96" s="2">
        <f t="shared" si="181"/>
        <v>1320</v>
      </c>
      <c r="AH96" s="1">
        <f t="shared" si="233"/>
        <v>0</v>
      </c>
      <c r="AI96" s="1">
        <f t="shared" si="171"/>
        <v>0</v>
      </c>
      <c r="AJ96" s="1">
        <f t="shared" si="228"/>
        <v>0</v>
      </c>
      <c r="AK96" s="1">
        <f t="shared" si="166"/>
        <v>0</v>
      </c>
      <c r="AL96" s="2">
        <f t="shared" ref="AL96:AL159" si="243">AH96*100</f>
        <v>0</v>
      </c>
      <c r="AM96" s="8">
        <f t="shared" si="234"/>
        <v>4.9000000000000002E-2</v>
      </c>
      <c r="AN96" s="2">
        <f t="shared" ref="AN96:AN159" si="244">AL96*(1+AM96*IF(MOD($W96,12)&lt;&gt;0,MOD($W96,12),12)/12)</f>
        <v>0</v>
      </c>
      <c r="AO96" s="2">
        <f t="shared" si="235"/>
        <v>0</v>
      </c>
      <c r="AP96" s="2">
        <f t="shared" si="119"/>
        <v>0</v>
      </c>
      <c r="AQ96" s="8">
        <f t="shared" si="172"/>
        <v>4.3200000000000002E-2</v>
      </c>
      <c r="AR96" s="2">
        <f t="shared" si="113"/>
        <v>0</v>
      </c>
      <c r="AS96" s="2">
        <f t="shared" si="173"/>
        <v>0</v>
      </c>
      <c r="AT96" s="2">
        <f t="shared" si="209"/>
        <v>0</v>
      </c>
      <c r="AU96" s="2">
        <f t="shared" ref="AU96:AU159" si="245">IF(MOD($W96,12)=0,AN96-AL96+AR96-AP96+AK96*100,0)</f>
        <v>0</v>
      </c>
      <c r="AV96" s="2">
        <f t="shared" si="236"/>
        <v>38.845655679935589</v>
      </c>
      <c r="AW96" s="1">
        <f t="shared" si="231"/>
        <v>0</v>
      </c>
      <c r="AX96" s="2">
        <f t="shared" si="182"/>
        <v>38.845655679935589</v>
      </c>
      <c r="AY96" s="1">
        <f t="shared" si="237"/>
        <v>0</v>
      </c>
      <c r="AZ96" s="2">
        <f t="shared" si="210"/>
        <v>38.845655679935589</v>
      </c>
      <c r="BA96" s="2">
        <f t="shared" ref="BA96:BA159" si="246">AE96+AN96+AR96+AZ95</f>
        <v>135272.84565567994</v>
      </c>
      <c r="BB96" s="2">
        <f t="shared" si="183"/>
        <v>0</v>
      </c>
      <c r="BC96" s="2">
        <f t="shared" si="211"/>
        <v>839.67573790081565</v>
      </c>
      <c r="BD96" s="2">
        <f t="shared" si="184"/>
        <v>134433.16991777913</v>
      </c>
      <c r="BE96" s="2">
        <f t="shared" si="212"/>
        <v>1320</v>
      </c>
      <c r="BF96" s="2">
        <f t="shared" si="185"/>
        <v>6451.0406745791879</v>
      </c>
      <c r="BG96" s="2">
        <f t="shared" si="186"/>
        <v>126662.12924319995</v>
      </c>
      <c r="BI96" s="8">
        <f t="shared" si="238"/>
        <v>2.9000000000000001E-2</v>
      </c>
      <c r="BJ96" s="5">
        <f t="shared" si="213"/>
        <v>1045</v>
      </c>
      <c r="BK96" s="2">
        <f t="shared" si="214"/>
        <v>104395.5</v>
      </c>
      <c r="BL96" s="2">
        <f t="shared" si="215"/>
        <v>104500</v>
      </c>
      <c r="BM96" s="2">
        <f t="shared" si="187"/>
        <v>104500</v>
      </c>
      <c r="BN96" s="8">
        <f t="shared" si="188"/>
        <v>4.3999999999999997E-2</v>
      </c>
      <c r="BO96" s="2">
        <f t="shared" si="189"/>
        <v>106799</v>
      </c>
      <c r="BP96" s="2" t="str">
        <f t="shared" si="190"/>
        <v>nie</v>
      </c>
      <c r="BQ96" s="2">
        <f t="shared" si="191"/>
        <v>2090</v>
      </c>
      <c r="BR96" s="1">
        <f t="shared" si="239"/>
        <v>104</v>
      </c>
      <c r="BS96" s="1">
        <f t="shared" si="174"/>
        <v>114</v>
      </c>
      <c r="BT96" s="1">
        <f t="shared" si="229"/>
        <v>7</v>
      </c>
      <c r="BU96" s="1">
        <f t="shared" si="167"/>
        <v>48</v>
      </c>
      <c r="BV96" s="2">
        <f t="shared" ref="BV96:BV159" si="247">BR96*100</f>
        <v>10400</v>
      </c>
      <c r="BW96" s="8">
        <f t="shared" si="240"/>
        <v>5.2499999999999998E-2</v>
      </c>
      <c r="BX96" s="2">
        <f t="shared" ref="BX96:BX159" si="248">BV96*(1+BW96*IF(MOD($W96,12)&lt;&gt;0,MOD($W96,12),12)/12)</f>
        <v>10673.000000000002</v>
      </c>
      <c r="BY96" s="2">
        <f t="shared" si="241"/>
        <v>208</v>
      </c>
      <c r="BZ96" s="2">
        <f t="shared" si="120"/>
        <v>16900</v>
      </c>
      <c r="CA96" s="8">
        <f t="shared" si="175"/>
        <v>4.3999999999999997E-2</v>
      </c>
      <c r="CB96" s="2">
        <f t="shared" ref="CB96:CB159" si="249">BZ96*(1+CA96*IF(MOD($W96,12)&lt;&gt;0,MOD($W96,12),12)/12)</f>
        <v>17271.8</v>
      </c>
      <c r="CC96" s="2">
        <f t="shared" si="176"/>
        <v>338</v>
      </c>
      <c r="CD96" s="2">
        <f t="shared" si="192"/>
        <v>0</v>
      </c>
      <c r="CE96" s="2">
        <f t="shared" ref="CE96:CE159" si="250">IF(MOD($W96,12)=0,BX96-BV96+CB96-BZ96+BU96*100,0)</f>
        <v>0</v>
      </c>
      <c r="CF96" s="2">
        <f t="shared" ref="CF96:CF159" si="251">CJ95+CD96+CE96</f>
        <v>15.650000000000546</v>
      </c>
      <c r="CG96" s="1">
        <f t="shared" si="232"/>
        <v>0</v>
      </c>
      <c r="CH96" s="2">
        <f t="shared" si="193"/>
        <v>15.650000000000546</v>
      </c>
      <c r="CI96" s="1">
        <f t="shared" si="242"/>
        <v>0</v>
      </c>
      <c r="CJ96" s="2">
        <f t="shared" ref="CJ96:CJ159" si="252">CH96-CI96*100</f>
        <v>15.650000000000546</v>
      </c>
      <c r="CK96" s="2">
        <f t="shared" ref="CK96:CK159" si="253">BO96+BX96+CB96+CJ95</f>
        <v>134759.44999999998</v>
      </c>
      <c r="CL96" s="2">
        <f t="shared" si="194"/>
        <v>0</v>
      </c>
      <c r="CM96" s="2">
        <f t="shared" si="216"/>
        <v>838.09695999999997</v>
      </c>
      <c r="CN96" s="2">
        <f t="shared" si="195"/>
        <v>133921.35303999999</v>
      </c>
      <c r="CO96" s="2">
        <f t="shared" si="217"/>
        <v>2636</v>
      </c>
      <c r="CP96" s="2">
        <f t="shared" si="196"/>
        <v>6103.4554999999964</v>
      </c>
      <c r="CQ96" s="2">
        <f t="shared" si="197"/>
        <v>125181.89753999999</v>
      </c>
      <c r="CS96" s="5">
        <f t="shared" si="218"/>
        <v>1000</v>
      </c>
      <c r="CT96" s="2">
        <f t="shared" si="219"/>
        <v>100000</v>
      </c>
      <c r="CU96" s="2">
        <f t="shared" si="220"/>
        <v>100000</v>
      </c>
      <c r="CV96" s="2">
        <f t="shared" si="221"/>
        <v>134325.29932778631</v>
      </c>
      <c r="CW96" s="8">
        <f t="shared" si="198"/>
        <v>4.9000000000000002E-2</v>
      </c>
      <c r="CX96" s="2">
        <f t="shared" si="199"/>
        <v>137616.26916131706</v>
      </c>
      <c r="CY96" s="2" t="str">
        <f t="shared" si="200"/>
        <v>nie</v>
      </c>
      <c r="CZ96" s="2">
        <f t="shared" si="222"/>
        <v>0</v>
      </c>
      <c r="DA96" s="2">
        <f t="shared" si="223"/>
        <v>0</v>
      </c>
      <c r="DB96" s="2">
        <f t="shared" si="224"/>
        <v>137616.26916131706</v>
      </c>
      <c r="DC96" s="2">
        <f t="shared" si="201"/>
        <v>0</v>
      </c>
      <c r="DD96" s="2">
        <f t="shared" si="225"/>
        <v>850.59549245391099</v>
      </c>
      <c r="DE96" s="2">
        <f t="shared" si="226"/>
        <v>136765.67366886314</v>
      </c>
      <c r="DF96" s="2">
        <f t="shared" si="202"/>
        <v>3000</v>
      </c>
      <c r="DG96" s="2">
        <f t="shared" si="203"/>
        <v>6577.0911406502419</v>
      </c>
      <c r="DH96" s="2">
        <f t="shared" si="227"/>
        <v>127188.58252821289</v>
      </c>
    </row>
    <row r="97" spans="2:112">
      <c r="B97" s="231">
        <f>ROUNDUP(C98/12,0)</f>
        <v>6</v>
      </c>
      <c r="C97" s="3">
        <f t="shared" si="168"/>
        <v>60</v>
      </c>
      <c r="D97" s="10">
        <f t="shared" si="105"/>
        <v>125763.41969688596</v>
      </c>
      <c r="E97" s="10">
        <f t="shared" si="106"/>
        <v>119808.21632508597</v>
      </c>
      <c r="F97" s="10">
        <f t="shared" si="107"/>
        <v>125480.52618</v>
      </c>
      <c r="G97" s="10">
        <f t="shared" si="108"/>
        <v>118567.66068</v>
      </c>
      <c r="H97" s="10">
        <f t="shared" si="109"/>
        <v>127361.40452144518</v>
      </c>
      <c r="I97" s="10">
        <f t="shared" si="110"/>
        <v>119601.75068705108</v>
      </c>
      <c r="J97" s="10">
        <f t="shared" si="169"/>
        <v>119958.27248649219</v>
      </c>
      <c r="K97" s="10">
        <f t="shared" si="170"/>
        <v>115365.74469161486</v>
      </c>
      <c r="W97" s="1">
        <f t="shared" si="204"/>
        <v>79</v>
      </c>
      <c r="X97" s="2">
        <f t="shared" si="177"/>
        <v>120719.55164695482</v>
      </c>
      <c r="Y97" s="8">
        <f t="shared" si="230"/>
        <v>4.3200000000000002E-2</v>
      </c>
      <c r="Z97" s="5">
        <f t="shared" si="205"/>
        <v>1320</v>
      </c>
      <c r="AA97" s="2">
        <f t="shared" si="206"/>
        <v>131868</v>
      </c>
      <c r="AB97" s="2">
        <f t="shared" si="207"/>
        <v>132000</v>
      </c>
      <c r="AC97" s="2">
        <f t="shared" si="208"/>
        <v>132000</v>
      </c>
      <c r="AD97" s="8">
        <f t="shared" si="178"/>
        <v>4.9000000000000002E-2</v>
      </c>
      <c r="AE97" s="2">
        <f t="shared" si="179"/>
        <v>135773</v>
      </c>
      <c r="AF97" s="2" t="str">
        <f t="shared" si="180"/>
        <v>nie</v>
      </c>
      <c r="AG97" s="2">
        <f t="shared" si="181"/>
        <v>1320</v>
      </c>
      <c r="AH97" s="1">
        <f t="shared" si="233"/>
        <v>0</v>
      </c>
      <c r="AI97" s="1">
        <f t="shared" si="171"/>
        <v>0</v>
      </c>
      <c r="AJ97" s="1">
        <f t="shared" si="228"/>
        <v>0</v>
      </c>
      <c r="AK97" s="1">
        <f t="shared" si="166"/>
        <v>0</v>
      </c>
      <c r="AL97" s="2">
        <f t="shared" si="243"/>
        <v>0</v>
      </c>
      <c r="AM97" s="8">
        <f t="shared" si="234"/>
        <v>4.9000000000000002E-2</v>
      </c>
      <c r="AN97" s="2">
        <f t="shared" si="244"/>
        <v>0</v>
      </c>
      <c r="AO97" s="2">
        <f t="shared" si="235"/>
        <v>0</v>
      </c>
      <c r="AP97" s="2">
        <f t="shared" si="119"/>
        <v>0</v>
      </c>
      <c r="AQ97" s="8">
        <f t="shared" si="172"/>
        <v>4.3200000000000002E-2</v>
      </c>
      <c r="AR97" s="2">
        <f t="shared" si="113"/>
        <v>0</v>
      </c>
      <c r="AS97" s="2">
        <f t="shared" si="173"/>
        <v>0</v>
      </c>
      <c r="AT97" s="2">
        <f t="shared" si="209"/>
        <v>0</v>
      </c>
      <c r="AU97" s="2">
        <f t="shared" si="245"/>
        <v>0</v>
      </c>
      <c r="AV97" s="2">
        <f t="shared" si="236"/>
        <v>38.845655679935589</v>
      </c>
      <c r="AW97" s="1">
        <f t="shared" si="231"/>
        <v>0</v>
      </c>
      <c r="AX97" s="2">
        <f t="shared" si="182"/>
        <v>38.845655679935589</v>
      </c>
      <c r="AY97" s="1">
        <f t="shared" si="237"/>
        <v>0</v>
      </c>
      <c r="AZ97" s="2">
        <f t="shared" si="210"/>
        <v>38.845655679935589</v>
      </c>
      <c r="BA97" s="2">
        <f t="shared" si="246"/>
        <v>135811.84565567994</v>
      </c>
      <c r="BB97" s="2">
        <f t="shared" si="183"/>
        <v>0</v>
      </c>
      <c r="BC97" s="2">
        <f t="shared" si="211"/>
        <v>839.67573790081565</v>
      </c>
      <c r="BD97" s="2">
        <f t="shared" si="184"/>
        <v>134972.16991777913</v>
      </c>
      <c r="BE97" s="2">
        <f t="shared" si="212"/>
        <v>1320</v>
      </c>
      <c r="BF97" s="2">
        <f t="shared" si="185"/>
        <v>6553.4506745791878</v>
      </c>
      <c r="BG97" s="2">
        <f t="shared" si="186"/>
        <v>127098.71924319994</v>
      </c>
      <c r="BI97" s="8">
        <f t="shared" si="238"/>
        <v>2.9000000000000001E-2</v>
      </c>
      <c r="BJ97" s="5">
        <f t="shared" si="213"/>
        <v>1045</v>
      </c>
      <c r="BK97" s="2">
        <f t="shared" si="214"/>
        <v>104395.5</v>
      </c>
      <c r="BL97" s="2">
        <f t="shared" si="215"/>
        <v>104500</v>
      </c>
      <c r="BM97" s="2">
        <f t="shared" si="187"/>
        <v>104500</v>
      </c>
      <c r="BN97" s="8">
        <f t="shared" si="188"/>
        <v>4.3999999999999997E-2</v>
      </c>
      <c r="BO97" s="2">
        <f t="shared" si="189"/>
        <v>107182.16666666667</v>
      </c>
      <c r="BP97" s="2" t="str">
        <f t="shared" si="190"/>
        <v>nie</v>
      </c>
      <c r="BQ97" s="2">
        <f t="shared" si="191"/>
        <v>2090</v>
      </c>
      <c r="BR97" s="1">
        <f t="shared" si="239"/>
        <v>104</v>
      </c>
      <c r="BS97" s="1">
        <f t="shared" si="174"/>
        <v>114</v>
      </c>
      <c r="BT97" s="1">
        <f t="shared" si="229"/>
        <v>7</v>
      </c>
      <c r="BU97" s="1">
        <f t="shared" si="167"/>
        <v>48</v>
      </c>
      <c r="BV97" s="2">
        <f t="shared" si="247"/>
        <v>10400</v>
      </c>
      <c r="BW97" s="8">
        <f t="shared" si="240"/>
        <v>5.2499999999999998E-2</v>
      </c>
      <c r="BX97" s="2">
        <f t="shared" si="248"/>
        <v>10718.499999999998</v>
      </c>
      <c r="BY97" s="2">
        <f t="shared" si="241"/>
        <v>208</v>
      </c>
      <c r="BZ97" s="2">
        <f t="shared" si="120"/>
        <v>16900</v>
      </c>
      <c r="CA97" s="8">
        <f t="shared" si="175"/>
        <v>4.3999999999999997E-2</v>
      </c>
      <c r="CB97" s="2">
        <f t="shared" si="249"/>
        <v>17333.766666666666</v>
      </c>
      <c r="CC97" s="2">
        <f t="shared" si="176"/>
        <v>338</v>
      </c>
      <c r="CD97" s="2">
        <f t="shared" si="192"/>
        <v>0</v>
      </c>
      <c r="CE97" s="2">
        <f t="shared" si="250"/>
        <v>0</v>
      </c>
      <c r="CF97" s="2">
        <f t="shared" si="251"/>
        <v>15.650000000000546</v>
      </c>
      <c r="CG97" s="1">
        <f t="shared" si="232"/>
        <v>0</v>
      </c>
      <c r="CH97" s="2">
        <f t="shared" si="193"/>
        <v>15.650000000000546</v>
      </c>
      <c r="CI97" s="1">
        <f t="shared" si="242"/>
        <v>0</v>
      </c>
      <c r="CJ97" s="2">
        <f t="shared" si="252"/>
        <v>15.650000000000546</v>
      </c>
      <c r="CK97" s="2">
        <f t="shared" si="253"/>
        <v>135250.08333333334</v>
      </c>
      <c r="CL97" s="2">
        <f t="shared" si="194"/>
        <v>0</v>
      </c>
      <c r="CM97" s="2">
        <f t="shared" si="216"/>
        <v>838.09695999999997</v>
      </c>
      <c r="CN97" s="2">
        <f t="shared" si="195"/>
        <v>134411.98637333335</v>
      </c>
      <c r="CO97" s="2">
        <f t="shared" si="217"/>
        <v>2636</v>
      </c>
      <c r="CP97" s="2">
        <f t="shared" si="196"/>
        <v>6196.6758333333355</v>
      </c>
      <c r="CQ97" s="2">
        <f t="shared" si="197"/>
        <v>125579.31054000001</v>
      </c>
      <c r="CS97" s="5">
        <f t="shared" si="218"/>
        <v>1000</v>
      </c>
      <c r="CT97" s="2">
        <f t="shared" si="219"/>
        <v>100000</v>
      </c>
      <c r="CU97" s="2">
        <f t="shared" si="220"/>
        <v>100000</v>
      </c>
      <c r="CV97" s="2">
        <f t="shared" si="221"/>
        <v>134325.29932778631</v>
      </c>
      <c r="CW97" s="8">
        <f t="shared" si="198"/>
        <v>4.9000000000000002E-2</v>
      </c>
      <c r="CX97" s="2">
        <f t="shared" si="199"/>
        <v>138164.76413357223</v>
      </c>
      <c r="CY97" s="2" t="str">
        <f t="shared" si="200"/>
        <v>nie</v>
      </c>
      <c r="CZ97" s="2">
        <f t="shared" si="222"/>
        <v>0</v>
      </c>
      <c r="DA97" s="2">
        <f t="shared" si="223"/>
        <v>0</v>
      </c>
      <c r="DB97" s="2">
        <f t="shared" si="224"/>
        <v>138164.76413357223</v>
      </c>
      <c r="DC97" s="2">
        <f t="shared" si="201"/>
        <v>0</v>
      </c>
      <c r="DD97" s="2">
        <f t="shared" si="225"/>
        <v>850.59549245391099</v>
      </c>
      <c r="DE97" s="2">
        <f t="shared" si="226"/>
        <v>137314.16864111833</v>
      </c>
      <c r="DF97" s="2">
        <f t="shared" si="202"/>
        <v>3000</v>
      </c>
      <c r="DG97" s="2">
        <f t="shared" si="203"/>
        <v>6681.3051853787238</v>
      </c>
      <c r="DH97" s="2">
        <f t="shared" si="227"/>
        <v>127632.86345573961</v>
      </c>
    </row>
    <row r="98" spans="2:112">
      <c r="B98" s="232"/>
      <c r="C98" s="1">
        <f t="shared" si="168"/>
        <v>61</v>
      </c>
      <c r="D98" s="2">
        <f t="shared" si="105"/>
        <v>126279.70033606098</v>
      </c>
      <c r="E98" s="2">
        <f t="shared" si="106"/>
        <v>120226.40364281774</v>
      </c>
      <c r="F98" s="2">
        <f t="shared" si="107"/>
        <v>125956.16784666666</v>
      </c>
      <c r="G98" s="2">
        <f t="shared" si="108"/>
        <v>118996.77168000001</v>
      </c>
      <c r="H98" s="2">
        <f t="shared" si="109"/>
        <v>127884.27866086857</v>
      </c>
      <c r="I98" s="2">
        <f t="shared" si="110"/>
        <v>120025.27873998403</v>
      </c>
      <c r="J98" s="2">
        <f t="shared" si="169"/>
        <v>120322.64573916991</v>
      </c>
      <c r="K98" s="2">
        <f t="shared" si="170"/>
        <v>115644.54524128627</v>
      </c>
      <c r="W98" s="1">
        <f t="shared" si="204"/>
        <v>80</v>
      </c>
      <c r="X98" s="2">
        <f t="shared" si="177"/>
        <v>121006.43741256669</v>
      </c>
      <c r="Y98" s="8">
        <f t="shared" si="230"/>
        <v>4.3200000000000002E-2</v>
      </c>
      <c r="Z98" s="5">
        <f t="shared" si="205"/>
        <v>1320</v>
      </c>
      <c r="AA98" s="2">
        <f t="shared" si="206"/>
        <v>131868</v>
      </c>
      <c r="AB98" s="2">
        <f t="shared" si="207"/>
        <v>132000</v>
      </c>
      <c r="AC98" s="2">
        <f t="shared" si="208"/>
        <v>132000</v>
      </c>
      <c r="AD98" s="8">
        <f t="shared" si="178"/>
        <v>4.9000000000000002E-2</v>
      </c>
      <c r="AE98" s="2">
        <f t="shared" si="179"/>
        <v>136312</v>
      </c>
      <c r="AF98" s="2" t="str">
        <f t="shared" si="180"/>
        <v>nie</v>
      </c>
      <c r="AG98" s="2">
        <f t="shared" si="181"/>
        <v>1320</v>
      </c>
      <c r="AH98" s="1">
        <f t="shared" si="233"/>
        <v>0</v>
      </c>
      <c r="AI98" s="1">
        <f t="shared" si="171"/>
        <v>0</v>
      </c>
      <c r="AJ98" s="1">
        <f t="shared" si="228"/>
        <v>0</v>
      </c>
      <c r="AK98" s="1">
        <f t="shared" si="166"/>
        <v>0</v>
      </c>
      <c r="AL98" s="2">
        <f t="shared" si="243"/>
        <v>0</v>
      </c>
      <c r="AM98" s="8">
        <f t="shared" si="234"/>
        <v>4.9000000000000002E-2</v>
      </c>
      <c r="AN98" s="2">
        <f t="shared" si="244"/>
        <v>0</v>
      </c>
      <c r="AO98" s="2">
        <f t="shared" si="235"/>
        <v>0</v>
      </c>
      <c r="AP98" s="2">
        <f t="shared" si="119"/>
        <v>0</v>
      </c>
      <c r="AQ98" s="8">
        <f t="shared" si="172"/>
        <v>4.3200000000000002E-2</v>
      </c>
      <c r="AR98" s="2">
        <f t="shared" si="113"/>
        <v>0</v>
      </c>
      <c r="AS98" s="2">
        <f t="shared" si="173"/>
        <v>0</v>
      </c>
      <c r="AT98" s="2">
        <f t="shared" si="209"/>
        <v>0</v>
      </c>
      <c r="AU98" s="2">
        <f t="shared" si="245"/>
        <v>0</v>
      </c>
      <c r="AV98" s="2">
        <f t="shared" si="236"/>
        <v>38.845655679935589</v>
      </c>
      <c r="AW98" s="1">
        <f t="shared" si="231"/>
        <v>0</v>
      </c>
      <c r="AX98" s="2">
        <f t="shared" si="182"/>
        <v>38.845655679935589</v>
      </c>
      <c r="AY98" s="1">
        <f t="shared" si="237"/>
        <v>0</v>
      </c>
      <c r="AZ98" s="2">
        <f t="shared" si="210"/>
        <v>38.845655679935589</v>
      </c>
      <c r="BA98" s="2">
        <f t="shared" si="246"/>
        <v>136350.84565567994</v>
      </c>
      <c r="BB98" s="2">
        <f t="shared" si="183"/>
        <v>0</v>
      </c>
      <c r="BC98" s="2">
        <f t="shared" si="211"/>
        <v>839.67573790081565</v>
      </c>
      <c r="BD98" s="2">
        <f t="shared" si="184"/>
        <v>135511.16991777913</v>
      </c>
      <c r="BE98" s="2">
        <f t="shared" si="212"/>
        <v>1320</v>
      </c>
      <c r="BF98" s="2">
        <f t="shared" si="185"/>
        <v>6655.8606745791876</v>
      </c>
      <c r="BG98" s="2">
        <f t="shared" si="186"/>
        <v>127535.30924319994</v>
      </c>
      <c r="BI98" s="8">
        <f t="shared" si="238"/>
        <v>2.9000000000000001E-2</v>
      </c>
      <c r="BJ98" s="5">
        <f t="shared" si="213"/>
        <v>1045</v>
      </c>
      <c r="BK98" s="2">
        <f t="shared" si="214"/>
        <v>104395.5</v>
      </c>
      <c r="BL98" s="2">
        <f t="shared" si="215"/>
        <v>104500</v>
      </c>
      <c r="BM98" s="2">
        <f t="shared" si="187"/>
        <v>104500</v>
      </c>
      <c r="BN98" s="8">
        <f t="shared" si="188"/>
        <v>4.3999999999999997E-2</v>
      </c>
      <c r="BO98" s="2">
        <f t="shared" si="189"/>
        <v>107565.33333333334</v>
      </c>
      <c r="BP98" s="2" t="str">
        <f t="shared" si="190"/>
        <v>nie</v>
      </c>
      <c r="BQ98" s="2">
        <f t="shared" si="191"/>
        <v>2090</v>
      </c>
      <c r="BR98" s="1">
        <f t="shared" si="239"/>
        <v>104</v>
      </c>
      <c r="BS98" s="1">
        <f t="shared" si="174"/>
        <v>114</v>
      </c>
      <c r="BT98" s="1">
        <f t="shared" si="229"/>
        <v>7</v>
      </c>
      <c r="BU98" s="1">
        <f t="shared" si="167"/>
        <v>48</v>
      </c>
      <c r="BV98" s="2">
        <f t="shared" si="247"/>
        <v>10400</v>
      </c>
      <c r="BW98" s="8">
        <f t="shared" si="240"/>
        <v>5.2499999999999998E-2</v>
      </c>
      <c r="BX98" s="2">
        <f t="shared" si="248"/>
        <v>10764</v>
      </c>
      <c r="BY98" s="2">
        <f t="shared" si="241"/>
        <v>208</v>
      </c>
      <c r="BZ98" s="2">
        <f t="shared" si="120"/>
        <v>16900</v>
      </c>
      <c r="CA98" s="8">
        <f t="shared" si="175"/>
        <v>4.3999999999999997E-2</v>
      </c>
      <c r="CB98" s="2">
        <f t="shared" si="249"/>
        <v>17395.733333333334</v>
      </c>
      <c r="CC98" s="2">
        <f t="shared" si="176"/>
        <v>338</v>
      </c>
      <c r="CD98" s="2">
        <f t="shared" si="192"/>
        <v>0</v>
      </c>
      <c r="CE98" s="2">
        <f t="shared" si="250"/>
        <v>0</v>
      </c>
      <c r="CF98" s="2">
        <f t="shared" si="251"/>
        <v>15.650000000000546</v>
      </c>
      <c r="CG98" s="1">
        <f t="shared" si="232"/>
        <v>0</v>
      </c>
      <c r="CH98" s="2">
        <f t="shared" si="193"/>
        <v>15.650000000000546</v>
      </c>
      <c r="CI98" s="1">
        <f t="shared" si="242"/>
        <v>0</v>
      </c>
      <c r="CJ98" s="2">
        <f t="shared" si="252"/>
        <v>15.650000000000546</v>
      </c>
      <c r="CK98" s="2">
        <f t="shared" si="253"/>
        <v>135740.71666666667</v>
      </c>
      <c r="CL98" s="2">
        <f t="shared" si="194"/>
        <v>0</v>
      </c>
      <c r="CM98" s="2">
        <f t="shared" si="216"/>
        <v>838.09695999999997</v>
      </c>
      <c r="CN98" s="2">
        <f t="shared" si="195"/>
        <v>134902.61970666668</v>
      </c>
      <c r="CO98" s="2">
        <f t="shared" si="217"/>
        <v>2636</v>
      </c>
      <c r="CP98" s="2">
        <f t="shared" si="196"/>
        <v>6289.8961666666683</v>
      </c>
      <c r="CQ98" s="2">
        <f t="shared" si="197"/>
        <v>125976.72354000001</v>
      </c>
      <c r="CS98" s="5">
        <f t="shared" si="218"/>
        <v>1000</v>
      </c>
      <c r="CT98" s="2">
        <f t="shared" si="219"/>
        <v>100000</v>
      </c>
      <c r="CU98" s="2">
        <f t="shared" si="220"/>
        <v>100000</v>
      </c>
      <c r="CV98" s="2">
        <f t="shared" si="221"/>
        <v>134325.29932778631</v>
      </c>
      <c r="CW98" s="8">
        <f t="shared" si="198"/>
        <v>4.9000000000000002E-2</v>
      </c>
      <c r="CX98" s="2">
        <f t="shared" si="199"/>
        <v>138713.25910582734</v>
      </c>
      <c r="CY98" s="2" t="str">
        <f t="shared" si="200"/>
        <v>nie</v>
      </c>
      <c r="CZ98" s="2">
        <f t="shared" si="222"/>
        <v>0</v>
      </c>
      <c r="DA98" s="2">
        <f t="shared" si="223"/>
        <v>0</v>
      </c>
      <c r="DB98" s="2">
        <f t="shared" si="224"/>
        <v>138713.25910582734</v>
      </c>
      <c r="DC98" s="2">
        <f t="shared" si="201"/>
        <v>0</v>
      </c>
      <c r="DD98" s="2">
        <f t="shared" si="225"/>
        <v>850.59549245391099</v>
      </c>
      <c r="DE98" s="2">
        <f t="shared" si="226"/>
        <v>137862.66361337341</v>
      </c>
      <c r="DF98" s="2">
        <f t="shared" si="202"/>
        <v>3000</v>
      </c>
      <c r="DG98" s="2">
        <f t="shared" si="203"/>
        <v>6785.5192301071947</v>
      </c>
      <c r="DH98" s="2">
        <f t="shared" si="227"/>
        <v>128077.14438326622</v>
      </c>
    </row>
    <row r="99" spans="2:112">
      <c r="B99" s="232"/>
      <c r="C99" s="1">
        <f t="shared" si="168"/>
        <v>62</v>
      </c>
      <c r="D99" s="2">
        <f t="shared" si="105"/>
        <v>126795.98097523596</v>
      </c>
      <c r="E99" s="2">
        <f t="shared" si="106"/>
        <v>120644.59096054947</v>
      </c>
      <c r="F99" s="2">
        <f t="shared" si="107"/>
        <v>126426.60951333334</v>
      </c>
      <c r="G99" s="2">
        <f t="shared" si="108"/>
        <v>119337.43068</v>
      </c>
      <c r="H99" s="2">
        <f t="shared" si="109"/>
        <v>128407.15280029194</v>
      </c>
      <c r="I99" s="2">
        <f t="shared" si="110"/>
        <v>120448.80679291696</v>
      </c>
      <c r="J99" s="2">
        <f t="shared" si="169"/>
        <v>120688.12577560265</v>
      </c>
      <c r="K99" s="2">
        <f t="shared" si="170"/>
        <v>115923.34579095765</v>
      </c>
      <c r="W99" s="1">
        <f t="shared" si="204"/>
        <v>81</v>
      </c>
      <c r="X99" s="2">
        <f t="shared" si="177"/>
        <v>121293.32317817856</v>
      </c>
      <c r="Y99" s="8">
        <f t="shared" si="230"/>
        <v>4.3200000000000002E-2</v>
      </c>
      <c r="Z99" s="5">
        <f t="shared" si="205"/>
        <v>1320</v>
      </c>
      <c r="AA99" s="2">
        <f t="shared" si="206"/>
        <v>131868</v>
      </c>
      <c r="AB99" s="2">
        <f t="shared" si="207"/>
        <v>132000</v>
      </c>
      <c r="AC99" s="2">
        <f t="shared" si="208"/>
        <v>132000</v>
      </c>
      <c r="AD99" s="8">
        <f t="shared" si="178"/>
        <v>4.9000000000000002E-2</v>
      </c>
      <c r="AE99" s="2">
        <f t="shared" si="179"/>
        <v>136851</v>
      </c>
      <c r="AF99" s="2" t="str">
        <f t="shared" si="180"/>
        <v>nie</v>
      </c>
      <c r="AG99" s="2">
        <f t="shared" si="181"/>
        <v>1320</v>
      </c>
      <c r="AH99" s="1">
        <f t="shared" si="233"/>
        <v>0</v>
      </c>
      <c r="AI99" s="1">
        <f t="shared" si="171"/>
        <v>0</v>
      </c>
      <c r="AJ99" s="1">
        <f t="shared" si="228"/>
        <v>0</v>
      </c>
      <c r="AK99" s="1">
        <f t="shared" ref="AK99:AK130" si="254">IF(zapadalnosc_TOS/12&gt;=AK$18,AJ87,0)</f>
        <v>0</v>
      </c>
      <c r="AL99" s="2">
        <f t="shared" si="243"/>
        <v>0</v>
      </c>
      <c r="AM99" s="8">
        <f t="shared" si="234"/>
        <v>4.9000000000000002E-2</v>
      </c>
      <c r="AN99" s="2">
        <f t="shared" si="244"/>
        <v>0</v>
      </c>
      <c r="AO99" s="2">
        <f t="shared" si="235"/>
        <v>0</v>
      </c>
      <c r="AP99" s="2">
        <f t="shared" si="119"/>
        <v>0</v>
      </c>
      <c r="AQ99" s="8">
        <f t="shared" si="172"/>
        <v>4.3200000000000002E-2</v>
      </c>
      <c r="AR99" s="2">
        <f t="shared" si="113"/>
        <v>0</v>
      </c>
      <c r="AS99" s="2">
        <f t="shared" si="173"/>
        <v>0</v>
      </c>
      <c r="AT99" s="2">
        <f t="shared" si="209"/>
        <v>0</v>
      </c>
      <c r="AU99" s="2">
        <f t="shared" si="245"/>
        <v>0</v>
      </c>
      <c r="AV99" s="2">
        <f t="shared" si="236"/>
        <v>38.845655679935589</v>
      </c>
      <c r="AW99" s="1">
        <f t="shared" si="231"/>
        <v>0</v>
      </c>
      <c r="AX99" s="2">
        <f t="shared" si="182"/>
        <v>38.845655679935589</v>
      </c>
      <c r="AY99" s="1">
        <f t="shared" si="237"/>
        <v>0</v>
      </c>
      <c r="AZ99" s="2">
        <f t="shared" si="210"/>
        <v>38.845655679935589</v>
      </c>
      <c r="BA99" s="2">
        <f t="shared" si="246"/>
        <v>136889.84565567994</v>
      </c>
      <c r="BB99" s="2">
        <f t="shared" si="183"/>
        <v>0</v>
      </c>
      <c r="BC99" s="2">
        <f t="shared" si="211"/>
        <v>839.67573790081565</v>
      </c>
      <c r="BD99" s="2">
        <f t="shared" si="184"/>
        <v>136050.16991777913</v>
      </c>
      <c r="BE99" s="2">
        <f t="shared" si="212"/>
        <v>1320</v>
      </c>
      <c r="BF99" s="2">
        <f t="shared" si="185"/>
        <v>6758.2706745791875</v>
      </c>
      <c r="BG99" s="2">
        <f t="shared" si="186"/>
        <v>127971.89924319994</v>
      </c>
      <c r="BI99" s="8">
        <f t="shared" si="238"/>
        <v>2.9000000000000001E-2</v>
      </c>
      <c r="BJ99" s="5">
        <f t="shared" si="213"/>
        <v>1045</v>
      </c>
      <c r="BK99" s="2">
        <f t="shared" si="214"/>
        <v>104395.5</v>
      </c>
      <c r="BL99" s="2">
        <f t="shared" si="215"/>
        <v>104500</v>
      </c>
      <c r="BM99" s="2">
        <f t="shared" si="187"/>
        <v>104500</v>
      </c>
      <c r="BN99" s="8">
        <f t="shared" si="188"/>
        <v>4.3999999999999997E-2</v>
      </c>
      <c r="BO99" s="2">
        <f t="shared" si="189"/>
        <v>107948.49999999999</v>
      </c>
      <c r="BP99" s="2" t="str">
        <f t="shared" si="190"/>
        <v>nie</v>
      </c>
      <c r="BQ99" s="2">
        <f t="shared" si="191"/>
        <v>2090</v>
      </c>
      <c r="BR99" s="1">
        <f t="shared" si="239"/>
        <v>104</v>
      </c>
      <c r="BS99" s="1">
        <f t="shared" si="174"/>
        <v>114</v>
      </c>
      <c r="BT99" s="1">
        <f t="shared" si="229"/>
        <v>7</v>
      </c>
      <c r="BU99" s="1">
        <f t="shared" ref="BU99:BU130" si="255">IF(zapadalnosc_COI/12&gt;=BU$18,BT87,0)</f>
        <v>48</v>
      </c>
      <c r="BV99" s="2">
        <f t="shared" si="247"/>
        <v>10400</v>
      </c>
      <c r="BW99" s="8">
        <f t="shared" si="240"/>
        <v>5.2499999999999998E-2</v>
      </c>
      <c r="BX99" s="2">
        <f t="shared" si="248"/>
        <v>10809.5</v>
      </c>
      <c r="BY99" s="2">
        <f t="shared" si="241"/>
        <v>208</v>
      </c>
      <c r="BZ99" s="2">
        <f t="shared" si="120"/>
        <v>16900</v>
      </c>
      <c r="CA99" s="8">
        <f t="shared" si="175"/>
        <v>4.3999999999999997E-2</v>
      </c>
      <c r="CB99" s="2">
        <f t="shared" si="249"/>
        <v>17457.699999999997</v>
      </c>
      <c r="CC99" s="2">
        <f t="shared" si="176"/>
        <v>338</v>
      </c>
      <c r="CD99" s="2">
        <f t="shared" si="192"/>
        <v>0</v>
      </c>
      <c r="CE99" s="2">
        <f t="shared" si="250"/>
        <v>0</v>
      </c>
      <c r="CF99" s="2">
        <f t="shared" si="251"/>
        <v>15.650000000000546</v>
      </c>
      <c r="CG99" s="1">
        <f t="shared" si="232"/>
        <v>0</v>
      </c>
      <c r="CH99" s="2">
        <f t="shared" si="193"/>
        <v>15.650000000000546</v>
      </c>
      <c r="CI99" s="1">
        <f t="shared" si="242"/>
        <v>0</v>
      </c>
      <c r="CJ99" s="2">
        <f t="shared" si="252"/>
        <v>15.650000000000546</v>
      </c>
      <c r="CK99" s="2">
        <f t="shared" si="253"/>
        <v>136231.34999999998</v>
      </c>
      <c r="CL99" s="2">
        <f t="shared" si="194"/>
        <v>0</v>
      </c>
      <c r="CM99" s="2">
        <f t="shared" si="216"/>
        <v>838.09695999999997</v>
      </c>
      <c r="CN99" s="2">
        <f t="shared" si="195"/>
        <v>135393.25303999998</v>
      </c>
      <c r="CO99" s="2">
        <f t="shared" si="217"/>
        <v>2636</v>
      </c>
      <c r="CP99" s="2">
        <f t="shared" si="196"/>
        <v>6383.1164999999955</v>
      </c>
      <c r="CQ99" s="2">
        <f t="shared" si="197"/>
        <v>126374.13653999999</v>
      </c>
      <c r="CS99" s="5">
        <f t="shared" si="218"/>
        <v>1000</v>
      </c>
      <c r="CT99" s="2">
        <f t="shared" si="219"/>
        <v>100000</v>
      </c>
      <c r="CU99" s="2">
        <f t="shared" si="220"/>
        <v>100000</v>
      </c>
      <c r="CV99" s="2">
        <f t="shared" si="221"/>
        <v>134325.29932778631</v>
      </c>
      <c r="CW99" s="8">
        <f t="shared" si="198"/>
        <v>4.9000000000000002E-2</v>
      </c>
      <c r="CX99" s="2">
        <f t="shared" si="199"/>
        <v>139261.75407808248</v>
      </c>
      <c r="CY99" s="2" t="str">
        <f t="shared" si="200"/>
        <v>nie</v>
      </c>
      <c r="CZ99" s="2">
        <f t="shared" si="222"/>
        <v>0</v>
      </c>
      <c r="DA99" s="2">
        <f t="shared" si="223"/>
        <v>0</v>
      </c>
      <c r="DB99" s="2">
        <f t="shared" si="224"/>
        <v>139261.75407808248</v>
      </c>
      <c r="DC99" s="2">
        <f t="shared" si="201"/>
        <v>0</v>
      </c>
      <c r="DD99" s="2">
        <f t="shared" si="225"/>
        <v>850.59549245391099</v>
      </c>
      <c r="DE99" s="2">
        <f t="shared" si="226"/>
        <v>138411.15858562855</v>
      </c>
      <c r="DF99" s="2">
        <f t="shared" si="202"/>
        <v>3000</v>
      </c>
      <c r="DG99" s="2">
        <f t="shared" si="203"/>
        <v>6889.7332748356712</v>
      </c>
      <c r="DH99" s="2">
        <f t="shared" si="227"/>
        <v>128521.42531079288</v>
      </c>
    </row>
    <row r="100" spans="2:112">
      <c r="B100" s="232"/>
      <c r="C100" s="1">
        <f t="shared" si="168"/>
        <v>63</v>
      </c>
      <c r="D100" s="2">
        <f t="shared" si="105"/>
        <v>127312.26161441098</v>
      </c>
      <c r="E100" s="2">
        <f t="shared" si="106"/>
        <v>121062.77827828123</v>
      </c>
      <c r="F100" s="2">
        <f t="shared" si="107"/>
        <v>126897.05117999998</v>
      </c>
      <c r="G100" s="2">
        <f t="shared" si="108"/>
        <v>119678.08967999999</v>
      </c>
      <c r="H100" s="2">
        <f t="shared" si="109"/>
        <v>128930.02693971533</v>
      </c>
      <c r="I100" s="2">
        <f t="shared" si="110"/>
        <v>120872.33484584991</v>
      </c>
      <c r="J100" s="2">
        <f t="shared" si="169"/>
        <v>121054.71595764604</v>
      </c>
      <c r="K100" s="2">
        <f t="shared" si="170"/>
        <v>116202.14634062907</v>
      </c>
      <c r="W100" s="1">
        <f t="shared" si="204"/>
        <v>82</v>
      </c>
      <c r="X100" s="2">
        <f t="shared" si="177"/>
        <v>121580.20894379044</v>
      </c>
      <c r="Y100" s="8">
        <f t="shared" si="230"/>
        <v>4.3200000000000002E-2</v>
      </c>
      <c r="Z100" s="5">
        <f t="shared" si="205"/>
        <v>1320</v>
      </c>
      <c r="AA100" s="2">
        <f t="shared" si="206"/>
        <v>131868</v>
      </c>
      <c r="AB100" s="2">
        <f t="shared" si="207"/>
        <v>132000</v>
      </c>
      <c r="AC100" s="2">
        <f t="shared" si="208"/>
        <v>132000</v>
      </c>
      <c r="AD100" s="8">
        <f t="shared" si="178"/>
        <v>4.9000000000000002E-2</v>
      </c>
      <c r="AE100" s="2">
        <f t="shared" si="179"/>
        <v>137390</v>
      </c>
      <c r="AF100" s="2" t="str">
        <f t="shared" si="180"/>
        <v>nie</v>
      </c>
      <c r="AG100" s="2">
        <f t="shared" si="181"/>
        <v>1320</v>
      </c>
      <c r="AH100" s="1">
        <f t="shared" si="233"/>
        <v>0</v>
      </c>
      <c r="AI100" s="1">
        <f t="shared" si="171"/>
        <v>0</v>
      </c>
      <c r="AJ100" s="1">
        <f t="shared" si="228"/>
        <v>0</v>
      </c>
      <c r="AK100" s="1">
        <f t="shared" si="254"/>
        <v>0</v>
      </c>
      <c r="AL100" s="2">
        <f t="shared" si="243"/>
        <v>0</v>
      </c>
      <c r="AM100" s="8">
        <f t="shared" si="234"/>
        <v>4.9000000000000002E-2</v>
      </c>
      <c r="AN100" s="2">
        <f t="shared" si="244"/>
        <v>0</v>
      </c>
      <c r="AO100" s="2">
        <f t="shared" si="235"/>
        <v>0</v>
      </c>
      <c r="AP100" s="2">
        <f t="shared" si="119"/>
        <v>0</v>
      </c>
      <c r="AQ100" s="8">
        <f t="shared" si="172"/>
        <v>4.3200000000000002E-2</v>
      </c>
      <c r="AR100" s="2">
        <f t="shared" si="113"/>
        <v>0</v>
      </c>
      <c r="AS100" s="2">
        <f t="shared" si="173"/>
        <v>0</v>
      </c>
      <c r="AT100" s="2">
        <f t="shared" si="209"/>
        <v>0</v>
      </c>
      <c r="AU100" s="2">
        <f t="shared" si="245"/>
        <v>0</v>
      </c>
      <c r="AV100" s="2">
        <f t="shared" si="236"/>
        <v>38.845655679935589</v>
      </c>
      <c r="AW100" s="1">
        <f t="shared" si="231"/>
        <v>0</v>
      </c>
      <c r="AX100" s="2">
        <f t="shared" si="182"/>
        <v>38.845655679935589</v>
      </c>
      <c r="AY100" s="1">
        <f t="shared" si="237"/>
        <v>0</v>
      </c>
      <c r="AZ100" s="2">
        <f t="shared" si="210"/>
        <v>38.845655679935589</v>
      </c>
      <c r="BA100" s="2">
        <f t="shared" si="246"/>
        <v>137428.84565567994</v>
      </c>
      <c r="BB100" s="2">
        <f t="shared" si="183"/>
        <v>0</v>
      </c>
      <c r="BC100" s="2">
        <f t="shared" si="211"/>
        <v>839.67573790081565</v>
      </c>
      <c r="BD100" s="2">
        <f t="shared" si="184"/>
        <v>136589.16991777913</v>
      </c>
      <c r="BE100" s="2">
        <f t="shared" si="212"/>
        <v>1320</v>
      </c>
      <c r="BF100" s="2">
        <f t="shared" si="185"/>
        <v>6860.6806745791882</v>
      </c>
      <c r="BG100" s="2">
        <f t="shared" si="186"/>
        <v>128408.48924319995</v>
      </c>
      <c r="BI100" s="8">
        <f t="shared" si="238"/>
        <v>2.9000000000000001E-2</v>
      </c>
      <c r="BJ100" s="5">
        <f t="shared" si="213"/>
        <v>1045</v>
      </c>
      <c r="BK100" s="2">
        <f t="shared" si="214"/>
        <v>104395.5</v>
      </c>
      <c r="BL100" s="2">
        <f t="shared" si="215"/>
        <v>104500</v>
      </c>
      <c r="BM100" s="2">
        <f t="shared" si="187"/>
        <v>104500</v>
      </c>
      <c r="BN100" s="8">
        <f t="shared" si="188"/>
        <v>4.3999999999999997E-2</v>
      </c>
      <c r="BO100" s="2">
        <f t="shared" si="189"/>
        <v>108331.66666666666</v>
      </c>
      <c r="BP100" s="2" t="str">
        <f t="shared" si="190"/>
        <v>nie</v>
      </c>
      <c r="BQ100" s="2">
        <f t="shared" si="191"/>
        <v>2090</v>
      </c>
      <c r="BR100" s="1">
        <f t="shared" si="239"/>
        <v>104</v>
      </c>
      <c r="BS100" s="1">
        <f t="shared" si="174"/>
        <v>114</v>
      </c>
      <c r="BT100" s="1">
        <f t="shared" si="229"/>
        <v>7</v>
      </c>
      <c r="BU100" s="1">
        <f t="shared" si="255"/>
        <v>48</v>
      </c>
      <c r="BV100" s="2">
        <f t="shared" si="247"/>
        <v>10400</v>
      </c>
      <c r="BW100" s="8">
        <f t="shared" si="240"/>
        <v>5.2499999999999998E-2</v>
      </c>
      <c r="BX100" s="2">
        <f t="shared" si="248"/>
        <v>10855</v>
      </c>
      <c r="BY100" s="2">
        <f t="shared" si="241"/>
        <v>208</v>
      </c>
      <c r="BZ100" s="2">
        <f t="shared" si="120"/>
        <v>16900</v>
      </c>
      <c r="CA100" s="8">
        <f t="shared" si="175"/>
        <v>4.3999999999999997E-2</v>
      </c>
      <c r="CB100" s="2">
        <f t="shared" si="249"/>
        <v>17519.666666666664</v>
      </c>
      <c r="CC100" s="2">
        <f t="shared" si="176"/>
        <v>338</v>
      </c>
      <c r="CD100" s="2">
        <f t="shared" si="192"/>
        <v>0</v>
      </c>
      <c r="CE100" s="2">
        <f t="shared" si="250"/>
        <v>0</v>
      </c>
      <c r="CF100" s="2">
        <f t="shared" si="251"/>
        <v>15.650000000000546</v>
      </c>
      <c r="CG100" s="1">
        <f t="shared" si="232"/>
        <v>0</v>
      </c>
      <c r="CH100" s="2">
        <f t="shared" si="193"/>
        <v>15.650000000000546</v>
      </c>
      <c r="CI100" s="1">
        <f t="shared" si="242"/>
        <v>0</v>
      </c>
      <c r="CJ100" s="2">
        <f t="shared" si="252"/>
        <v>15.650000000000546</v>
      </c>
      <c r="CK100" s="2">
        <f t="shared" si="253"/>
        <v>136721.98333333331</v>
      </c>
      <c r="CL100" s="2">
        <f t="shared" si="194"/>
        <v>0</v>
      </c>
      <c r="CM100" s="2">
        <f t="shared" si="216"/>
        <v>838.09695999999997</v>
      </c>
      <c r="CN100" s="2">
        <f t="shared" si="195"/>
        <v>135883.88637333331</v>
      </c>
      <c r="CO100" s="2">
        <f t="shared" si="217"/>
        <v>2636</v>
      </c>
      <c r="CP100" s="2">
        <f t="shared" si="196"/>
        <v>6476.3368333333283</v>
      </c>
      <c r="CQ100" s="2">
        <f t="shared" si="197"/>
        <v>126771.54953999998</v>
      </c>
      <c r="CS100" s="5">
        <f t="shared" si="218"/>
        <v>1000</v>
      </c>
      <c r="CT100" s="2">
        <f t="shared" si="219"/>
        <v>100000</v>
      </c>
      <c r="CU100" s="2">
        <f t="shared" si="220"/>
        <v>100000</v>
      </c>
      <c r="CV100" s="2">
        <f t="shared" si="221"/>
        <v>134325.29932778631</v>
      </c>
      <c r="CW100" s="8">
        <f t="shared" si="198"/>
        <v>4.9000000000000002E-2</v>
      </c>
      <c r="CX100" s="2">
        <f t="shared" si="199"/>
        <v>139810.24905033759</v>
      </c>
      <c r="CY100" s="2" t="str">
        <f t="shared" si="200"/>
        <v>nie</v>
      </c>
      <c r="CZ100" s="2">
        <f t="shared" si="222"/>
        <v>0</v>
      </c>
      <c r="DA100" s="2">
        <f t="shared" si="223"/>
        <v>0</v>
      </c>
      <c r="DB100" s="2">
        <f t="shared" si="224"/>
        <v>139810.24905033759</v>
      </c>
      <c r="DC100" s="2">
        <f t="shared" si="201"/>
        <v>0</v>
      </c>
      <c r="DD100" s="2">
        <f t="shared" si="225"/>
        <v>850.59549245391099</v>
      </c>
      <c r="DE100" s="2">
        <f t="shared" si="226"/>
        <v>138959.65355788369</v>
      </c>
      <c r="DF100" s="2">
        <f t="shared" si="202"/>
        <v>3000</v>
      </c>
      <c r="DG100" s="2">
        <f t="shared" si="203"/>
        <v>6993.9473195641422</v>
      </c>
      <c r="DH100" s="2">
        <f t="shared" si="227"/>
        <v>128965.70623831954</v>
      </c>
    </row>
    <row r="101" spans="2:112">
      <c r="B101" s="232"/>
      <c r="C101" s="1">
        <f t="shared" si="168"/>
        <v>64</v>
      </c>
      <c r="D101" s="2">
        <f t="shared" si="105"/>
        <v>127828.54225358595</v>
      </c>
      <c r="E101" s="2">
        <f t="shared" si="106"/>
        <v>121480.96559601296</v>
      </c>
      <c r="F101" s="2">
        <f t="shared" si="107"/>
        <v>127367.49284666666</v>
      </c>
      <c r="G101" s="2">
        <f t="shared" si="108"/>
        <v>120018.74867999999</v>
      </c>
      <c r="H101" s="2">
        <f t="shared" si="109"/>
        <v>129452.9010791387</v>
      </c>
      <c r="I101" s="2">
        <f t="shared" si="110"/>
        <v>121295.86289878284</v>
      </c>
      <c r="J101" s="2">
        <f t="shared" si="169"/>
        <v>121422.4196573674</v>
      </c>
      <c r="K101" s="2">
        <f t="shared" si="170"/>
        <v>116480.94689030047</v>
      </c>
      <c r="W101" s="1">
        <f t="shared" si="204"/>
        <v>83</v>
      </c>
      <c r="X101" s="2">
        <f t="shared" si="177"/>
        <v>121867.09470940231</v>
      </c>
      <c r="Y101" s="8">
        <f t="shared" si="230"/>
        <v>4.3200000000000002E-2</v>
      </c>
      <c r="Z101" s="5">
        <f t="shared" si="205"/>
        <v>1320</v>
      </c>
      <c r="AA101" s="2">
        <f t="shared" si="206"/>
        <v>131868</v>
      </c>
      <c r="AB101" s="2">
        <f t="shared" si="207"/>
        <v>132000</v>
      </c>
      <c r="AC101" s="2">
        <f t="shared" si="208"/>
        <v>132000</v>
      </c>
      <c r="AD101" s="8">
        <f t="shared" si="178"/>
        <v>4.9000000000000002E-2</v>
      </c>
      <c r="AE101" s="2">
        <f t="shared" si="179"/>
        <v>137929</v>
      </c>
      <c r="AF101" s="2" t="str">
        <f t="shared" si="180"/>
        <v>nie</v>
      </c>
      <c r="AG101" s="2">
        <f t="shared" si="181"/>
        <v>1320</v>
      </c>
      <c r="AH101" s="1">
        <f t="shared" si="233"/>
        <v>0</v>
      </c>
      <c r="AI101" s="1">
        <f t="shared" si="171"/>
        <v>0</v>
      </c>
      <c r="AJ101" s="1">
        <f t="shared" si="228"/>
        <v>0</v>
      </c>
      <c r="AK101" s="1">
        <f t="shared" si="254"/>
        <v>0</v>
      </c>
      <c r="AL101" s="2">
        <f t="shared" si="243"/>
        <v>0</v>
      </c>
      <c r="AM101" s="8">
        <f t="shared" si="234"/>
        <v>4.9000000000000002E-2</v>
      </c>
      <c r="AN101" s="2">
        <f t="shared" si="244"/>
        <v>0</v>
      </c>
      <c r="AO101" s="2">
        <f t="shared" si="235"/>
        <v>0</v>
      </c>
      <c r="AP101" s="2">
        <f t="shared" si="119"/>
        <v>0</v>
      </c>
      <c r="AQ101" s="8">
        <f t="shared" si="172"/>
        <v>4.3200000000000002E-2</v>
      </c>
      <c r="AR101" s="2">
        <f t="shared" si="113"/>
        <v>0</v>
      </c>
      <c r="AS101" s="2">
        <f t="shared" si="173"/>
        <v>0</v>
      </c>
      <c r="AT101" s="2">
        <f t="shared" si="209"/>
        <v>0</v>
      </c>
      <c r="AU101" s="2">
        <f t="shared" si="245"/>
        <v>0</v>
      </c>
      <c r="AV101" s="2">
        <f t="shared" si="236"/>
        <v>38.845655679935589</v>
      </c>
      <c r="AW101" s="1">
        <f t="shared" si="231"/>
        <v>0</v>
      </c>
      <c r="AX101" s="2">
        <f t="shared" si="182"/>
        <v>38.845655679935589</v>
      </c>
      <c r="AY101" s="1">
        <f t="shared" si="237"/>
        <v>0</v>
      </c>
      <c r="AZ101" s="2">
        <f t="shared" si="210"/>
        <v>38.845655679935589</v>
      </c>
      <c r="BA101" s="2">
        <f t="shared" si="246"/>
        <v>137967.84565567994</v>
      </c>
      <c r="BB101" s="2">
        <f t="shared" si="183"/>
        <v>0</v>
      </c>
      <c r="BC101" s="2">
        <f t="shared" si="211"/>
        <v>839.67573790081565</v>
      </c>
      <c r="BD101" s="2">
        <f t="shared" si="184"/>
        <v>137128.16991777913</v>
      </c>
      <c r="BE101" s="2">
        <f t="shared" si="212"/>
        <v>1320</v>
      </c>
      <c r="BF101" s="2">
        <f t="shared" si="185"/>
        <v>6963.0906745791881</v>
      </c>
      <c r="BG101" s="2">
        <f t="shared" si="186"/>
        <v>128845.07924319994</v>
      </c>
      <c r="BI101" s="8">
        <f t="shared" si="238"/>
        <v>2.9000000000000001E-2</v>
      </c>
      <c r="BJ101" s="5">
        <f t="shared" si="213"/>
        <v>1045</v>
      </c>
      <c r="BK101" s="2">
        <f t="shared" si="214"/>
        <v>104395.5</v>
      </c>
      <c r="BL101" s="2">
        <f t="shared" si="215"/>
        <v>104500</v>
      </c>
      <c r="BM101" s="2">
        <f t="shared" si="187"/>
        <v>104500</v>
      </c>
      <c r="BN101" s="8">
        <f t="shared" si="188"/>
        <v>4.3999999999999997E-2</v>
      </c>
      <c r="BO101" s="2">
        <f t="shared" si="189"/>
        <v>108714.83333333333</v>
      </c>
      <c r="BP101" s="2" t="str">
        <f t="shared" si="190"/>
        <v>nie</v>
      </c>
      <c r="BQ101" s="2">
        <f t="shared" si="191"/>
        <v>2090</v>
      </c>
      <c r="BR101" s="1">
        <f t="shared" si="239"/>
        <v>104</v>
      </c>
      <c r="BS101" s="1">
        <f t="shared" si="174"/>
        <v>114</v>
      </c>
      <c r="BT101" s="1">
        <f t="shared" si="229"/>
        <v>7</v>
      </c>
      <c r="BU101" s="1">
        <f t="shared" si="255"/>
        <v>48</v>
      </c>
      <c r="BV101" s="2">
        <f t="shared" si="247"/>
        <v>10400</v>
      </c>
      <c r="BW101" s="8">
        <f t="shared" si="240"/>
        <v>5.2499999999999998E-2</v>
      </c>
      <c r="BX101" s="2">
        <f t="shared" si="248"/>
        <v>10900.5</v>
      </c>
      <c r="BY101" s="2">
        <f t="shared" si="241"/>
        <v>208</v>
      </c>
      <c r="BZ101" s="2">
        <f t="shared" si="120"/>
        <v>16900</v>
      </c>
      <c r="CA101" s="8">
        <f t="shared" si="175"/>
        <v>4.3999999999999997E-2</v>
      </c>
      <c r="CB101" s="2">
        <f t="shared" si="249"/>
        <v>17581.633333333335</v>
      </c>
      <c r="CC101" s="2">
        <f t="shared" si="176"/>
        <v>338</v>
      </c>
      <c r="CD101" s="2">
        <f t="shared" si="192"/>
        <v>0</v>
      </c>
      <c r="CE101" s="2">
        <f t="shared" si="250"/>
        <v>0</v>
      </c>
      <c r="CF101" s="2">
        <f t="shared" si="251"/>
        <v>15.650000000000546</v>
      </c>
      <c r="CG101" s="1">
        <f t="shared" si="232"/>
        <v>0</v>
      </c>
      <c r="CH101" s="2">
        <f t="shared" si="193"/>
        <v>15.650000000000546</v>
      </c>
      <c r="CI101" s="1">
        <f t="shared" si="242"/>
        <v>0</v>
      </c>
      <c r="CJ101" s="2">
        <f t="shared" si="252"/>
        <v>15.650000000000546</v>
      </c>
      <c r="CK101" s="2">
        <f t="shared" si="253"/>
        <v>137212.61666666667</v>
      </c>
      <c r="CL101" s="2">
        <f t="shared" si="194"/>
        <v>0</v>
      </c>
      <c r="CM101" s="2">
        <f t="shared" si="216"/>
        <v>838.09695999999997</v>
      </c>
      <c r="CN101" s="2">
        <f t="shared" si="195"/>
        <v>136374.51970666667</v>
      </c>
      <c r="CO101" s="2">
        <f t="shared" si="217"/>
        <v>2636</v>
      </c>
      <c r="CP101" s="2">
        <f t="shared" si="196"/>
        <v>6569.5571666666674</v>
      </c>
      <c r="CQ101" s="2">
        <f t="shared" si="197"/>
        <v>127168.96254000001</v>
      </c>
      <c r="CS101" s="5">
        <f t="shared" si="218"/>
        <v>1000</v>
      </c>
      <c r="CT101" s="2">
        <f t="shared" si="219"/>
        <v>100000</v>
      </c>
      <c r="CU101" s="2">
        <f t="shared" si="220"/>
        <v>100000</v>
      </c>
      <c r="CV101" s="2">
        <f t="shared" si="221"/>
        <v>134325.29932778631</v>
      </c>
      <c r="CW101" s="8">
        <f t="shared" si="198"/>
        <v>4.9000000000000002E-2</v>
      </c>
      <c r="CX101" s="2">
        <f t="shared" si="199"/>
        <v>140358.74402259273</v>
      </c>
      <c r="CY101" s="2" t="str">
        <f t="shared" si="200"/>
        <v>nie</v>
      </c>
      <c r="CZ101" s="2">
        <f t="shared" si="222"/>
        <v>0</v>
      </c>
      <c r="DA101" s="2">
        <f t="shared" si="223"/>
        <v>0</v>
      </c>
      <c r="DB101" s="2">
        <f t="shared" si="224"/>
        <v>140358.74402259273</v>
      </c>
      <c r="DC101" s="2">
        <f t="shared" si="201"/>
        <v>0</v>
      </c>
      <c r="DD101" s="2">
        <f t="shared" si="225"/>
        <v>850.59549245391099</v>
      </c>
      <c r="DE101" s="2">
        <f t="shared" si="226"/>
        <v>139508.14853013883</v>
      </c>
      <c r="DF101" s="2">
        <f t="shared" si="202"/>
        <v>3000</v>
      </c>
      <c r="DG101" s="2">
        <f t="shared" si="203"/>
        <v>7098.1613642926186</v>
      </c>
      <c r="DH101" s="2">
        <f t="shared" si="227"/>
        <v>129409.98716584621</v>
      </c>
    </row>
    <row r="102" spans="2:112">
      <c r="B102" s="232"/>
      <c r="C102" s="1">
        <f t="shared" ref="C102:C133" si="256">W83</f>
        <v>65</v>
      </c>
      <c r="D102" s="2">
        <f t="shared" si="105"/>
        <v>128344.82289276097</v>
      </c>
      <c r="E102" s="2">
        <f t="shared" si="106"/>
        <v>121899.15291374474</v>
      </c>
      <c r="F102" s="2">
        <f t="shared" si="107"/>
        <v>127837.93451333333</v>
      </c>
      <c r="G102" s="2">
        <f t="shared" si="108"/>
        <v>120376.72142999999</v>
      </c>
      <c r="H102" s="2">
        <f t="shared" si="109"/>
        <v>129975.77521856209</v>
      </c>
      <c r="I102" s="2">
        <f t="shared" si="110"/>
        <v>121719.39095171579</v>
      </c>
      <c r="J102" s="2">
        <f t="shared" ref="J102:J133" si="257">FV(INDEX(scenariusz_I_konto,MATCH(ROUNDUP(C102/12,0),scenariusz_I_rok,0))/12*(1-podatek_Belki),1,0,-J101,1)</f>
        <v>121791.24025707666</v>
      </c>
      <c r="K102" s="2">
        <f t="shared" ref="K102:K133" si="258">X83</f>
        <v>116759.74743997189</v>
      </c>
      <c r="W102" s="1">
        <f t="shared" si="204"/>
        <v>84</v>
      </c>
      <c r="X102" s="2">
        <f t="shared" si="177"/>
        <v>122153.98047501416</v>
      </c>
      <c r="Y102" s="8">
        <f t="shared" si="230"/>
        <v>4.3200000000000002E-2</v>
      </c>
      <c r="Z102" s="5">
        <f t="shared" si="205"/>
        <v>1320</v>
      </c>
      <c r="AA102" s="2">
        <f t="shared" si="206"/>
        <v>131868</v>
      </c>
      <c r="AB102" s="2">
        <f t="shared" si="207"/>
        <v>132000</v>
      </c>
      <c r="AC102" s="2">
        <f t="shared" si="208"/>
        <v>132000</v>
      </c>
      <c r="AD102" s="8">
        <f t="shared" si="178"/>
        <v>4.9000000000000002E-2</v>
      </c>
      <c r="AE102" s="2">
        <f t="shared" si="179"/>
        <v>138468</v>
      </c>
      <c r="AF102" s="2" t="str">
        <f t="shared" si="180"/>
        <v>nie</v>
      </c>
      <c r="AG102" s="2">
        <f t="shared" si="181"/>
        <v>1320</v>
      </c>
      <c r="AH102" s="1">
        <f t="shared" si="233"/>
        <v>0</v>
      </c>
      <c r="AI102" s="1">
        <f t="shared" si="171"/>
        <v>0</v>
      </c>
      <c r="AJ102" s="1">
        <f t="shared" si="228"/>
        <v>0</v>
      </c>
      <c r="AK102" s="1">
        <f t="shared" si="254"/>
        <v>0</v>
      </c>
      <c r="AL102" s="2">
        <f t="shared" si="243"/>
        <v>0</v>
      </c>
      <c r="AM102" s="8">
        <f t="shared" si="234"/>
        <v>4.9000000000000002E-2</v>
      </c>
      <c r="AN102" s="2">
        <f t="shared" si="244"/>
        <v>0</v>
      </c>
      <c r="AO102" s="2">
        <f t="shared" si="235"/>
        <v>0</v>
      </c>
      <c r="AP102" s="2">
        <f t="shared" si="119"/>
        <v>0</v>
      </c>
      <c r="AQ102" s="8">
        <f t="shared" si="172"/>
        <v>4.3200000000000002E-2</v>
      </c>
      <c r="AR102" s="2">
        <f t="shared" si="113"/>
        <v>0</v>
      </c>
      <c r="AS102" s="2">
        <f t="shared" si="173"/>
        <v>0</v>
      </c>
      <c r="AT102" s="2">
        <f t="shared" si="209"/>
        <v>0</v>
      </c>
      <c r="AU102" s="2">
        <f t="shared" si="245"/>
        <v>0</v>
      </c>
      <c r="AV102" s="2">
        <f t="shared" si="236"/>
        <v>38.845655679935589</v>
      </c>
      <c r="AW102" s="1">
        <f t="shared" si="231"/>
        <v>0</v>
      </c>
      <c r="AX102" s="2">
        <f t="shared" si="182"/>
        <v>38.845655679935589</v>
      </c>
      <c r="AY102" s="1">
        <f t="shared" si="237"/>
        <v>0</v>
      </c>
      <c r="AZ102" s="2">
        <f t="shared" si="210"/>
        <v>38.845655679935589</v>
      </c>
      <c r="BA102" s="2">
        <f t="shared" si="246"/>
        <v>138506.84565567994</v>
      </c>
      <c r="BB102" s="2">
        <f t="shared" si="183"/>
        <v>152.35753022124794</v>
      </c>
      <c r="BC102" s="2">
        <f t="shared" si="211"/>
        <v>992.03326812206365</v>
      </c>
      <c r="BD102" s="2">
        <f t="shared" si="184"/>
        <v>137514.81238755787</v>
      </c>
      <c r="BE102" s="2">
        <f t="shared" si="212"/>
        <v>1320</v>
      </c>
      <c r="BF102" s="2">
        <f t="shared" si="185"/>
        <v>7065.5006745791879</v>
      </c>
      <c r="BG102" s="2">
        <f t="shared" si="186"/>
        <v>129129.31171297868</v>
      </c>
      <c r="BI102" s="8">
        <f t="shared" si="238"/>
        <v>2.9000000000000001E-2</v>
      </c>
      <c r="BJ102" s="5">
        <f t="shared" si="213"/>
        <v>1045</v>
      </c>
      <c r="BK102" s="2">
        <f t="shared" si="214"/>
        <v>104395.5</v>
      </c>
      <c r="BL102" s="2">
        <f t="shared" si="215"/>
        <v>104500</v>
      </c>
      <c r="BM102" s="2">
        <f t="shared" si="187"/>
        <v>104500</v>
      </c>
      <c r="BN102" s="8">
        <f t="shared" si="188"/>
        <v>4.3999999999999997E-2</v>
      </c>
      <c r="BO102" s="2">
        <f t="shared" si="189"/>
        <v>109098</v>
      </c>
      <c r="BP102" s="2" t="str">
        <f t="shared" si="190"/>
        <v>nie</v>
      </c>
      <c r="BQ102" s="2">
        <f t="shared" si="191"/>
        <v>2090</v>
      </c>
      <c r="BR102" s="1">
        <f t="shared" si="239"/>
        <v>104</v>
      </c>
      <c r="BS102" s="1">
        <f t="shared" si="174"/>
        <v>114</v>
      </c>
      <c r="BT102" s="1">
        <f t="shared" si="229"/>
        <v>7</v>
      </c>
      <c r="BU102" s="1">
        <f t="shared" si="255"/>
        <v>48</v>
      </c>
      <c r="BV102" s="2">
        <f t="shared" si="247"/>
        <v>10400</v>
      </c>
      <c r="BW102" s="8">
        <f t="shared" si="240"/>
        <v>5.2499999999999998E-2</v>
      </c>
      <c r="BX102" s="2">
        <f t="shared" si="248"/>
        <v>10946</v>
      </c>
      <c r="BY102" s="2">
        <f t="shared" si="241"/>
        <v>208</v>
      </c>
      <c r="BZ102" s="2">
        <f t="shared" si="120"/>
        <v>16900</v>
      </c>
      <c r="CA102" s="8">
        <f t="shared" si="175"/>
        <v>4.3999999999999997E-2</v>
      </c>
      <c r="CB102" s="2">
        <f t="shared" si="249"/>
        <v>17643.600000000002</v>
      </c>
      <c r="CC102" s="2">
        <f t="shared" si="176"/>
        <v>338</v>
      </c>
      <c r="CD102" s="2">
        <f t="shared" si="192"/>
        <v>4598</v>
      </c>
      <c r="CE102" s="2">
        <f t="shared" si="250"/>
        <v>6089.6000000000022</v>
      </c>
      <c r="CF102" s="2">
        <f t="shared" si="251"/>
        <v>10703.250000000004</v>
      </c>
      <c r="CG102" s="1">
        <f t="shared" si="232"/>
        <v>48</v>
      </c>
      <c r="CH102" s="2">
        <f t="shared" si="193"/>
        <v>5908.0500000000029</v>
      </c>
      <c r="CI102" s="1">
        <f t="shared" si="242"/>
        <v>59</v>
      </c>
      <c r="CJ102" s="2">
        <f t="shared" si="252"/>
        <v>8.0500000000029104</v>
      </c>
      <c r="CK102" s="2">
        <f t="shared" si="253"/>
        <v>137703.25</v>
      </c>
      <c r="CL102" s="2">
        <f t="shared" si="194"/>
        <v>151.47357500000001</v>
      </c>
      <c r="CM102" s="2">
        <f t="shared" si="216"/>
        <v>989.57053499999995</v>
      </c>
      <c r="CN102" s="2">
        <f t="shared" si="195"/>
        <v>136713.67946499999</v>
      </c>
      <c r="CO102" s="2">
        <f t="shared" si="217"/>
        <v>2636</v>
      </c>
      <c r="CP102" s="2">
        <f t="shared" si="196"/>
        <v>6662.7775000000001</v>
      </c>
      <c r="CQ102" s="2">
        <f t="shared" si="197"/>
        <v>127414.901965</v>
      </c>
      <c r="CS102" s="5">
        <f t="shared" si="218"/>
        <v>1000</v>
      </c>
      <c r="CT102" s="2">
        <f t="shared" si="219"/>
        <v>100000</v>
      </c>
      <c r="CU102" s="2">
        <f t="shared" si="220"/>
        <v>100000</v>
      </c>
      <c r="CV102" s="2">
        <f t="shared" si="221"/>
        <v>134325.29932778631</v>
      </c>
      <c r="CW102" s="8">
        <f t="shared" si="198"/>
        <v>4.9000000000000002E-2</v>
      </c>
      <c r="CX102" s="2">
        <f t="shared" si="199"/>
        <v>140907.23899484784</v>
      </c>
      <c r="CY102" s="2" t="str">
        <f t="shared" si="200"/>
        <v>nie</v>
      </c>
      <c r="CZ102" s="2">
        <f t="shared" si="222"/>
        <v>0</v>
      </c>
      <c r="DA102" s="2">
        <f t="shared" si="223"/>
        <v>0</v>
      </c>
      <c r="DB102" s="2">
        <f t="shared" si="224"/>
        <v>140907.23899484784</v>
      </c>
      <c r="DC102" s="2">
        <f t="shared" si="201"/>
        <v>154.99796289433263</v>
      </c>
      <c r="DD102" s="2">
        <f t="shared" si="225"/>
        <v>1005.5934553482437</v>
      </c>
      <c r="DE102" s="2">
        <f t="shared" si="226"/>
        <v>139901.64553949959</v>
      </c>
      <c r="DF102" s="2">
        <f t="shared" si="202"/>
        <v>3000</v>
      </c>
      <c r="DG102" s="2">
        <f t="shared" si="203"/>
        <v>7202.3754090210896</v>
      </c>
      <c r="DH102" s="2">
        <f t="shared" si="227"/>
        <v>129699.2701304785</v>
      </c>
    </row>
    <row r="103" spans="2:112">
      <c r="B103" s="232"/>
      <c r="C103" s="1">
        <f t="shared" si="256"/>
        <v>66</v>
      </c>
      <c r="D103" s="2">
        <f t="shared" ref="D103:D166" si="259">BD84</f>
        <v>128861.10353193595</v>
      </c>
      <c r="E103" s="2">
        <f t="shared" ref="E103:E166" si="260">BG84</f>
        <v>122317.34023147647</v>
      </c>
      <c r="F103" s="2">
        <f t="shared" ref="F103:F166" si="261">CN84</f>
        <v>128308.37617999999</v>
      </c>
      <c r="G103" s="2">
        <f t="shared" ref="G103:G166" si="262">CQ84</f>
        <v>120757.77918</v>
      </c>
      <c r="H103" s="2">
        <f t="shared" ref="H103:H166" si="263">DE84</f>
        <v>130498.64935798546</v>
      </c>
      <c r="I103" s="2">
        <f t="shared" ref="I103:I166" si="264">DH84</f>
        <v>122142.91900464871</v>
      </c>
      <c r="J103" s="2">
        <f t="shared" si="257"/>
        <v>122161.18114935754</v>
      </c>
      <c r="K103" s="2">
        <f t="shared" si="258"/>
        <v>117038.54798964327</v>
      </c>
      <c r="W103" s="1">
        <f t="shared" si="204"/>
        <v>85</v>
      </c>
      <c r="X103" s="2">
        <f t="shared" si="177"/>
        <v>122449.18592782879</v>
      </c>
      <c r="Y103" s="8">
        <f t="shared" si="230"/>
        <v>4.3200000000000002E-2</v>
      </c>
      <c r="Z103" s="5">
        <f t="shared" si="205"/>
        <v>1320</v>
      </c>
      <c r="AA103" s="2">
        <f t="shared" si="206"/>
        <v>131868</v>
      </c>
      <c r="AB103" s="2">
        <f t="shared" si="207"/>
        <v>132000</v>
      </c>
      <c r="AC103" s="2">
        <f t="shared" si="208"/>
        <v>138468</v>
      </c>
      <c r="AD103" s="8">
        <f t="shared" si="178"/>
        <v>4.9000000000000002E-2</v>
      </c>
      <c r="AE103" s="2">
        <f t="shared" si="179"/>
        <v>139033.41100000002</v>
      </c>
      <c r="AF103" s="2" t="str">
        <f t="shared" si="180"/>
        <v>nie</v>
      </c>
      <c r="AG103" s="2">
        <f t="shared" si="181"/>
        <v>1320</v>
      </c>
      <c r="AH103" s="1">
        <f t="shared" si="233"/>
        <v>0</v>
      </c>
      <c r="AI103" s="1">
        <f t="shared" si="171"/>
        <v>0</v>
      </c>
      <c r="AJ103" s="1">
        <f t="shared" si="228"/>
        <v>0</v>
      </c>
      <c r="AK103" s="1">
        <f t="shared" si="254"/>
        <v>0</v>
      </c>
      <c r="AL103" s="2">
        <f t="shared" si="243"/>
        <v>0</v>
      </c>
      <c r="AM103" s="8">
        <f t="shared" si="234"/>
        <v>4.9000000000000002E-2</v>
      </c>
      <c r="AN103" s="2">
        <f t="shared" si="244"/>
        <v>0</v>
      </c>
      <c r="AO103" s="2">
        <f t="shared" si="235"/>
        <v>0</v>
      </c>
      <c r="AP103" s="2">
        <f t="shared" si="119"/>
        <v>0</v>
      </c>
      <c r="AQ103" s="8">
        <f t="shared" si="172"/>
        <v>4.3200000000000002E-2</v>
      </c>
      <c r="AR103" s="2">
        <f t="shared" si="113"/>
        <v>0</v>
      </c>
      <c r="AS103" s="2">
        <f t="shared" si="173"/>
        <v>0</v>
      </c>
      <c r="AT103" s="2">
        <f t="shared" si="209"/>
        <v>0</v>
      </c>
      <c r="AU103" s="2">
        <f t="shared" si="245"/>
        <v>0</v>
      </c>
      <c r="AV103" s="2">
        <f t="shared" si="236"/>
        <v>38.845655679935589</v>
      </c>
      <c r="AW103" s="1">
        <f t="shared" si="231"/>
        <v>0</v>
      </c>
      <c r="AX103" s="2">
        <f t="shared" si="182"/>
        <v>38.845655679935589</v>
      </c>
      <c r="AY103" s="1">
        <f t="shared" si="237"/>
        <v>0</v>
      </c>
      <c r="AZ103" s="2">
        <f t="shared" si="210"/>
        <v>38.845655679935589</v>
      </c>
      <c r="BA103" s="2">
        <f t="shared" si="246"/>
        <v>139072.25665567996</v>
      </c>
      <c r="BB103" s="2">
        <f t="shared" si="183"/>
        <v>0</v>
      </c>
      <c r="BC103" s="2">
        <f t="shared" si="211"/>
        <v>992.03326812206365</v>
      </c>
      <c r="BD103" s="2">
        <f t="shared" si="184"/>
        <v>138080.2233875579</v>
      </c>
      <c r="BE103" s="2">
        <f t="shared" si="212"/>
        <v>1320</v>
      </c>
      <c r="BF103" s="2">
        <f t="shared" si="185"/>
        <v>7172.9287645791919</v>
      </c>
      <c r="BG103" s="2">
        <f t="shared" si="186"/>
        <v>129587.2946229787</v>
      </c>
      <c r="BI103" s="8">
        <f t="shared" si="238"/>
        <v>2.9000000000000001E-2</v>
      </c>
      <c r="BJ103" s="5">
        <f t="shared" si="213"/>
        <v>1045</v>
      </c>
      <c r="BK103" s="2">
        <f t="shared" si="214"/>
        <v>104395.5</v>
      </c>
      <c r="BL103" s="2">
        <f t="shared" si="215"/>
        <v>104500</v>
      </c>
      <c r="BM103" s="2">
        <f t="shared" si="187"/>
        <v>104500</v>
      </c>
      <c r="BN103" s="8">
        <f t="shared" si="188"/>
        <v>4.3999999999999997E-2</v>
      </c>
      <c r="BO103" s="2">
        <f t="shared" si="189"/>
        <v>104883.16666666667</v>
      </c>
      <c r="BP103" s="2" t="str">
        <f t="shared" si="190"/>
        <v>nie</v>
      </c>
      <c r="BQ103" s="2">
        <f t="shared" si="191"/>
        <v>2090</v>
      </c>
      <c r="BR103" s="1">
        <f t="shared" si="239"/>
        <v>107</v>
      </c>
      <c r="BS103" s="1">
        <f t="shared" si="174"/>
        <v>104</v>
      </c>
      <c r="BT103" s="1">
        <f t="shared" si="229"/>
        <v>114</v>
      </c>
      <c r="BU103" s="1">
        <f t="shared" si="255"/>
        <v>7</v>
      </c>
      <c r="BV103" s="2">
        <f t="shared" si="247"/>
        <v>10700</v>
      </c>
      <c r="BW103" s="8">
        <f t="shared" si="240"/>
        <v>5.2499999999999998E-2</v>
      </c>
      <c r="BX103" s="2">
        <f t="shared" si="248"/>
        <v>10746.8125</v>
      </c>
      <c r="BY103" s="2">
        <f t="shared" si="241"/>
        <v>46.8125</v>
      </c>
      <c r="BZ103" s="2">
        <f t="shared" si="120"/>
        <v>22500</v>
      </c>
      <c r="CA103" s="8">
        <f t="shared" si="175"/>
        <v>4.3999999999999997E-2</v>
      </c>
      <c r="CB103" s="2">
        <f t="shared" si="249"/>
        <v>22582.5</v>
      </c>
      <c r="CC103" s="2">
        <f t="shared" si="176"/>
        <v>450</v>
      </c>
      <c r="CD103" s="2">
        <f t="shared" si="192"/>
        <v>0</v>
      </c>
      <c r="CE103" s="2">
        <f t="shared" si="250"/>
        <v>0</v>
      </c>
      <c r="CF103" s="2">
        <f t="shared" si="251"/>
        <v>8.0500000000029104</v>
      </c>
      <c r="CG103" s="1">
        <f t="shared" si="232"/>
        <v>0</v>
      </c>
      <c r="CH103" s="2">
        <f t="shared" si="193"/>
        <v>8.0500000000029104</v>
      </c>
      <c r="CI103" s="1">
        <f t="shared" si="242"/>
        <v>0</v>
      </c>
      <c r="CJ103" s="2">
        <f t="shared" si="252"/>
        <v>8.0500000000029104</v>
      </c>
      <c r="CK103" s="2">
        <f t="shared" si="253"/>
        <v>138220.52916666667</v>
      </c>
      <c r="CL103" s="2">
        <f t="shared" si="194"/>
        <v>0</v>
      </c>
      <c r="CM103" s="2">
        <f t="shared" si="216"/>
        <v>989.57053499999995</v>
      </c>
      <c r="CN103" s="2">
        <f t="shared" si="195"/>
        <v>137230.95863166667</v>
      </c>
      <c r="CO103" s="2">
        <f t="shared" si="217"/>
        <v>2586.8125</v>
      </c>
      <c r="CP103" s="2">
        <f t="shared" si="196"/>
        <v>6770.4061666666685</v>
      </c>
      <c r="CQ103" s="2">
        <f t="shared" si="197"/>
        <v>127873.739965</v>
      </c>
      <c r="CS103" s="5">
        <f t="shared" si="218"/>
        <v>1000</v>
      </c>
      <c r="CT103" s="2">
        <f t="shared" si="219"/>
        <v>100000</v>
      </c>
      <c r="CU103" s="2">
        <f t="shared" si="220"/>
        <v>100000</v>
      </c>
      <c r="CV103" s="2">
        <f t="shared" si="221"/>
        <v>140907.23899484784</v>
      </c>
      <c r="CW103" s="8">
        <f t="shared" si="198"/>
        <v>4.9000000000000002E-2</v>
      </c>
      <c r="CX103" s="2">
        <f t="shared" si="199"/>
        <v>141482.61022074349</v>
      </c>
      <c r="CY103" s="2" t="str">
        <f t="shared" si="200"/>
        <v>nie</v>
      </c>
      <c r="CZ103" s="2">
        <f t="shared" si="222"/>
        <v>0</v>
      </c>
      <c r="DA103" s="2">
        <f t="shared" si="223"/>
        <v>0</v>
      </c>
      <c r="DB103" s="2">
        <f t="shared" si="224"/>
        <v>141482.61022074349</v>
      </c>
      <c r="DC103" s="2">
        <f t="shared" si="201"/>
        <v>0</v>
      </c>
      <c r="DD103" s="2">
        <f t="shared" si="225"/>
        <v>1005.5934553482437</v>
      </c>
      <c r="DE103" s="2">
        <f t="shared" si="226"/>
        <v>140477.01676539524</v>
      </c>
      <c r="DF103" s="2">
        <f t="shared" si="202"/>
        <v>3000</v>
      </c>
      <c r="DG103" s="2">
        <f t="shared" si="203"/>
        <v>7311.6959419412633</v>
      </c>
      <c r="DH103" s="2">
        <f t="shared" si="227"/>
        <v>130165.32082345398</v>
      </c>
    </row>
    <row r="104" spans="2:112">
      <c r="B104" s="232"/>
      <c r="C104" s="1">
        <f t="shared" si="256"/>
        <v>67</v>
      </c>
      <c r="D104" s="2">
        <f t="shared" si="259"/>
        <v>129377.38417111097</v>
      </c>
      <c r="E104" s="2">
        <f t="shared" si="260"/>
        <v>122735.52754920823</v>
      </c>
      <c r="F104" s="2">
        <f t="shared" si="261"/>
        <v>128778.81784666667</v>
      </c>
      <c r="G104" s="2">
        <f t="shared" si="262"/>
        <v>121138.83693</v>
      </c>
      <c r="H104" s="2">
        <f t="shared" si="263"/>
        <v>131021.52349740885</v>
      </c>
      <c r="I104" s="2">
        <f t="shared" si="264"/>
        <v>122566.44705758167</v>
      </c>
      <c r="J104" s="2">
        <f t="shared" si="257"/>
        <v>122532.24573709871</v>
      </c>
      <c r="K104" s="2">
        <f t="shared" si="258"/>
        <v>117317.34853931468</v>
      </c>
      <c r="W104" s="1">
        <f t="shared" si="204"/>
        <v>86</v>
      </c>
      <c r="X104" s="2">
        <f t="shared" si="177"/>
        <v>122744.39138064338</v>
      </c>
      <c r="Y104" s="8">
        <f t="shared" si="230"/>
        <v>4.3200000000000002E-2</v>
      </c>
      <c r="Z104" s="5">
        <f t="shared" si="205"/>
        <v>1320</v>
      </c>
      <c r="AA104" s="2">
        <f t="shared" si="206"/>
        <v>131868</v>
      </c>
      <c r="AB104" s="2">
        <f t="shared" si="207"/>
        <v>132000</v>
      </c>
      <c r="AC104" s="2">
        <f t="shared" si="208"/>
        <v>138468</v>
      </c>
      <c r="AD104" s="8">
        <f t="shared" si="178"/>
        <v>4.9000000000000002E-2</v>
      </c>
      <c r="AE104" s="2">
        <f t="shared" si="179"/>
        <v>139598.82199999999</v>
      </c>
      <c r="AF104" s="2" t="str">
        <f t="shared" si="180"/>
        <v>nie</v>
      </c>
      <c r="AG104" s="2">
        <f t="shared" si="181"/>
        <v>1320</v>
      </c>
      <c r="AH104" s="1">
        <f t="shared" si="233"/>
        <v>0</v>
      </c>
      <c r="AI104" s="1">
        <f t="shared" si="171"/>
        <v>0</v>
      </c>
      <c r="AJ104" s="1">
        <f t="shared" si="228"/>
        <v>0</v>
      </c>
      <c r="AK104" s="1">
        <f t="shared" si="254"/>
        <v>0</v>
      </c>
      <c r="AL104" s="2">
        <f t="shared" si="243"/>
        <v>0</v>
      </c>
      <c r="AM104" s="8">
        <f t="shared" si="234"/>
        <v>4.9000000000000002E-2</v>
      </c>
      <c r="AN104" s="2">
        <f t="shared" si="244"/>
        <v>0</v>
      </c>
      <c r="AO104" s="2">
        <f t="shared" si="235"/>
        <v>0</v>
      </c>
      <c r="AP104" s="2">
        <f t="shared" si="119"/>
        <v>0</v>
      </c>
      <c r="AQ104" s="8">
        <f t="shared" si="172"/>
        <v>4.3200000000000002E-2</v>
      </c>
      <c r="AR104" s="2">
        <f t="shared" si="113"/>
        <v>0</v>
      </c>
      <c r="AS104" s="2">
        <f t="shared" si="173"/>
        <v>0</v>
      </c>
      <c r="AT104" s="2">
        <f t="shared" si="209"/>
        <v>0</v>
      </c>
      <c r="AU104" s="2">
        <f t="shared" si="245"/>
        <v>0</v>
      </c>
      <c r="AV104" s="2">
        <f t="shared" si="236"/>
        <v>38.845655679935589</v>
      </c>
      <c r="AW104" s="1">
        <f t="shared" si="231"/>
        <v>0</v>
      </c>
      <c r="AX104" s="2">
        <f t="shared" si="182"/>
        <v>38.845655679935589</v>
      </c>
      <c r="AY104" s="1">
        <f t="shared" si="237"/>
        <v>0</v>
      </c>
      <c r="AZ104" s="2">
        <f t="shared" si="210"/>
        <v>38.845655679935589</v>
      </c>
      <c r="BA104" s="2">
        <f t="shared" si="246"/>
        <v>139637.66765567992</v>
      </c>
      <c r="BB104" s="2">
        <f t="shared" si="183"/>
        <v>0</v>
      </c>
      <c r="BC104" s="2">
        <f t="shared" si="211"/>
        <v>992.03326812206365</v>
      </c>
      <c r="BD104" s="2">
        <f t="shared" si="184"/>
        <v>138645.63438755786</v>
      </c>
      <c r="BE104" s="2">
        <f t="shared" si="212"/>
        <v>1320</v>
      </c>
      <c r="BF104" s="2">
        <f t="shared" si="185"/>
        <v>7280.356854579185</v>
      </c>
      <c r="BG104" s="2">
        <f t="shared" si="186"/>
        <v>130045.27753297868</v>
      </c>
      <c r="BI104" s="8">
        <f t="shared" si="238"/>
        <v>2.9000000000000001E-2</v>
      </c>
      <c r="BJ104" s="5">
        <f t="shared" si="213"/>
        <v>1045</v>
      </c>
      <c r="BK104" s="2">
        <f t="shared" si="214"/>
        <v>104395.5</v>
      </c>
      <c r="BL104" s="2">
        <f t="shared" si="215"/>
        <v>104500</v>
      </c>
      <c r="BM104" s="2">
        <f t="shared" si="187"/>
        <v>104500</v>
      </c>
      <c r="BN104" s="8">
        <f t="shared" si="188"/>
        <v>4.3999999999999997E-2</v>
      </c>
      <c r="BO104" s="2">
        <f t="shared" si="189"/>
        <v>105266.33333333334</v>
      </c>
      <c r="BP104" s="2" t="str">
        <f t="shared" si="190"/>
        <v>nie</v>
      </c>
      <c r="BQ104" s="2">
        <f t="shared" si="191"/>
        <v>2090</v>
      </c>
      <c r="BR104" s="1">
        <f t="shared" si="239"/>
        <v>107</v>
      </c>
      <c r="BS104" s="1">
        <f t="shared" si="174"/>
        <v>104</v>
      </c>
      <c r="BT104" s="1">
        <f t="shared" si="229"/>
        <v>114</v>
      </c>
      <c r="BU104" s="1">
        <f t="shared" si="255"/>
        <v>7</v>
      </c>
      <c r="BV104" s="2">
        <f t="shared" si="247"/>
        <v>10700</v>
      </c>
      <c r="BW104" s="8">
        <f t="shared" si="240"/>
        <v>5.2499999999999998E-2</v>
      </c>
      <c r="BX104" s="2">
        <f t="shared" si="248"/>
        <v>10793.625</v>
      </c>
      <c r="BY104" s="2">
        <f t="shared" si="241"/>
        <v>93.625</v>
      </c>
      <c r="BZ104" s="2">
        <f t="shared" si="120"/>
        <v>22500</v>
      </c>
      <c r="CA104" s="8">
        <f t="shared" si="175"/>
        <v>4.3999999999999997E-2</v>
      </c>
      <c r="CB104" s="2">
        <f t="shared" si="249"/>
        <v>22665</v>
      </c>
      <c r="CC104" s="2">
        <f t="shared" si="176"/>
        <v>450</v>
      </c>
      <c r="CD104" s="2">
        <f t="shared" si="192"/>
        <v>0</v>
      </c>
      <c r="CE104" s="2">
        <f t="shared" si="250"/>
        <v>0</v>
      </c>
      <c r="CF104" s="2">
        <f t="shared" si="251"/>
        <v>8.0500000000029104</v>
      </c>
      <c r="CG104" s="1">
        <f t="shared" si="232"/>
        <v>0</v>
      </c>
      <c r="CH104" s="2">
        <f t="shared" si="193"/>
        <v>8.0500000000029104</v>
      </c>
      <c r="CI104" s="1">
        <f t="shared" si="242"/>
        <v>0</v>
      </c>
      <c r="CJ104" s="2">
        <f t="shared" si="252"/>
        <v>8.0500000000029104</v>
      </c>
      <c r="CK104" s="2">
        <f t="shared" si="253"/>
        <v>138733.00833333336</v>
      </c>
      <c r="CL104" s="2">
        <f t="shared" si="194"/>
        <v>0</v>
      </c>
      <c r="CM104" s="2">
        <f t="shared" si="216"/>
        <v>989.57053499999995</v>
      </c>
      <c r="CN104" s="2">
        <f t="shared" si="195"/>
        <v>137743.43779833335</v>
      </c>
      <c r="CO104" s="2">
        <f t="shared" si="217"/>
        <v>2633.625</v>
      </c>
      <c r="CP104" s="2">
        <f t="shared" si="196"/>
        <v>6858.8828333333386</v>
      </c>
      <c r="CQ104" s="2">
        <f t="shared" si="197"/>
        <v>128250.92996500002</v>
      </c>
      <c r="CS104" s="5">
        <f t="shared" si="218"/>
        <v>1000</v>
      </c>
      <c r="CT104" s="2">
        <f t="shared" si="219"/>
        <v>100000</v>
      </c>
      <c r="CU104" s="2">
        <f t="shared" si="220"/>
        <v>100000</v>
      </c>
      <c r="CV104" s="2">
        <f t="shared" si="221"/>
        <v>140907.23899484784</v>
      </c>
      <c r="CW104" s="8">
        <f t="shared" si="198"/>
        <v>4.9000000000000002E-2</v>
      </c>
      <c r="CX104" s="2">
        <f t="shared" si="199"/>
        <v>142057.98144663908</v>
      </c>
      <c r="CY104" s="2" t="str">
        <f t="shared" si="200"/>
        <v>nie</v>
      </c>
      <c r="CZ104" s="2">
        <f t="shared" si="222"/>
        <v>0</v>
      </c>
      <c r="DA104" s="2">
        <f t="shared" si="223"/>
        <v>0</v>
      </c>
      <c r="DB104" s="2">
        <f t="shared" si="224"/>
        <v>142057.98144663908</v>
      </c>
      <c r="DC104" s="2">
        <f t="shared" si="201"/>
        <v>0</v>
      </c>
      <c r="DD104" s="2">
        <f t="shared" si="225"/>
        <v>1005.5934553482437</v>
      </c>
      <c r="DE104" s="2">
        <f t="shared" si="226"/>
        <v>141052.38799129083</v>
      </c>
      <c r="DF104" s="2">
        <f t="shared" si="202"/>
        <v>3000</v>
      </c>
      <c r="DG104" s="2">
        <f t="shared" si="203"/>
        <v>7421.0164748614252</v>
      </c>
      <c r="DH104" s="2">
        <f t="shared" si="227"/>
        <v>130631.37151642941</v>
      </c>
    </row>
    <row r="105" spans="2:112">
      <c r="B105" s="232"/>
      <c r="C105" s="1">
        <f t="shared" si="256"/>
        <v>68</v>
      </c>
      <c r="D105" s="2">
        <f t="shared" si="259"/>
        <v>129893.66481028596</v>
      </c>
      <c r="E105" s="2">
        <f t="shared" si="260"/>
        <v>123153.71486693998</v>
      </c>
      <c r="F105" s="2">
        <f t="shared" si="261"/>
        <v>129249.25951333334</v>
      </c>
      <c r="G105" s="2">
        <f t="shared" si="262"/>
        <v>121519.89468</v>
      </c>
      <c r="H105" s="2">
        <f t="shared" si="263"/>
        <v>131544.39763683223</v>
      </c>
      <c r="I105" s="2">
        <f t="shared" si="264"/>
        <v>122989.9751105146</v>
      </c>
      <c r="J105" s="2">
        <f t="shared" si="257"/>
        <v>122904.43743352515</v>
      </c>
      <c r="K105" s="2">
        <f t="shared" si="258"/>
        <v>117596.14908898609</v>
      </c>
      <c r="W105" s="1">
        <f t="shared" si="204"/>
        <v>87</v>
      </c>
      <c r="X105" s="2">
        <f t="shared" si="177"/>
        <v>123039.59683345801</v>
      </c>
      <c r="Y105" s="8">
        <f t="shared" si="230"/>
        <v>4.3200000000000002E-2</v>
      </c>
      <c r="Z105" s="5">
        <f t="shared" si="205"/>
        <v>1320</v>
      </c>
      <c r="AA105" s="2">
        <f t="shared" si="206"/>
        <v>131868</v>
      </c>
      <c r="AB105" s="2">
        <f t="shared" si="207"/>
        <v>132000</v>
      </c>
      <c r="AC105" s="2">
        <f t="shared" si="208"/>
        <v>138468</v>
      </c>
      <c r="AD105" s="8">
        <f t="shared" si="178"/>
        <v>4.9000000000000002E-2</v>
      </c>
      <c r="AE105" s="2">
        <f t="shared" si="179"/>
        <v>140164.23300000001</v>
      </c>
      <c r="AF105" s="2" t="str">
        <f t="shared" si="180"/>
        <v>nie</v>
      </c>
      <c r="AG105" s="2">
        <f t="shared" si="181"/>
        <v>1320</v>
      </c>
      <c r="AH105" s="1">
        <f t="shared" si="233"/>
        <v>0</v>
      </c>
      <c r="AI105" s="1">
        <f t="shared" si="171"/>
        <v>0</v>
      </c>
      <c r="AJ105" s="1">
        <f t="shared" si="228"/>
        <v>0</v>
      </c>
      <c r="AK105" s="1">
        <f t="shared" si="254"/>
        <v>0</v>
      </c>
      <c r="AL105" s="2">
        <f t="shared" si="243"/>
        <v>0</v>
      </c>
      <c r="AM105" s="8">
        <f t="shared" si="234"/>
        <v>4.9000000000000002E-2</v>
      </c>
      <c r="AN105" s="2">
        <f t="shared" si="244"/>
        <v>0</v>
      </c>
      <c r="AO105" s="2">
        <f t="shared" si="235"/>
        <v>0</v>
      </c>
      <c r="AP105" s="2">
        <f t="shared" si="119"/>
        <v>0</v>
      </c>
      <c r="AQ105" s="8">
        <f t="shared" si="172"/>
        <v>4.3200000000000002E-2</v>
      </c>
      <c r="AR105" s="2">
        <f t="shared" si="113"/>
        <v>0</v>
      </c>
      <c r="AS105" s="2">
        <f t="shared" si="173"/>
        <v>0</v>
      </c>
      <c r="AT105" s="2">
        <f t="shared" si="209"/>
        <v>0</v>
      </c>
      <c r="AU105" s="2">
        <f t="shared" si="245"/>
        <v>0</v>
      </c>
      <c r="AV105" s="2">
        <f t="shared" si="236"/>
        <v>38.845655679935589</v>
      </c>
      <c r="AW105" s="1">
        <f t="shared" si="231"/>
        <v>0</v>
      </c>
      <c r="AX105" s="2">
        <f t="shared" si="182"/>
        <v>38.845655679935589</v>
      </c>
      <c r="AY105" s="1">
        <f t="shared" si="237"/>
        <v>0</v>
      </c>
      <c r="AZ105" s="2">
        <f t="shared" si="210"/>
        <v>38.845655679935589</v>
      </c>
      <c r="BA105" s="2">
        <f t="shared" si="246"/>
        <v>140203.07865567994</v>
      </c>
      <c r="BB105" s="2">
        <f t="shared" si="183"/>
        <v>0</v>
      </c>
      <c r="BC105" s="2">
        <f t="shared" si="211"/>
        <v>992.03326812206365</v>
      </c>
      <c r="BD105" s="2">
        <f t="shared" si="184"/>
        <v>139211.04538755788</v>
      </c>
      <c r="BE105" s="2">
        <f t="shared" si="212"/>
        <v>1320</v>
      </c>
      <c r="BF105" s="2">
        <f t="shared" si="185"/>
        <v>7387.784944579189</v>
      </c>
      <c r="BG105" s="2">
        <f t="shared" si="186"/>
        <v>130503.26044297869</v>
      </c>
      <c r="BI105" s="8">
        <f t="shared" si="238"/>
        <v>2.9000000000000001E-2</v>
      </c>
      <c r="BJ105" s="5">
        <f t="shared" si="213"/>
        <v>1045</v>
      </c>
      <c r="BK105" s="2">
        <f t="shared" si="214"/>
        <v>104395.5</v>
      </c>
      <c r="BL105" s="2">
        <f t="shared" si="215"/>
        <v>104500</v>
      </c>
      <c r="BM105" s="2">
        <f t="shared" si="187"/>
        <v>104500</v>
      </c>
      <c r="BN105" s="8">
        <f t="shared" si="188"/>
        <v>4.3999999999999997E-2</v>
      </c>
      <c r="BO105" s="2">
        <f t="shared" si="189"/>
        <v>105649.49999999999</v>
      </c>
      <c r="BP105" s="2" t="str">
        <f t="shared" si="190"/>
        <v>nie</v>
      </c>
      <c r="BQ105" s="2">
        <f t="shared" si="191"/>
        <v>2090</v>
      </c>
      <c r="BR105" s="1">
        <f t="shared" si="239"/>
        <v>107</v>
      </c>
      <c r="BS105" s="1">
        <f t="shared" si="174"/>
        <v>104</v>
      </c>
      <c r="BT105" s="1">
        <f t="shared" si="229"/>
        <v>114</v>
      </c>
      <c r="BU105" s="1">
        <f t="shared" si="255"/>
        <v>7</v>
      </c>
      <c r="BV105" s="2">
        <f t="shared" si="247"/>
        <v>10700</v>
      </c>
      <c r="BW105" s="8">
        <f t="shared" si="240"/>
        <v>5.2499999999999998E-2</v>
      </c>
      <c r="BX105" s="2">
        <f t="shared" si="248"/>
        <v>10840.4375</v>
      </c>
      <c r="BY105" s="2">
        <f t="shared" si="241"/>
        <v>140.4375</v>
      </c>
      <c r="BZ105" s="2">
        <f t="shared" si="120"/>
        <v>22500</v>
      </c>
      <c r="CA105" s="8">
        <f t="shared" si="175"/>
        <v>4.3999999999999997E-2</v>
      </c>
      <c r="CB105" s="2">
        <f t="shared" si="249"/>
        <v>22747.499999999996</v>
      </c>
      <c r="CC105" s="2">
        <f t="shared" si="176"/>
        <v>450</v>
      </c>
      <c r="CD105" s="2">
        <f t="shared" si="192"/>
        <v>0</v>
      </c>
      <c r="CE105" s="2">
        <f t="shared" si="250"/>
        <v>0</v>
      </c>
      <c r="CF105" s="2">
        <f t="shared" si="251"/>
        <v>8.0500000000029104</v>
      </c>
      <c r="CG105" s="1">
        <f t="shared" si="232"/>
        <v>0</v>
      </c>
      <c r="CH105" s="2">
        <f t="shared" si="193"/>
        <v>8.0500000000029104</v>
      </c>
      <c r="CI105" s="1">
        <f t="shared" si="242"/>
        <v>0</v>
      </c>
      <c r="CJ105" s="2">
        <f t="shared" si="252"/>
        <v>8.0500000000029104</v>
      </c>
      <c r="CK105" s="2">
        <f t="shared" si="253"/>
        <v>139245.48749999999</v>
      </c>
      <c r="CL105" s="2">
        <f t="shared" si="194"/>
        <v>0</v>
      </c>
      <c r="CM105" s="2">
        <f t="shared" si="216"/>
        <v>989.57053499999995</v>
      </c>
      <c r="CN105" s="2">
        <f t="shared" si="195"/>
        <v>138255.91696499998</v>
      </c>
      <c r="CO105" s="2">
        <f t="shared" si="217"/>
        <v>2680.4375</v>
      </c>
      <c r="CP105" s="2">
        <f t="shared" si="196"/>
        <v>6947.3594999999978</v>
      </c>
      <c r="CQ105" s="2">
        <f t="shared" si="197"/>
        <v>128628.11996499999</v>
      </c>
      <c r="CS105" s="5">
        <f t="shared" si="218"/>
        <v>1000</v>
      </c>
      <c r="CT105" s="2">
        <f t="shared" si="219"/>
        <v>100000</v>
      </c>
      <c r="CU105" s="2">
        <f t="shared" si="220"/>
        <v>100000</v>
      </c>
      <c r="CV105" s="2">
        <f t="shared" si="221"/>
        <v>140907.23899484784</v>
      </c>
      <c r="CW105" s="8">
        <f t="shared" si="198"/>
        <v>4.9000000000000002E-2</v>
      </c>
      <c r="CX105" s="2">
        <f t="shared" si="199"/>
        <v>142633.35267253473</v>
      </c>
      <c r="CY105" s="2" t="str">
        <f t="shared" si="200"/>
        <v>nie</v>
      </c>
      <c r="CZ105" s="2">
        <f t="shared" si="222"/>
        <v>0</v>
      </c>
      <c r="DA105" s="2">
        <f t="shared" si="223"/>
        <v>0</v>
      </c>
      <c r="DB105" s="2">
        <f t="shared" si="224"/>
        <v>142633.35267253473</v>
      </c>
      <c r="DC105" s="2">
        <f t="shared" si="201"/>
        <v>0</v>
      </c>
      <c r="DD105" s="2">
        <f t="shared" si="225"/>
        <v>1005.5934553482437</v>
      </c>
      <c r="DE105" s="2">
        <f t="shared" si="226"/>
        <v>141627.75921718648</v>
      </c>
      <c r="DF105" s="2">
        <f t="shared" si="202"/>
        <v>3000</v>
      </c>
      <c r="DG105" s="2">
        <f t="shared" si="203"/>
        <v>7530.3370077815989</v>
      </c>
      <c r="DH105" s="2">
        <f t="shared" si="227"/>
        <v>131097.42220940487</v>
      </c>
    </row>
    <row r="106" spans="2:112">
      <c r="B106" s="232"/>
      <c r="C106" s="1">
        <f t="shared" si="256"/>
        <v>69</v>
      </c>
      <c r="D106" s="2">
        <f t="shared" si="259"/>
        <v>130409.94544946098</v>
      </c>
      <c r="E106" s="2">
        <f t="shared" si="260"/>
        <v>123571.90218467174</v>
      </c>
      <c r="F106" s="2">
        <f t="shared" si="261"/>
        <v>129719.70117999997</v>
      </c>
      <c r="G106" s="2">
        <f t="shared" si="262"/>
        <v>121900.95242999998</v>
      </c>
      <c r="H106" s="2">
        <f t="shared" si="263"/>
        <v>132067.27177625563</v>
      </c>
      <c r="I106" s="2">
        <f t="shared" si="264"/>
        <v>123413.50316344755</v>
      </c>
      <c r="J106" s="2">
        <f t="shared" si="257"/>
        <v>123277.75966222948</v>
      </c>
      <c r="K106" s="2">
        <f t="shared" si="258"/>
        <v>117874.94963865748</v>
      </c>
      <c r="W106" s="1">
        <f t="shared" si="204"/>
        <v>88</v>
      </c>
      <c r="X106" s="2">
        <f t="shared" si="177"/>
        <v>123334.80228627264</v>
      </c>
      <c r="Y106" s="8">
        <f t="shared" si="230"/>
        <v>4.3200000000000002E-2</v>
      </c>
      <c r="Z106" s="5">
        <f t="shared" si="205"/>
        <v>1320</v>
      </c>
      <c r="AA106" s="2">
        <f t="shared" si="206"/>
        <v>131868</v>
      </c>
      <c r="AB106" s="2">
        <f t="shared" si="207"/>
        <v>132000</v>
      </c>
      <c r="AC106" s="2">
        <f t="shared" si="208"/>
        <v>138468</v>
      </c>
      <c r="AD106" s="8">
        <f t="shared" si="178"/>
        <v>4.9000000000000002E-2</v>
      </c>
      <c r="AE106" s="2">
        <f t="shared" si="179"/>
        <v>140729.644</v>
      </c>
      <c r="AF106" s="2" t="str">
        <f t="shared" si="180"/>
        <v>nie</v>
      </c>
      <c r="AG106" s="2">
        <f t="shared" si="181"/>
        <v>1320</v>
      </c>
      <c r="AH106" s="1">
        <f t="shared" si="233"/>
        <v>0</v>
      </c>
      <c r="AI106" s="1">
        <f t="shared" si="171"/>
        <v>0</v>
      </c>
      <c r="AJ106" s="1">
        <f t="shared" si="228"/>
        <v>0</v>
      </c>
      <c r="AK106" s="1">
        <f t="shared" si="254"/>
        <v>0</v>
      </c>
      <c r="AL106" s="2">
        <f t="shared" si="243"/>
        <v>0</v>
      </c>
      <c r="AM106" s="8">
        <f t="shared" si="234"/>
        <v>4.9000000000000002E-2</v>
      </c>
      <c r="AN106" s="2">
        <f t="shared" si="244"/>
        <v>0</v>
      </c>
      <c r="AO106" s="2">
        <f t="shared" si="235"/>
        <v>0</v>
      </c>
      <c r="AP106" s="2">
        <f t="shared" si="119"/>
        <v>0</v>
      </c>
      <c r="AQ106" s="8">
        <f t="shared" si="172"/>
        <v>4.3200000000000002E-2</v>
      </c>
      <c r="AR106" s="2">
        <f t="shared" si="113"/>
        <v>0</v>
      </c>
      <c r="AS106" s="2">
        <f t="shared" si="173"/>
        <v>0</v>
      </c>
      <c r="AT106" s="2">
        <f t="shared" si="209"/>
        <v>0</v>
      </c>
      <c r="AU106" s="2">
        <f t="shared" si="245"/>
        <v>0</v>
      </c>
      <c r="AV106" s="2">
        <f t="shared" si="236"/>
        <v>38.845655679935589</v>
      </c>
      <c r="AW106" s="1">
        <f t="shared" si="231"/>
        <v>0</v>
      </c>
      <c r="AX106" s="2">
        <f t="shared" si="182"/>
        <v>38.845655679935589</v>
      </c>
      <c r="AY106" s="1">
        <f t="shared" si="237"/>
        <v>0</v>
      </c>
      <c r="AZ106" s="2">
        <f t="shared" si="210"/>
        <v>38.845655679935589</v>
      </c>
      <c r="BA106" s="2">
        <f t="shared" si="246"/>
        <v>140768.48965567994</v>
      </c>
      <c r="BB106" s="2">
        <f t="shared" si="183"/>
        <v>0</v>
      </c>
      <c r="BC106" s="2">
        <f t="shared" si="211"/>
        <v>992.03326812206365</v>
      </c>
      <c r="BD106" s="2">
        <f t="shared" si="184"/>
        <v>139776.45638755788</v>
      </c>
      <c r="BE106" s="2">
        <f t="shared" si="212"/>
        <v>1320</v>
      </c>
      <c r="BF106" s="2">
        <f t="shared" si="185"/>
        <v>7495.2130345791875</v>
      </c>
      <c r="BG106" s="2">
        <f t="shared" si="186"/>
        <v>130961.24335297869</v>
      </c>
      <c r="BI106" s="8">
        <f t="shared" si="238"/>
        <v>2.9000000000000001E-2</v>
      </c>
      <c r="BJ106" s="5">
        <f t="shared" si="213"/>
        <v>1045</v>
      </c>
      <c r="BK106" s="2">
        <f t="shared" si="214"/>
        <v>104395.5</v>
      </c>
      <c r="BL106" s="2">
        <f t="shared" si="215"/>
        <v>104500</v>
      </c>
      <c r="BM106" s="2">
        <f t="shared" si="187"/>
        <v>104500</v>
      </c>
      <c r="BN106" s="8">
        <f t="shared" si="188"/>
        <v>4.3999999999999997E-2</v>
      </c>
      <c r="BO106" s="2">
        <f t="shared" si="189"/>
        <v>106032.66666666666</v>
      </c>
      <c r="BP106" s="2" t="str">
        <f t="shared" si="190"/>
        <v>nie</v>
      </c>
      <c r="BQ106" s="2">
        <f t="shared" si="191"/>
        <v>2090</v>
      </c>
      <c r="BR106" s="1">
        <f t="shared" si="239"/>
        <v>107</v>
      </c>
      <c r="BS106" s="1">
        <f t="shared" si="174"/>
        <v>104</v>
      </c>
      <c r="BT106" s="1">
        <f t="shared" si="229"/>
        <v>114</v>
      </c>
      <c r="BU106" s="1">
        <f t="shared" si="255"/>
        <v>7</v>
      </c>
      <c r="BV106" s="2">
        <f t="shared" si="247"/>
        <v>10700</v>
      </c>
      <c r="BW106" s="8">
        <f t="shared" si="240"/>
        <v>5.2499999999999998E-2</v>
      </c>
      <c r="BX106" s="2">
        <f t="shared" si="248"/>
        <v>10887.25</v>
      </c>
      <c r="BY106" s="2">
        <f t="shared" si="241"/>
        <v>187.25</v>
      </c>
      <c r="BZ106" s="2">
        <f t="shared" si="120"/>
        <v>22500</v>
      </c>
      <c r="CA106" s="8">
        <f t="shared" si="175"/>
        <v>4.3999999999999997E-2</v>
      </c>
      <c r="CB106" s="2">
        <f t="shared" si="249"/>
        <v>22830</v>
      </c>
      <c r="CC106" s="2">
        <f t="shared" si="176"/>
        <v>450</v>
      </c>
      <c r="CD106" s="2">
        <f t="shared" si="192"/>
        <v>0</v>
      </c>
      <c r="CE106" s="2">
        <f t="shared" si="250"/>
        <v>0</v>
      </c>
      <c r="CF106" s="2">
        <f t="shared" si="251"/>
        <v>8.0500000000029104</v>
      </c>
      <c r="CG106" s="1">
        <f t="shared" si="232"/>
        <v>0</v>
      </c>
      <c r="CH106" s="2">
        <f t="shared" si="193"/>
        <v>8.0500000000029104</v>
      </c>
      <c r="CI106" s="1">
        <f t="shared" si="242"/>
        <v>0</v>
      </c>
      <c r="CJ106" s="2">
        <f t="shared" si="252"/>
        <v>8.0500000000029104</v>
      </c>
      <c r="CK106" s="2">
        <f t="shared" si="253"/>
        <v>139757.96666666667</v>
      </c>
      <c r="CL106" s="2">
        <f t="shared" si="194"/>
        <v>0</v>
      </c>
      <c r="CM106" s="2">
        <f t="shared" si="216"/>
        <v>989.57053499999995</v>
      </c>
      <c r="CN106" s="2">
        <f t="shared" si="195"/>
        <v>138768.39613166667</v>
      </c>
      <c r="CO106" s="2">
        <f t="shared" si="217"/>
        <v>2727.25</v>
      </c>
      <c r="CP106" s="2">
        <f t="shared" si="196"/>
        <v>7035.8361666666679</v>
      </c>
      <c r="CQ106" s="2">
        <f t="shared" si="197"/>
        <v>129005.30996499999</v>
      </c>
      <c r="CS106" s="5">
        <f t="shared" si="218"/>
        <v>1000</v>
      </c>
      <c r="CT106" s="2">
        <f t="shared" si="219"/>
        <v>100000</v>
      </c>
      <c r="CU106" s="2">
        <f t="shared" si="220"/>
        <v>100000</v>
      </c>
      <c r="CV106" s="2">
        <f t="shared" si="221"/>
        <v>140907.23899484784</v>
      </c>
      <c r="CW106" s="8">
        <f t="shared" si="198"/>
        <v>4.9000000000000002E-2</v>
      </c>
      <c r="CX106" s="2">
        <f t="shared" si="199"/>
        <v>143208.72389843035</v>
      </c>
      <c r="CY106" s="2" t="str">
        <f t="shared" si="200"/>
        <v>nie</v>
      </c>
      <c r="CZ106" s="2">
        <f t="shared" si="222"/>
        <v>0</v>
      </c>
      <c r="DA106" s="2">
        <f t="shared" si="223"/>
        <v>0</v>
      </c>
      <c r="DB106" s="2">
        <f t="shared" si="224"/>
        <v>143208.72389843035</v>
      </c>
      <c r="DC106" s="2">
        <f t="shared" si="201"/>
        <v>0</v>
      </c>
      <c r="DD106" s="2">
        <f t="shared" si="225"/>
        <v>1005.5934553482437</v>
      </c>
      <c r="DE106" s="2">
        <f t="shared" si="226"/>
        <v>142203.1304430821</v>
      </c>
      <c r="DF106" s="2">
        <f t="shared" si="202"/>
        <v>3000</v>
      </c>
      <c r="DG106" s="2">
        <f t="shared" si="203"/>
        <v>7639.6575407017672</v>
      </c>
      <c r="DH106" s="2">
        <f t="shared" si="227"/>
        <v>131563.47290238034</v>
      </c>
    </row>
    <row r="107" spans="2:112">
      <c r="B107" s="232"/>
      <c r="C107" s="1">
        <f t="shared" si="256"/>
        <v>70</v>
      </c>
      <c r="D107" s="2">
        <f t="shared" si="259"/>
        <v>130926.22608863596</v>
      </c>
      <c r="E107" s="2">
        <f t="shared" si="260"/>
        <v>123990.08950240347</v>
      </c>
      <c r="F107" s="2">
        <f t="shared" si="261"/>
        <v>130190.14284666665</v>
      </c>
      <c r="G107" s="2">
        <f t="shared" si="262"/>
        <v>122282.01018</v>
      </c>
      <c r="H107" s="2">
        <f t="shared" si="263"/>
        <v>132590.14591567899</v>
      </c>
      <c r="I107" s="2">
        <f t="shared" si="264"/>
        <v>123837.03121638048</v>
      </c>
      <c r="J107" s="2">
        <f t="shared" si="257"/>
        <v>123652.21585720351</v>
      </c>
      <c r="K107" s="2">
        <f t="shared" si="258"/>
        <v>118153.75018832889</v>
      </c>
      <c r="W107" s="1">
        <f t="shared" si="204"/>
        <v>89</v>
      </c>
      <c r="X107" s="2">
        <f t="shared" si="177"/>
        <v>123630.00773908726</v>
      </c>
      <c r="Y107" s="8">
        <f t="shared" si="230"/>
        <v>4.3200000000000002E-2</v>
      </c>
      <c r="Z107" s="5">
        <f t="shared" si="205"/>
        <v>1320</v>
      </c>
      <c r="AA107" s="2">
        <f t="shared" si="206"/>
        <v>131868</v>
      </c>
      <c r="AB107" s="2">
        <f t="shared" si="207"/>
        <v>132000</v>
      </c>
      <c r="AC107" s="2">
        <f t="shared" si="208"/>
        <v>138468</v>
      </c>
      <c r="AD107" s="8">
        <f t="shared" si="178"/>
        <v>4.9000000000000002E-2</v>
      </c>
      <c r="AE107" s="2">
        <f t="shared" si="179"/>
        <v>141295.05500000002</v>
      </c>
      <c r="AF107" s="2" t="str">
        <f t="shared" si="180"/>
        <v>nie</v>
      </c>
      <c r="AG107" s="2">
        <f t="shared" si="181"/>
        <v>1320</v>
      </c>
      <c r="AH107" s="1">
        <f t="shared" si="233"/>
        <v>0</v>
      </c>
      <c r="AI107" s="1">
        <f t="shared" ref="AI107:AI138" si="265">IF(zapadalnosc_TOS/12&gt;=AI$18,AH95,0)</f>
        <v>0</v>
      </c>
      <c r="AJ107" s="1">
        <f t="shared" si="228"/>
        <v>0</v>
      </c>
      <c r="AK107" s="1">
        <f t="shared" si="254"/>
        <v>0</v>
      </c>
      <c r="AL107" s="2">
        <f t="shared" si="243"/>
        <v>0</v>
      </c>
      <c r="AM107" s="8">
        <f t="shared" si="234"/>
        <v>4.9000000000000002E-2</v>
      </c>
      <c r="AN107" s="2">
        <f t="shared" si="244"/>
        <v>0</v>
      </c>
      <c r="AO107" s="2">
        <f t="shared" si="235"/>
        <v>0</v>
      </c>
      <c r="AP107" s="2">
        <f t="shared" si="119"/>
        <v>0</v>
      </c>
      <c r="AQ107" s="8">
        <f t="shared" ref="AQ107:AQ138" si="266">marza_TOS+Y107</f>
        <v>4.3200000000000002E-2</v>
      </c>
      <c r="AR107" s="2">
        <f t="shared" ref="AR107:AR162" si="267">AP107*(1+AQ107*IF(MOD($W107,12)&lt;&gt;0,MOD($W107,12),12)/12)</f>
        <v>0</v>
      </c>
      <c r="AS107" s="2">
        <f t="shared" ref="AS107:AS138" si="268">SUM(AI107:AK107)*koszt_wczesniejszy_wykup_TOS</f>
        <v>0</v>
      </c>
      <c r="AT107" s="2">
        <f t="shared" si="209"/>
        <v>0</v>
      </c>
      <c r="AU107" s="2">
        <f t="shared" si="245"/>
        <v>0</v>
      </c>
      <c r="AV107" s="2">
        <f t="shared" si="236"/>
        <v>38.845655679935589</v>
      </c>
      <c r="AW107" s="1">
        <f t="shared" si="231"/>
        <v>0</v>
      </c>
      <c r="AX107" s="2">
        <f t="shared" si="182"/>
        <v>38.845655679935589</v>
      </c>
      <c r="AY107" s="1">
        <f t="shared" si="237"/>
        <v>0</v>
      </c>
      <c r="AZ107" s="2">
        <f t="shared" si="210"/>
        <v>38.845655679935589</v>
      </c>
      <c r="BA107" s="2">
        <f t="shared" si="246"/>
        <v>141333.90065567996</v>
      </c>
      <c r="BB107" s="2">
        <f t="shared" si="183"/>
        <v>0</v>
      </c>
      <c r="BC107" s="2">
        <f t="shared" si="211"/>
        <v>992.03326812206365</v>
      </c>
      <c r="BD107" s="2">
        <f t="shared" si="184"/>
        <v>140341.8673875579</v>
      </c>
      <c r="BE107" s="2">
        <f t="shared" si="212"/>
        <v>1320</v>
      </c>
      <c r="BF107" s="2">
        <f t="shared" si="185"/>
        <v>7602.6411245791924</v>
      </c>
      <c r="BG107" s="2">
        <f t="shared" si="186"/>
        <v>131419.22626297871</v>
      </c>
      <c r="BI107" s="8">
        <f t="shared" si="238"/>
        <v>2.9000000000000001E-2</v>
      </c>
      <c r="BJ107" s="5">
        <f t="shared" si="213"/>
        <v>1045</v>
      </c>
      <c r="BK107" s="2">
        <f t="shared" si="214"/>
        <v>104395.5</v>
      </c>
      <c r="BL107" s="2">
        <f t="shared" si="215"/>
        <v>104500</v>
      </c>
      <c r="BM107" s="2">
        <f t="shared" si="187"/>
        <v>104500</v>
      </c>
      <c r="BN107" s="8">
        <f t="shared" si="188"/>
        <v>4.3999999999999997E-2</v>
      </c>
      <c r="BO107" s="2">
        <f t="shared" si="189"/>
        <v>106415.83333333333</v>
      </c>
      <c r="BP107" s="2" t="str">
        <f t="shared" si="190"/>
        <v>nie</v>
      </c>
      <c r="BQ107" s="2">
        <f t="shared" si="191"/>
        <v>2090</v>
      </c>
      <c r="BR107" s="1">
        <f t="shared" si="239"/>
        <v>107</v>
      </c>
      <c r="BS107" s="1">
        <f t="shared" ref="BS107:BS138" si="269">IF(zapadalnosc_COI/12&gt;=BS$18,BR95,0)</f>
        <v>104</v>
      </c>
      <c r="BT107" s="1">
        <f t="shared" si="229"/>
        <v>114</v>
      </c>
      <c r="BU107" s="1">
        <f t="shared" si="255"/>
        <v>7</v>
      </c>
      <c r="BV107" s="2">
        <f t="shared" si="247"/>
        <v>10700</v>
      </c>
      <c r="BW107" s="8">
        <f t="shared" si="240"/>
        <v>5.2499999999999998E-2</v>
      </c>
      <c r="BX107" s="2">
        <f t="shared" si="248"/>
        <v>10934.062500000002</v>
      </c>
      <c r="BY107" s="2">
        <f t="shared" si="241"/>
        <v>214</v>
      </c>
      <c r="BZ107" s="2">
        <f t="shared" si="120"/>
        <v>22500</v>
      </c>
      <c r="CA107" s="8">
        <f t="shared" ref="CA107:CA138" si="270">marza_COI+BI107</f>
        <v>4.3999999999999997E-2</v>
      </c>
      <c r="CB107" s="2">
        <f t="shared" si="249"/>
        <v>22912.5</v>
      </c>
      <c r="CC107" s="2">
        <f t="shared" ref="CC107:CC138" si="271">SUM(BS107:BU107)*koszt_wczesniejszy_wykup_COI</f>
        <v>450</v>
      </c>
      <c r="CD107" s="2">
        <f t="shared" si="192"/>
        <v>0</v>
      </c>
      <c r="CE107" s="2">
        <f t="shared" si="250"/>
        <v>0</v>
      </c>
      <c r="CF107" s="2">
        <f t="shared" si="251"/>
        <v>8.0500000000029104</v>
      </c>
      <c r="CG107" s="1">
        <f t="shared" si="232"/>
        <v>0</v>
      </c>
      <c r="CH107" s="2">
        <f t="shared" si="193"/>
        <v>8.0500000000029104</v>
      </c>
      <c r="CI107" s="1">
        <f t="shared" si="242"/>
        <v>0</v>
      </c>
      <c r="CJ107" s="2">
        <f t="shared" si="252"/>
        <v>8.0500000000029104</v>
      </c>
      <c r="CK107" s="2">
        <f t="shared" si="253"/>
        <v>140270.4458333333</v>
      </c>
      <c r="CL107" s="2">
        <f t="shared" si="194"/>
        <v>0</v>
      </c>
      <c r="CM107" s="2">
        <f t="shared" si="216"/>
        <v>989.57053499999995</v>
      </c>
      <c r="CN107" s="2">
        <f t="shared" si="195"/>
        <v>139280.8752983333</v>
      </c>
      <c r="CO107" s="2">
        <f t="shared" si="217"/>
        <v>2754</v>
      </c>
      <c r="CP107" s="2">
        <f t="shared" si="196"/>
        <v>7128.1247083333274</v>
      </c>
      <c r="CQ107" s="2">
        <f t="shared" si="197"/>
        <v>129398.75058999997</v>
      </c>
      <c r="CS107" s="5">
        <f t="shared" si="218"/>
        <v>1000</v>
      </c>
      <c r="CT107" s="2">
        <f t="shared" si="219"/>
        <v>100000</v>
      </c>
      <c r="CU107" s="2">
        <f t="shared" si="220"/>
        <v>100000</v>
      </c>
      <c r="CV107" s="2">
        <f t="shared" si="221"/>
        <v>140907.23899484784</v>
      </c>
      <c r="CW107" s="8">
        <f t="shared" si="198"/>
        <v>4.9000000000000002E-2</v>
      </c>
      <c r="CX107" s="2">
        <f t="shared" si="199"/>
        <v>143784.09512432601</v>
      </c>
      <c r="CY107" s="2" t="str">
        <f t="shared" si="200"/>
        <v>nie</v>
      </c>
      <c r="CZ107" s="2">
        <f t="shared" si="222"/>
        <v>0</v>
      </c>
      <c r="DA107" s="2">
        <f t="shared" si="223"/>
        <v>0</v>
      </c>
      <c r="DB107" s="2">
        <f t="shared" si="224"/>
        <v>143784.09512432601</v>
      </c>
      <c r="DC107" s="2">
        <f t="shared" si="201"/>
        <v>0</v>
      </c>
      <c r="DD107" s="2">
        <f t="shared" si="225"/>
        <v>1005.5934553482437</v>
      </c>
      <c r="DE107" s="2">
        <f t="shared" si="226"/>
        <v>142778.50166897775</v>
      </c>
      <c r="DF107" s="2">
        <f t="shared" si="202"/>
        <v>3000</v>
      </c>
      <c r="DG107" s="2">
        <f t="shared" si="203"/>
        <v>7748.9780736219409</v>
      </c>
      <c r="DH107" s="2">
        <f t="shared" si="227"/>
        <v>132029.5235953558</v>
      </c>
    </row>
    <row r="108" spans="2:112">
      <c r="B108" s="233"/>
      <c r="C108" s="1">
        <f t="shared" si="256"/>
        <v>71</v>
      </c>
      <c r="D108" s="2">
        <f t="shared" si="259"/>
        <v>131442.50672781095</v>
      </c>
      <c r="E108" s="2">
        <f t="shared" si="260"/>
        <v>124408.2768201352</v>
      </c>
      <c r="F108" s="2">
        <f t="shared" si="261"/>
        <v>130660.58451333334</v>
      </c>
      <c r="G108" s="2">
        <f t="shared" si="262"/>
        <v>122663.06793</v>
      </c>
      <c r="H108" s="2">
        <f t="shared" si="263"/>
        <v>133113.02005510239</v>
      </c>
      <c r="I108" s="2">
        <f t="shared" si="264"/>
        <v>124260.55926931342</v>
      </c>
      <c r="J108" s="2">
        <f t="shared" si="257"/>
        <v>124027.80946286977</v>
      </c>
      <c r="K108" s="2">
        <f t="shared" si="258"/>
        <v>118432.5507380003</v>
      </c>
      <c r="W108" s="1">
        <f t="shared" si="204"/>
        <v>90</v>
      </c>
      <c r="X108" s="2">
        <f t="shared" si="177"/>
        <v>123925.21319190186</v>
      </c>
      <c r="Y108" s="8">
        <f t="shared" si="230"/>
        <v>4.3200000000000002E-2</v>
      </c>
      <c r="Z108" s="5">
        <f t="shared" si="205"/>
        <v>1320</v>
      </c>
      <c r="AA108" s="2">
        <f t="shared" si="206"/>
        <v>131868</v>
      </c>
      <c r="AB108" s="2">
        <f t="shared" si="207"/>
        <v>132000</v>
      </c>
      <c r="AC108" s="2">
        <f t="shared" si="208"/>
        <v>138468</v>
      </c>
      <c r="AD108" s="8">
        <f t="shared" si="178"/>
        <v>4.9000000000000002E-2</v>
      </c>
      <c r="AE108" s="2">
        <f t="shared" si="179"/>
        <v>141860.46599999999</v>
      </c>
      <c r="AF108" s="2" t="str">
        <f t="shared" si="180"/>
        <v>nie</v>
      </c>
      <c r="AG108" s="2">
        <f t="shared" si="181"/>
        <v>1320</v>
      </c>
      <c r="AH108" s="1">
        <f t="shared" si="233"/>
        <v>0</v>
      </c>
      <c r="AI108" s="1">
        <f t="shared" si="265"/>
        <v>0</v>
      </c>
      <c r="AJ108" s="1">
        <f t="shared" si="228"/>
        <v>0</v>
      </c>
      <c r="AK108" s="1">
        <f t="shared" si="254"/>
        <v>0</v>
      </c>
      <c r="AL108" s="2">
        <f t="shared" si="243"/>
        <v>0</v>
      </c>
      <c r="AM108" s="8">
        <f t="shared" si="234"/>
        <v>4.9000000000000002E-2</v>
      </c>
      <c r="AN108" s="2">
        <f t="shared" si="244"/>
        <v>0</v>
      </c>
      <c r="AO108" s="2">
        <f t="shared" si="235"/>
        <v>0</v>
      </c>
      <c r="AP108" s="2">
        <f t="shared" ref="AP108:AP162" si="272">SUM(AI108:AK108)*100</f>
        <v>0</v>
      </c>
      <c r="AQ108" s="8">
        <f t="shared" si="266"/>
        <v>4.3200000000000002E-2</v>
      </c>
      <c r="AR108" s="2">
        <f t="shared" si="267"/>
        <v>0</v>
      </c>
      <c r="AS108" s="2">
        <f t="shared" si="268"/>
        <v>0</v>
      </c>
      <c r="AT108" s="2">
        <f t="shared" si="209"/>
        <v>0</v>
      </c>
      <c r="AU108" s="2">
        <f t="shared" si="245"/>
        <v>0</v>
      </c>
      <c r="AV108" s="2">
        <f t="shared" si="236"/>
        <v>38.845655679935589</v>
      </c>
      <c r="AW108" s="1">
        <f t="shared" si="231"/>
        <v>0</v>
      </c>
      <c r="AX108" s="2">
        <f t="shared" si="182"/>
        <v>38.845655679935589</v>
      </c>
      <c r="AY108" s="1">
        <f t="shared" si="237"/>
        <v>0</v>
      </c>
      <c r="AZ108" s="2">
        <f t="shared" si="210"/>
        <v>38.845655679935589</v>
      </c>
      <c r="BA108" s="2">
        <f t="shared" si="246"/>
        <v>141899.31165567992</v>
      </c>
      <c r="BB108" s="2">
        <f t="shared" si="183"/>
        <v>0</v>
      </c>
      <c r="BC108" s="2">
        <f t="shared" si="211"/>
        <v>992.03326812206365</v>
      </c>
      <c r="BD108" s="2">
        <f t="shared" si="184"/>
        <v>140907.27838755786</v>
      </c>
      <c r="BE108" s="2">
        <f t="shared" si="212"/>
        <v>1320</v>
      </c>
      <c r="BF108" s="2">
        <f t="shared" si="185"/>
        <v>7710.0692145791854</v>
      </c>
      <c r="BG108" s="2">
        <f t="shared" si="186"/>
        <v>131877.20917297868</v>
      </c>
      <c r="BI108" s="8">
        <f t="shared" si="238"/>
        <v>2.9000000000000001E-2</v>
      </c>
      <c r="BJ108" s="5">
        <f t="shared" si="213"/>
        <v>1045</v>
      </c>
      <c r="BK108" s="2">
        <f t="shared" si="214"/>
        <v>104395.5</v>
      </c>
      <c r="BL108" s="2">
        <f t="shared" si="215"/>
        <v>104500</v>
      </c>
      <c r="BM108" s="2">
        <f t="shared" si="187"/>
        <v>104500</v>
      </c>
      <c r="BN108" s="8">
        <f t="shared" si="188"/>
        <v>4.3999999999999997E-2</v>
      </c>
      <c r="BO108" s="2">
        <f t="shared" si="189"/>
        <v>106799</v>
      </c>
      <c r="BP108" s="2" t="str">
        <f t="shared" si="190"/>
        <v>nie</v>
      </c>
      <c r="BQ108" s="2">
        <f t="shared" si="191"/>
        <v>2090</v>
      </c>
      <c r="BR108" s="1">
        <f t="shared" si="239"/>
        <v>107</v>
      </c>
      <c r="BS108" s="1">
        <f t="shared" si="269"/>
        <v>104</v>
      </c>
      <c r="BT108" s="1">
        <f t="shared" si="229"/>
        <v>114</v>
      </c>
      <c r="BU108" s="1">
        <f t="shared" si="255"/>
        <v>7</v>
      </c>
      <c r="BV108" s="2">
        <f t="shared" si="247"/>
        <v>10700</v>
      </c>
      <c r="BW108" s="8">
        <f t="shared" si="240"/>
        <v>5.2499999999999998E-2</v>
      </c>
      <c r="BX108" s="2">
        <f t="shared" si="248"/>
        <v>10980.875000000002</v>
      </c>
      <c r="BY108" s="2">
        <f t="shared" si="241"/>
        <v>214</v>
      </c>
      <c r="BZ108" s="2">
        <f t="shared" ref="BZ108:BZ162" si="273">SUM(BS108:BU108)*100</f>
        <v>22500</v>
      </c>
      <c r="CA108" s="8">
        <f t="shared" si="270"/>
        <v>4.3999999999999997E-2</v>
      </c>
      <c r="CB108" s="2">
        <f t="shared" si="249"/>
        <v>22995</v>
      </c>
      <c r="CC108" s="2">
        <f t="shared" si="271"/>
        <v>450</v>
      </c>
      <c r="CD108" s="2">
        <f t="shared" si="192"/>
        <v>0</v>
      </c>
      <c r="CE108" s="2">
        <f t="shared" si="250"/>
        <v>0</v>
      </c>
      <c r="CF108" s="2">
        <f t="shared" si="251"/>
        <v>8.0500000000029104</v>
      </c>
      <c r="CG108" s="1">
        <f t="shared" si="232"/>
        <v>0</v>
      </c>
      <c r="CH108" s="2">
        <f t="shared" si="193"/>
        <v>8.0500000000029104</v>
      </c>
      <c r="CI108" s="1">
        <f t="shared" si="242"/>
        <v>0</v>
      </c>
      <c r="CJ108" s="2">
        <f t="shared" si="252"/>
        <v>8.0500000000029104</v>
      </c>
      <c r="CK108" s="2">
        <f t="shared" si="253"/>
        <v>140782.92499999999</v>
      </c>
      <c r="CL108" s="2">
        <f t="shared" si="194"/>
        <v>0</v>
      </c>
      <c r="CM108" s="2">
        <f t="shared" si="216"/>
        <v>989.57053499999995</v>
      </c>
      <c r="CN108" s="2">
        <f t="shared" si="195"/>
        <v>139793.35446499998</v>
      </c>
      <c r="CO108" s="2">
        <f t="shared" si="217"/>
        <v>2754</v>
      </c>
      <c r="CP108" s="2">
        <f t="shared" si="196"/>
        <v>7225.4957499999982</v>
      </c>
      <c r="CQ108" s="2">
        <f t="shared" si="197"/>
        <v>129813.85871499998</v>
      </c>
      <c r="CS108" s="5">
        <f t="shared" si="218"/>
        <v>1000</v>
      </c>
      <c r="CT108" s="2">
        <f t="shared" si="219"/>
        <v>100000</v>
      </c>
      <c r="CU108" s="2">
        <f t="shared" si="220"/>
        <v>100000</v>
      </c>
      <c r="CV108" s="2">
        <f t="shared" si="221"/>
        <v>140907.23899484784</v>
      </c>
      <c r="CW108" s="8">
        <f t="shared" si="198"/>
        <v>4.9000000000000002E-2</v>
      </c>
      <c r="CX108" s="2">
        <f t="shared" si="199"/>
        <v>144359.4663502216</v>
      </c>
      <c r="CY108" s="2" t="str">
        <f t="shared" si="200"/>
        <v>nie</v>
      </c>
      <c r="CZ108" s="2">
        <f t="shared" si="222"/>
        <v>0</v>
      </c>
      <c r="DA108" s="2">
        <f t="shared" si="223"/>
        <v>0</v>
      </c>
      <c r="DB108" s="2">
        <f t="shared" si="224"/>
        <v>144359.4663502216</v>
      </c>
      <c r="DC108" s="2">
        <f t="shared" si="201"/>
        <v>0</v>
      </c>
      <c r="DD108" s="2">
        <f t="shared" si="225"/>
        <v>1005.5934553482437</v>
      </c>
      <c r="DE108" s="2">
        <f t="shared" si="226"/>
        <v>143353.87289487335</v>
      </c>
      <c r="DF108" s="2">
        <f t="shared" si="202"/>
        <v>3000</v>
      </c>
      <c r="DG108" s="2">
        <f t="shared" si="203"/>
        <v>7858.2986065421037</v>
      </c>
      <c r="DH108" s="2">
        <f t="shared" si="227"/>
        <v>132495.57428833123</v>
      </c>
    </row>
    <row r="109" spans="2:112">
      <c r="B109" s="231">
        <f>ROUNDUP(C110/12,0)</f>
        <v>7</v>
      </c>
      <c r="C109" s="3">
        <f t="shared" si="256"/>
        <v>72</v>
      </c>
      <c r="D109" s="10">
        <f t="shared" si="259"/>
        <v>131067.16991777912</v>
      </c>
      <c r="E109" s="10">
        <f t="shared" si="260"/>
        <v>125004.86924319992</v>
      </c>
      <c r="F109" s="10">
        <f t="shared" si="261"/>
        <v>130972.85303999999</v>
      </c>
      <c r="G109" s="10">
        <f t="shared" si="262"/>
        <v>122885.95253999998</v>
      </c>
      <c r="H109" s="10">
        <f t="shared" si="263"/>
        <v>133474.70383533242</v>
      </c>
      <c r="I109" s="10">
        <f t="shared" si="264"/>
        <v>124522.89696305302</v>
      </c>
      <c r="J109" s="10">
        <f t="shared" si="257"/>
        <v>124404.54393411324</v>
      </c>
      <c r="K109" s="10">
        <f t="shared" si="258"/>
        <v>118711.3512876717</v>
      </c>
      <c r="W109" s="1">
        <f t="shared" si="204"/>
        <v>91</v>
      </c>
      <c r="X109" s="2">
        <f t="shared" si="177"/>
        <v>124220.41864471648</v>
      </c>
      <c r="Y109" s="8">
        <f t="shared" si="230"/>
        <v>4.3200000000000002E-2</v>
      </c>
      <c r="Z109" s="5">
        <f t="shared" si="205"/>
        <v>1320</v>
      </c>
      <c r="AA109" s="2">
        <f t="shared" si="206"/>
        <v>131868</v>
      </c>
      <c r="AB109" s="2">
        <f t="shared" si="207"/>
        <v>132000</v>
      </c>
      <c r="AC109" s="2">
        <f t="shared" si="208"/>
        <v>138468</v>
      </c>
      <c r="AD109" s="8">
        <f t="shared" si="178"/>
        <v>4.9000000000000002E-2</v>
      </c>
      <c r="AE109" s="2">
        <f t="shared" si="179"/>
        <v>142425.87700000001</v>
      </c>
      <c r="AF109" s="2" t="str">
        <f t="shared" si="180"/>
        <v>nie</v>
      </c>
      <c r="AG109" s="2">
        <f t="shared" si="181"/>
        <v>1320</v>
      </c>
      <c r="AH109" s="1">
        <f t="shared" si="233"/>
        <v>0</v>
      </c>
      <c r="AI109" s="1">
        <f t="shared" si="265"/>
        <v>0</v>
      </c>
      <c r="AJ109" s="1">
        <f t="shared" si="228"/>
        <v>0</v>
      </c>
      <c r="AK109" s="1">
        <f t="shared" si="254"/>
        <v>0</v>
      </c>
      <c r="AL109" s="2">
        <f t="shared" si="243"/>
        <v>0</v>
      </c>
      <c r="AM109" s="8">
        <f t="shared" si="234"/>
        <v>4.9000000000000002E-2</v>
      </c>
      <c r="AN109" s="2">
        <f t="shared" si="244"/>
        <v>0</v>
      </c>
      <c r="AO109" s="2">
        <f t="shared" si="235"/>
        <v>0</v>
      </c>
      <c r="AP109" s="2">
        <f t="shared" si="272"/>
        <v>0</v>
      </c>
      <c r="AQ109" s="8">
        <f t="shared" si="266"/>
        <v>4.3200000000000002E-2</v>
      </c>
      <c r="AR109" s="2">
        <f t="shared" si="267"/>
        <v>0</v>
      </c>
      <c r="AS109" s="2">
        <f t="shared" si="268"/>
        <v>0</v>
      </c>
      <c r="AT109" s="2">
        <f t="shared" si="209"/>
        <v>0</v>
      </c>
      <c r="AU109" s="2">
        <f t="shared" si="245"/>
        <v>0</v>
      </c>
      <c r="AV109" s="2">
        <f t="shared" si="236"/>
        <v>38.845655679935589</v>
      </c>
      <c r="AW109" s="1">
        <f t="shared" si="231"/>
        <v>0</v>
      </c>
      <c r="AX109" s="2">
        <f t="shared" si="182"/>
        <v>38.845655679935589</v>
      </c>
      <c r="AY109" s="1">
        <f t="shared" si="237"/>
        <v>0</v>
      </c>
      <c r="AZ109" s="2">
        <f t="shared" si="210"/>
        <v>38.845655679935589</v>
      </c>
      <c r="BA109" s="2">
        <f t="shared" si="246"/>
        <v>142464.72265567994</v>
      </c>
      <c r="BB109" s="2">
        <f t="shared" si="183"/>
        <v>0</v>
      </c>
      <c r="BC109" s="2">
        <f t="shared" si="211"/>
        <v>992.03326812206365</v>
      </c>
      <c r="BD109" s="2">
        <f t="shared" si="184"/>
        <v>141472.68938755788</v>
      </c>
      <c r="BE109" s="2">
        <f t="shared" si="212"/>
        <v>1320</v>
      </c>
      <c r="BF109" s="2">
        <f t="shared" si="185"/>
        <v>7817.4973045791894</v>
      </c>
      <c r="BG109" s="2">
        <f t="shared" si="186"/>
        <v>132335.1920829787</v>
      </c>
      <c r="BI109" s="8">
        <f t="shared" si="238"/>
        <v>2.9000000000000001E-2</v>
      </c>
      <c r="BJ109" s="5">
        <f t="shared" si="213"/>
        <v>1045</v>
      </c>
      <c r="BK109" s="2">
        <f t="shared" si="214"/>
        <v>104395.5</v>
      </c>
      <c r="BL109" s="2">
        <f t="shared" si="215"/>
        <v>104500</v>
      </c>
      <c r="BM109" s="2">
        <f t="shared" si="187"/>
        <v>104500</v>
      </c>
      <c r="BN109" s="8">
        <f t="shared" si="188"/>
        <v>4.3999999999999997E-2</v>
      </c>
      <c r="BO109" s="2">
        <f t="shared" si="189"/>
        <v>107182.16666666667</v>
      </c>
      <c r="BP109" s="2" t="str">
        <f t="shared" si="190"/>
        <v>nie</v>
      </c>
      <c r="BQ109" s="2">
        <f t="shared" si="191"/>
        <v>2090</v>
      </c>
      <c r="BR109" s="1">
        <f t="shared" si="239"/>
        <v>107</v>
      </c>
      <c r="BS109" s="1">
        <f t="shared" si="269"/>
        <v>104</v>
      </c>
      <c r="BT109" s="1">
        <f t="shared" si="229"/>
        <v>114</v>
      </c>
      <c r="BU109" s="1">
        <f t="shared" si="255"/>
        <v>7</v>
      </c>
      <c r="BV109" s="2">
        <f t="shared" si="247"/>
        <v>10700</v>
      </c>
      <c r="BW109" s="8">
        <f t="shared" si="240"/>
        <v>5.2499999999999998E-2</v>
      </c>
      <c r="BX109" s="2">
        <f t="shared" si="248"/>
        <v>11027.687499999998</v>
      </c>
      <c r="BY109" s="2">
        <f t="shared" si="241"/>
        <v>214</v>
      </c>
      <c r="BZ109" s="2">
        <f t="shared" si="273"/>
        <v>22500</v>
      </c>
      <c r="CA109" s="8">
        <f t="shared" si="270"/>
        <v>4.3999999999999997E-2</v>
      </c>
      <c r="CB109" s="2">
        <f t="shared" si="249"/>
        <v>23077.5</v>
      </c>
      <c r="CC109" s="2">
        <f t="shared" si="271"/>
        <v>450</v>
      </c>
      <c r="CD109" s="2">
        <f t="shared" si="192"/>
        <v>0</v>
      </c>
      <c r="CE109" s="2">
        <f t="shared" si="250"/>
        <v>0</v>
      </c>
      <c r="CF109" s="2">
        <f t="shared" si="251"/>
        <v>8.0500000000029104</v>
      </c>
      <c r="CG109" s="1">
        <f t="shared" si="232"/>
        <v>0</v>
      </c>
      <c r="CH109" s="2">
        <f t="shared" si="193"/>
        <v>8.0500000000029104</v>
      </c>
      <c r="CI109" s="1">
        <f t="shared" si="242"/>
        <v>0</v>
      </c>
      <c r="CJ109" s="2">
        <f t="shared" si="252"/>
        <v>8.0500000000029104</v>
      </c>
      <c r="CK109" s="2">
        <f t="shared" si="253"/>
        <v>141295.40416666667</v>
      </c>
      <c r="CL109" s="2">
        <f t="shared" si="194"/>
        <v>0</v>
      </c>
      <c r="CM109" s="2">
        <f t="shared" si="216"/>
        <v>989.57053499999995</v>
      </c>
      <c r="CN109" s="2">
        <f t="shared" si="195"/>
        <v>140305.83363166667</v>
      </c>
      <c r="CO109" s="2">
        <f t="shared" si="217"/>
        <v>2754</v>
      </c>
      <c r="CP109" s="2">
        <f t="shared" si="196"/>
        <v>7322.8667916666682</v>
      </c>
      <c r="CQ109" s="2">
        <f t="shared" si="197"/>
        <v>130228.96683999999</v>
      </c>
      <c r="CS109" s="5">
        <f t="shared" si="218"/>
        <v>1000</v>
      </c>
      <c r="CT109" s="2">
        <f t="shared" si="219"/>
        <v>100000</v>
      </c>
      <c r="CU109" s="2">
        <f t="shared" si="220"/>
        <v>100000</v>
      </c>
      <c r="CV109" s="2">
        <f t="shared" si="221"/>
        <v>140907.23899484784</v>
      </c>
      <c r="CW109" s="8">
        <f t="shared" si="198"/>
        <v>4.9000000000000002E-2</v>
      </c>
      <c r="CX109" s="2">
        <f t="shared" si="199"/>
        <v>144934.83757611725</v>
      </c>
      <c r="CY109" s="2" t="str">
        <f t="shared" si="200"/>
        <v>nie</v>
      </c>
      <c r="CZ109" s="2">
        <f t="shared" si="222"/>
        <v>0</v>
      </c>
      <c r="DA109" s="2">
        <f t="shared" si="223"/>
        <v>0</v>
      </c>
      <c r="DB109" s="2">
        <f t="shared" si="224"/>
        <v>144934.83757611725</v>
      </c>
      <c r="DC109" s="2">
        <f t="shared" si="201"/>
        <v>0</v>
      </c>
      <c r="DD109" s="2">
        <f t="shared" si="225"/>
        <v>1005.5934553482437</v>
      </c>
      <c r="DE109" s="2">
        <f t="shared" si="226"/>
        <v>143929.244120769</v>
      </c>
      <c r="DF109" s="2">
        <f t="shared" si="202"/>
        <v>3000</v>
      </c>
      <c r="DG109" s="2">
        <f t="shared" si="203"/>
        <v>7967.6191394622774</v>
      </c>
      <c r="DH109" s="2">
        <f t="shared" si="227"/>
        <v>132961.62498130673</v>
      </c>
    </row>
    <row r="110" spans="2:112">
      <c r="B110" s="232"/>
      <c r="C110" s="1">
        <f t="shared" si="256"/>
        <v>73</v>
      </c>
      <c r="D110" s="2">
        <f t="shared" si="259"/>
        <v>131738.16991777913</v>
      </c>
      <c r="E110" s="2">
        <f t="shared" si="260"/>
        <v>125111.78924319995</v>
      </c>
      <c r="F110" s="2">
        <f t="shared" si="261"/>
        <v>131468.18637333333</v>
      </c>
      <c r="G110" s="2">
        <f t="shared" si="262"/>
        <v>123326.45754</v>
      </c>
      <c r="H110" s="2">
        <f t="shared" si="263"/>
        <v>134023.19880758756</v>
      </c>
      <c r="I110" s="2">
        <f t="shared" si="264"/>
        <v>124967.17789057968</v>
      </c>
      <c r="J110" s="2">
        <f t="shared" si="257"/>
        <v>124782.42273631312</v>
      </c>
      <c r="K110" s="2">
        <f t="shared" si="258"/>
        <v>118998.23705328358</v>
      </c>
      <c r="W110" s="1">
        <f t="shared" si="204"/>
        <v>92</v>
      </c>
      <c r="X110" s="2">
        <f t="shared" si="177"/>
        <v>124515.62409753111</v>
      </c>
      <c r="Y110" s="8">
        <f t="shared" si="230"/>
        <v>4.3200000000000002E-2</v>
      </c>
      <c r="Z110" s="5">
        <f t="shared" si="205"/>
        <v>1320</v>
      </c>
      <c r="AA110" s="2">
        <f t="shared" si="206"/>
        <v>131868</v>
      </c>
      <c r="AB110" s="2">
        <f t="shared" si="207"/>
        <v>132000</v>
      </c>
      <c r="AC110" s="2">
        <f t="shared" si="208"/>
        <v>138468</v>
      </c>
      <c r="AD110" s="8">
        <f t="shared" si="178"/>
        <v>4.9000000000000002E-2</v>
      </c>
      <c r="AE110" s="2">
        <f t="shared" si="179"/>
        <v>142991.288</v>
      </c>
      <c r="AF110" s="2" t="str">
        <f t="shared" si="180"/>
        <v>nie</v>
      </c>
      <c r="AG110" s="2">
        <f t="shared" si="181"/>
        <v>1320</v>
      </c>
      <c r="AH110" s="1">
        <f t="shared" si="233"/>
        <v>0</v>
      </c>
      <c r="AI110" s="1">
        <f t="shared" si="265"/>
        <v>0</v>
      </c>
      <c r="AJ110" s="1">
        <f t="shared" si="228"/>
        <v>0</v>
      </c>
      <c r="AK110" s="1">
        <f t="shared" si="254"/>
        <v>0</v>
      </c>
      <c r="AL110" s="2">
        <f t="shared" si="243"/>
        <v>0</v>
      </c>
      <c r="AM110" s="8">
        <f t="shared" si="234"/>
        <v>4.9000000000000002E-2</v>
      </c>
      <c r="AN110" s="2">
        <f t="shared" si="244"/>
        <v>0</v>
      </c>
      <c r="AO110" s="2">
        <f t="shared" si="235"/>
        <v>0</v>
      </c>
      <c r="AP110" s="2">
        <f t="shared" si="272"/>
        <v>0</v>
      </c>
      <c r="AQ110" s="8">
        <f t="shared" si="266"/>
        <v>4.3200000000000002E-2</v>
      </c>
      <c r="AR110" s="2">
        <f t="shared" si="267"/>
        <v>0</v>
      </c>
      <c r="AS110" s="2">
        <f t="shared" si="268"/>
        <v>0</v>
      </c>
      <c r="AT110" s="2">
        <f t="shared" si="209"/>
        <v>0</v>
      </c>
      <c r="AU110" s="2">
        <f t="shared" si="245"/>
        <v>0</v>
      </c>
      <c r="AV110" s="2">
        <f t="shared" si="236"/>
        <v>38.845655679935589</v>
      </c>
      <c r="AW110" s="1">
        <f t="shared" si="231"/>
        <v>0</v>
      </c>
      <c r="AX110" s="2">
        <f t="shared" si="182"/>
        <v>38.845655679935589</v>
      </c>
      <c r="AY110" s="1">
        <f t="shared" si="237"/>
        <v>0</v>
      </c>
      <c r="AZ110" s="2">
        <f t="shared" si="210"/>
        <v>38.845655679935589</v>
      </c>
      <c r="BA110" s="2">
        <f t="shared" si="246"/>
        <v>143030.13365567994</v>
      </c>
      <c r="BB110" s="2">
        <f t="shared" si="183"/>
        <v>0</v>
      </c>
      <c r="BC110" s="2">
        <f t="shared" si="211"/>
        <v>992.03326812206365</v>
      </c>
      <c r="BD110" s="2">
        <f t="shared" si="184"/>
        <v>142038.10038755788</v>
      </c>
      <c r="BE110" s="2">
        <f t="shared" si="212"/>
        <v>1320</v>
      </c>
      <c r="BF110" s="2">
        <f t="shared" si="185"/>
        <v>7924.9253945791879</v>
      </c>
      <c r="BG110" s="2">
        <f t="shared" si="186"/>
        <v>132793.17499297869</v>
      </c>
      <c r="BI110" s="8">
        <f t="shared" si="238"/>
        <v>2.9000000000000001E-2</v>
      </c>
      <c r="BJ110" s="5">
        <f t="shared" si="213"/>
        <v>1045</v>
      </c>
      <c r="BK110" s="2">
        <f t="shared" si="214"/>
        <v>104395.5</v>
      </c>
      <c r="BL110" s="2">
        <f t="shared" si="215"/>
        <v>104500</v>
      </c>
      <c r="BM110" s="2">
        <f t="shared" si="187"/>
        <v>104500</v>
      </c>
      <c r="BN110" s="8">
        <f t="shared" si="188"/>
        <v>4.3999999999999997E-2</v>
      </c>
      <c r="BO110" s="2">
        <f t="shared" si="189"/>
        <v>107565.33333333334</v>
      </c>
      <c r="BP110" s="2" t="str">
        <f t="shared" si="190"/>
        <v>nie</v>
      </c>
      <c r="BQ110" s="2">
        <f t="shared" si="191"/>
        <v>2090</v>
      </c>
      <c r="BR110" s="1">
        <f t="shared" si="239"/>
        <v>107</v>
      </c>
      <c r="BS110" s="1">
        <f t="shared" si="269"/>
        <v>104</v>
      </c>
      <c r="BT110" s="1">
        <f t="shared" si="229"/>
        <v>114</v>
      </c>
      <c r="BU110" s="1">
        <f t="shared" si="255"/>
        <v>7</v>
      </c>
      <c r="BV110" s="2">
        <f t="shared" si="247"/>
        <v>10700</v>
      </c>
      <c r="BW110" s="8">
        <f t="shared" si="240"/>
        <v>5.2499999999999998E-2</v>
      </c>
      <c r="BX110" s="2">
        <f t="shared" si="248"/>
        <v>11074.5</v>
      </c>
      <c r="BY110" s="2">
        <f t="shared" si="241"/>
        <v>214</v>
      </c>
      <c r="BZ110" s="2">
        <f t="shared" si="273"/>
        <v>22500</v>
      </c>
      <c r="CA110" s="8">
        <f t="shared" si="270"/>
        <v>4.3999999999999997E-2</v>
      </c>
      <c r="CB110" s="2">
        <f t="shared" si="249"/>
        <v>23160.000000000004</v>
      </c>
      <c r="CC110" s="2">
        <f t="shared" si="271"/>
        <v>450</v>
      </c>
      <c r="CD110" s="2">
        <f t="shared" si="192"/>
        <v>0</v>
      </c>
      <c r="CE110" s="2">
        <f t="shared" si="250"/>
        <v>0</v>
      </c>
      <c r="CF110" s="2">
        <f t="shared" si="251"/>
        <v>8.0500000000029104</v>
      </c>
      <c r="CG110" s="1">
        <f t="shared" si="232"/>
        <v>0</v>
      </c>
      <c r="CH110" s="2">
        <f t="shared" si="193"/>
        <v>8.0500000000029104</v>
      </c>
      <c r="CI110" s="1">
        <f t="shared" si="242"/>
        <v>0</v>
      </c>
      <c r="CJ110" s="2">
        <f t="shared" si="252"/>
        <v>8.0500000000029104</v>
      </c>
      <c r="CK110" s="2">
        <f t="shared" si="253"/>
        <v>141807.88333333336</v>
      </c>
      <c r="CL110" s="2">
        <f t="shared" si="194"/>
        <v>0</v>
      </c>
      <c r="CM110" s="2">
        <f t="shared" si="216"/>
        <v>989.57053499999995</v>
      </c>
      <c r="CN110" s="2">
        <f t="shared" si="195"/>
        <v>140818.31279833335</v>
      </c>
      <c r="CO110" s="2">
        <f t="shared" si="217"/>
        <v>2754</v>
      </c>
      <c r="CP110" s="2">
        <f t="shared" si="196"/>
        <v>7420.2378333333381</v>
      </c>
      <c r="CQ110" s="2">
        <f t="shared" si="197"/>
        <v>130644.07496500002</v>
      </c>
      <c r="CS110" s="5">
        <f t="shared" si="218"/>
        <v>1000</v>
      </c>
      <c r="CT110" s="2">
        <f t="shared" si="219"/>
        <v>100000</v>
      </c>
      <c r="CU110" s="2">
        <f t="shared" si="220"/>
        <v>100000</v>
      </c>
      <c r="CV110" s="2">
        <f t="shared" si="221"/>
        <v>140907.23899484784</v>
      </c>
      <c r="CW110" s="8">
        <f t="shared" si="198"/>
        <v>4.9000000000000002E-2</v>
      </c>
      <c r="CX110" s="2">
        <f t="shared" si="199"/>
        <v>145510.20880201287</v>
      </c>
      <c r="CY110" s="2" t="str">
        <f t="shared" si="200"/>
        <v>nie</v>
      </c>
      <c r="CZ110" s="2">
        <f t="shared" si="222"/>
        <v>0</v>
      </c>
      <c r="DA110" s="2">
        <f t="shared" si="223"/>
        <v>0</v>
      </c>
      <c r="DB110" s="2">
        <f t="shared" si="224"/>
        <v>145510.20880201287</v>
      </c>
      <c r="DC110" s="2">
        <f t="shared" si="201"/>
        <v>0</v>
      </c>
      <c r="DD110" s="2">
        <f t="shared" si="225"/>
        <v>1005.5934553482437</v>
      </c>
      <c r="DE110" s="2">
        <f t="shared" si="226"/>
        <v>144504.61534666462</v>
      </c>
      <c r="DF110" s="2">
        <f t="shared" si="202"/>
        <v>3000</v>
      </c>
      <c r="DG110" s="2">
        <f t="shared" si="203"/>
        <v>8076.9396723824457</v>
      </c>
      <c r="DH110" s="2">
        <f t="shared" si="227"/>
        <v>133427.67567428219</v>
      </c>
    </row>
    <row r="111" spans="2:112">
      <c r="B111" s="232"/>
      <c r="C111" s="1">
        <f t="shared" si="256"/>
        <v>74</v>
      </c>
      <c r="D111" s="2">
        <f t="shared" si="259"/>
        <v>132277.16991777913</v>
      </c>
      <c r="E111" s="2">
        <f t="shared" si="260"/>
        <v>125111.78924319995</v>
      </c>
      <c r="F111" s="2">
        <f t="shared" si="261"/>
        <v>131958.81970666666</v>
      </c>
      <c r="G111" s="2">
        <f t="shared" si="262"/>
        <v>123687.01553999999</v>
      </c>
      <c r="H111" s="2">
        <f t="shared" si="263"/>
        <v>134571.69377984264</v>
      </c>
      <c r="I111" s="2">
        <f t="shared" si="264"/>
        <v>125411.45881810629</v>
      </c>
      <c r="J111" s="2">
        <f t="shared" si="257"/>
        <v>125161.44934537467</v>
      </c>
      <c r="K111" s="2">
        <f t="shared" si="258"/>
        <v>119285.12281889544</v>
      </c>
      <c r="W111" s="1">
        <f t="shared" si="204"/>
        <v>93</v>
      </c>
      <c r="X111" s="2">
        <f t="shared" si="177"/>
        <v>124810.82955034572</v>
      </c>
      <c r="Y111" s="8">
        <f t="shared" si="230"/>
        <v>4.3200000000000002E-2</v>
      </c>
      <c r="Z111" s="5">
        <f t="shared" si="205"/>
        <v>1320</v>
      </c>
      <c r="AA111" s="2">
        <f t="shared" si="206"/>
        <v>131868</v>
      </c>
      <c r="AB111" s="2">
        <f t="shared" si="207"/>
        <v>132000</v>
      </c>
      <c r="AC111" s="2">
        <f t="shared" si="208"/>
        <v>138468</v>
      </c>
      <c r="AD111" s="8">
        <f t="shared" si="178"/>
        <v>4.9000000000000002E-2</v>
      </c>
      <c r="AE111" s="2">
        <f t="shared" si="179"/>
        <v>143556.69900000002</v>
      </c>
      <c r="AF111" s="2" t="str">
        <f t="shared" si="180"/>
        <v>nie</v>
      </c>
      <c r="AG111" s="2">
        <f t="shared" si="181"/>
        <v>1320</v>
      </c>
      <c r="AH111" s="1">
        <f t="shared" si="233"/>
        <v>0</v>
      </c>
      <c r="AI111" s="1">
        <f t="shared" si="265"/>
        <v>0</v>
      </c>
      <c r="AJ111" s="1">
        <f t="shared" si="228"/>
        <v>0</v>
      </c>
      <c r="AK111" s="1">
        <f t="shared" si="254"/>
        <v>0</v>
      </c>
      <c r="AL111" s="2">
        <f t="shared" si="243"/>
        <v>0</v>
      </c>
      <c r="AM111" s="8">
        <f t="shared" si="234"/>
        <v>4.9000000000000002E-2</v>
      </c>
      <c r="AN111" s="2">
        <f t="shared" si="244"/>
        <v>0</v>
      </c>
      <c r="AO111" s="2">
        <f t="shared" si="235"/>
        <v>0</v>
      </c>
      <c r="AP111" s="2">
        <f t="shared" si="272"/>
        <v>0</v>
      </c>
      <c r="AQ111" s="8">
        <f t="shared" si="266"/>
        <v>4.3200000000000002E-2</v>
      </c>
      <c r="AR111" s="2">
        <f t="shared" si="267"/>
        <v>0</v>
      </c>
      <c r="AS111" s="2">
        <f t="shared" si="268"/>
        <v>0</v>
      </c>
      <c r="AT111" s="2">
        <f t="shared" si="209"/>
        <v>0</v>
      </c>
      <c r="AU111" s="2">
        <f t="shared" si="245"/>
        <v>0</v>
      </c>
      <c r="AV111" s="2">
        <f t="shared" si="236"/>
        <v>38.845655679935589</v>
      </c>
      <c r="AW111" s="1">
        <f t="shared" si="231"/>
        <v>0</v>
      </c>
      <c r="AX111" s="2">
        <f t="shared" si="182"/>
        <v>38.845655679935589</v>
      </c>
      <c r="AY111" s="1">
        <f t="shared" si="237"/>
        <v>0</v>
      </c>
      <c r="AZ111" s="2">
        <f t="shared" si="210"/>
        <v>38.845655679935589</v>
      </c>
      <c r="BA111" s="2">
        <f t="shared" si="246"/>
        <v>143595.54465567996</v>
      </c>
      <c r="BB111" s="2">
        <f t="shared" si="183"/>
        <v>0</v>
      </c>
      <c r="BC111" s="2">
        <f t="shared" si="211"/>
        <v>992.03326812206365</v>
      </c>
      <c r="BD111" s="2">
        <f t="shared" si="184"/>
        <v>142603.5113875579</v>
      </c>
      <c r="BE111" s="2">
        <f t="shared" si="212"/>
        <v>1320</v>
      </c>
      <c r="BF111" s="2">
        <f t="shared" si="185"/>
        <v>8032.3534845791919</v>
      </c>
      <c r="BG111" s="2">
        <f t="shared" si="186"/>
        <v>133251.15790297871</v>
      </c>
      <c r="BI111" s="8">
        <f t="shared" si="238"/>
        <v>2.9000000000000001E-2</v>
      </c>
      <c r="BJ111" s="5">
        <f t="shared" si="213"/>
        <v>1045</v>
      </c>
      <c r="BK111" s="2">
        <f t="shared" si="214"/>
        <v>104395.5</v>
      </c>
      <c r="BL111" s="2">
        <f t="shared" si="215"/>
        <v>104500</v>
      </c>
      <c r="BM111" s="2">
        <f t="shared" si="187"/>
        <v>104500</v>
      </c>
      <c r="BN111" s="8">
        <f t="shared" si="188"/>
        <v>4.3999999999999997E-2</v>
      </c>
      <c r="BO111" s="2">
        <f t="shared" si="189"/>
        <v>107948.49999999999</v>
      </c>
      <c r="BP111" s="2" t="str">
        <f t="shared" si="190"/>
        <v>nie</v>
      </c>
      <c r="BQ111" s="2">
        <f t="shared" si="191"/>
        <v>2090</v>
      </c>
      <c r="BR111" s="1">
        <f t="shared" si="239"/>
        <v>107</v>
      </c>
      <c r="BS111" s="1">
        <f t="shared" si="269"/>
        <v>104</v>
      </c>
      <c r="BT111" s="1">
        <f t="shared" si="229"/>
        <v>114</v>
      </c>
      <c r="BU111" s="1">
        <f t="shared" si="255"/>
        <v>7</v>
      </c>
      <c r="BV111" s="2">
        <f t="shared" si="247"/>
        <v>10700</v>
      </c>
      <c r="BW111" s="8">
        <f t="shared" si="240"/>
        <v>5.2499999999999998E-2</v>
      </c>
      <c r="BX111" s="2">
        <f t="shared" si="248"/>
        <v>11121.3125</v>
      </c>
      <c r="BY111" s="2">
        <f t="shared" si="241"/>
        <v>214</v>
      </c>
      <c r="BZ111" s="2">
        <f t="shared" si="273"/>
        <v>22500</v>
      </c>
      <c r="CA111" s="8">
        <f t="shared" si="270"/>
        <v>4.3999999999999997E-2</v>
      </c>
      <c r="CB111" s="2">
        <f t="shared" si="249"/>
        <v>23242.499999999996</v>
      </c>
      <c r="CC111" s="2">
        <f t="shared" si="271"/>
        <v>450</v>
      </c>
      <c r="CD111" s="2">
        <f t="shared" si="192"/>
        <v>0</v>
      </c>
      <c r="CE111" s="2">
        <f t="shared" si="250"/>
        <v>0</v>
      </c>
      <c r="CF111" s="2">
        <f t="shared" si="251"/>
        <v>8.0500000000029104</v>
      </c>
      <c r="CG111" s="1">
        <f t="shared" si="232"/>
        <v>0</v>
      </c>
      <c r="CH111" s="2">
        <f t="shared" si="193"/>
        <v>8.0500000000029104</v>
      </c>
      <c r="CI111" s="1">
        <f t="shared" si="242"/>
        <v>0</v>
      </c>
      <c r="CJ111" s="2">
        <f t="shared" si="252"/>
        <v>8.0500000000029104</v>
      </c>
      <c r="CK111" s="2">
        <f t="shared" si="253"/>
        <v>142320.36249999999</v>
      </c>
      <c r="CL111" s="2">
        <f t="shared" si="194"/>
        <v>0</v>
      </c>
      <c r="CM111" s="2">
        <f t="shared" si="216"/>
        <v>989.57053499999995</v>
      </c>
      <c r="CN111" s="2">
        <f t="shared" si="195"/>
        <v>141330.79196499998</v>
      </c>
      <c r="CO111" s="2">
        <f t="shared" si="217"/>
        <v>2754</v>
      </c>
      <c r="CP111" s="2">
        <f t="shared" si="196"/>
        <v>7517.6088749999981</v>
      </c>
      <c r="CQ111" s="2">
        <f t="shared" si="197"/>
        <v>131059.18308999998</v>
      </c>
      <c r="CS111" s="5">
        <f t="shared" si="218"/>
        <v>1000</v>
      </c>
      <c r="CT111" s="2">
        <f t="shared" si="219"/>
        <v>100000</v>
      </c>
      <c r="CU111" s="2">
        <f t="shared" si="220"/>
        <v>100000</v>
      </c>
      <c r="CV111" s="2">
        <f t="shared" si="221"/>
        <v>140907.23899484784</v>
      </c>
      <c r="CW111" s="8">
        <f t="shared" si="198"/>
        <v>4.9000000000000002E-2</v>
      </c>
      <c r="CX111" s="2">
        <f t="shared" si="199"/>
        <v>146085.58002790849</v>
      </c>
      <c r="CY111" s="2" t="str">
        <f t="shared" si="200"/>
        <v>nie</v>
      </c>
      <c r="CZ111" s="2">
        <f t="shared" si="222"/>
        <v>0</v>
      </c>
      <c r="DA111" s="2">
        <f t="shared" si="223"/>
        <v>0</v>
      </c>
      <c r="DB111" s="2">
        <f t="shared" si="224"/>
        <v>146085.58002790849</v>
      </c>
      <c r="DC111" s="2">
        <f t="shared" si="201"/>
        <v>0</v>
      </c>
      <c r="DD111" s="2">
        <f t="shared" si="225"/>
        <v>1005.5934553482437</v>
      </c>
      <c r="DE111" s="2">
        <f t="shared" si="226"/>
        <v>145079.98657256024</v>
      </c>
      <c r="DF111" s="2">
        <f t="shared" si="202"/>
        <v>3000</v>
      </c>
      <c r="DG111" s="2">
        <f t="shared" si="203"/>
        <v>8186.2602053026139</v>
      </c>
      <c r="DH111" s="2">
        <f t="shared" si="227"/>
        <v>133893.72636725762</v>
      </c>
    </row>
    <row r="112" spans="2:112">
      <c r="B112" s="232"/>
      <c r="C112" s="1">
        <f t="shared" si="256"/>
        <v>75</v>
      </c>
      <c r="D112" s="2">
        <f t="shared" si="259"/>
        <v>132816.16991777913</v>
      </c>
      <c r="E112" s="2">
        <f t="shared" si="260"/>
        <v>125352.35924319994</v>
      </c>
      <c r="F112" s="2">
        <f t="shared" si="261"/>
        <v>132449.45303999999</v>
      </c>
      <c r="G112" s="2">
        <f t="shared" si="262"/>
        <v>124047.57354</v>
      </c>
      <c r="H112" s="2">
        <f t="shared" si="263"/>
        <v>135120.18875209778</v>
      </c>
      <c r="I112" s="2">
        <f t="shared" si="264"/>
        <v>125855.73974563295</v>
      </c>
      <c r="J112" s="2">
        <f t="shared" si="257"/>
        <v>125541.62724776125</v>
      </c>
      <c r="K112" s="2">
        <f t="shared" si="258"/>
        <v>119572.00858450732</v>
      </c>
      <c r="W112" s="1">
        <f t="shared" si="204"/>
        <v>94</v>
      </c>
      <c r="X112" s="2">
        <f t="shared" si="177"/>
        <v>125106.03500316034</v>
      </c>
      <c r="Y112" s="8">
        <f t="shared" si="230"/>
        <v>4.3200000000000002E-2</v>
      </c>
      <c r="Z112" s="5">
        <f t="shared" si="205"/>
        <v>1320</v>
      </c>
      <c r="AA112" s="2">
        <f t="shared" si="206"/>
        <v>131868</v>
      </c>
      <c r="AB112" s="2">
        <f t="shared" si="207"/>
        <v>132000</v>
      </c>
      <c r="AC112" s="2">
        <f t="shared" si="208"/>
        <v>138468</v>
      </c>
      <c r="AD112" s="8">
        <f t="shared" si="178"/>
        <v>4.9000000000000002E-2</v>
      </c>
      <c r="AE112" s="2">
        <f t="shared" si="179"/>
        <v>144122.10999999999</v>
      </c>
      <c r="AF112" s="2" t="str">
        <f t="shared" si="180"/>
        <v>nie</v>
      </c>
      <c r="AG112" s="2">
        <f t="shared" si="181"/>
        <v>1320</v>
      </c>
      <c r="AH112" s="1">
        <f t="shared" si="233"/>
        <v>0</v>
      </c>
      <c r="AI112" s="1">
        <f t="shared" si="265"/>
        <v>0</v>
      </c>
      <c r="AJ112" s="1">
        <f t="shared" si="228"/>
        <v>0</v>
      </c>
      <c r="AK112" s="1">
        <f t="shared" si="254"/>
        <v>0</v>
      </c>
      <c r="AL112" s="2">
        <f t="shared" si="243"/>
        <v>0</v>
      </c>
      <c r="AM112" s="8">
        <f t="shared" si="234"/>
        <v>4.9000000000000002E-2</v>
      </c>
      <c r="AN112" s="2">
        <f t="shared" si="244"/>
        <v>0</v>
      </c>
      <c r="AO112" s="2">
        <f t="shared" si="235"/>
        <v>0</v>
      </c>
      <c r="AP112" s="2">
        <f t="shared" si="272"/>
        <v>0</v>
      </c>
      <c r="AQ112" s="8">
        <f t="shared" si="266"/>
        <v>4.3200000000000002E-2</v>
      </c>
      <c r="AR112" s="2">
        <f t="shared" si="267"/>
        <v>0</v>
      </c>
      <c r="AS112" s="2">
        <f t="shared" si="268"/>
        <v>0</v>
      </c>
      <c r="AT112" s="2">
        <f t="shared" si="209"/>
        <v>0</v>
      </c>
      <c r="AU112" s="2">
        <f t="shared" si="245"/>
        <v>0</v>
      </c>
      <c r="AV112" s="2">
        <f t="shared" si="236"/>
        <v>38.845655679935589</v>
      </c>
      <c r="AW112" s="1">
        <f t="shared" si="231"/>
        <v>0</v>
      </c>
      <c r="AX112" s="2">
        <f t="shared" si="182"/>
        <v>38.845655679935589</v>
      </c>
      <c r="AY112" s="1">
        <f t="shared" si="237"/>
        <v>0</v>
      </c>
      <c r="AZ112" s="2">
        <f t="shared" si="210"/>
        <v>38.845655679935589</v>
      </c>
      <c r="BA112" s="2">
        <f t="shared" si="246"/>
        <v>144160.95565567992</v>
      </c>
      <c r="BB112" s="2">
        <f t="shared" si="183"/>
        <v>0</v>
      </c>
      <c r="BC112" s="2">
        <f t="shared" si="211"/>
        <v>992.03326812206365</v>
      </c>
      <c r="BD112" s="2">
        <f t="shared" si="184"/>
        <v>143168.92238755786</v>
      </c>
      <c r="BE112" s="2">
        <f t="shared" si="212"/>
        <v>1320</v>
      </c>
      <c r="BF112" s="2">
        <f t="shared" si="185"/>
        <v>8139.781574579185</v>
      </c>
      <c r="BG112" s="2">
        <f t="shared" si="186"/>
        <v>133709.14081297867</v>
      </c>
      <c r="BI112" s="8">
        <f t="shared" si="238"/>
        <v>2.9000000000000001E-2</v>
      </c>
      <c r="BJ112" s="5">
        <f t="shared" si="213"/>
        <v>1045</v>
      </c>
      <c r="BK112" s="2">
        <f t="shared" si="214"/>
        <v>104395.5</v>
      </c>
      <c r="BL112" s="2">
        <f t="shared" si="215"/>
        <v>104500</v>
      </c>
      <c r="BM112" s="2">
        <f t="shared" si="187"/>
        <v>104500</v>
      </c>
      <c r="BN112" s="8">
        <f t="shared" si="188"/>
        <v>4.3999999999999997E-2</v>
      </c>
      <c r="BO112" s="2">
        <f t="shared" si="189"/>
        <v>108331.66666666666</v>
      </c>
      <c r="BP112" s="2" t="str">
        <f t="shared" si="190"/>
        <v>nie</v>
      </c>
      <c r="BQ112" s="2">
        <f t="shared" si="191"/>
        <v>2090</v>
      </c>
      <c r="BR112" s="1">
        <f t="shared" si="239"/>
        <v>107</v>
      </c>
      <c r="BS112" s="1">
        <f t="shared" si="269"/>
        <v>104</v>
      </c>
      <c r="BT112" s="1">
        <f t="shared" si="229"/>
        <v>114</v>
      </c>
      <c r="BU112" s="1">
        <f t="shared" si="255"/>
        <v>7</v>
      </c>
      <c r="BV112" s="2">
        <f t="shared" si="247"/>
        <v>10700</v>
      </c>
      <c r="BW112" s="8">
        <f t="shared" si="240"/>
        <v>5.2499999999999998E-2</v>
      </c>
      <c r="BX112" s="2">
        <f t="shared" si="248"/>
        <v>11168.125</v>
      </c>
      <c r="BY112" s="2">
        <f t="shared" si="241"/>
        <v>214</v>
      </c>
      <c r="BZ112" s="2">
        <f t="shared" si="273"/>
        <v>22500</v>
      </c>
      <c r="CA112" s="8">
        <f t="shared" si="270"/>
        <v>4.3999999999999997E-2</v>
      </c>
      <c r="CB112" s="2">
        <f t="shared" si="249"/>
        <v>23325</v>
      </c>
      <c r="CC112" s="2">
        <f t="shared" si="271"/>
        <v>450</v>
      </c>
      <c r="CD112" s="2">
        <f t="shared" si="192"/>
        <v>0</v>
      </c>
      <c r="CE112" s="2">
        <f t="shared" si="250"/>
        <v>0</v>
      </c>
      <c r="CF112" s="2">
        <f t="shared" si="251"/>
        <v>8.0500000000029104</v>
      </c>
      <c r="CG112" s="1">
        <f t="shared" si="232"/>
        <v>0</v>
      </c>
      <c r="CH112" s="2">
        <f t="shared" si="193"/>
        <v>8.0500000000029104</v>
      </c>
      <c r="CI112" s="1">
        <f t="shared" si="242"/>
        <v>0</v>
      </c>
      <c r="CJ112" s="2">
        <f t="shared" si="252"/>
        <v>8.0500000000029104</v>
      </c>
      <c r="CK112" s="2">
        <f t="shared" si="253"/>
        <v>142832.84166666667</v>
      </c>
      <c r="CL112" s="2">
        <f t="shared" si="194"/>
        <v>0</v>
      </c>
      <c r="CM112" s="2">
        <f t="shared" si="216"/>
        <v>989.57053499999995</v>
      </c>
      <c r="CN112" s="2">
        <f t="shared" si="195"/>
        <v>141843.27113166667</v>
      </c>
      <c r="CO112" s="2">
        <f t="shared" si="217"/>
        <v>2754</v>
      </c>
      <c r="CP112" s="2">
        <f t="shared" si="196"/>
        <v>7614.979916666668</v>
      </c>
      <c r="CQ112" s="2">
        <f t="shared" si="197"/>
        <v>131474.291215</v>
      </c>
      <c r="CS112" s="5">
        <f t="shared" si="218"/>
        <v>1000</v>
      </c>
      <c r="CT112" s="2">
        <f t="shared" si="219"/>
        <v>100000</v>
      </c>
      <c r="CU112" s="2">
        <f t="shared" si="220"/>
        <v>100000</v>
      </c>
      <c r="CV112" s="2">
        <f t="shared" si="221"/>
        <v>140907.23899484784</v>
      </c>
      <c r="CW112" s="8">
        <f t="shared" si="198"/>
        <v>4.9000000000000002E-2</v>
      </c>
      <c r="CX112" s="2">
        <f t="shared" si="199"/>
        <v>146660.95125380412</v>
      </c>
      <c r="CY112" s="2" t="str">
        <f t="shared" si="200"/>
        <v>nie</v>
      </c>
      <c r="CZ112" s="2">
        <f t="shared" si="222"/>
        <v>0</v>
      </c>
      <c r="DA112" s="2">
        <f t="shared" si="223"/>
        <v>0</v>
      </c>
      <c r="DB112" s="2">
        <f t="shared" si="224"/>
        <v>146660.95125380412</v>
      </c>
      <c r="DC112" s="2">
        <f t="shared" si="201"/>
        <v>0</v>
      </c>
      <c r="DD112" s="2">
        <f t="shared" si="225"/>
        <v>1005.5934553482437</v>
      </c>
      <c r="DE112" s="2">
        <f t="shared" si="226"/>
        <v>145655.35779845587</v>
      </c>
      <c r="DF112" s="2">
        <f t="shared" si="202"/>
        <v>3000</v>
      </c>
      <c r="DG112" s="2">
        <f t="shared" si="203"/>
        <v>8295.5807382227813</v>
      </c>
      <c r="DH112" s="2">
        <f t="shared" si="227"/>
        <v>134359.77706023309</v>
      </c>
    </row>
    <row r="113" spans="2:112">
      <c r="B113" s="232"/>
      <c r="C113" s="1">
        <f t="shared" si="256"/>
        <v>76</v>
      </c>
      <c r="D113" s="2">
        <f t="shared" si="259"/>
        <v>133355.16991777913</v>
      </c>
      <c r="E113" s="2">
        <f t="shared" si="260"/>
        <v>125788.94924319994</v>
      </c>
      <c r="F113" s="2">
        <f t="shared" si="261"/>
        <v>132940.08637333332</v>
      </c>
      <c r="G113" s="2">
        <f t="shared" si="262"/>
        <v>124408.13153999999</v>
      </c>
      <c r="H113" s="2">
        <f t="shared" si="263"/>
        <v>135668.68372435292</v>
      </c>
      <c r="I113" s="2">
        <f t="shared" si="264"/>
        <v>126300.02067315963</v>
      </c>
      <c r="J113" s="2">
        <f t="shared" si="257"/>
        <v>125922.95994052633</v>
      </c>
      <c r="K113" s="2">
        <f t="shared" si="258"/>
        <v>119858.8943501192</v>
      </c>
      <c r="W113" s="1">
        <f t="shared" si="204"/>
        <v>95</v>
      </c>
      <c r="X113" s="2">
        <f t="shared" si="177"/>
        <v>125401.24045597497</v>
      </c>
      <c r="Y113" s="8">
        <f t="shared" si="230"/>
        <v>4.3200000000000002E-2</v>
      </c>
      <c r="Z113" s="5">
        <f t="shared" si="205"/>
        <v>1320</v>
      </c>
      <c r="AA113" s="2">
        <f t="shared" si="206"/>
        <v>131868</v>
      </c>
      <c r="AB113" s="2">
        <f t="shared" si="207"/>
        <v>132000</v>
      </c>
      <c r="AC113" s="2">
        <f t="shared" si="208"/>
        <v>138468</v>
      </c>
      <c r="AD113" s="8">
        <f t="shared" si="178"/>
        <v>4.9000000000000002E-2</v>
      </c>
      <c r="AE113" s="2">
        <f t="shared" si="179"/>
        <v>144687.52100000001</v>
      </c>
      <c r="AF113" s="2" t="str">
        <f t="shared" si="180"/>
        <v>nie</v>
      </c>
      <c r="AG113" s="2">
        <f t="shared" si="181"/>
        <v>1320</v>
      </c>
      <c r="AH113" s="1">
        <f t="shared" si="233"/>
        <v>0</v>
      </c>
      <c r="AI113" s="1">
        <f t="shared" si="265"/>
        <v>0</v>
      </c>
      <c r="AJ113" s="1">
        <f t="shared" si="228"/>
        <v>0</v>
      </c>
      <c r="AK113" s="1">
        <f t="shared" si="254"/>
        <v>0</v>
      </c>
      <c r="AL113" s="2">
        <f t="shared" si="243"/>
        <v>0</v>
      </c>
      <c r="AM113" s="8">
        <f t="shared" si="234"/>
        <v>4.9000000000000002E-2</v>
      </c>
      <c r="AN113" s="2">
        <f t="shared" si="244"/>
        <v>0</v>
      </c>
      <c r="AO113" s="2">
        <f t="shared" si="235"/>
        <v>0</v>
      </c>
      <c r="AP113" s="2">
        <f t="shared" si="272"/>
        <v>0</v>
      </c>
      <c r="AQ113" s="8">
        <f t="shared" si="266"/>
        <v>4.3200000000000002E-2</v>
      </c>
      <c r="AR113" s="2">
        <f t="shared" si="267"/>
        <v>0</v>
      </c>
      <c r="AS113" s="2">
        <f t="shared" si="268"/>
        <v>0</v>
      </c>
      <c r="AT113" s="2">
        <f t="shared" si="209"/>
        <v>0</v>
      </c>
      <c r="AU113" s="2">
        <f t="shared" si="245"/>
        <v>0</v>
      </c>
      <c r="AV113" s="2">
        <f t="shared" si="236"/>
        <v>38.845655679935589</v>
      </c>
      <c r="AW113" s="1">
        <f t="shared" si="231"/>
        <v>0</v>
      </c>
      <c r="AX113" s="2">
        <f t="shared" si="182"/>
        <v>38.845655679935589</v>
      </c>
      <c r="AY113" s="1">
        <f t="shared" si="237"/>
        <v>0</v>
      </c>
      <c r="AZ113" s="2">
        <f t="shared" si="210"/>
        <v>38.845655679935589</v>
      </c>
      <c r="BA113" s="2">
        <f t="shared" si="246"/>
        <v>144726.36665567994</v>
      </c>
      <c r="BB113" s="2">
        <f t="shared" si="183"/>
        <v>0</v>
      </c>
      <c r="BC113" s="2">
        <f t="shared" si="211"/>
        <v>992.03326812206365</v>
      </c>
      <c r="BD113" s="2">
        <f t="shared" si="184"/>
        <v>143734.33338755788</v>
      </c>
      <c r="BE113" s="2">
        <f t="shared" si="212"/>
        <v>1320</v>
      </c>
      <c r="BF113" s="2">
        <f t="shared" si="185"/>
        <v>8247.2096645791898</v>
      </c>
      <c r="BG113" s="2">
        <f t="shared" si="186"/>
        <v>134167.12372297869</v>
      </c>
      <c r="BI113" s="8">
        <f t="shared" si="238"/>
        <v>2.9000000000000001E-2</v>
      </c>
      <c r="BJ113" s="5">
        <f t="shared" si="213"/>
        <v>1045</v>
      </c>
      <c r="BK113" s="2">
        <f t="shared" si="214"/>
        <v>104395.5</v>
      </c>
      <c r="BL113" s="2">
        <f t="shared" si="215"/>
        <v>104500</v>
      </c>
      <c r="BM113" s="2">
        <f t="shared" si="187"/>
        <v>104500</v>
      </c>
      <c r="BN113" s="8">
        <f t="shared" si="188"/>
        <v>4.3999999999999997E-2</v>
      </c>
      <c r="BO113" s="2">
        <f t="shared" si="189"/>
        <v>108714.83333333333</v>
      </c>
      <c r="BP113" s="2" t="str">
        <f t="shared" si="190"/>
        <v>nie</v>
      </c>
      <c r="BQ113" s="2">
        <f t="shared" si="191"/>
        <v>2090</v>
      </c>
      <c r="BR113" s="1">
        <f t="shared" si="239"/>
        <v>107</v>
      </c>
      <c r="BS113" s="1">
        <f t="shared" si="269"/>
        <v>104</v>
      </c>
      <c r="BT113" s="1">
        <f t="shared" si="229"/>
        <v>114</v>
      </c>
      <c r="BU113" s="1">
        <f t="shared" si="255"/>
        <v>7</v>
      </c>
      <c r="BV113" s="2">
        <f t="shared" si="247"/>
        <v>10700</v>
      </c>
      <c r="BW113" s="8">
        <f t="shared" si="240"/>
        <v>5.2499999999999998E-2</v>
      </c>
      <c r="BX113" s="2">
        <f t="shared" si="248"/>
        <v>11214.9375</v>
      </c>
      <c r="BY113" s="2">
        <f t="shared" si="241"/>
        <v>214</v>
      </c>
      <c r="BZ113" s="2">
        <f t="shared" si="273"/>
        <v>22500</v>
      </c>
      <c r="CA113" s="8">
        <f t="shared" si="270"/>
        <v>4.3999999999999997E-2</v>
      </c>
      <c r="CB113" s="2">
        <f t="shared" si="249"/>
        <v>23407.5</v>
      </c>
      <c r="CC113" s="2">
        <f t="shared" si="271"/>
        <v>450</v>
      </c>
      <c r="CD113" s="2">
        <f t="shared" si="192"/>
        <v>0</v>
      </c>
      <c r="CE113" s="2">
        <f t="shared" si="250"/>
        <v>0</v>
      </c>
      <c r="CF113" s="2">
        <f t="shared" si="251"/>
        <v>8.0500000000029104</v>
      </c>
      <c r="CG113" s="1">
        <f t="shared" si="232"/>
        <v>0</v>
      </c>
      <c r="CH113" s="2">
        <f t="shared" si="193"/>
        <v>8.0500000000029104</v>
      </c>
      <c r="CI113" s="1">
        <f t="shared" si="242"/>
        <v>0</v>
      </c>
      <c r="CJ113" s="2">
        <f t="shared" si="252"/>
        <v>8.0500000000029104</v>
      </c>
      <c r="CK113" s="2">
        <f t="shared" si="253"/>
        <v>143345.3208333333</v>
      </c>
      <c r="CL113" s="2">
        <f t="shared" si="194"/>
        <v>0</v>
      </c>
      <c r="CM113" s="2">
        <f t="shared" si="216"/>
        <v>989.57053499999995</v>
      </c>
      <c r="CN113" s="2">
        <f t="shared" si="195"/>
        <v>142355.7502983333</v>
      </c>
      <c r="CO113" s="2">
        <f t="shared" si="217"/>
        <v>2754</v>
      </c>
      <c r="CP113" s="2">
        <f t="shared" si="196"/>
        <v>7712.3509583333271</v>
      </c>
      <c r="CQ113" s="2">
        <f t="shared" si="197"/>
        <v>131889.39933999997</v>
      </c>
      <c r="CS113" s="5">
        <f t="shared" si="218"/>
        <v>1000</v>
      </c>
      <c r="CT113" s="2">
        <f t="shared" si="219"/>
        <v>100000</v>
      </c>
      <c r="CU113" s="2">
        <f t="shared" si="220"/>
        <v>100000</v>
      </c>
      <c r="CV113" s="2">
        <f t="shared" si="221"/>
        <v>140907.23899484784</v>
      </c>
      <c r="CW113" s="8">
        <f t="shared" si="198"/>
        <v>4.9000000000000002E-2</v>
      </c>
      <c r="CX113" s="2">
        <f t="shared" si="199"/>
        <v>147236.32247969977</v>
      </c>
      <c r="CY113" s="2" t="str">
        <f t="shared" si="200"/>
        <v>nie</v>
      </c>
      <c r="CZ113" s="2">
        <f t="shared" si="222"/>
        <v>0</v>
      </c>
      <c r="DA113" s="2">
        <f t="shared" si="223"/>
        <v>0</v>
      </c>
      <c r="DB113" s="2">
        <f t="shared" si="224"/>
        <v>147236.32247969977</v>
      </c>
      <c r="DC113" s="2">
        <f t="shared" si="201"/>
        <v>0</v>
      </c>
      <c r="DD113" s="2">
        <f t="shared" si="225"/>
        <v>1005.5934553482437</v>
      </c>
      <c r="DE113" s="2">
        <f t="shared" si="226"/>
        <v>146230.72902435152</v>
      </c>
      <c r="DF113" s="2">
        <f t="shared" si="202"/>
        <v>3000</v>
      </c>
      <c r="DG113" s="2">
        <f t="shared" si="203"/>
        <v>8404.901271142955</v>
      </c>
      <c r="DH113" s="2">
        <f t="shared" si="227"/>
        <v>134825.82775320855</v>
      </c>
    </row>
    <row r="114" spans="2:112">
      <c r="B114" s="232"/>
      <c r="C114" s="1">
        <f t="shared" si="256"/>
        <v>77</v>
      </c>
      <c r="D114" s="2">
        <f t="shared" si="259"/>
        <v>133894.16991777913</v>
      </c>
      <c r="E114" s="2">
        <f t="shared" si="260"/>
        <v>126225.53924319995</v>
      </c>
      <c r="F114" s="2">
        <f t="shared" si="261"/>
        <v>133430.71970666666</v>
      </c>
      <c r="G114" s="2">
        <f t="shared" si="262"/>
        <v>124784.48453999999</v>
      </c>
      <c r="H114" s="2">
        <f t="shared" si="263"/>
        <v>136217.17869660805</v>
      </c>
      <c r="I114" s="2">
        <f t="shared" si="264"/>
        <v>126744.30160068629</v>
      </c>
      <c r="J114" s="2">
        <f t="shared" si="257"/>
        <v>126305.45093134568</v>
      </c>
      <c r="K114" s="2">
        <f t="shared" si="258"/>
        <v>120145.78011573108</v>
      </c>
      <c r="W114" s="1">
        <f t="shared" si="204"/>
        <v>96</v>
      </c>
      <c r="X114" s="2">
        <f t="shared" si="177"/>
        <v>125696.44590878957</v>
      </c>
      <c r="Y114" s="8">
        <f t="shared" si="230"/>
        <v>4.3200000000000002E-2</v>
      </c>
      <c r="Z114" s="5">
        <f t="shared" si="205"/>
        <v>1320</v>
      </c>
      <c r="AA114" s="2">
        <f t="shared" si="206"/>
        <v>131868</v>
      </c>
      <c r="AB114" s="2">
        <f t="shared" si="207"/>
        <v>132000</v>
      </c>
      <c r="AC114" s="2">
        <f t="shared" si="208"/>
        <v>138468</v>
      </c>
      <c r="AD114" s="8">
        <f t="shared" si="178"/>
        <v>4.9000000000000002E-2</v>
      </c>
      <c r="AE114" s="2">
        <f t="shared" si="179"/>
        <v>145252.932</v>
      </c>
      <c r="AF114" s="2" t="str">
        <f t="shared" si="180"/>
        <v>nie</v>
      </c>
      <c r="AG114" s="2">
        <f t="shared" si="181"/>
        <v>1320</v>
      </c>
      <c r="AH114" s="1">
        <f t="shared" si="233"/>
        <v>0</v>
      </c>
      <c r="AI114" s="1">
        <f t="shared" si="265"/>
        <v>0</v>
      </c>
      <c r="AJ114" s="1">
        <f t="shared" si="228"/>
        <v>0</v>
      </c>
      <c r="AK114" s="1">
        <f t="shared" si="254"/>
        <v>0</v>
      </c>
      <c r="AL114" s="2">
        <f t="shared" si="243"/>
        <v>0</v>
      </c>
      <c r="AM114" s="8">
        <f t="shared" si="234"/>
        <v>4.9000000000000002E-2</v>
      </c>
      <c r="AN114" s="2">
        <f t="shared" si="244"/>
        <v>0</v>
      </c>
      <c r="AO114" s="2">
        <f t="shared" si="235"/>
        <v>0</v>
      </c>
      <c r="AP114" s="2">
        <f t="shared" si="272"/>
        <v>0</v>
      </c>
      <c r="AQ114" s="8">
        <f t="shared" si="266"/>
        <v>4.3200000000000002E-2</v>
      </c>
      <c r="AR114" s="2">
        <f t="shared" si="267"/>
        <v>0</v>
      </c>
      <c r="AS114" s="2">
        <f t="shared" si="268"/>
        <v>0</v>
      </c>
      <c r="AT114" s="2">
        <f t="shared" si="209"/>
        <v>0</v>
      </c>
      <c r="AU114" s="2">
        <f t="shared" si="245"/>
        <v>0</v>
      </c>
      <c r="AV114" s="2">
        <f t="shared" si="236"/>
        <v>38.845655679935589</v>
      </c>
      <c r="AW114" s="1">
        <f t="shared" si="231"/>
        <v>0</v>
      </c>
      <c r="AX114" s="2">
        <f t="shared" si="182"/>
        <v>38.845655679935589</v>
      </c>
      <c r="AY114" s="1">
        <f t="shared" si="237"/>
        <v>0</v>
      </c>
      <c r="AZ114" s="2">
        <f t="shared" si="210"/>
        <v>38.845655679935589</v>
      </c>
      <c r="BA114" s="2">
        <f t="shared" si="246"/>
        <v>145291.77765567994</v>
      </c>
      <c r="BB114" s="2">
        <f t="shared" si="183"/>
        <v>145.29177765567994</v>
      </c>
      <c r="BC114" s="2">
        <f t="shared" si="211"/>
        <v>1137.3250457777435</v>
      </c>
      <c r="BD114" s="2">
        <f t="shared" si="184"/>
        <v>144154.45260990219</v>
      </c>
      <c r="BE114" s="2">
        <f t="shared" si="212"/>
        <v>1320</v>
      </c>
      <c r="BF114" s="2">
        <f t="shared" si="185"/>
        <v>8354.6377545791875</v>
      </c>
      <c r="BG114" s="2">
        <f t="shared" si="186"/>
        <v>134479.814855323</v>
      </c>
      <c r="BI114" s="8">
        <f t="shared" si="238"/>
        <v>2.9000000000000001E-2</v>
      </c>
      <c r="BJ114" s="5">
        <f t="shared" si="213"/>
        <v>1045</v>
      </c>
      <c r="BK114" s="2">
        <f t="shared" si="214"/>
        <v>104395.5</v>
      </c>
      <c r="BL114" s="2">
        <f t="shared" si="215"/>
        <v>104500</v>
      </c>
      <c r="BM114" s="2">
        <f t="shared" si="187"/>
        <v>104500</v>
      </c>
      <c r="BN114" s="8">
        <f t="shared" si="188"/>
        <v>4.3999999999999997E-2</v>
      </c>
      <c r="BO114" s="2">
        <f t="shared" si="189"/>
        <v>109098</v>
      </c>
      <c r="BP114" s="2" t="str">
        <f t="shared" si="190"/>
        <v>tak</v>
      </c>
      <c r="BQ114" s="2">
        <f t="shared" si="191"/>
        <v>0</v>
      </c>
      <c r="BR114" s="1">
        <f t="shared" si="239"/>
        <v>107</v>
      </c>
      <c r="BS114" s="1">
        <f t="shared" si="269"/>
        <v>104</v>
      </c>
      <c r="BT114" s="1">
        <f t="shared" si="229"/>
        <v>114</v>
      </c>
      <c r="BU114" s="1">
        <f t="shared" si="255"/>
        <v>7</v>
      </c>
      <c r="BV114" s="2">
        <f t="shared" si="247"/>
        <v>10700</v>
      </c>
      <c r="BW114" s="8">
        <f t="shared" si="240"/>
        <v>5.2499999999999998E-2</v>
      </c>
      <c r="BX114" s="2">
        <f t="shared" si="248"/>
        <v>11261.75</v>
      </c>
      <c r="BY114" s="2">
        <f t="shared" si="241"/>
        <v>214</v>
      </c>
      <c r="BZ114" s="2">
        <f t="shared" si="273"/>
        <v>22500</v>
      </c>
      <c r="CA114" s="8">
        <f t="shared" si="270"/>
        <v>4.3999999999999997E-2</v>
      </c>
      <c r="CB114" s="2">
        <f t="shared" si="249"/>
        <v>23490</v>
      </c>
      <c r="CC114" s="2">
        <f t="shared" si="271"/>
        <v>450</v>
      </c>
      <c r="CD114" s="2">
        <f t="shared" si="192"/>
        <v>7.1999999999970896</v>
      </c>
      <c r="CE114" s="2">
        <f t="shared" si="250"/>
        <v>2251.75</v>
      </c>
      <c r="CF114" s="2">
        <f t="shared" si="251"/>
        <v>2267</v>
      </c>
      <c r="CG114" s="1">
        <f t="shared" si="232"/>
        <v>7</v>
      </c>
      <c r="CH114" s="2">
        <f t="shared" si="193"/>
        <v>1567.6999999999998</v>
      </c>
      <c r="CI114" s="1">
        <f t="shared" si="242"/>
        <v>15</v>
      </c>
      <c r="CJ114" s="2">
        <f t="shared" si="252"/>
        <v>67.699999999999818</v>
      </c>
      <c r="CK114" s="2">
        <f t="shared" si="253"/>
        <v>143857.79999999999</v>
      </c>
      <c r="CL114" s="2">
        <f t="shared" si="194"/>
        <v>143.8578</v>
      </c>
      <c r="CM114" s="2">
        <f t="shared" si="216"/>
        <v>1133.4283350000001</v>
      </c>
      <c r="CN114" s="2">
        <f t="shared" si="195"/>
        <v>142724.37166499998</v>
      </c>
      <c r="CO114" s="2">
        <f t="shared" si="217"/>
        <v>664</v>
      </c>
      <c r="CP114" s="2">
        <f t="shared" si="196"/>
        <v>8206.8219999999983</v>
      </c>
      <c r="CQ114" s="2">
        <f t="shared" si="197"/>
        <v>133853.549665</v>
      </c>
      <c r="CS114" s="5">
        <f t="shared" si="218"/>
        <v>1000</v>
      </c>
      <c r="CT114" s="2">
        <f t="shared" si="219"/>
        <v>100000</v>
      </c>
      <c r="CU114" s="2">
        <f t="shared" si="220"/>
        <v>100000</v>
      </c>
      <c r="CV114" s="2">
        <f t="shared" si="221"/>
        <v>140907.23899484784</v>
      </c>
      <c r="CW114" s="8">
        <f t="shared" si="198"/>
        <v>4.9000000000000002E-2</v>
      </c>
      <c r="CX114" s="2">
        <f t="shared" si="199"/>
        <v>147811.69370559536</v>
      </c>
      <c r="CY114" s="2" t="str">
        <f t="shared" si="200"/>
        <v>nie</v>
      </c>
      <c r="CZ114" s="2">
        <f t="shared" si="222"/>
        <v>0</v>
      </c>
      <c r="DA114" s="2">
        <f t="shared" si="223"/>
        <v>0</v>
      </c>
      <c r="DB114" s="2">
        <f t="shared" si="224"/>
        <v>147811.69370559536</v>
      </c>
      <c r="DC114" s="2">
        <f t="shared" si="201"/>
        <v>147.81169370559536</v>
      </c>
      <c r="DD114" s="2">
        <f t="shared" si="225"/>
        <v>1153.4051490538391</v>
      </c>
      <c r="DE114" s="2">
        <f t="shared" si="226"/>
        <v>146658.28855654152</v>
      </c>
      <c r="DF114" s="2">
        <f t="shared" si="202"/>
        <v>3000</v>
      </c>
      <c r="DG114" s="2">
        <f t="shared" si="203"/>
        <v>8514.2218040631178</v>
      </c>
      <c r="DH114" s="2">
        <f t="shared" si="227"/>
        <v>135144.06675247839</v>
      </c>
    </row>
    <row r="115" spans="2:112">
      <c r="B115" s="232"/>
      <c r="C115" s="1">
        <f t="shared" si="256"/>
        <v>78</v>
      </c>
      <c r="D115" s="2">
        <f t="shared" si="259"/>
        <v>134433.16991777913</v>
      </c>
      <c r="E115" s="2">
        <f t="shared" si="260"/>
        <v>126662.12924319995</v>
      </c>
      <c r="F115" s="2">
        <f t="shared" si="261"/>
        <v>133921.35303999999</v>
      </c>
      <c r="G115" s="2">
        <f t="shared" si="262"/>
        <v>125181.89753999999</v>
      </c>
      <c r="H115" s="2">
        <f t="shared" si="263"/>
        <v>136765.67366886314</v>
      </c>
      <c r="I115" s="2">
        <f t="shared" si="264"/>
        <v>127188.58252821289</v>
      </c>
      <c r="J115" s="2">
        <f t="shared" si="257"/>
        <v>126689.10373854965</v>
      </c>
      <c r="K115" s="2">
        <f t="shared" si="258"/>
        <v>120432.66588134294</v>
      </c>
      <c r="W115" s="1">
        <f t="shared" si="204"/>
        <v>97</v>
      </c>
      <c r="X115" s="2">
        <f t="shared" ref="X115:X146" si="274">zakup_domyslny_wartosc*IFERROR((INDEX(scenariusz_I_inflacja_skumulowana,MATCH(ROUNDDOWN(W115/12,0),scenariusz_I_rok,0))+1),1)
*(1+MOD(W115,12)*INDEX(scenariusz_I_inflacja,MATCH(ROUNDUP(W115/12,0),scenariusz_I_rok,0))/12)</f>
        <v>126000.21231973582</v>
      </c>
      <c r="Y115" s="8">
        <f t="shared" si="230"/>
        <v>4.3200000000000002E-2</v>
      </c>
      <c r="Z115" s="5">
        <f t="shared" si="205"/>
        <v>1320</v>
      </c>
      <c r="AA115" s="2">
        <f t="shared" si="206"/>
        <v>131868</v>
      </c>
      <c r="AB115" s="2">
        <f t="shared" si="207"/>
        <v>132000</v>
      </c>
      <c r="AC115" s="2">
        <f t="shared" si="208"/>
        <v>145252.932</v>
      </c>
      <c r="AD115" s="8">
        <f t="shared" ref="AD115:AD146" si="275">IF(AND(MOD($W115,zapadalnosc_TOS)&lt;=zmiana_oprocentowania_co_ile_mc_TOS,MOD($W115,zapadalnosc_TOS)&lt;&gt;0),proc_I_okres_TOS,(marza_TOS+$Y115))</f>
        <v>4.9000000000000002E-2</v>
      </c>
      <c r="AE115" s="2">
        <f t="shared" si="179"/>
        <v>145846.04813900002</v>
      </c>
      <c r="AF115" s="2" t="str">
        <f t="shared" ref="AF115:AF146" si="276">IF(MOD($W115,zapadalnosc_TOS)=0,"tak","nie")</f>
        <v>nie</v>
      </c>
      <c r="AG115" s="2">
        <f t="shared" ref="AG115:AG146" si="277">IF(MOD($W115,zapadalnosc_TOS)=0,0,
IF(AND(MOD($W115,zapadalnosc_TOS)&lt;zapadalnosc_TOS,MOD($W115,zapadalnosc_TOS)&lt;=koszt_wczesniejszy_wykup_ochrona_TOS),
MIN(AE115-AB115,Z115*koszt_wczesniejszy_wykup_TOS),Z115*koszt_wczesniejszy_wykup_TOS))</f>
        <v>1320</v>
      </c>
      <c r="AH115" s="1">
        <f t="shared" si="233"/>
        <v>0</v>
      </c>
      <c r="AI115" s="1">
        <f t="shared" si="265"/>
        <v>0</v>
      </c>
      <c r="AJ115" s="1">
        <f t="shared" si="228"/>
        <v>0</v>
      </c>
      <c r="AK115" s="1">
        <f t="shared" si="254"/>
        <v>0</v>
      </c>
      <c r="AL115" s="2">
        <f t="shared" si="243"/>
        <v>0</v>
      </c>
      <c r="AM115" s="8">
        <f t="shared" si="234"/>
        <v>4.9000000000000002E-2</v>
      </c>
      <c r="AN115" s="2">
        <f t="shared" si="244"/>
        <v>0</v>
      </c>
      <c r="AO115" s="2">
        <f t="shared" si="235"/>
        <v>0</v>
      </c>
      <c r="AP115" s="2">
        <f t="shared" si="272"/>
        <v>0</v>
      </c>
      <c r="AQ115" s="8">
        <f t="shared" si="266"/>
        <v>4.3200000000000002E-2</v>
      </c>
      <c r="AR115" s="2">
        <f t="shared" si="267"/>
        <v>0</v>
      </c>
      <c r="AS115" s="2">
        <f t="shared" si="268"/>
        <v>0</v>
      </c>
      <c r="AT115" s="2">
        <f t="shared" si="209"/>
        <v>0</v>
      </c>
      <c r="AU115" s="2">
        <f t="shared" si="245"/>
        <v>0</v>
      </c>
      <c r="AV115" s="2">
        <f t="shared" si="236"/>
        <v>38.845655679935589</v>
      </c>
      <c r="AW115" s="1">
        <f t="shared" si="231"/>
        <v>0</v>
      </c>
      <c r="AX115" s="2">
        <f t="shared" ref="AX115:AX146" si="278">AV115-AW115*zamiana_TOS</f>
        <v>38.845655679935589</v>
      </c>
      <c r="AY115" s="1">
        <f t="shared" si="237"/>
        <v>0</v>
      </c>
      <c r="AZ115" s="2">
        <f t="shared" si="210"/>
        <v>38.845655679935589</v>
      </c>
      <c r="BA115" s="2">
        <f t="shared" si="246"/>
        <v>145884.89379467996</v>
      </c>
      <c r="BB115" s="2">
        <f t="shared" ref="BB115:BB146" si="279">MIN(IF(MOD($W115,12)=0,INDEX(IKE_oplata_wskaznik,MATCH(ROUNDUP($W115/12,0),IKE_oplata_rok,0)),0)*BA115,200)</f>
        <v>0</v>
      </c>
      <c r="BC115" s="2">
        <f t="shared" si="211"/>
        <v>1137.3250457777435</v>
      </c>
      <c r="BD115" s="2">
        <f t="shared" si="184"/>
        <v>144747.56874890221</v>
      </c>
      <c r="BE115" s="2">
        <f t="shared" si="212"/>
        <v>1320</v>
      </c>
      <c r="BF115" s="2">
        <f t="shared" si="185"/>
        <v>8467.3298209891909</v>
      </c>
      <c r="BG115" s="2">
        <f t="shared" si="186"/>
        <v>134960.23892791301</v>
      </c>
      <c r="BI115" s="8">
        <f t="shared" si="238"/>
        <v>2.9000000000000001E-2</v>
      </c>
      <c r="BJ115" s="5">
        <f t="shared" si="213"/>
        <v>1092</v>
      </c>
      <c r="BK115" s="2">
        <f t="shared" si="214"/>
        <v>109090.8</v>
      </c>
      <c r="BL115" s="2">
        <f t="shared" si="215"/>
        <v>109200</v>
      </c>
      <c r="BM115" s="2">
        <f t="shared" ref="BM115:BM146" si="280">BL115</f>
        <v>109200</v>
      </c>
      <c r="BN115" s="8">
        <f t="shared" ref="BN115:BN146" si="281">IF(AND(MOD($W115,zapadalnosc_COI)&lt;=zmiana_oprocentowania_co_ile_mc_COI,MOD($W115,zapadalnosc_COI)&lt;&gt;0),proc_I_okres_COI,(marza_COI+$BI115))</f>
        <v>5.2499999999999998E-2</v>
      </c>
      <c r="BO115" s="2">
        <f t="shared" ref="BO115:BO146" si="282">BM115*(1+BN115*IF(MOD($W115,12)&lt;&gt;0,MOD($W115,12),12)/12)</f>
        <v>109677.75</v>
      </c>
      <c r="BP115" s="2" t="str">
        <f t="shared" ref="BP115:BP146" si="283">IF(MOD($W115,zapadalnosc_COI)=0,"tak","nie")</f>
        <v>nie</v>
      </c>
      <c r="BQ115" s="2">
        <f t="shared" ref="BQ115:BQ146" si="284">IF(MOD($W115,zapadalnosc_COI)=0,0,
IF(AND(MOD($W115,zapadalnosc_COI)&lt;zapadalnosc_COI,MOD($W115,zapadalnosc_COI)&lt;=koszt_wczesniejszy_wykup_ochrona_COI),
MIN(BO115-BL115,BJ115*koszt_wczesniejszy_wykup_COI),BJ115*koszt_wczesniejszy_wykup_COI))</f>
        <v>477.75</v>
      </c>
      <c r="BR115" s="1">
        <f t="shared" si="239"/>
        <v>22</v>
      </c>
      <c r="BS115" s="1">
        <f t="shared" si="269"/>
        <v>107</v>
      </c>
      <c r="BT115" s="1">
        <f t="shared" si="229"/>
        <v>104</v>
      </c>
      <c r="BU115" s="1">
        <f t="shared" si="255"/>
        <v>114</v>
      </c>
      <c r="BV115" s="2">
        <f t="shared" si="247"/>
        <v>2200</v>
      </c>
      <c r="BW115" s="8">
        <f t="shared" si="240"/>
        <v>5.2499999999999998E-2</v>
      </c>
      <c r="BX115" s="2">
        <f t="shared" si="248"/>
        <v>2209.625</v>
      </c>
      <c r="BY115" s="2">
        <f t="shared" si="241"/>
        <v>9.625</v>
      </c>
      <c r="BZ115" s="2">
        <f t="shared" si="273"/>
        <v>32500</v>
      </c>
      <c r="CA115" s="8">
        <f t="shared" si="270"/>
        <v>4.3999999999999997E-2</v>
      </c>
      <c r="CB115" s="2">
        <f t="shared" si="249"/>
        <v>32619.166666666668</v>
      </c>
      <c r="CC115" s="2">
        <f t="shared" si="271"/>
        <v>650</v>
      </c>
      <c r="CD115" s="2">
        <f t="shared" ref="CD115:CD146" si="285">IF(MOD($W115,wyplata_odsetek_COI)=0, (BO115-BL115),0)
-IF(AND(BP115="tak",BK116&lt;&gt;""),BK116-BL115,0)</f>
        <v>0</v>
      </c>
      <c r="CE115" s="2">
        <f t="shared" si="250"/>
        <v>0</v>
      </c>
      <c r="CF115" s="2">
        <f t="shared" si="251"/>
        <v>67.699999999999818</v>
      </c>
      <c r="CG115" s="1">
        <f t="shared" si="232"/>
        <v>0</v>
      </c>
      <c r="CH115" s="2">
        <f t="shared" ref="CH115:CH146" si="286">CF115-CG115*zamiana_COI</f>
        <v>67.699999999999818</v>
      </c>
      <c r="CI115" s="1">
        <f t="shared" si="242"/>
        <v>0</v>
      </c>
      <c r="CJ115" s="2">
        <f t="shared" si="252"/>
        <v>67.699999999999818</v>
      </c>
      <c r="CK115" s="2">
        <f t="shared" si="253"/>
        <v>144574.24166666667</v>
      </c>
      <c r="CL115" s="2">
        <f t="shared" ref="CL115:CL146" si="287">MIN(IF(MOD($W115,12)=0,INDEX(IKE_oplata_wskaznik,MATCH(ROUNDUP($W115/12,0),IKE_oplata_rok,0)),0)*CK115,200)</f>
        <v>0</v>
      </c>
      <c r="CM115" s="2">
        <f t="shared" si="216"/>
        <v>1133.4283350000001</v>
      </c>
      <c r="CN115" s="2">
        <f t="shared" ref="CN115:CN146" si="288">CK115-CM115</f>
        <v>143440.81333166666</v>
      </c>
      <c r="CO115" s="2">
        <f t="shared" si="217"/>
        <v>1137.375</v>
      </c>
      <c r="CP115" s="2">
        <f t="shared" ref="CP115:CP146" si="289">(CK115-CO115-zakup_domyslny_wartosc)*podatek_Belki</f>
        <v>8253.0046666666676</v>
      </c>
      <c r="CQ115" s="2">
        <f t="shared" ref="CQ115:CQ146" si="290">CK115-CM115-CO115-CP115</f>
        <v>134050.43366499999</v>
      </c>
      <c r="CS115" s="5">
        <f t="shared" si="218"/>
        <v>1000</v>
      </c>
      <c r="CT115" s="2">
        <f t="shared" si="219"/>
        <v>100000</v>
      </c>
      <c r="CU115" s="2">
        <f t="shared" si="220"/>
        <v>100000</v>
      </c>
      <c r="CV115" s="2">
        <f t="shared" si="221"/>
        <v>147811.69370559536</v>
      </c>
      <c r="CW115" s="8">
        <f t="shared" ref="CW115:CW146" si="291">IF(AND(MOD($W115,zapadalnosc_EDO)&lt;=12,MOD($W115,zapadalnosc_EDO)&lt;&gt;0),proc_I_okres_EDO,(marza_EDO+$BI115))</f>
        <v>4.9000000000000002E-2</v>
      </c>
      <c r="CX115" s="2">
        <f t="shared" ref="CX115:CX146" si="292">CV115*(1+CW115*IF(MOD($W115,12)&lt;&gt;0,MOD($W115,12),12)/12)</f>
        <v>148415.25812155989</v>
      </c>
      <c r="CY115" s="2" t="str">
        <f t="shared" ref="CY115:CY146" si="293">IF(MOD($W115,zapadalnosc_EDO)=0,"tak","nie")</f>
        <v>nie</v>
      </c>
      <c r="CZ115" s="2">
        <f t="shared" si="222"/>
        <v>0</v>
      </c>
      <c r="DA115" s="2">
        <f t="shared" si="223"/>
        <v>0</v>
      </c>
      <c r="DB115" s="2">
        <f t="shared" si="224"/>
        <v>148415.25812155989</v>
      </c>
      <c r="DC115" s="2">
        <f t="shared" ref="DC115:DC146" si="294">MIN(IF(MOD(W115,12)=0,INDEX(IKE_oplata_wskaznik,MATCH(ROUNDUP(W115/12,0),IKE_oplata_rok,0)),0)*DB115,200)</f>
        <v>0</v>
      </c>
      <c r="DD115" s="2">
        <f t="shared" si="225"/>
        <v>1153.4051490538391</v>
      </c>
      <c r="DE115" s="2">
        <f t="shared" si="226"/>
        <v>147261.85297250605</v>
      </c>
      <c r="DF115" s="2">
        <f t="shared" ref="DF115:DF146" si="295">IF(AND(MOD($W115,zapadalnosc_EDO)&lt;zapadalnosc_EDO,MOD($W115,zapadalnosc_EDO)&lt;&gt;0),MIN(CX115-CU115,CS115*koszt_wczesniejszy_wykup_EDO),0)</f>
        <v>3000</v>
      </c>
      <c r="DG115" s="2">
        <f t="shared" ref="DG115:DG146" si="296">(CX115-DF115-zakup_domyslny_wartosc)*podatek_Belki</f>
        <v>8628.8990430963786</v>
      </c>
      <c r="DH115" s="2">
        <f t="shared" si="227"/>
        <v>135632.95392940968</v>
      </c>
    </row>
    <row r="116" spans="2:112">
      <c r="B116" s="232"/>
      <c r="C116" s="1">
        <f t="shared" si="256"/>
        <v>79</v>
      </c>
      <c r="D116" s="2">
        <f t="shared" si="259"/>
        <v>134972.16991777913</v>
      </c>
      <c r="E116" s="2">
        <f t="shared" si="260"/>
        <v>127098.71924319994</v>
      </c>
      <c r="F116" s="2">
        <f t="shared" si="261"/>
        <v>134411.98637333335</v>
      </c>
      <c r="G116" s="2">
        <f t="shared" si="262"/>
        <v>125579.31054000001</v>
      </c>
      <c r="H116" s="2">
        <f t="shared" si="263"/>
        <v>137314.16864111833</v>
      </c>
      <c r="I116" s="2">
        <f t="shared" si="264"/>
        <v>127632.86345573961</v>
      </c>
      <c r="J116" s="2">
        <f t="shared" si="257"/>
        <v>127073.92189115549</v>
      </c>
      <c r="K116" s="2">
        <f t="shared" si="258"/>
        <v>120719.55164695482</v>
      </c>
      <c r="W116" s="1">
        <f t="shared" ref="W116:W147" si="297">W115+1</f>
        <v>98</v>
      </c>
      <c r="X116" s="2">
        <f t="shared" si="274"/>
        <v>126303.97873068204</v>
      </c>
      <c r="Y116" s="8">
        <f t="shared" si="230"/>
        <v>4.3200000000000002E-2</v>
      </c>
      <c r="Z116" s="5">
        <f t="shared" ref="Z116:Z147" si="298">IF(AF115="tak",
ROUNDDOWN(AE115/zamiana_TOS,0),
Z115)</f>
        <v>1320</v>
      </c>
      <c r="AA116" s="2">
        <f t="shared" ref="AA116:AA147" si="299">IF(AF115="tak",
Z116*zamiana_TOS,
AA115)</f>
        <v>131868</v>
      </c>
      <c r="AB116" s="2">
        <f t="shared" si="207"/>
        <v>132000</v>
      </c>
      <c r="AC116" s="2">
        <f t="shared" ref="AC116:AC147" si="300">IF(AF115="tak",
 AB116,
IF(MOD($W116,kapitalizacja_odsetek_mc_TOS)&lt;&gt;1,AC115,AE115))</f>
        <v>145252.932</v>
      </c>
      <c r="AD116" s="8">
        <f t="shared" si="275"/>
        <v>4.9000000000000002E-2</v>
      </c>
      <c r="AE116" s="2">
        <f t="shared" si="179"/>
        <v>146439.16427800001</v>
      </c>
      <c r="AF116" s="2" t="str">
        <f t="shared" si="276"/>
        <v>nie</v>
      </c>
      <c r="AG116" s="2">
        <f t="shared" si="277"/>
        <v>1320</v>
      </c>
      <c r="AH116" s="1">
        <f t="shared" si="233"/>
        <v>0</v>
      </c>
      <c r="AI116" s="1">
        <f t="shared" si="265"/>
        <v>0</v>
      </c>
      <c r="AJ116" s="1">
        <f t="shared" si="228"/>
        <v>0</v>
      </c>
      <c r="AK116" s="1">
        <f t="shared" si="254"/>
        <v>0</v>
      </c>
      <c r="AL116" s="2">
        <f t="shared" si="243"/>
        <v>0</v>
      </c>
      <c r="AM116" s="8">
        <f t="shared" si="234"/>
        <v>4.9000000000000002E-2</v>
      </c>
      <c r="AN116" s="2">
        <f t="shared" si="244"/>
        <v>0</v>
      </c>
      <c r="AO116" s="2">
        <f t="shared" si="235"/>
        <v>0</v>
      </c>
      <c r="AP116" s="2">
        <f t="shared" si="272"/>
        <v>0</v>
      </c>
      <c r="AQ116" s="8">
        <f t="shared" si="266"/>
        <v>4.3200000000000002E-2</v>
      </c>
      <c r="AR116" s="2">
        <f t="shared" si="267"/>
        <v>0</v>
      </c>
      <c r="AS116" s="2">
        <f t="shared" si="268"/>
        <v>0</v>
      </c>
      <c r="AT116" s="2">
        <f t="shared" si="209"/>
        <v>0</v>
      </c>
      <c r="AU116" s="2">
        <f t="shared" si="245"/>
        <v>0</v>
      </c>
      <c r="AV116" s="2">
        <f t="shared" si="236"/>
        <v>38.845655679935589</v>
      </c>
      <c r="AW116" s="1">
        <f t="shared" si="231"/>
        <v>0</v>
      </c>
      <c r="AX116" s="2">
        <f t="shared" si="278"/>
        <v>38.845655679935589</v>
      </c>
      <c r="AY116" s="1">
        <f t="shared" si="237"/>
        <v>0</v>
      </c>
      <c r="AZ116" s="2">
        <f t="shared" si="210"/>
        <v>38.845655679935589</v>
      </c>
      <c r="BA116" s="2">
        <f t="shared" si="246"/>
        <v>146478.00993367995</v>
      </c>
      <c r="BB116" s="2">
        <f t="shared" si="279"/>
        <v>0</v>
      </c>
      <c r="BC116" s="2">
        <f t="shared" si="211"/>
        <v>1137.3250457777435</v>
      </c>
      <c r="BD116" s="2">
        <f t="shared" si="184"/>
        <v>145340.6848879022</v>
      </c>
      <c r="BE116" s="2">
        <f t="shared" si="212"/>
        <v>1320</v>
      </c>
      <c r="BF116" s="2">
        <f t="shared" si="185"/>
        <v>8580.0218873991907</v>
      </c>
      <c r="BG116" s="2">
        <f t="shared" si="186"/>
        <v>135440.663000503</v>
      </c>
      <c r="BI116" s="8">
        <f t="shared" si="238"/>
        <v>2.9000000000000001E-2</v>
      </c>
      <c r="BJ116" s="5">
        <f t="shared" ref="BJ116:BJ147" si="301">IF(BP115="tak",
ROUNDDOWN(BO115/zamiana_COI,0),
BJ115)</f>
        <v>1092</v>
      </c>
      <c r="BK116" s="2">
        <f t="shared" ref="BK116:BK147" si="302">IF(BP115="tak",
BJ116*zamiana_COI,
BK115)</f>
        <v>109090.8</v>
      </c>
      <c r="BL116" s="2">
        <f t="shared" ref="BL116:BL147" si="303">IF(BP115="tak",
BJ116*100,
BL115)</f>
        <v>109200</v>
      </c>
      <c r="BM116" s="2">
        <f t="shared" si="280"/>
        <v>109200</v>
      </c>
      <c r="BN116" s="8">
        <f t="shared" si="281"/>
        <v>5.2499999999999998E-2</v>
      </c>
      <c r="BO116" s="2">
        <f t="shared" si="282"/>
        <v>110155.5</v>
      </c>
      <c r="BP116" s="2" t="str">
        <f t="shared" si="283"/>
        <v>nie</v>
      </c>
      <c r="BQ116" s="2">
        <f t="shared" si="284"/>
        <v>955.5</v>
      </c>
      <c r="BR116" s="1">
        <f t="shared" si="239"/>
        <v>22</v>
      </c>
      <c r="BS116" s="1">
        <f t="shared" si="269"/>
        <v>107</v>
      </c>
      <c r="BT116" s="1">
        <f t="shared" si="229"/>
        <v>104</v>
      </c>
      <c r="BU116" s="1">
        <f t="shared" si="255"/>
        <v>114</v>
      </c>
      <c r="BV116" s="2">
        <f t="shared" si="247"/>
        <v>2200</v>
      </c>
      <c r="BW116" s="8">
        <f t="shared" si="240"/>
        <v>5.2499999999999998E-2</v>
      </c>
      <c r="BX116" s="2">
        <f t="shared" si="248"/>
        <v>2219.25</v>
      </c>
      <c r="BY116" s="2">
        <f t="shared" si="241"/>
        <v>19.25</v>
      </c>
      <c r="BZ116" s="2">
        <f t="shared" si="273"/>
        <v>32500</v>
      </c>
      <c r="CA116" s="8">
        <f t="shared" si="270"/>
        <v>4.3999999999999997E-2</v>
      </c>
      <c r="CB116" s="2">
        <f t="shared" si="249"/>
        <v>32738.333333333336</v>
      </c>
      <c r="CC116" s="2">
        <f t="shared" si="271"/>
        <v>650</v>
      </c>
      <c r="CD116" s="2">
        <f t="shared" si="285"/>
        <v>0</v>
      </c>
      <c r="CE116" s="2">
        <f t="shared" si="250"/>
        <v>0</v>
      </c>
      <c r="CF116" s="2">
        <f t="shared" si="251"/>
        <v>67.699999999999818</v>
      </c>
      <c r="CG116" s="1">
        <f t="shared" si="232"/>
        <v>0</v>
      </c>
      <c r="CH116" s="2">
        <f t="shared" si="286"/>
        <v>67.699999999999818</v>
      </c>
      <c r="CI116" s="1">
        <f t="shared" si="242"/>
        <v>0</v>
      </c>
      <c r="CJ116" s="2">
        <f t="shared" si="252"/>
        <v>67.699999999999818</v>
      </c>
      <c r="CK116" s="2">
        <f t="shared" si="253"/>
        <v>145180.78333333335</v>
      </c>
      <c r="CL116" s="2">
        <f t="shared" si="287"/>
        <v>0</v>
      </c>
      <c r="CM116" s="2">
        <f t="shared" si="216"/>
        <v>1133.4283350000001</v>
      </c>
      <c r="CN116" s="2">
        <f t="shared" si="288"/>
        <v>144047.35499833335</v>
      </c>
      <c r="CO116" s="2">
        <f t="shared" si="217"/>
        <v>1624.75</v>
      </c>
      <c r="CP116" s="2">
        <f t="shared" si="289"/>
        <v>8275.6463333333377</v>
      </c>
      <c r="CQ116" s="2">
        <f t="shared" si="290"/>
        <v>134146.95866500001</v>
      </c>
      <c r="CS116" s="5">
        <f t="shared" ref="CS116:CS147" si="304">IF(CY115="tak",
ROUNDDOWN(CX115/zamiana_EDO,0),
CS115)</f>
        <v>1000</v>
      </c>
      <c r="CT116" s="2">
        <f t="shared" ref="CT116:CT147" si="305">IF(CY115="tak",
CS116*zamiana_EDO,
CT115)</f>
        <v>100000</v>
      </c>
      <c r="CU116" s="2">
        <f t="shared" ref="CU116:CU147" si="306">IF(CY115="tak",
CS116*100,
CU115)</f>
        <v>100000</v>
      </c>
      <c r="CV116" s="2">
        <f t="shared" ref="CV116:CV147" si="307">IF(CY115="tak",
 CU116,
IF(MOD($W116,kapitalizacja_odsetek_mc_EDO)&lt;&gt;1,CV115,CX115))</f>
        <v>147811.69370559536</v>
      </c>
      <c r="CW116" s="8">
        <f t="shared" si="291"/>
        <v>4.9000000000000002E-2</v>
      </c>
      <c r="CX116" s="2">
        <f t="shared" si="292"/>
        <v>149018.82253752439</v>
      </c>
      <c r="CY116" s="2" t="str">
        <f t="shared" si="293"/>
        <v>nie</v>
      </c>
      <c r="CZ116" s="2">
        <f t="shared" si="222"/>
        <v>0</v>
      </c>
      <c r="DA116" s="2">
        <f t="shared" si="223"/>
        <v>0</v>
      </c>
      <c r="DB116" s="2">
        <f t="shared" si="224"/>
        <v>149018.82253752439</v>
      </c>
      <c r="DC116" s="2">
        <f t="shared" si="294"/>
        <v>0</v>
      </c>
      <c r="DD116" s="2">
        <f t="shared" si="225"/>
        <v>1153.4051490538391</v>
      </c>
      <c r="DE116" s="2">
        <f t="shared" si="226"/>
        <v>147865.41738847055</v>
      </c>
      <c r="DF116" s="2">
        <f t="shared" si="295"/>
        <v>3000</v>
      </c>
      <c r="DG116" s="2">
        <f t="shared" si="296"/>
        <v>8743.5762821296339</v>
      </c>
      <c r="DH116" s="2">
        <f t="shared" si="227"/>
        <v>136121.84110634093</v>
      </c>
    </row>
    <row r="117" spans="2:112">
      <c r="B117" s="232"/>
      <c r="C117" s="1">
        <f t="shared" si="256"/>
        <v>80</v>
      </c>
      <c r="D117" s="2">
        <f t="shared" si="259"/>
        <v>135511.16991777913</v>
      </c>
      <c r="E117" s="2">
        <f t="shared" si="260"/>
        <v>127535.30924319994</v>
      </c>
      <c r="F117" s="2">
        <f t="shared" si="261"/>
        <v>134902.61970666668</v>
      </c>
      <c r="G117" s="2">
        <f t="shared" si="262"/>
        <v>125976.72354000001</v>
      </c>
      <c r="H117" s="2">
        <f t="shared" si="263"/>
        <v>137862.66361337341</v>
      </c>
      <c r="I117" s="2">
        <f t="shared" si="264"/>
        <v>128077.14438326622</v>
      </c>
      <c r="J117" s="2">
        <f t="shared" si="257"/>
        <v>127459.90892889988</v>
      </c>
      <c r="K117" s="2">
        <f t="shared" si="258"/>
        <v>121006.43741256669</v>
      </c>
      <c r="W117" s="1">
        <f t="shared" si="297"/>
        <v>99</v>
      </c>
      <c r="X117" s="2">
        <f t="shared" si="274"/>
        <v>126607.74514162829</v>
      </c>
      <c r="Y117" s="8">
        <f t="shared" si="230"/>
        <v>4.3200000000000002E-2</v>
      </c>
      <c r="Z117" s="5">
        <f t="shared" si="298"/>
        <v>1320</v>
      </c>
      <c r="AA117" s="2">
        <f t="shared" si="299"/>
        <v>131868</v>
      </c>
      <c r="AB117" s="2">
        <f t="shared" si="207"/>
        <v>132000</v>
      </c>
      <c r="AC117" s="2">
        <f t="shared" si="300"/>
        <v>145252.932</v>
      </c>
      <c r="AD117" s="8">
        <f t="shared" si="275"/>
        <v>4.9000000000000002E-2</v>
      </c>
      <c r="AE117" s="2">
        <f t="shared" si="179"/>
        <v>147032.280417</v>
      </c>
      <c r="AF117" s="2" t="str">
        <f t="shared" si="276"/>
        <v>nie</v>
      </c>
      <c r="AG117" s="2">
        <f t="shared" si="277"/>
        <v>1320</v>
      </c>
      <c r="AH117" s="1">
        <f t="shared" si="233"/>
        <v>0</v>
      </c>
      <c r="AI117" s="1">
        <f t="shared" si="265"/>
        <v>0</v>
      </c>
      <c r="AJ117" s="1">
        <f t="shared" si="228"/>
        <v>0</v>
      </c>
      <c r="AK117" s="1">
        <f t="shared" si="254"/>
        <v>0</v>
      </c>
      <c r="AL117" s="2">
        <f t="shared" si="243"/>
        <v>0</v>
      </c>
      <c r="AM117" s="8">
        <f t="shared" si="234"/>
        <v>4.9000000000000002E-2</v>
      </c>
      <c r="AN117" s="2">
        <f t="shared" si="244"/>
        <v>0</v>
      </c>
      <c r="AO117" s="2">
        <f t="shared" si="235"/>
        <v>0</v>
      </c>
      <c r="AP117" s="2">
        <f t="shared" si="272"/>
        <v>0</v>
      </c>
      <c r="AQ117" s="8">
        <f t="shared" si="266"/>
        <v>4.3200000000000002E-2</v>
      </c>
      <c r="AR117" s="2">
        <f t="shared" si="267"/>
        <v>0</v>
      </c>
      <c r="AS117" s="2">
        <f t="shared" si="268"/>
        <v>0</v>
      </c>
      <c r="AT117" s="2">
        <f t="shared" si="209"/>
        <v>0</v>
      </c>
      <c r="AU117" s="2">
        <f t="shared" si="245"/>
        <v>0</v>
      </c>
      <c r="AV117" s="2">
        <f t="shared" si="236"/>
        <v>38.845655679935589</v>
      </c>
      <c r="AW117" s="1">
        <f t="shared" si="231"/>
        <v>0</v>
      </c>
      <c r="AX117" s="2">
        <f t="shared" si="278"/>
        <v>38.845655679935589</v>
      </c>
      <c r="AY117" s="1">
        <f t="shared" si="237"/>
        <v>0</v>
      </c>
      <c r="AZ117" s="2">
        <f t="shared" si="210"/>
        <v>38.845655679935589</v>
      </c>
      <c r="BA117" s="2">
        <f t="shared" si="246"/>
        <v>147071.12607267994</v>
      </c>
      <c r="BB117" s="2">
        <f t="shared" si="279"/>
        <v>0</v>
      </c>
      <c r="BC117" s="2">
        <f t="shared" si="211"/>
        <v>1137.3250457777435</v>
      </c>
      <c r="BD117" s="2">
        <f t="shared" si="184"/>
        <v>145933.80102690219</v>
      </c>
      <c r="BE117" s="2">
        <f t="shared" si="212"/>
        <v>1320</v>
      </c>
      <c r="BF117" s="2">
        <f t="shared" si="185"/>
        <v>8692.7139538091888</v>
      </c>
      <c r="BG117" s="2">
        <f t="shared" si="186"/>
        <v>135921.08707309299</v>
      </c>
      <c r="BI117" s="8">
        <f t="shared" si="238"/>
        <v>2.9000000000000001E-2</v>
      </c>
      <c r="BJ117" s="5">
        <f t="shared" si="301"/>
        <v>1092</v>
      </c>
      <c r="BK117" s="2">
        <f t="shared" si="302"/>
        <v>109090.8</v>
      </c>
      <c r="BL117" s="2">
        <f t="shared" si="303"/>
        <v>109200</v>
      </c>
      <c r="BM117" s="2">
        <f t="shared" si="280"/>
        <v>109200</v>
      </c>
      <c r="BN117" s="8">
        <f t="shared" si="281"/>
        <v>5.2499999999999998E-2</v>
      </c>
      <c r="BO117" s="2">
        <f t="shared" si="282"/>
        <v>110633.25</v>
      </c>
      <c r="BP117" s="2" t="str">
        <f t="shared" si="283"/>
        <v>nie</v>
      </c>
      <c r="BQ117" s="2">
        <f t="shared" si="284"/>
        <v>1433.25</v>
      </c>
      <c r="BR117" s="1">
        <f t="shared" si="239"/>
        <v>22</v>
      </c>
      <c r="BS117" s="1">
        <f t="shared" si="269"/>
        <v>107</v>
      </c>
      <c r="BT117" s="1">
        <f t="shared" si="229"/>
        <v>104</v>
      </c>
      <c r="BU117" s="1">
        <f t="shared" si="255"/>
        <v>114</v>
      </c>
      <c r="BV117" s="2">
        <f t="shared" si="247"/>
        <v>2200</v>
      </c>
      <c r="BW117" s="8">
        <f t="shared" si="240"/>
        <v>5.2499999999999998E-2</v>
      </c>
      <c r="BX117" s="2">
        <f t="shared" si="248"/>
        <v>2228.875</v>
      </c>
      <c r="BY117" s="2">
        <f t="shared" si="241"/>
        <v>28.875</v>
      </c>
      <c r="BZ117" s="2">
        <f t="shared" si="273"/>
        <v>32500</v>
      </c>
      <c r="CA117" s="8">
        <f t="shared" si="270"/>
        <v>4.3999999999999997E-2</v>
      </c>
      <c r="CB117" s="2">
        <f t="shared" si="249"/>
        <v>32857.5</v>
      </c>
      <c r="CC117" s="2">
        <f t="shared" si="271"/>
        <v>650</v>
      </c>
      <c r="CD117" s="2">
        <f t="shared" si="285"/>
        <v>0</v>
      </c>
      <c r="CE117" s="2">
        <f t="shared" si="250"/>
        <v>0</v>
      </c>
      <c r="CF117" s="2">
        <f t="shared" si="251"/>
        <v>67.699999999999818</v>
      </c>
      <c r="CG117" s="1">
        <f t="shared" si="232"/>
        <v>0</v>
      </c>
      <c r="CH117" s="2">
        <f t="shared" si="286"/>
        <v>67.699999999999818</v>
      </c>
      <c r="CI117" s="1">
        <f t="shared" si="242"/>
        <v>0</v>
      </c>
      <c r="CJ117" s="2">
        <f t="shared" si="252"/>
        <v>67.699999999999818</v>
      </c>
      <c r="CK117" s="2">
        <f t="shared" si="253"/>
        <v>145787.32500000001</v>
      </c>
      <c r="CL117" s="2">
        <f t="shared" si="287"/>
        <v>0</v>
      </c>
      <c r="CM117" s="2">
        <f t="shared" si="216"/>
        <v>1133.4283350000001</v>
      </c>
      <c r="CN117" s="2">
        <f t="shared" si="288"/>
        <v>144653.89666500001</v>
      </c>
      <c r="CO117" s="2">
        <f t="shared" si="217"/>
        <v>2112.125</v>
      </c>
      <c r="CP117" s="2">
        <f t="shared" si="289"/>
        <v>8298.2880000000023</v>
      </c>
      <c r="CQ117" s="2">
        <f t="shared" si="290"/>
        <v>134243.48366500001</v>
      </c>
      <c r="CS117" s="5">
        <f t="shared" si="304"/>
        <v>1000</v>
      </c>
      <c r="CT117" s="2">
        <f t="shared" si="305"/>
        <v>100000</v>
      </c>
      <c r="CU117" s="2">
        <f t="shared" si="306"/>
        <v>100000</v>
      </c>
      <c r="CV117" s="2">
        <f t="shared" si="307"/>
        <v>147811.69370559536</v>
      </c>
      <c r="CW117" s="8">
        <f t="shared" si="291"/>
        <v>4.9000000000000002E-2</v>
      </c>
      <c r="CX117" s="2">
        <f t="shared" si="292"/>
        <v>149622.38695348892</v>
      </c>
      <c r="CY117" s="2" t="str">
        <f t="shared" si="293"/>
        <v>nie</v>
      </c>
      <c r="CZ117" s="2">
        <f t="shared" si="222"/>
        <v>0</v>
      </c>
      <c r="DA117" s="2">
        <f t="shared" si="223"/>
        <v>0</v>
      </c>
      <c r="DB117" s="2">
        <f t="shared" si="224"/>
        <v>149622.38695348892</v>
      </c>
      <c r="DC117" s="2">
        <f t="shared" si="294"/>
        <v>0</v>
      </c>
      <c r="DD117" s="2">
        <f t="shared" si="225"/>
        <v>1153.4051490538391</v>
      </c>
      <c r="DE117" s="2">
        <f t="shared" si="226"/>
        <v>148468.98180443508</v>
      </c>
      <c r="DF117" s="2">
        <f t="shared" si="295"/>
        <v>3000</v>
      </c>
      <c r="DG117" s="2">
        <f t="shared" si="296"/>
        <v>8858.2535211628947</v>
      </c>
      <c r="DH117" s="2">
        <f t="shared" si="227"/>
        <v>136610.72828327218</v>
      </c>
    </row>
    <row r="118" spans="2:112">
      <c r="B118" s="232"/>
      <c r="C118" s="1">
        <f t="shared" si="256"/>
        <v>81</v>
      </c>
      <c r="D118" s="2">
        <f t="shared" si="259"/>
        <v>136050.16991777913</v>
      </c>
      <c r="E118" s="2">
        <f t="shared" si="260"/>
        <v>127971.89924319994</v>
      </c>
      <c r="F118" s="2">
        <f t="shared" si="261"/>
        <v>135393.25303999998</v>
      </c>
      <c r="G118" s="2">
        <f t="shared" si="262"/>
        <v>126374.13653999999</v>
      </c>
      <c r="H118" s="2">
        <f t="shared" si="263"/>
        <v>138411.15858562855</v>
      </c>
      <c r="I118" s="2">
        <f t="shared" si="264"/>
        <v>128521.42531079288</v>
      </c>
      <c r="J118" s="2">
        <f t="shared" si="257"/>
        <v>127847.06840227141</v>
      </c>
      <c r="K118" s="2">
        <f t="shared" si="258"/>
        <v>121293.32317817856</v>
      </c>
      <c r="W118" s="1">
        <f t="shared" si="297"/>
        <v>100</v>
      </c>
      <c r="X118" s="2">
        <f t="shared" si="274"/>
        <v>126911.51155257454</v>
      </c>
      <c r="Y118" s="8">
        <f t="shared" si="230"/>
        <v>4.3200000000000002E-2</v>
      </c>
      <c r="Z118" s="5">
        <f t="shared" si="298"/>
        <v>1320</v>
      </c>
      <c r="AA118" s="2">
        <f t="shared" si="299"/>
        <v>131868</v>
      </c>
      <c r="AB118" s="2">
        <f t="shared" si="207"/>
        <v>132000</v>
      </c>
      <c r="AC118" s="2">
        <f t="shared" si="300"/>
        <v>145252.932</v>
      </c>
      <c r="AD118" s="8">
        <f t="shared" si="275"/>
        <v>4.9000000000000002E-2</v>
      </c>
      <c r="AE118" s="2">
        <f t="shared" si="179"/>
        <v>147625.39655599999</v>
      </c>
      <c r="AF118" s="2" t="str">
        <f t="shared" si="276"/>
        <v>nie</v>
      </c>
      <c r="AG118" s="2">
        <f t="shared" si="277"/>
        <v>1320</v>
      </c>
      <c r="AH118" s="1">
        <f t="shared" si="233"/>
        <v>0</v>
      </c>
      <c r="AI118" s="1">
        <f t="shared" si="265"/>
        <v>0</v>
      </c>
      <c r="AJ118" s="1">
        <f t="shared" si="228"/>
        <v>0</v>
      </c>
      <c r="AK118" s="1">
        <f t="shared" si="254"/>
        <v>0</v>
      </c>
      <c r="AL118" s="2">
        <f t="shared" si="243"/>
        <v>0</v>
      </c>
      <c r="AM118" s="8">
        <f t="shared" si="234"/>
        <v>4.9000000000000002E-2</v>
      </c>
      <c r="AN118" s="2">
        <f t="shared" si="244"/>
        <v>0</v>
      </c>
      <c r="AO118" s="2">
        <f t="shared" si="235"/>
        <v>0</v>
      </c>
      <c r="AP118" s="2">
        <f t="shared" si="272"/>
        <v>0</v>
      </c>
      <c r="AQ118" s="8">
        <f t="shared" si="266"/>
        <v>4.3200000000000002E-2</v>
      </c>
      <c r="AR118" s="2">
        <f t="shared" si="267"/>
        <v>0</v>
      </c>
      <c r="AS118" s="2">
        <f t="shared" si="268"/>
        <v>0</v>
      </c>
      <c r="AT118" s="2">
        <f t="shared" si="209"/>
        <v>0</v>
      </c>
      <c r="AU118" s="2">
        <f t="shared" si="245"/>
        <v>0</v>
      </c>
      <c r="AV118" s="2">
        <f t="shared" si="236"/>
        <v>38.845655679935589</v>
      </c>
      <c r="AW118" s="1">
        <f t="shared" si="231"/>
        <v>0</v>
      </c>
      <c r="AX118" s="2">
        <f t="shared" si="278"/>
        <v>38.845655679935589</v>
      </c>
      <c r="AY118" s="1">
        <f t="shared" si="237"/>
        <v>0</v>
      </c>
      <c r="AZ118" s="2">
        <f t="shared" si="210"/>
        <v>38.845655679935589</v>
      </c>
      <c r="BA118" s="2">
        <f t="shared" si="246"/>
        <v>147664.24221167993</v>
      </c>
      <c r="BB118" s="2">
        <f t="shared" si="279"/>
        <v>0</v>
      </c>
      <c r="BC118" s="2">
        <f t="shared" si="211"/>
        <v>1137.3250457777435</v>
      </c>
      <c r="BD118" s="2">
        <f t="shared" si="184"/>
        <v>146526.91716590218</v>
      </c>
      <c r="BE118" s="2">
        <f t="shared" si="212"/>
        <v>1320</v>
      </c>
      <c r="BF118" s="2">
        <f t="shared" si="185"/>
        <v>8805.4060202191868</v>
      </c>
      <c r="BG118" s="2">
        <f t="shared" si="186"/>
        <v>136401.51114568301</v>
      </c>
      <c r="BI118" s="8">
        <f t="shared" si="238"/>
        <v>2.9000000000000001E-2</v>
      </c>
      <c r="BJ118" s="5">
        <f t="shared" si="301"/>
        <v>1092</v>
      </c>
      <c r="BK118" s="2">
        <f t="shared" si="302"/>
        <v>109090.8</v>
      </c>
      <c r="BL118" s="2">
        <f t="shared" si="303"/>
        <v>109200</v>
      </c>
      <c r="BM118" s="2">
        <f t="shared" si="280"/>
        <v>109200</v>
      </c>
      <c r="BN118" s="8">
        <f t="shared" si="281"/>
        <v>5.2499999999999998E-2</v>
      </c>
      <c r="BO118" s="2">
        <f t="shared" si="282"/>
        <v>111111.00000000001</v>
      </c>
      <c r="BP118" s="2" t="str">
        <f t="shared" si="283"/>
        <v>nie</v>
      </c>
      <c r="BQ118" s="2">
        <f t="shared" si="284"/>
        <v>1911.0000000000146</v>
      </c>
      <c r="BR118" s="1">
        <f t="shared" si="239"/>
        <v>22</v>
      </c>
      <c r="BS118" s="1">
        <f t="shared" si="269"/>
        <v>107</v>
      </c>
      <c r="BT118" s="1">
        <f t="shared" si="229"/>
        <v>104</v>
      </c>
      <c r="BU118" s="1">
        <f t="shared" si="255"/>
        <v>114</v>
      </c>
      <c r="BV118" s="2">
        <f t="shared" si="247"/>
        <v>2200</v>
      </c>
      <c r="BW118" s="8">
        <f t="shared" si="240"/>
        <v>5.2499999999999998E-2</v>
      </c>
      <c r="BX118" s="2">
        <f t="shared" si="248"/>
        <v>2238.5</v>
      </c>
      <c r="BY118" s="2">
        <f t="shared" si="241"/>
        <v>38.5</v>
      </c>
      <c r="BZ118" s="2">
        <f t="shared" si="273"/>
        <v>32500</v>
      </c>
      <c r="CA118" s="8">
        <f t="shared" si="270"/>
        <v>4.3999999999999997E-2</v>
      </c>
      <c r="CB118" s="2">
        <f t="shared" si="249"/>
        <v>32976.666666666664</v>
      </c>
      <c r="CC118" s="2">
        <f t="shared" si="271"/>
        <v>650</v>
      </c>
      <c r="CD118" s="2">
        <f t="shared" si="285"/>
        <v>0</v>
      </c>
      <c r="CE118" s="2">
        <f t="shared" si="250"/>
        <v>0</v>
      </c>
      <c r="CF118" s="2">
        <f t="shared" si="251"/>
        <v>67.699999999999818</v>
      </c>
      <c r="CG118" s="1">
        <f t="shared" si="232"/>
        <v>0</v>
      </c>
      <c r="CH118" s="2">
        <f t="shared" si="286"/>
        <v>67.699999999999818</v>
      </c>
      <c r="CI118" s="1">
        <f t="shared" si="242"/>
        <v>0</v>
      </c>
      <c r="CJ118" s="2">
        <f t="shared" si="252"/>
        <v>67.699999999999818</v>
      </c>
      <c r="CK118" s="2">
        <f t="shared" si="253"/>
        <v>146393.8666666667</v>
      </c>
      <c r="CL118" s="2">
        <f t="shared" si="287"/>
        <v>0</v>
      </c>
      <c r="CM118" s="2">
        <f t="shared" si="216"/>
        <v>1133.4283350000001</v>
      </c>
      <c r="CN118" s="2">
        <f t="shared" si="288"/>
        <v>145260.43833166669</v>
      </c>
      <c r="CO118" s="2">
        <f t="shared" si="217"/>
        <v>2599.5000000000146</v>
      </c>
      <c r="CP118" s="2">
        <f t="shared" si="289"/>
        <v>8320.9296666666723</v>
      </c>
      <c r="CQ118" s="2">
        <f t="shared" si="290"/>
        <v>134340.00866500003</v>
      </c>
      <c r="CS118" s="5">
        <f t="shared" si="304"/>
        <v>1000</v>
      </c>
      <c r="CT118" s="2">
        <f t="shared" si="305"/>
        <v>100000</v>
      </c>
      <c r="CU118" s="2">
        <f t="shared" si="306"/>
        <v>100000</v>
      </c>
      <c r="CV118" s="2">
        <f t="shared" si="307"/>
        <v>147811.69370559536</v>
      </c>
      <c r="CW118" s="8">
        <f t="shared" si="291"/>
        <v>4.9000000000000002E-2</v>
      </c>
      <c r="CX118" s="2">
        <f t="shared" si="292"/>
        <v>150225.95136945343</v>
      </c>
      <c r="CY118" s="2" t="str">
        <f t="shared" si="293"/>
        <v>nie</v>
      </c>
      <c r="CZ118" s="2">
        <f t="shared" si="222"/>
        <v>0</v>
      </c>
      <c r="DA118" s="2">
        <f t="shared" si="223"/>
        <v>0</v>
      </c>
      <c r="DB118" s="2">
        <f t="shared" si="224"/>
        <v>150225.95136945343</v>
      </c>
      <c r="DC118" s="2">
        <f t="shared" si="294"/>
        <v>0</v>
      </c>
      <c r="DD118" s="2">
        <f t="shared" si="225"/>
        <v>1153.4051490538391</v>
      </c>
      <c r="DE118" s="2">
        <f t="shared" si="226"/>
        <v>149072.54622039958</v>
      </c>
      <c r="DF118" s="2">
        <f t="shared" si="295"/>
        <v>3000</v>
      </c>
      <c r="DG118" s="2">
        <f t="shared" si="296"/>
        <v>8972.93076019615</v>
      </c>
      <c r="DH118" s="2">
        <f t="shared" si="227"/>
        <v>137099.61546020344</v>
      </c>
    </row>
    <row r="119" spans="2:112">
      <c r="B119" s="232"/>
      <c r="C119" s="1">
        <f t="shared" si="256"/>
        <v>82</v>
      </c>
      <c r="D119" s="2">
        <f t="shared" si="259"/>
        <v>136589.16991777913</v>
      </c>
      <c r="E119" s="2">
        <f t="shared" si="260"/>
        <v>128408.48924319995</v>
      </c>
      <c r="F119" s="2">
        <f t="shared" si="261"/>
        <v>135883.88637333331</v>
      </c>
      <c r="G119" s="2">
        <f t="shared" si="262"/>
        <v>126771.54953999998</v>
      </c>
      <c r="H119" s="2">
        <f t="shared" si="263"/>
        <v>138959.65355788369</v>
      </c>
      <c r="I119" s="2">
        <f t="shared" si="264"/>
        <v>128965.70623831954</v>
      </c>
      <c r="J119" s="2">
        <f t="shared" si="257"/>
        <v>128235.40387254332</v>
      </c>
      <c r="K119" s="2">
        <f t="shared" si="258"/>
        <v>121580.20894379044</v>
      </c>
      <c r="W119" s="1">
        <f t="shared" si="297"/>
        <v>101</v>
      </c>
      <c r="X119" s="2">
        <f t="shared" si="274"/>
        <v>127215.27796352078</v>
      </c>
      <c r="Y119" s="8">
        <f t="shared" si="230"/>
        <v>4.3200000000000002E-2</v>
      </c>
      <c r="Z119" s="5">
        <f t="shared" si="298"/>
        <v>1320</v>
      </c>
      <c r="AA119" s="2">
        <f t="shared" si="299"/>
        <v>131868</v>
      </c>
      <c r="AB119" s="2">
        <f t="shared" si="207"/>
        <v>132000</v>
      </c>
      <c r="AC119" s="2">
        <f t="shared" si="300"/>
        <v>145252.932</v>
      </c>
      <c r="AD119" s="8">
        <f t="shared" si="275"/>
        <v>4.9000000000000002E-2</v>
      </c>
      <c r="AE119" s="2">
        <f t="shared" si="179"/>
        <v>148218.51269500001</v>
      </c>
      <c r="AF119" s="2" t="str">
        <f t="shared" si="276"/>
        <v>nie</v>
      </c>
      <c r="AG119" s="2">
        <f t="shared" si="277"/>
        <v>1320</v>
      </c>
      <c r="AH119" s="1">
        <f t="shared" si="233"/>
        <v>0</v>
      </c>
      <c r="AI119" s="1">
        <f t="shared" si="265"/>
        <v>0</v>
      </c>
      <c r="AJ119" s="1">
        <f t="shared" ref="AJ119:AJ150" si="308">IF(zapadalnosc_TOS/12&gt;=AJ$18,AI107,0)</f>
        <v>0</v>
      </c>
      <c r="AK119" s="1">
        <f t="shared" si="254"/>
        <v>0</v>
      </c>
      <c r="AL119" s="2">
        <f t="shared" si="243"/>
        <v>0</v>
      </c>
      <c r="AM119" s="8">
        <f t="shared" si="234"/>
        <v>4.9000000000000002E-2</v>
      </c>
      <c r="AN119" s="2">
        <f t="shared" si="244"/>
        <v>0</v>
      </c>
      <c r="AO119" s="2">
        <f t="shared" si="235"/>
        <v>0</v>
      </c>
      <c r="AP119" s="2">
        <f t="shared" si="272"/>
        <v>0</v>
      </c>
      <c r="AQ119" s="8">
        <f t="shared" si="266"/>
        <v>4.3200000000000002E-2</v>
      </c>
      <c r="AR119" s="2">
        <f t="shared" si="267"/>
        <v>0</v>
      </c>
      <c r="AS119" s="2">
        <f t="shared" si="268"/>
        <v>0</v>
      </c>
      <c r="AT119" s="2">
        <f t="shared" si="209"/>
        <v>0</v>
      </c>
      <c r="AU119" s="2">
        <f t="shared" si="245"/>
        <v>0</v>
      </c>
      <c r="AV119" s="2">
        <f t="shared" si="236"/>
        <v>38.845655679935589</v>
      </c>
      <c r="AW119" s="1">
        <f t="shared" si="231"/>
        <v>0</v>
      </c>
      <c r="AX119" s="2">
        <f t="shared" si="278"/>
        <v>38.845655679935589</v>
      </c>
      <c r="AY119" s="1">
        <f t="shared" si="237"/>
        <v>0</v>
      </c>
      <c r="AZ119" s="2">
        <f t="shared" si="210"/>
        <v>38.845655679935589</v>
      </c>
      <c r="BA119" s="2">
        <f t="shared" si="246"/>
        <v>148257.35835067995</v>
      </c>
      <c r="BB119" s="2">
        <f t="shared" si="279"/>
        <v>0</v>
      </c>
      <c r="BC119" s="2">
        <f t="shared" si="211"/>
        <v>1137.3250457777435</v>
      </c>
      <c r="BD119" s="2">
        <f t="shared" si="184"/>
        <v>147120.0333049022</v>
      </c>
      <c r="BE119" s="2">
        <f t="shared" si="212"/>
        <v>1320</v>
      </c>
      <c r="BF119" s="2">
        <f t="shared" si="185"/>
        <v>8918.0980866291902</v>
      </c>
      <c r="BG119" s="2">
        <f t="shared" si="186"/>
        <v>136881.93521827302</v>
      </c>
      <c r="BI119" s="8">
        <f t="shared" si="238"/>
        <v>2.9000000000000001E-2</v>
      </c>
      <c r="BJ119" s="5">
        <f t="shared" si="301"/>
        <v>1092</v>
      </c>
      <c r="BK119" s="2">
        <f t="shared" si="302"/>
        <v>109090.8</v>
      </c>
      <c r="BL119" s="2">
        <f t="shared" si="303"/>
        <v>109200</v>
      </c>
      <c r="BM119" s="2">
        <f t="shared" si="280"/>
        <v>109200</v>
      </c>
      <c r="BN119" s="8">
        <f t="shared" si="281"/>
        <v>5.2499999999999998E-2</v>
      </c>
      <c r="BO119" s="2">
        <f t="shared" si="282"/>
        <v>111588.75000000001</v>
      </c>
      <c r="BP119" s="2" t="str">
        <f t="shared" si="283"/>
        <v>nie</v>
      </c>
      <c r="BQ119" s="2">
        <f t="shared" si="284"/>
        <v>2184</v>
      </c>
      <c r="BR119" s="1">
        <f t="shared" si="239"/>
        <v>22</v>
      </c>
      <c r="BS119" s="1">
        <f t="shared" si="269"/>
        <v>107</v>
      </c>
      <c r="BT119" s="1">
        <f t="shared" ref="BT119:BT150" si="309">IF(zapadalnosc_COI/12&gt;=BT$18,BS107,0)</f>
        <v>104</v>
      </c>
      <c r="BU119" s="1">
        <f t="shared" si="255"/>
        <v>114</v>
      </c>
      <c r="BV119" s="2">
        <f t="shared" si="247"/>
        <v>2200</v>
      </c>
      <c r="BW119" s="8">
        <f t="shared" si="240"/>
        <v>5.2499999999999998E-2</v>
      </c>
      <c r="BX119" s="2">
        <f t="shared" si="248"/>
        <v>2248.125</v>
      </c>
      <c r="BY119" s="2">
        <f t="shared" si="241"/>
        <v>44</v>
      </c>
      <c r="BZ119" s="2">
        <f t="shared" si="273"/>
        <v>32500</v>
      </c>
      <c r="CA119" s="8">
        <f t="shared" si="270"/>
        <v>4.3999999999999997E-2</v>
      </c>
      <c r="CB119" s="2">
        <f t="shared" si="249"/>
        <v>33095.833333333336</v>
      </c>
      <c r="CC119" s="2">
        <f t="shared" si="271"/>
        <v>650</v>
      </c>
      <c r="CD119" s="2">
        <f t="shared" si="285"/>
        <v>0</v>
      </c>
      <c r="CE119" s="2">
        <f t="shared" si="250"/>
        <v>0</v>
      </c>
      <c r="CF119" s="2">
        <f t="shared" si="251"/>
        <v>67.699999999999818</v>
      </c>
      <c r="CG119" s="1">
        <f t="shared" si="232"/>
        <v>0</v>
      </c>
      <c r="CH119" s="2">
        <f t="shared" si="286"/>
        <v>67.699999999999818</v>
      </c>
      <c r="CI119" s="1">
        <f t="shared" si="242"/>
        <v>0</v>
      </c>
      <c r="CJ119" s="2">
        <f t="shared" si="252"/>
        <v>67.699999999999818</v>
      </c>
      <c r="CK119" s="2">
        <f t="shared" si="253"/>
        <v>147000.40833333335</v>
      </c>
      <c r="CL119" s="2">
        <f t="shared" si="287"/>
        <v>0</v>
      </c>
      <c r="CM119" s="2">
        <f t="shared" si="216"/>
        <v>1133.4283350000001</v>
      </c>
      <c r="CN119" s="2">
        <f t="shared" si="288"/>
        <v>145866.97999833335</v>
      </c>
      <c r="CO119" s="2">
        <f t="shared" si="217"/>
        <v>2878</v>
      </c>
      <c r="CP119" s="2">
        <f t="shared" si="289"/>
        <v>8383.2575833333376</v>
      </c>
      <c r="CQ119" s="2">
        <f t="shared" si="290"/>
        <v>134605.72241500003</v>
      </c>
      <c r="CS119" s="5">
        <f t="shared" si="304"/>
        <v>1000</v>
      </c>
      <c r="CT119" s="2">
        <f t="shared" si="305"/>
        <v>100000</v>
      </c>
      <c r="CU119" s="2">
        <f t="shared" si="306"/>
        <v>100000</v>
      </c>
      <c r="CV119" s="2">
        <f t="shared" si="307"/>
        <v>147811.69370559536</v>
      </c>
      <c r="CW119" s="8">
        <f t="shared" si="291"/>
        <v>4.9000000000000002E-2</v>
      </c>
      <c r="CX119" s="2">
        <f t="shared" si="292"/>
        <v>150829.51578541796</v>
      </c>
      <c r="CY119" s="2" t="str">
        <f t="shared" si="293"/>
        <v>nie</v>
      </c>
      <c r="CZ119" s="2">
        <f t="shared" si="222"/>
        <v>0</v>
      </c>
      <c r="DA119" s="2">
        <f t="shared" si="223"/>
        <v>0</v>
      </c>
      <c r="DB119" s="2">
        <f t="shared" si="224"/>
        <v>150829.51578541796</v>
      </c>
      <c r="DC119" s="2">
        <f t="shared" si="294"/>
        <v>0</v>
      </c>
      <c r="DD119" s="2">
        <f t="shared" si="225"/>
        <v>1153.4051490538391</v>
      </c>
      <c r="DE119" s="2">
        <f t="shared" si="226"/>
        <v>149676.11063636412</v>
      </c>
      <c r="DF119" s="2">
        <f t="shared" si="295"/>
        <v>3000</v>
      </c>
      <c r="DG119" s="2">
        <f t="shared" si="296"/>
        <v>9087.6079992294126</v>
      </c>
      <c r="DH119" s="2">
        <f t="shared" si="227"/>
        <v>137588.50263713469</v>
      </c>
    </row>
    <row r="120" spans="2:112">
      <c r="B120" s="233"/>
      <c r="C120" s="1">
        <f t="shared" si="256"/>
        <v>83</v>
      </c>
      <c r="D120" s="2">
        <f t="shared" si="259"/>
        <v>137128.16991777913</v>
      </c>
      <c r="E120" s="2">
        <f t="shared" si="260"/>
        <v>128845.07924319994</v>
      </c>
      <c r="F120" s="2">
        <f t="shared" si="261"/>
        <v>136374.51970666667</v>
      </c>
      <c r="G120" s="2">
        <f t="shared" si="262"/>
        <v>127168.96254000001</v>
      </c>
      <c r="H120" s="2">
        <f t="shared" si="263"/>
        <v>139508.14853013883</v>
      </c>
      <c r="I120" s="2">
        <f t="shared" si="264"/>
        <v>129409.98716584621</v>
      </c>
      <c r="J120" s="2">
        <f t="shared" si="257"/>
        <v>128624.91891180618</v>
      </c>
      <c r="K120" s="2">
        <f t="shared" si="258"/>
        <v>121867.09470940231</v>
      </c>
      <c r="W120" s="1">
        <f t="shared" si="297"/>
        <v>102</v>
      </c>
      <c r="X120" s="2">
        <f t="shared" si="274"/>
        <v>127519.044374467</v>
      </c>
      <c r="Y120" s="8">
        <f t="shared" si="230"/>
        <v>4.3200000000000002E-2</v>
      </c>
      <c r="Z120" s="5">
        <f t="shared" si="298"/>
        <v>1320</v>
      </c>
      <c r="AA120" s="2">
        <f t="shared" si="299"/>
        <v>131868</v>
      </c>
      <c r="AB120" s="2">
        <f t="shared" si="207"/>
        <v>132000</v>
      </c>
      <c r="AC120" s="2">
        <f t="shared" si="300"/>
        <v>145252.932</v>
      </c>
      <c r="AD120" s="8">
        <f t="shared" si="275"/>
        <v>4.9000000000000002E-2</v>
      </c>
      <c r="AE120" s="2">
        <f t="shared" si="179"/>
        <v>148811.628834</v>
      </c>
      <c r="AF120" s="2" t="str">
        <f t="shared" si="276"/>
        <v>nie</v>
      </c>
      <c r="AG120" s="2">
        <f t="shared" si="277"/>
        <v>1320</v>
      </c>
      <c r="AH120" s="1">
        <f t="shared" si="233"/>
        <v>0</v>
      </c>
      <c r="AI120" s="1">
        <f t="shared" si="265"/>
        <v>0</v>
      </c>
      <c r="AJ120" s="1">
        <f t="shared" si="308"/>
        <v>0</v>
      </c>
      <c r="AK120" s="1">
        <f t="shared" si="254"/>
        <v>0</v>
      </c>
      <c r="AL120" s="2">
        <f t="shared" si="243"/>
        <v>0</v>
      </c>
      <c r="AM120" s="8">
        <f t="shared" si="234"/>
        <v>4.9000000000000002E-2</v>
      </c>
      <c r="AN120" s="2">
        <f t="shared" si="244"/>
        <v>0</v>
      </c>
      <c r="AO120" s="2">
        <f t="shared" si="235"/>
        <v>0</v>
      </c>
      <c r="AP120" s="2">
        <f t="shared" si="272"/>
        <v>0</v>
      </c>
      <c r="AQ120" s="8">
        <f t="shared" si="266"/>
        <v>4.3200000000000002E-2</v>
      </c>
      <c r="AR120" s="2">
        <f t="shared" si="267"/>
        <v>0</v>
      </c>
      <c r="AS120" s="2">
        <f t="shared" si="268"/>
        <v>0</v>
      </c>
      <c r="AT120" s="2">
        <f t="shared" si="209"/>
        <v>0</v>
      </c>
      <c r="AU120" s="2">
        <f t="shared" si="245"/>
        <v>0</v>
      </c>
      <c r="AV120" s="2">
        <f t="shared" si="236"/>
        <v>38.845655679935589</v>
      </c>
      <c r="AW120" s="1">
        <f t="shared" si="231"/>
        <v>0</v>
      </c>
      <c r="AX120" s="2">
        <f t="shared" si="278"/>
        <v>38.845655679935589</v>
      </c>
      <c r="AY120" s="1">
        <f t="shared" si="237"/>
        <v>0</v>
      </c>
      <c r="AZ120" s="2">
        <f t="shared" si="210"/>
        <v>38.845655679935589</v>
      </c>
      <c r="BA120" s="2">
        <f t="shared" si="246"/>
        <v>148850.47448967994</v>
      </c>
      <c r="BB120" s="2">
        <f t="shared" si="279"/>
        <v>0</v>
      </c>
      <c r="BC120" s="2">
        <f t="shared" si="211"/>
        <v>1137.3250457777435</v>
      </c>
      <c r="BD120" s="2">
        <f t="shared" si="184"/>
        <v>147713.14944390219</v>
      </c>
      <c r="BE120" s="2">
        <f t="shared" si="212"/>
        <v>1320</v>
      </c>
      <c r="BF120" s="2">
        <f t="shared" si="185"/>
        <v>9030.7901530391882</v>
      </c>
      <c r="BG120" s="2">
        <f t="shared" si="186"/>
        <v>137362.35929086301</v>
      </c>
      <c r="BI120" s="8">
        <f t="shared" si="238"/>
        <v>2.9000000000000001E-2</v>
      </c>
      <c r="BJ120" s="5">
        <f t="shared" si="301"/>
        <v>1092</v>
      </c>
      <c r="BK120" s="2">
        <f t="shared" si="302"/>
        <v>109090.8</v>
      </c>
      <c r="BL120" s="2">
        <f t="shared" si="303"/>
        <v>109200</v>
      </c>
      <c r="BM120" s="2">
        <f t="shared" si="280"/>
        <v>109200</v>
      </c>
      <c r="BN120" s="8">
        <f t="shared" si="281"/>
        <v>5.2499999999999998E-2</v>
      </c>
      <c r="BO120" s="2">
        <f t="shared" si="282"/>
        <v>112066.50000000001</v>
      </c>
      <c r="BP120" s="2" t="str">
        <f t="shared" si="283"/>
        <v>nie</v>
      </c>
      <c r="BQ120" s="2">
        <f t="shared" si="284"/>
        <v>2184</v>
      </c>
      <c r="BR120" s="1">
        <f t="shared" si="239"/>
        <v>22</v>
      </c>
      <c r="BS120" s="1">
        <f t="shared" si="269"/>
        <v>107</v>
      </c>
      <c r="BT120" s="1">
        <f t="shared" si="309"/>
        <v>104</v>
      </c>
      <c r="BU120" s="1">
        <f t="shared" si="255"/>
        <v>114</v>
      </c>
      <c r="BV120" s="2">
        <f t="shared" si="247"/>
        <v>2200</v>
      </c>
      <c r="BW120" s="8">
        <f t="shared" si="240"/>
        <v>5.2499999999999998E-2</v>
      </c>
      <c r="BX120" s="2">
        <f t="shared" si="248"/>
        <v>2257.7500000000005</v>
      </c>
      <c r="BY120" s="2">
        <f t="shared" si="241"/>
        <v>44</v>
      </c>
      <c r="BZ120" s="2">
        <f t="shared" si="273"/>
        <v>32500</v>
      </c>
      <c r="CA120" s="8">
        <f t="shared" si="270"/>
        <v>4.3999999999999997E-2</v>
      </c>
      <c r="CB120" s="2">
        <f t="shared" si="249"/>
        <v>33215</v>
      </c>
      <c r="CC120" s="2">
        <f t="shared" si="271"/>
        <v>650</v>
      </c>
      <c r="CD120" s="2">
        <f t="shared" si="285"/>
        <v>0</v>
      </c>
      <c r="CE120" s="2">
        <f t="shared" si="250"/>
        <v>0</v>
      </c>
      <c r="CF120" s="2">
        <f t="shared" si="251"/>
        <v>67.699999999999818</v>
      </c>
      <c r="CG120" s="1">
        <f t="shared" si="232"/>
        <v>0</v>
      </c>
      <c r="CH120" s="2">
        <f t="shared" si="286"/>
        <v>67.699999999999818</v>
      </c>
      <c r="CI120" s="1">
        <f t="shared" si="242"/>
        <v>0</v>
      </c>
      <c r="CJ120" s="2">
        <f t="shared" si="252"/>
        <v>67.699999999999818</v>
      </c>
      <c r="CK120" s="2">
        <f t="shared" si="253"/>
        <v>147606.95000000001</v>
      </c>
      <c r="CL120" s="2">
        <f t="shared" si="287"/>
        <v>0</v>
      </c>
      <c r="CM120" s="2">
        <f t="shared" si="216"/>
        <v>1133.4283350000001</v>
      </c>
      <c r="CN120" s="2">
        <f t="shared" si="288"/>
        <v>146473.52166500001</v>
      </c>
      <c r="CO120" s="2">
        <f t="shared" si="217"/>
        <v>2878</v>
      </c>
      <c r="CP120" s="2">
        <f t="shared" si="289"/>
        <v>8498.5005000000019</v>
      </c>
      <c r="CQ120" s="2">
        <f t="shared" si="290"/>
        <v>135097.02116500001</v>
      </c>
      <c r="CS120" s="5">
        <f t="shared" si="304"/>
        <v>1000</v>
      </c>
      <c r="CT120" s="2">
        <f t="shared" si="305"/>
        <v>100000</v>
      </c>
      <c r="CU120" s="2">
        <f t="shared" si="306"/>
        <v>100000</v>
      </c>
      <c r="CV120" s="2">
        <f t="shared" si="307"/>
        <v>147811.69370559536</v>
      </c>
      <c r="CW120" s="8">
        <f t="shared" si="291"/>
        <v>4.9000000000000002E-2</v>
      </c>
      <c r="CX120" s="2">
        <f t="shared" si="292"/>
        <v>151433.08020138243</v>
      </c>
      <c r="CY120" s="2" t="str">
        <f t="shared" si="293"/>
        <v>nie</v>
      </c>
      <c r="CZ120" s="2">
        <f t="shared" si="222"/>
        <v>0</v>
      </c>
      <c r="DA120" s="2">
        <f t="shared" si="223"/>
        <v>0</v>
      </c>
      <c r="DB120" s="2">
        <f t="shared" si="224"/>
        <v>151433.08020138243</v>
      </c>
      <c r="DC120" s="2">
        <f t="shared" si="294"/>
        <v>0</v>
      </c>
      <c r="DD120" s="2">
        <f t="shared" si="225"/>
        <v>1153.4051490538391</v>
      </c>
      <c r="DE120" s="2">
        <f t="shared" si="226"/>
        <v>150279.67505232859</v>
      </c>
      <c r="DF120" s="2">
        <f t="shared" si="295"/>
        <v>3000</v>
      </c>
      <c r="DG120" s="2">
        <f t="shared" si="296"/>
        <v>9202.2852382626606</v>
      </c>
      <c r="DH120" s="2">
        <f t="shared" si="227"/>
        <v>138077.38981406591</v>
      </c>
    </row>
    <row r="121" spans="2:112">
      <c r="B121" s="231">
        <f>ROUNDUP(C122/12,0)</f>
        <v>8</v>
      </c>
      <c r="C121" s="3">
        <f t="shared" si="256"/>
        <v>84</v>
      </c>
      <c r="D121" s="10">
        <f t="shared" si="259"/>
        <v>137514.81238755787</v>
      </c>
      <c r="E121" s="10">
        <f t="shared" si="260"/>
        <v>129129.31171297868</v>
      </c>
      <c r="F121" s="10">
        <f t="shared" si="261"/>
        <v>136713.67946499999</v>
      </c>
      <c r="G121" s="10">
        <f t="shared" si="262"/>
        <v>127414.901965</v>
      </c>
      <c r="H121" s="10">
        <f t="shared" si="263"/>
        <v>139901.64553949959</v>
      </c>
      <c r="I121" s="10">
        <f t="shared" si="264"/>
        <v>129699.2701304785</v>
      </c>
      <c r="J121" s="10">
        <f t="shared" si="257"/>
        <v>129015.6171030008</v>
      </c>
      <c r="K121" s="10">
        <f t="shared" si="258"/>
        <v>122153.98047501416</v>
      </c>
      <c r="W121" s="1">
        <f t="shared" si="297"/>
        <v>103</v>
      </c>
      <c r="X121" s="2">
        <f t="shared" si="274"/>
        <v>127822.81078541325</v>
      </c>
      <c r="Y121" s="8">
        <f t="shared" ref="Y121:Y152" si="310">MAX(INDEX(scenariusz_I_WIBOR6M,MATCH(ROUNDUP(W121/12,0),scenariusz_I_rok,0)),0)</f>
        <v>4.3200000000000002E-2</v>
      </c>
      <c r="Z121" s="5">
        <f t="shared" si="298"/>
        <v>1320</v>
      </c>
      <c r="AA121" s="2">
        <f t="shared" si="299"/>
        <v>131868</v>
      </c>
      <c r="AB121" s="2">
        <f t="shared" si="207"/>
        <v>132000</v>
      </c>
      <c r="AC121" s="2">
        <f t="shared" si="300"/>
        <v>145252.932</v>
      </c>
      <c r="AD121" s="8">
        <f t="shared" si="275"/>
        <v>4.9000000000000002E-2</v>
      </c>
      <c r="AE121" s="2">
        <f t="shared" si="179"/>
        <v>149404.74497300002</v>
      </c>
      <c r="AF121" s="2" t="str">
        <f t="shared" si="276"/>
        <v>nie</v>
      </c>
      <c r="AG121" s="2">
        <f t="shared" si="277"/>
        <v>1320</v>
      </c>
      <c r="AH121" s="1">
        <f t="shared" si="233"/>
        <v>0</v>
      </c>
      <c r="AI121" s="1">
        <f t="shared" si="265"/>
        <v>0</v>
      </c>
      <c r="AJ121" s="1">
        <f t="shared" si="308"/>
        <v>0</v>
      </c>
      <c r="AK121" s="1">
        <f t="shared" si="254"/>
        <v>0</v>
      </c>
      <c r="AL121" s="2">
        <f t="shared" si="243"/>
        <v>0</v>
      </c>
      <c r="AM121" s="8">
        <f t="shared" si="234"/>
        <v>4.9000000000000002E-2</v>
      </c>
      <c r="AN121" s="2">
        <f t="shared" si="244"/>
        <v>0</v>
      </c>
      <c r="AO121" s="2">
        <f t="shared" si="235"/>
        <v>0</v>
      </c>
      <c r="AP121" s="2">
        <f t="shared" si="272"/>
        <v>0</v>
      </c>
      <c r="AQ121" s="8">
        <f t="shared" si="266"/>
        <v>4.3200000000000002E-2</v>
      </c>
      <c r="AR121" s="2">
        <f t="shared" si="267"/>
        <v>0</v>
      </c>
      <c r="AS121" s="2">
        <f t="shared" si="268"/>
        <v>0</v>
      </c>
      <c r="AT121" s="2">
        <f t="shared" si="209"/>
        <v>0</v>
      </c>
      <c r="AU121" s="2">
        <f t="shared" si="245"/>
        <v>0</v>
      </c>
      <c r="AV121" s="2">
        <f t="shared" si="236"/>
        <v>38.845655679935589</v>
      </c>
      <c r="AW121" s="1">
        <f t="shared" si="231"/>
        <v>0</v>
      </c>
      <c r="AX121" s="2">
        <f t="shared" si="278"/>
        <v>38.845655679935589</v>
      </c>
      <c r="AY121" s="1">
        <f t="shared" si="237"/>
        <v>0</v>
      </c>
      <c r="AZ121" s="2">
        <f t="shared" si="210"/>
        <v>38.845655679935589</v>
      </c>
      <c r="BA121" s="2">
        <f t="shared" si="246"/>
        <v>149443.59062867996</v>
      </c>
      <c r="BB121" s="2">
        <f t="shared" si="279"/>
        <v>0</v>
      </c>
      <c r="BC121" s="2">
        <f t="shared" si="211"/>
        <v>1137.3250457777435</v>
      </c>
      <c r="BD121" s="2">
        <f t="shared" si="184"/>
        <v>148306.26558290221</v>
      </c>
      <c r="BE121" s="2">
        <f t="shared" si="212"/>
        <v>1320</v>
      </c>
      <c r="BF121" s="2">
        <f t="shared" si="185"/>
        <v>9143.4822194491917</v>
      </c>
      <c r="BG121" s="2">
        <f t="shared" si="186"/>
        <v>137842.78336345303</v>
      </c>
      <c r="BI121" s="8">
        <f t="shared" si="238"/>
        <v>2.9000000000000001E-2</v>
      </c>
      <c r="BJ121" s="5">
        <f t="shared" si="301"/>
        <v>1092</v>
      </c>
      <c r="BK121" s="2">
        <f t="shared" si="302"/>
        <v>109090.8</v>
      </c>
      <c r="BL121" s="2">
        <f t="shared" si="303"/>
        <v>109200</v>
      </c>
      <c r="BM121" s="2">
        <f t="shared" si="280"/>
        <v>109200</v>
      </c>
      <c r="BN121" s="8">
        <f t="shared" si="281"/>
        <v>5.2499999999999998E-2</v>
      </c>
      <c r="BO121" s="2">
        <f t="shared" si="282"/>
        <v>112544.24999999999</v>
      </c>
      <c r="BP121" s="2" t="str">
        <f t="shared" si="283"/>
        <v>nie</v>
      </c>
      <c r="BQ121" s="2">
        <f t="shared" si="284"/>
        <v>2184</v>
      </c>
      <c r="BR121" s="1">
        <f t="shared" si="239"/>
        <v>22</v>
      </c>
      <c r="BS121" s="1">
        <f t="shared" si="269"/>
        <v>107</v>
      </c>
      <c r="BT121" s="1">
        <f t="shared" si="309"/>
        <v>104</v>
      </c>
      <c r="BU121" s="1">
        <f t="shared" si="255"/>
        <v>114</v>
      </c>
      <c r="BV121" s="2">
        <f t="shared" si="247"/>
        <v>2200</v>
      </c>
      <c r="BW121" s="8">
        <f t="shared" si="240"/>
        <v>5.2499999999999998E-2</v>
      </c>
      <c r="BX121" s="2">
        <f t="shared" si="248"/>
        <v>2267.375</v>
      </c>
      <c r="BY121" s="2">
        <f t="shared" si="241"/>
        <v>44</v>
      </c>
      <c r="BZ121" s="2">
        <f t="shared" si="273"/>
        <v>32500</v>
      </c>
      <c r="CA121" s="8">
        <f t="shared" si="270"/>
        <v>4.3999999999999997E-2</v>
      </c>
      <c r="CB121" s="2">
        <f t="shared" si="249"/>
        <v>33334.166666666672</v>
      </c>
      <c r="CC121" s="2">
        <f t="shared" si="271"/>
        <v>650</v>
      </c>
      <c r="CD121" s="2">
        <f t="shared" si="285"/>
        <v>0</v>
      </c>
      <c r="CE121" s="2">
        <f t="shared" si="250"/>
        <v>0</v>
      </c>
      <c r="CF121" s="2">
        <f t="shared" si="251"/>
        <v>67.699999999999818</v>
      </c>
      <c r="CG121" s="1">
        <f t="shared" si="232"/>
        <v>0</v>
      </c>
      <c r="CH121" s="2">
        <f t="shared" si="286"/>
        <v>67.699999999999818</v>
      </c>
      <c r="CI121" s="1">
        <f t="shared" si="242"/>
        <v>0</v>
      </c>
      <c r="CJ121" s="2">
        <f t="shared" si="252"/>
        <v>67.699999999999818</v>
      </c>
      <c r="CK121" s="2">
        <f t="shared" si="253"/>
        <v>148213.49166666667</v>
      </c>
      <c r="CL121" s="2">
        <f t="shared" si="287"/>
        <v>0</v>
      </c>
      <c r="CM121" s="2">
        <f t="shared" si="216"/>
        <v>1133.4283350000001</v>
      </c>
      <c r="CN121" s="2">
        <f t="shared" si="288"/>
        <v>147080.06333166666</v>
      </c>
      <c r="CO121" s="2">
        <f t="shared" si="217"/>
        <v>2878</v>
      </c>
      <c r="CP121" s="2">
        <f t="shared" si="289"/>
        <v>8613.7434166666662</v>
      </c>
      <c r="CQ121" s="2">
        <f t="shared" si="290"/>
        <v>135588.319915</v>
      </c>
      <c r="CS121" s="5">
        <f t="shared" si="304"/>
        <v>1000</v>
      </c>
      <c r="CT121" s="2">
        <f t="shared" si="305"/>
        <v>100000</v>
      </c>
      <c r="CU121" s="2">
        <f t="shared" si="306"/>
        <v>100000</v>
      </c>
      <c r="CV121" s="2">
        <f t="shared" si="307"/>
        <v>147811.69370559536</v>
      </c>
      <c r="CW121" s="8">
        <f t="shared" si="291"/>
        <v>4.9000000000000002E-2</v>
      </c>
      <c r="CX121" s="2">
        <f t="shared" si="292"/>
        <v>152036.64461734696</v>
      </c>
      <c r="CY121" s="2" t="str">
        <f t="shared" si="293"/>
        <v>nie</v>
      </c>
      <c r="CZ121" s="2">
        <f t="shared" si="222"/>
        <v>0</v>
      </c>
      <c r="DA121" s="2">
        <f t="shared" si="223"/>
        <v>0</v>
      </c>
      <c r="DB121" s="2">
        <f t="shared" si="224"/>
        <v>152036.64461734696</v>
      </c>
      <c r="DC121" s="2">
        <f t="shared" si="294"/>
        <v>0</v>
      </c>
      <c r="DD121" s="2">
        <f t="shared" si="225"/>
        <v>1153.4051490538391</v>
      </c>
      <c r="DE121" s="2">
        <f t="shared" si="226"/>
        <v>150883.23946829312</v>
      </c>
      <c r="DF121" s="2">
        <f t="shared" si="295"/>
        <v>3000</v>
      </c>
      <c r="DG121" s="2">
        <f t="shared" si="296"/>
        <v>9316.9624772959232</v>
      </c>
      <c r="DH121" s="2">
        <f t="shared" si="227"/>
        <v>138566.2769909972</v>
      </c>
    </row>
    <row r="122" spans="2:112">
      <c r="B122" s="232"/>
      <c r="C122" s="1">
        <f t="shared" si="256"/>
        <v>85</v>
      </c>
      <c r="D122" s="2">
        <f t="shared" si="259"/>
        <v>138080.2233875579</v>
      </c>
      <c r="E122" s="2">
        <f t="shared" si="260"/>
        <v>129587.2946229787</v>
      </c>
      <c r="F122" s="2">
        <f t="shared" si="261"/>
        <v>137230.95863166667</v>
      </c>
      <c r="G122" s="2">
        <f t="shared" si="262"/>
        <v>127873.739965</v>
      </c>
      <c r="H122" s="2">
        <f t="shared" si="263"/>
        <v>140477.01676539524</v>
      </c>
      <c r="I122" s="2">
        <f t="shared" si="264"/>
        <v>130165.32082345398</v>
      </c>
      <c r="J122" s="2">
        <f t="shared" si="257"/>
        <v>129407.50203995117</v>
      </c>
      <c r="K122" s="2">
        <f t="shared" si="258"/>
        <v>122449.18592782879</v>
      </c>
      <c r="W122" s="1">
        <f t="shared" si="297"/>
        <v>104</v>
      </c>
      <c r="X122" s="2">
        <f t="shared" si="274"/>
        <v>128126.5771963595</v>
      </c>
      <c r="Y122" s="8">
        <f t="shared" si="310"/>
        <v>4.3200000000000002E-2</v>
      </c>
      <c r="Z122" s="5">
        <f t="shared" si="298"/>
        <v>1320</v>
      </c>
      <c r="AA122" s="2">
        <f t="shared" si="299"/>
        <v>131868</v>
      </c>
      <c r="AB122" s="2">
        <f t="shared" si="207"/>
        <v>132000</v>
      </c>
      <c r="AC122" s="2">
        <f t="shared" si="300"/>
        <v>145252.932</v>
      </c>
      <c r="AD122" s="8">
        <f t="shared" si="275"/>
        <v>4.9000000000000002E-2</v>
      </c>
      <c r="AE122" s="2">
        <f t="shared" si="179"/>
        <v>149997.86111199998</v>
      </c>
      <c r="AF122" s="2" t="str">
        <f t="shared" si="276"/>
        <v>nie</v>
      </c>
      <c r="AG122" s="2">
        <f t="shared" si="277"/>
        <v>1320</v>
      </c>
      <c r="AH122" s="1">
        <f t="shared" si="233"/>
        <v>0</v>
      </c>
      <c r="AI122" s="1">
        <f t="shared" si="265"/>
        <v>0</v>
      </c>
      <c r="AJ122" s="1">
        <f t="shared" si="308"/>
        <v>0</v>
      </c>
      <c r="AK122" s="1">
        <f t="shared" si="254"/>
        <v>0</v>
      </c>
      <c r="AL122" s="2">
        <f t="shared" si="243"/>
        <v>0</v>
      </c>
      <c r="AM122" s="8">
        <f t="shared" si="234"/>
        <v>4.9000000000000002E-2</v>
      </c>
      <c r="AN122" s="2">
        <f t="shared" si="244"/>
        <v>0</v>
      </c>
      <c r="AO122" s="2">
        <f t="shared" si="235"/>
        <v>0</v>
      </c>
      <c r="AP122" s="2">
        <f t="shared" si="272"/>
        <v>0</v>
      </c>
      <c r="AQ122" s="8">
        <f t="shared" si="266"/>
        <v>4.3200000000000002E-2</v>
      </c>
      <c r="AR122" s="2">
        <f t="shared" si="267"/>
        <v>0</v>
      </c>
      <c r="AS122" s="2">
        <f t="shared" si="268"/>
        <v>0</v>
      </c>
      <c r="AT122" s="2">
        <f t="shared" si="209"/>
        <v>0</v>
      </c>
      <c r="AU122" s="2">
        <f t="shared" si="245"/>
        <v>0</v>
      </c>
      <c r="AV122" s="2">
        <f t="shared" si="236"/>
        <v>38.845655679935589</v>
      </c>
      <c r="AW122" s="1">
        <f t="shared" si="231"/>
        <v>0</v>
      </c>
      <c r="AX122" s="2">
        <f t="shared" si="278"/>
        <v>38.845655679935589</v>
      </c>
      <c r="AY122" s="1">
        <f t="shared" si="237"/>
        <v>0</v>
      </c>
      <c r="AZ122" s="2">
        <f t="shared" si="210"/>
        <v>38.845655679935589</v>
      </c>
      <c r="BA122" s="2">
        <f t="shared" si="246"/>
        <v>150036.70676767992</v>
      </c>
      <c r="BB122" s="2">
        <f t="shared" si="279"/>
        <v>0</v>
      </c>
      <c r="BC122" s="2">
        <f t="shared" si="211"/>
        <v>1137.3250457777435</v>
      </c>
      <c r="BD122" s="2">
        <f t="shared" si="184"/>
        <v>148899.38172190217</v>
      </c>
      <c r="BE122" s="2">
        <f t="shared" si="212"/>
        <v>1320</v>
      </c>
      <c r="BF122" s="2">
        <f t="shared" si="185"/>
        <v>9256.1742858591842</v>
      </c>
      <c r="BG122" s="2">
        <f t="shared" si="186"/>
        <v>138323.20743604298</v>
      </c>
      <c r="BI122" s="8">
        <f t="shared" si="238"/>
        <v>2.9000000000000001E-2</v>
      </c>
      <c r="BJ122" s="5">
        <f t="shared" si="301"/>
        <v>1092</v>
      </c>
      <c r="BK122" s="2">
        <f t="shared" si="302"/>
        <v>109090.8</v>
      </c>
      <c r="BL122" s="2">
        <f t="shared" si="303"/>
        <v>109200</v>
      </c>
      <c r="BM122" s="2">
        <f t="shared" si="280"/>
        <v>109200</v>
      </c>
      <c r="BN122" s="8">
        <f t="shared" si="281"/>
        <v>5.2499999999999998E-2</v>
      </c>
      <c r="BO122" s="2">
        <f t="shared" si="282"/>
        <v>113021.99999999999</v>
      </c>
      <c r="BP122" s="2" t="str">
        <f t="shared" si="283"/>
        <v>nie</v>
      </c>
      <c r="BQ122" s="2">
        <f t="shared" si="284"/>
        <v>2184</v>
      </c>
      <c r="BR122" s="1">
        <f t="shared" si="239"/>
        <v>22</v>
      </c>
      <c r="BS122" s="1">
        <f t="shared" si="269"/>
        <v>107</v>
      </c>
      <c r="BT122" s="1">
        <f t="shared" si="309"/>
        <v>104</v>
      </c>
      <c r="BU122" s="1">
        <f t="shared" si="255"/>
        <v>114</v>
      </c>
      <c r="BV122" s="2">
        <f t="shared" si="247"/>
        <v>2200</v>
      </c>
      <c r="BW122" s="8">
        <f t="shared" si="240"/>
        <v>5.2499999999999998E-2</v>
      </c>
      <c r="BX122" s="2">
        <f t="shared" si="248"/>
        <v>2277</v>
      </c>
      <c r="BY122" s="2">
        <f t="shared" si="241"/>
        <v>44</v>
      </c>
      <c r="BZ122" s="2">
        <f t="shared" si="273"/>
        <v>32500</v>
      </c>
      <c r="CA122" s="8">
        <f t="shared" si="270"/>
        <v>4.3999999999999997E-2</v>
      </c>
      <c r="CB122" s="2">
        <f t="shared" si="249"/>
        <v>33453.333333333336</v>
      </c>
      <c r="CC122" s="2">
        <f t="shared" si="271"/>
        <v>650</v>
      </c>
      <c r="CD122" s="2">
        <f t="shared" si="285"/>
        <v>0</v>
      </c>
      <c r="CE122" s="2">
        <f t="shared" si="250"/>
        <v>0</v>
      </c>
      <c r="CF122" s="2">
        <f t="shared" si="251"/>
        <v>67.699999999999818</v>
      </c>
      <c r="CG122" s="1">
        <f t="shared" si="232"/>
        <v>0</v>
      </c>
      <c r="CH122" s="2">
        <f t="shared" si="286"/>
        <v>67.699999999999818</v>
      </c>
      <c r="CI122" s="1">
        <f t="shared" si="242"/>
        <v>0</v>
      </c>
      <c r="CJ122" s="2">
        <f t="shared" si="252"/>
        <v>67.699999999999818</v>
      </c>
      <c r="CK122" s="2">
        <f t="shared" si="253"/>
        <v>148820.03333333333</v>
      </c>
      <c r="CL122" s="2">
        <f t="shared" si="287"/>
        <v>0</v>
      </c>
      <c r="CM122" s="2">
        <f t="shared" si="216"/>
        <v>1133.4283350000001</v>
      </c>
      <c r="CN122" s="2">
        <f t="shared" si="288"/>
        <v>147686.60499833332</v>
      </c>
      <c r="CO122" s="2">
        <f t="shared" si="217"/>
        <v>2878</v>
      </c>
      <c r="CP122" s="2">
        <f t="shared" si="289"/>
        <v>8728.9863333333324</v>
      </c>
      <c r="CQ122" s="2">
        <f t="shared" si="290"/>
        <v>136079.61866499999</v>
      </c>
      <c r="CS122" s="5">
        <f t="shared" si="304"/>
        <v>1000</v>
      </c>
      <c r="CT122" s="2">
        <f t="shared" si="305"/>
        <v>100000</v>
      </c>
      <c r="CU122" s="2">
        <f t="shared" si="306"/>
        <v>100000</v>
      </c>
      <c r="CV122" s="2">
        <f t="shared" si="307"/>
        <v>147811.69370559536</v>
      </c>
      <c r="CW122" s="8">
        <f t="shared" si="291"/>
        <v>4.9000000000000002E-2</v>
      </c>
      <c r="CX122" s="2">
        <f t="shared" si="292"/>
        <v>152640.20903331146</v>
      </c>
      <c r="CY122" s="2" t="str">
        <f t="shared" si="293"/>
        <v>nie</v>
      </c>
      <c r="CZ122" s="2">
        <f t="shared" si="222"/>
        <v>0</v>
      </c>
      <c r="DA122" s="2">
        <f t="shared" si="223"/>
        <v>0</v>
      </c>
      <c r="DB122" s="2">
        <f t="shared" si="224"/>
        <v>152640.20903331146</v>
      </c>
      <c r="DC122" s="2">
        <f t="shared" si="294"/>
        <v>0</v>
      </c>
      <c r="DD122" s="2">
        <f t="shared" si="225"/>
        <v>1153.4051490538391</v>
      </c>
      <c r="DE122" s="2">
        <f t="shared" si="226"/>
        <v>151486.80388425762</v>
      </c>
      <c r="DF122" s="2">
        <f t="shared" si="295"/>
        <v>3000</v>
      </c>
      <c r="DG122" s="2">
        <f t="shared" si="296"/>
        <v>9431.6397163291786</v>
      </c>
      <c r="DH122" s="2">
        <f t="shared" si="227"/>
        <v>139055.16416792845</v>
      </c>
    </row>
    <row r="123" spans="2:112">
      <c r="B123" s="232"/>
      <c r="C123" s="1">
        <f t="shared" si="256"/>
        <v>86</v>
      </c>
      <c r="D123" s="2">
        <f t="shared" si="259"/>
        <v>138645.63438755786</v>
      </c>
      <c r="E123" s="2">
        <f t="shared" si="260"/>
        <v>130045.27753297868</v>
      </c>
      <c r="F123" s="2">
        <f t="shared" si="261"/>
        <v>137743.43779833335</v>
      </c>
      <c r="G123" s="2">
        <f t="shared" si="262"/>
        <v>128250.92996500002</v>
      </c>
      <c r="H123" s="2">
        <f t="shared" si="263"/>
        <v>141052.38799129083</v>
      </c>
      <c r="I123" s="2">
        <f t="shared" si="264"/>
        <v>130631.37151642941</v>
      </c>
      <c r="J123" s="2">
        <f t="shared" si="257"/>
        <v>129800.57732739752</v>
      </c>
      <c r="K123" s="2">
        <f t="shared" si="258"/>
        <v>122744.39138064338</v>
      </c>
      <c r="W123" s="1">
        <f t="shared" si="297"/>
        <v>105</v>
      </c>
      <c r="X123" s="2">
        <f t="shared" si="274"/>
        <v>128430.34360730574</v>
      </c>
      <c r="Y123" s="8">
        <f t="shared" si="310"/>
        <v>4.3200000000000002E-2</v>
      </c>
      <c r="Z123" s="5">
        <f t="shared" si="298"/>
        <v>1320</v>
      </c>
      <c r="AA123" s="2">
        <f t="shared" si="299"/>
        <v>131868</v>
      </c>
      <c r="AB123" s="2">
        <f t="shared" si="207"/>
        <v>132000</v>
      </c>
      <c r="AC123" s="2">
        <f t="shared" si="300"/>
        <v>145252.932</v>
      </c>
      <c r="AD123" s="8">
        <f t="shared" si="275"/>
        <v>4.9000000000000002E-2</v>
      </c>
      <c r="AE123" s="2">
        <f t="shared" si="179"/>
        <v>150590.977251</v>
      </c>
      <c r="AF123" s="2" t="str">
        <f t="shared" si="276"/>
        <v>nie</v>
      </c>
      <c r="AG123" s="2">
        <f t="shared" si="277"/>
        <v>1320</v>
      </c>
      <c r="AH123" s="1">
        <f t="shared" si="233"/>
        <v>0</v>
      </c>
      <c r="AI123" s="1">
        <f t="shared" si="265"/>
        <v>0</v>
      </c>
      <c r="AJ123" s="1">
        <f t="shared" si="308"/>
        <v>0</v>
      </c>
      <c r="AK123" s="1">
        <f t="shared" si="254"/>
        <v>0</v>
      </c>
      <c r="AL123" s="2">
        <f t="shared" si="243"/>
        <v>0</v>
      </c>
      <c r="AM123" s="8">
        <f t="shared" si="234"/>
        <v>4.9000000000000002E-2</v>
      </c>
      <c r="AN123" s="2">
        <f t="shared" si="244"/>
        <v>0</v>
      </c>
      <c r="AO123" s="2">
        <f t="shared" si="235"/>
        <v>0</v>
      </c>
      <c r="AP123" s="2">
        <f t="shared" si="272"/>
        <v>0</v>
      </c>
      <c r="AQ123" s="8">
        <f t="shared" si="266"/>
        <v>4.3200000000000002E-2</v>
      </c>
      <c r="AR123" s="2">
        <f t="shared" si="267"/>
        <v>0</v>
      </c>
      <c r="AS123" s="2">
        <f t="shared" si="268"/>
        <v>0</v>
      </c>
      <c r="AT123" s="2">
        <f t="shared" si="209"/>
        <v>0</v>
      </c>
      <c r="AU123" s="2">
        <f t="shared" si="245"/>
        <v>0</v>
      </c>
      <c r="AV123" s="2">
        <f t="shared" si="236"/>
        <v>38.845655679935589</v>
      </c>
      <c r="AW123" s="1">
        <f t="shared" si="231"/>
        <v>0</v>
      </c>
      <c r="AX123" s="2">
        <f t="shared" si="278"/>
        <v>38.845655679935589</v>
      </c>
      <c r="AY123" s="1">
        <f t="shared" si="237"/>
        <v>0</v>
      </c>
      <c r="AZ123" s="2">
        <f t="shared" si="210"/>
        <v>38.845655679935589</v>
      </c>
      <c r="BA123" s="2">
        <f t="shared" si="246"/>
        <v>150629.82290667994</v>
      </c>
      <c r="BB123" s="2">
        <f t="shared" si="279"/>
        <v>0</v>
      </c>
      <c r="BC123" s="2">
        <f t="shared" si="211"/>
        <v>1137.3250457777435</v>
      </c>
      <c r="BD123" s="2">
        <f t="shared" si="184"/>
        <v>149492.49786090219</v>
      </c>
      <c r="BE123" s="2">
        <f t="shared" si="212"/>
        <v>1320</v>
      </c>
      <c r="BF123" s="2">
        <f t="shared" si="185"/>
        <v>9368.8663522691895</v>
      </c>
      <c r="BG123" s="2">
        <f t="shared" si="186"/>
        <v>138803.631508633</v>
      </c>
      <c r="BI123" s="8">
        <f t="shared" si="238"/>
        <v>2.9000000000000001E-2</v>
      </c>
      <c r="BJ123" s="5">
        <f t="shared" si="301"/>
        <v>1092</v>
      </c>
      <c r="BK123" s="2">
        <f t="shared" si="302"/>
        <v>109090.8</v>
      </c>
      <c r="BL123" s="2">
        <f t="shared" si="303"/>
        <v>109200</v>
      </c>
      <c r="BM123" s="2">
        <f t="shared" si="280"/>
        <v>109200</v>
      </c>
      <c r="BN123" s="8">
        <f t="shared" si="281"/>
        <v>5.2499999999999998E-2</v>
      </c>
      <c r="BO123" s="2">
        <f t="shared" si="282"/>
        <v>113499.75</v>
      </c>
      <c r="BP123" s="2" t="str">
        <f t="shared" si="283"/>
        <v>nie</v>
      </c>
      <c r="BQ123" s="2">
        <f t="shared" si="284"/>
        <v>2184</v>
      </c>
      <c r="BR123" s="1">
        <f t="shared" si="239"/>
        <v>22</v>
      </c>
      <c r="BS123" s="1">
        <f t="shared" si="269"/>
        <v>107</v>
      </c>
      <c r="BT123" s="1">
        <f t="shared" si="309"/>
        <v>104</v>
      </c>
      <c r="BU123" s="1">
        <f t="shared" si="255"/>
        <v>114</v>
      </c>
      <c r="BV123" s="2">
        <f t="shared" si="247"/>
        <v>2200</v>
      </c>
      <c r="BW123" s="8">
        <f t="shared" si="240"/>
        <v>5.2499999999999998E-2</v>
      </c>
      <c r="BX123" s="2">
        <f t="shared" si="248"/>
        <v>2286.625</v>
      </c>
      <c r="BY123" s="2">
        <f t="shared" si="241"/>
        <v>44</v>
      </c>
      <c r="BZ123" s="2">
        <f t="shared" si="273"/>
        <v>32500</v>
      </c>
      <c r="CA123" s="8">
        <f t="shared" si="270"/>
        <v>4.3999999999999997E-2</v>
      </c>
      <c r="CB123" s="2">
        <f t="shared" si="249"/>
        <v>33572.5</v>
      </c>
      <c r="CC123" s="2">
        <f t="shared" si="271"/>
        <v>650</v>
      </c>
      <c r="CD123" s="2">
        <f t="shared" si="285"/>
        <v>0</v>
      </c>
      <c r="CE123" s="2">
        <f t="shared" si="250"/>
        <v>0</v>
      </c>
      <c r="CF123" s="2">
        <f t="shared" si="251"/>
        <v>67.699999999999818</v>
      </c>
      <c r="CG123" s="1">
        <f t="shared" si="232"/>
        <v>0</v>
      </c>
      <c r="CH123" s="2">
        <f t="shared" si="286"/>
        <v>67.699999999999818</v>
      </c>
      <c r="CI123" s="1">
        <f t="shared" si="242"/>
        <v>0</v>
      </c>
      <c r="CJ123" s="2">
        <f t="shared" si="252"/>
        <v>67.699999999999818</v>
      </c>
      <c r="CK123" s="2">
        <f t="shared" si="253"/>
        <v>149426.57500000001</v>
      </c>
      <c r="CL123" s="2">
        <f t="shared" si="287"/>
        <v>0</v>
      </c>
      <c r="CM123" s="2">
        <f t="shared" si="216"/>
        <v>1133.4283350000001</v>
      </c>
      <c r="CN123" s="2">
        <f t="shared" si="288"/>
        <v>148293.14666500001</v>
      </c>
      <c r="CO123" s="2">
        <f t="shared" si="217"/>
        <v>2878</v>
      </c>
      <c r="CP123" s="2">
        <f t="shared" si="289"/>
        <v>8844.2292500000021</v>
      </c>
      <c r="CQ123" s="2">
        <f t="shared" si="290"/>
        <v>136570.917415</v>
      </c>
      <c r="CS123" s="5">
        <f t="shared" si="304"/>
        <v>1000</v>
      </c>
      <c r="CT123" s="2">
        <f t="shared" si="305"/>
        <v>100000</v>
      </c>
      <c r="CU123" s="2">
        <f t="shared" si="306"/>
        <v>100000</v>
      </c>
      <c r="CV123" s="2">
        <f t="shared" si="307"/>
        <v>147811.69370559536</v>
      </c>
      <c r="CW123" s="8">
        <f t="shared" si="291"/>
        <v>4.9000000000000002E-2</v>
      </c>
      <c r="CX123" s="2">
        <f t="shared" si="292"/>
        <v>153243.77344927599</v>
      </c>
      <c r="CY123" s="2" t="str">
        <f t="shared" si="293"/>
        <v>nie</v>
      </c>
      <c r="CZ123" s="2">
        <f t="shared" si="222"/>
        <v>0</v>
      </c>
      <c r="DA123" s="2">
        <f t="shared" si="223"/>
        <v>0</v>
      </c>
      <c r="DB123" s="2">
        <f t="shared" si="224"/>
        <v>153243.77344927599</v>
      </c>
      <c r="DC123" s="2">
        <f t="shared" si="294"/>
        <v>0</v>
      </c>
      <c r="DD123" s="2">
        <f t="shared" si="225"/>
        <v>1153.4051490538391</v>
      </c>
      <c r="DE123" s="2">
        <f t="shared" si="226"/>
        <v>152090.36830022215</v>
      </c>
      <c r="DF123" s="2">
        <f t="shared" si="295"/>
        <v>3000</v>
      </c>
      <c r="DG123" s="2">
        <f t="shared" si="296"/>
        <v>9546.3169553624393</v>
      </c>
      <c r="DH123" s="2">
        <f t="shared" si="227"/>
        <v>139544.0513448597</v>
      </c>
    </row>
    <row r="124" spans="2:112">
      <c r="B124" s="232"/>
      <c r="C124" s="1">
        <f t="shared" si="256"/>
        <v>87</v>
      </c>
      <c r="D124" s="2">
        <f t="shared" si="259"/>
        <v>139211.04538755788</v>
      </c>
      <c r="E124" s="2">
        <f t="shared" si="260"/>
        <v>130503.26044297869</v>
      </c>
      <c r="F124" s="2">
        <f t="shared" si="261"/>
        <v>138255.91696499998</v>
      </c>
      <c r="G124" s="2">
        <f t="shared" si="262"/>
        <v>128628.11996499999</v>
      </c>
      <c r="H124" s="2">
        <f t="shared" si="263"/>
        <v>141627.75921718648</v>
      </c>
      <c r="I124" s="2">
        <f t="shared" si="264"/>
        <v>131097.42220940487</v>
      </c>
      <c r="J124" s="2">
        <f t="shared" si="257"/>
        <v>130194.84658102949</v>
      </c>
      <c r="K124" s="2">
        <f t="shared" si="258"/>
        <v>123039.59683345801</v>
      </c>
      <c r="W124" s="1">
        <f t="shared" si="297"/>
        <v>106</v>
      </c>
      <c r="X124" s="2">
        <f t="shared" si="274"/>
        <v>128734.11001825199</v>
      </c>
      <c r="Y124" s="8">
        <f t="shared" si="310"/>
        <v>4.3200000000000002E-2</v>
      </c>
      <c r="Z124" s="5">
        <f t="shared" si="298"/>
        <v>1320</v>
      </c>
      <c r="AA124" s="2">
        <f t="shared" si="299"/>
        <v>131868</v>
      </c>
      <c r="AB124" s="2">
        <f t="shared" si="207"/>
        <v>132000</v>
      </c>
      <c r="AC124" s="2">
        <f t="shared" si="300"/>
        <v>145252.932</v>
      </c>
      <c r="AD124" s="8">
        <f t="shared" si="275"/>
        <v>4.9000000000000002E-2</v>
      </c>
      <c r="AE124" s="2">
        <f t="shared" si="179"/>
        <v>151184.09338999999</v>
      </c>
      <c r="AF124" s="2" t="str">
        <f t="shared" si="276"/>
        <v>nie</v>
      </c>
      <c r="AG124" s="2">
        <f t="shared" si="277"/>
        <v>1320</v>
      </c>
      <c r="AH124" s="1">
        <f t="shared" si="233"/>
        <v>0</v>
      </c>
      <c r="AI124" s="1">
        <f t="shared" si="265"/>
        <v>0</v>
      </c>
      <c r="AJ124" s="1">
        <f t="shared" si="308"/>
        <v>0</v>
      </c>
      <c r="AK124" s="1">
        <f t="shared" si="254"/>
        <v>0</v>
      </c>
      <c r="AL124" s="2">
        <f t="shared" si="243"/>
        <v>0</v>
      </c>
      <c r="AM124" s="8">
        <f t="shared" si="234"/>
        <v>4.9000000000000002E-2</v>
      </c>
      <c r="AN124" s="2">
        <f t="shared" si="244"/>
        <v>0</v>
      </c>
      <c r="AO124" s="2">
        <f t="shared" si="235"/>
        <v>0</v>
      </c>
      <c r="AP124" s="2">
        <f t="shared" si="272"/>
        <v>0</v>
      </c>
      <c r="AQ124" s="8">
        <f t="shared" si="266"/>
        <v>4.3200000000000002E-2</v>
      </c>
      <c r="AR124" s="2">
        <f t="shared" si="267"/>
        <v>0</v>
      </c>
      <c r="AS124" s="2">
        <f t="shared" si="268"/>
        <v>0</v>
      </c>
      <c r="AT124" s="2">
        <f t="shared" si="209"/>
        <v>0</v>
      </c>
      <c r="AU124" s="2">
        <f t="shared" si="245"/>
        <v>0</v>
      </c>
      <c r="AV124" s="2">
        <f t="shared" si="236"/>
        <v>38.845655679935589</v>
      </c>
      <c r="AW124" s="1">
        <f t="shared" si="231"/>
        <v>0</v>
      </c>
      <c r="AX124" s="2">
        <f t="shared" si="278"/>
        <v>38.845655679935589</v>
      </c>
      <c r="AY124" s="1">
        <f t="shared" si="237"/>
        <v>0</v>
      </c>
      <c r="AZ124" s="2">
        <f t="shared" si="210"/>
        <v>38.845655679935589</v>
      </c>
      <c r="BA124" s="2">
        <f t="shared" si="246"/>
        <v>151222.93904567993</v>
      </c>
      <c r="BB124" s="2">
        <f t="shared" si="279"/>
        <v>0</v>
      </c>
      <c r="BC124" s="2">
        <f t="shared" si="211"/>
        <v>1137.3250457777435</v>
      </c>
      <c r="BD124" s="2">
        <f t="shared" si="184"/>
        <v>150085.61399990218</v>
      </c>
      <c r="BE124" s="2">
        <f t="shared" si="212"/>
        <v>1320</v>
      </c>
      <c r="BF124" s="2">
        <f t="shared" si="185"/>
        <v>9481.5584186791875</v>
      </c>
      <c r="BG124" s="2">
        <f t="shared" si="186"/>
        <v>139284.05558122299</v>
      </c>
      <c r="BI124" s="8">
        <f t="shared" si="238"/>
        <v>2.9000000000000001E-2</v>
      </c>
      <c r="BJ124" s="5">
        <f t="shared" si="301"/>
        <v>1092</v>
      </c>
      <c r="BK124" s="2">
        <f t="shared" si="302"/>
        <v>109090.8</v>
      </c>
      <c r="BL124" s="2">
        <f t="shared" si="303"/>
        <v>109200</v>
      </c>
      <c r="BM124" s="2">
        <f t="shared" si="280"/>
        <v>109200</v>
      </c>
      <c r="BN124" s="8">
        <f t="shared" si="281"/>
        <v>5.2499999999999998E-2</v>
      </c>
      <c r="BO124" s="2">
        <f t="shared" si="282"/>
        <v>113977.5</v>
      </c>
      <c r="BP124" s="2" t="str">
        <f t="shared" si="283"/>
        <v>nie</v>
      </c>
      <c r="BQ124" s="2">
        <f t="shared" si="284"/>
        <v>2184</v>
      </c>
      <c r="BR124" s="1">
        <f t="shared" si="239"/>
        <v>22</v>
      </c>
      <c r="BS124" s="1">
        <f t="shared" si="269"/>
        <v>107</v>
      </c>
      <c r="BT124" s="1">
        <f t="shared" si="309"/>
        <v>104</v>
      </c>
      <c r="BU124" s="1">
        <f t="shared" si="255"/>
        <v>114</v>
      </c>
      <c r="BV124" s="2">
        <f t="shared" si="247"/>
        <v>2200</v>
      </c>
      <c r="BW124" s="8">
        <f t="shared" si="240"/>
        <v>5.2499999999999998E-2</v>
      </c>
      <c r="BX124" s="2">
        <f t="shared" si="248"/>
        <v>2296.25</v>
      </c>
      <c r="BY124" s="2">
        <f t="shared" si="241"/>
        <v>44</v>
      </c>
      <c r="BZ124" s="2">
        <f t="shared" si="273"/>
        <v>32500</v>
      </c>
      <c r="CA124" s="8">
        <f t="shared" si="270"/>
        <v>4.3999999999999997E-2</v>
      </c>
      <c r="CB124" s="2">
        <f t="shared" si="249"/>
        <v>33691.666666666664</v>
      </c>
      <c r="CC124" s="2">
        <f t="shared" si="271"/>
        <v>650</v>
      </c>
      <c r="CD124" s="2">
        <f t="shared" si="285"/>
        <v>0</v>
      </c>
      <c r="CE124" s="2">
        <f t="shared" si="250"/>
        <v>0</v>
      </c>
      <c r="CF124" s="2">
        <f t="shared" si="251"/>
        <v>67.699999999999818</v>
      </c>
      <c r="CG124" s="1">
        <f t="shared" si="232"/>
        <v>0</v>
      </c>
      <c r="CH124" s="2">
        <f t="shared" si="286"/>
        <v>67.699999999999818</v>
      </c>
      <c r="CI124" s="1">
        <f t="shared" si="242"/>
        <v>0</v>
      </c>
      <c r="CJ124" s="2">
        <f t="shared" si="252"/>
        <v>67.699999999999818</v>
      </c>
      <c r="CK124" s="2">
        <f t="shared" si="253"/>
        <v>150033.11666666667</v>
      </c>
      <c r="CL124" s="2">
        <f t="shared" si="287"/>
        <v>0</v>
      </c>
      <c r="CM124" s="2">
        <f t="shared" si="216"/>
        <v>1133.4283350000001</v>
      </c>
      <c r="CN124" s="2">
        <f t="shared" si="288"/>
        <v>148899.68833166666</v>
      </c>
      <c r="CO124" s="2">
        <f t="shared" si="217"/>
        <v>2878</v>
      </c>
      <c r="CP124" s="2">
        <f t="shared" si="289"/>
        <v>8959.4721666666665</v>
      </c>
      <c r="CQ124" s="2">
        <f t="shared" si="290"/>
        <v>137062.21616499999</v>
      </c>
      <c r="CS124" s="5">
        <f t="shared" si="304"/>
        <v>1000</v>
      </c>
      <c r="CT124" s="2">
        <f t="shared" si="305"/>
        <v>100000</v>
      </c>
      <c r="CU124" s="2">
        <f t="shared" si="306"/>
        <v>100000</v>
      </c>
      <c r="CV124" s="2">
        <f t="shared" si="307"/>
        <v>147811.69370559536</v>
      </c>
      <c r="CW124" s="8">
        <f t="shared" si="291"/>
        <v>4.9000000000000002E-2</v>
      </c>
      <c r="CX124" s="2">
        <f t="shared" si="292"/>
        <v>153847.33786524049</v>
      </c>
      <c r="CY124" s="2" t="str">
        <f t="shared" si="293"/>
        <v>nie</v>
      </c>
      <c r="CZ124" s="2">
        <f t="shared" si="222"/>
        <v>0</v>
      </c>
      <c r="DA124" s="2">
        <f t="shared" si="223"/>
        <v>0</v>
      </c>
      <c r="DB124" s="2">
        <f t="shared" si="224"/>
        <v>153847.33786524049</v>
      </c>
      <c r="DC124" s="2">
        <f t="shared" si="294"/>
        <v>0</v>
      </c>
      <c r="DD124" s="2">
        <f t="shared" si="225"/>
        <v>1153.4051490538391</v>
      </c>
      <c r="DE124" s="2">
        <f t="shared" si="226"/>
        <v>152693.93271618665</v>
      </c>
      <c r="DF124" s="2">
        <f t="shared" si="295"/>
        <v>3000</v>
      </c>
      <c r="DG124" s="2">
        <f t="shared" si="296"/>
        <v>9660.9941943956946</v>
      </c>
      <c r="DH124" s="2">
        <f t="shared" si="227"/>
        <v>140032.93852179096</v>
      </c>
    </row>
    <row r="125" spans="2:112">
      <c r="B125" s="232"/>
      <c r="C125" s="1">
        <f t="shared" si="256"/>
        <v>88</v>
      </c>
      <c r="D125" s="2">
        <f t="shared" si="259"/>
        <v>139776.45638755788</v>
      </c>
      <c r="E125" s="2">
        <f t="shared" si="260"/>
        <v>130961.24335297869</v>
      </c>
      <c r="F125" s="2">
        <f t="shared" si="261"/>
        <v>138768.39613166667</v>
      </c>
      <c r="G125" s="2">
        <f t="shared" si="262"/>
        <v>129005.30996499999</v>
      </c>
      <c r="H125" s="2">
        <f t="shared" si="263"/>
        <v>142203.1304430821</v>
      </c>
      <c r="I125" s="2">
        <f t="shared" si="264"/>
        <v>131563.47290238034</v>
      </c>
      <c r="J125" s="2">
        <f t="shared" si="257"/>
        <v>130590.31342751937</v>
      </c>
      <c r="K125" s="2">
        <f t="shared" si="258"/>
        <v>123334.80228627264</v>
      </c>
      <c r="W125" s="1">
        <f t="shared" si="297"/>
        <v>107</v>
      </c>
      <c r="X125" s="2">
        <f t="shared" si="274"/>
        <v>129037.87642919824</v>
      </c>
      <c r="Y125" s="8">
        <f t="shared" si="310"/>
        <v>4.3200000000000002E-2</v>
      </c>
      <c r="Z125" s="5">
        <f t="shared" si="298"/>
        <v>1320</v>
      </c>
      <c r="AA125" s="2">
        <f t="shared" si="299"/>
        <v>131868</v>
      </c>
      <c r="AB125" s="2">
        <f t="shared" si="207"/>
        <v>132000</v>
      </c>
      <c r="AC125" s="2">
        <f t="shared" si="300"/>
        <v>145252.932</v>
      </c>
      <c r="AD125" s="8">
        <f t="shared" si="275"/>
        <v>4.9000000000000002E-2</v>
      </c>
      <c r="AE125" s="2">
        <f t="shared" si="179"/>
        <v>151777.20952900001</v>
      </c>
      <c r="AF125" s="2" t="str">
        <f t="shared" si="276"/>
        <v>nie</v>
      </c>
      <c r="AG125" s="2">
        <f t="shared" si="277"/>
        <v>1320</v>
      </c>
      <c r="AH125" s="1">
        <f t="shared" si="233"/>
        <v>0</v>
      </c>
      <c r="AI125" s="1">
        <f t="shared" si="265"/>
        <v>0</v>
      </c>
      <c r="AJ125" s="1">
        <f t="shared" si="308"/>
        <v>0</v>
      </c>
      <c r="AK125" s="1">
        <f t="shared" si="254"/>
        <v>0</v>
      </c>
      <c r="AL125" s="2">
        <f t="shared" si="243"/>
        <v>0</v>
      </c>
      <c r="AM125" s="8">
        <f t="shared" si="234"/>
        <v>4.9000000000000002E-2</v>
      </c>
      <c r="AN125" s="2">
        <f t="shared" si="244"/>
        <v>0</v>
      </c>
      <c r="AO125" s="2">
        <f t="shared" si="235"/>
        <v>0</v>
      </c>
      <c r="AP125" s="2">
        <f t="shared" si="272"/>
        <v>0</v>
      </c>
      <c r="AQ125" s="8">
        <f t="shared" si="266"/>
        <v>4.3200000000000002E-2</v>
      </c>
      <c r="AR125" s="2">
        <f t="shared" si="267"/>
        <v>0</v>
      </c>
      <c r="AS125" s="2">
        <f t="shared" si="268"/>
        <v>0</v>
      </c>
      <c r="AT125" s="2">
        <f t="shared" si="209"/>
        <v>0</v>
      </c>
      <c r="AU125" s="2">
        <f t="shared" si="245"/>
        <v>0</v>
      </c>
      <c r="AV125" s="2">
        <f t="shared" si="236"/>
        <v>38.845655679935589</v>
      </c>
      <c r="AW125" s="1">
        <f t="shared" si="231"/>
        <v>0</v>
      </c>
      <c r="AX125" s="2">
        <f t="shared" si="278"/>
        <v>38.845655679935589</v>
      </c>
      <c r="AY125" s="1">
        <f t="shared" si="237"/>
        <v>0</v>
      </c>
      <c r="AZ125" s="2">
        <f t="shared" si="210"/>
        <v>38.845655679935589</v>
      </c>
      <c r="BA125" s="2">
        <f t="shared" si="246"/>
        <v>151816.05518467995</v>
      </c>
      <c r="BB125" s="2">
        <f t="shared" si="279"/>
        <v>0</v>
      </c>
      <c r="BC125" s="2">
        <f t="shared" si="211"/>
        <v>1137.3250457777435</v>
      </c>
      <c r="BD125" s="2">
        <f t="shared" si="184"/>
        <v>150678.7301389022</v>
      </c>
      <c r="BE125" s="2">
        <f t="shared" si="212"/>
        <v>1320</v>
      </c>
      <c r="BF125" s="2">
        <f t="shared" si="185"/>
        <v>9594.250485089191</v>
      </c>
      <c r="BG125" s="2">
        <f t="shared" si="186"/>
        <v>139764.479653813</v>
      </c>
      <c r="BI125" s="8">
        <f t="shared" si="238"/>
        <v>2.9000000000000001E-2</v>
      </c>
      <c r="BJ125" s="5">
        <f t="shared" si="301"/>
        <v>1092</v>
      </c>
      <c r="BK125" s="2">
        <f t="shared" si="302"/>
        <v>109090.8</v>
      </c>
      <c r="BL125" s="2">
        <f t="shared" si="303"/>
        <v>109200</v>
      </c>
      <c r="BM125" s="2">
        <f t="shared" si="280"/>
        <v>109200</v>
      </c>
      <c r="BN125" s="8">
        <f t="shared" si="281"/>
        <v>5.2499999999999998E-2</v>
      </c>
      <c r="BO125" s="2">
        <f t="shared" si="282"/>
        <v>114455.25</v>
      </c>
      <c r="BP125" s="2" t="str">
        <f t="shared" si="283"/>
        <v>nie</v>
      </c>
      <c r="BQ125" s="2">
        <f t="shared" si="284"/>
        <v>2184</v>
      </c>
      <c r="BR125" s="1">
        <f t="shared" si="239"/>
        <v>22</v>
      </c>
      <c r="BS125" s="1">
        <f t="shared" si="269"/>
        <v>107</v>
      </c>
      <c r="BT125" s="1">
        <f t="shared" si="309"/>
        <v>104</v>
      </c>
      <c r="BU125" s="1">
        <f t="shared" si="255"/>
        <v>114</v>
      </c>
      <c r="BV125" s="2">
        <f t="shared" si="247"/>
        <v>2200</v>
      </c>
      <c r="BW125" s="8">
        <f t="shared" si="240"/>
        <v>5.2499999999999998E-2</v>
      </c>
      <c r="BX125" s="2">
        <f t="shared" si="248"/>
        <v>2305.875</v>
      </c>
      <c r="BY125" s="2">
        <f t="shared" si="241"/>
        <v>44</v>
      </c>
      <c r="BZ125" s="2">
        <f t="shared" si="273"/>
        <v>32500</v>
      </c>
      <c r="CA125" s="8">
        <f t="shared" si="270"/>
        <v>4.3999999999999997E-2</v>
      </c>
      <c r="CB125" s="2">
        <f t="shared" si="249"/>
        <v>33810.833333333336</v>
      </c>
      <c r="CC125" s="2">
        <f t="shared" si="271"/>
        <v>650</v>
      </c>
      <c r="CD125" s="2">
        <f t="shared" si="285"/>
        <v>0</v>
      </c>
      <c r="CE125" s="2">
        <f t="shared" si="250"/>
        <v>0</v>
      </c>
      <c r="CF125" s="2">
        <f t="shared" si="251"/>
        <v>67.699999999999818</v>
      </c>
      <c r="CG125" s="1">
        <f t="shared" si="232"/>
        <v>0</v>
      </c>
      <c r="CH125" s="2">
        <f t="shared" si="286"/>
        <v>67.699999999999818</v>
      </c>
      <c r="CI125" s="1">
        <f t="shared" si="242"/>
        <v>0</v>
      </c>
      <c r="CJ125" s="2">
        <f t="shared" si="252"/>
        <v>67.699999999999818</v>
      </c>
      <c r="CK125" s="2">
        <f t="shared" si="253"/>
        <v>150639.65833333335</v>
      </c>
      <c r="CL125" s="2">
        <f t="shared" si="287"/>
        <v>0</v>
      </c>
      <c r="CM125" s="2">
        <f t="shared" si="216"/>
        <v>1133.4283350000001</v>
      </c>
      <c r="CN125" s="2">
        <f t="shared" si="288"/>
        <v>149506.22999833335</v>
      </c>
      <c r="CO125" s="2">
        <f t="shared" si="217"/>
        <v>2878</v>
      </c>
      <c r="CP125" s="2">
        <f t="shared" si="289"/>
        <v>9074.715083333338</v>
      </c>
      <c r="CQ125" s="2">
        <f t="shared" si="290"/>
        <v>137553.51491500001</v>
      </c>
      <c r="CS125" s="5">
        <f t="shared" si="304"/>
        <v>1000</v>
      </c>
      <c r="CT125" s="2">
        <f t="shared" si="305"/>
        <v>100000</v>
      </c>
      <c r="CU125" s="2">
        <f t="shared" si="306"/>
        <v>100000</v>
      </c>
      <c r="CV125" s="2">
        <f t="shared" si="307"/>
        <v>147811.69370559536</v>
      </c>
      <c r="CW125" s="8">
        <f t="shared" si="291"/>
        <v>4.9000000000000002E-2</v>
      </c>
      <c r="CX125" s="2">
        <f t="shared" si="292"/>
        <v>154450.90228120502</v>
      </c>
      <c r="CY125" s="2" t="str">
        <f t="shared" si="293"/>
        <v>nie</v>
      </c>
      <c r="CZ125" s="2">
        <f t="shared" si="222"/>
        <v>0</v>
      </c>
      <c r="DA125" s="2">
        <f t="shared" si="223"/>
        <v>0</v>
      </c>
      <c r="DB125" s="2">
        <f t="shared" si="224"/>
        <v>154450.90228120502</v>
      </c>
      <c r="DC125" s="2">
        <f t="shared" si="294"/>
        <v>0</v>
      </c>
      <c r="DD125" s="2">
        <f t="shared" si="225"/>
        <v>1153.4051490538391</v>
      </c>
      <c r="DE125" s="2">
        <f t="shared" si="226"/>
        <v>153297.49713215118</v>
      </c>
      <c r="DF125" s="2">
        <f t="shared" si="295"/>
        <v>3000</v>
      </c>
      <c r="DG125" s="2">
        <f t="shared" si="296"/>
        <v>9775.6714334289554</v>
      </c>
      <c r="DH125" s="2">
        <f t="shared" si="227"/>
        <v>140521.82569872224</v>
      </c>
    </row>
    <row r="126" spans="2:112">
      <c r="B126" s="232"/>
      <c r="C126" s="1">
        <f t="shared" si="256"/>
        <v>89</v>
      </c>
      <c r="D126" s="2">
        <f t="shared" si="259"/>
        <v>140341.8673875579</v>
      </c>
      <c r="E126" s="2">
        <f t="shared" si="260"/>
        <v>131419.22626297871</v>
      </c>
      <c r="F126" s="2">
        <f t="shared" si="261"/>
        <v>139280.8752983333</v>
      </c>
      <c r="G126" s="2">
        <f t="shared" si="262"/>
        <v>129398.75058999997</v>
      </c>
      <c r="H126" s="2">
        <f t="shared" si="263"/>
        <v>142778.50166897775</v>
      </c>
      <c r="I126" s="2">
        <f t="shared" si="264"/>
        <v>132029.5235953558</v>
      </c>
      <c r="J126" s="2">
        <f t="shared" si="257"/>
        <v>130986.98150455547</v>
      </c>
      <c r="K126" s="2">
        <f t="shared" si="258"/>
        <v>123630.00773908726</v>
      </c>
      <c r="W126" s="1">
        <f t="shared" si="297"/>
        <v>108</v>
      </c>
      <c r="X126" s="2">
        <f t="shared" si="274"/>
        <v>129341.64284014444</v>
      </c>
      <c r="Y126" s="8">
        <f t="shared" si="310"/>
        <v>4.3200000000000002E-2</v>
      </c>
      <c r="Z126" s="5">
        <f t="shared" si="298"/>
        <v>1320</v>
      </c>
      <c r="AA126" s="2">
        <f t="shared" si="299"/>
        <v>131868</v>
      </c>
      <c r="AB126" s="2">
        <f t="shared" si="207"/>
        <v>132000</v>
      </c>
      <c r="AC126" s="2">
        <f t="shared" si="300"/>
        <v>145252.932</v>
      </c>
      <c r="AD126" s="8">
        <f t="shared" si="275"/>
        <v>4.3200000000000002E-2</v>
      </c>
      <c r="AE126" s="2">
        <f t="shared" si="179"/>
        <v>151527.85866239999</v>
      </c>
      <c r="AF126" s="2" t="str">
        <f t="shared" si="276"/>
        <v>tak</v>
      </c>
      <c r="AG126" s="2">
        <f t="shared" si="277"/>
        <v>0</v>
      </c>
      <c r="AH126" s="1">
        <f t="shared" si="233"/>
        <v>0</v>
      </c>
      <c r="AI126" s="1">
        <f t="shared" si="265"/>
        <v>0</v>
      </c>
      <c r="AJ126" s="1">
        <f t="shared" si="308"/>
        <v>0</v>
      </c>
      <c r="AK126" s="1">
        <f t="shared" si="254"/>
        <v>0</v>
      </c>
      <c r="AL126" s="2">
        <f t="shared" si="243"/>
        <v>0</v>
      </c>
      <c r="AM126" s="8">
        <f t="shared" si="234"/>
        <v>4.9000000000000002E-2</v>
      </c>
      <c r="AN126" s="2">
        <f t="shared" si="244"/>
        <v>0</v>
      </c>
      <c r="AO126" s="2">
        <f t="shared" si="235"/>
        <v>0</v>
      </c>
      <c r="AP126" s="2">
        <f t="shared" si="272"/>
        <v>0</v>
      </c>
      <c r="AQ126" s="8">
        <f t="shared" si="266"/>
        <v>4.3200000000000002E-2</v>
      </c>
      <c r="AR126" s="2">
        <f t="shared" si="267"/>
        <v>0</v>
      </c>
      <c r="AS126" s="2">
        <f t="shared" si="268"/>
        <v>0</v>
      </c>
      <c r="AT126" s="2">
        <f t="shared" si="209"/>
        <v>79.458662399993045</v>
      </c>
      <c r="AU126" s="2">
        <f t="shared" si="245"/>
        <v>0</v>
      </c>
      <c r="AV126" s="2">
        <f t="shared" si="236"/>
        <v>118.30431807992863</v>
      </c>
      <c r="AW126" s="1">
        <f t="shared" ref="AW126:AW157" si="311">IF(AT126&lt;&gt;0,MIN(IF(AK126&lt;&gt;"",AK126,0),ROUNDDOWN(AV126/zamiana_TOS,0)),0)</f>
        <v>0</v>
      </c>
      <c r="AX126" s="2">
        <f t="shared" si="278"/>
        <v>118.30431807992863</v>
      </c>
      <c r="AY126" s="1">
        <f t="shared" si="237"/>
        <v>1</v>
      </c>
      <c r="AZ126" s="2">
        <f t="shared" si="210"/>
        <v>18.304318079928635</v>
      </c>
      <c r="BA126" s="2">
        <f t="shared" si="246"/>
        <v>151566.70431807992</v>
      </c>
      <c r="BB126" s="2">
        <f t="shared" si="279"/>
        <v>151.56670431807993</v>
      </c>
      <c r="BC126" s="2">
        <f t="shared" si="211"/>
        <v>1288.8917500958235</v>
      </c>
      <c r="BD126" s="2">
        <f t="shared" si="184"/>
        <v>150277.8125679841</v>
      </c>
      <c r="BE126" s="2">
        <f t="shared" si="212"/>
        <v>0</v>
      </c>
      <c r="BF126" s="2">
        <f t="shared" si="185"/>
        <v>9797.6738204351859</v>
      </c>
      <c r="BG126" s="2">
        <f t="shared" si="186"/>
        <v>140480.13874754892</v>
      </c>
      <c r="BI126" s="8">
        <f t="shared" si="238"/>
        <v>2.9000000000000001E-2</v>
      </c>
      <c r="BJ126" s="5">
        <f t="shared" si="301"/>
        <v>1092</v>
      </c>
      <c r="BK126" s="2">
        <f t="shared" si="302"/>
        <v>109090.8</v>
      </c>
      <c r="BL126" s="2">
        <f t="shared" si="303"/>
        <v>109200</v>
      </c>
      <c r="BM126" s="2">
        <f t="shared" si="280"/>
        <v>109200</v>
      </c>
      <c r="BN126" s="8">
        <f t="shared" si="281"/>
        <v>5.2499999999999998E-2</v>
      </c>
      <c r="BO126" s="2">
        <f t="shared" si="282"/>
        <v>114933</v>
      </c>
      <c r="BP126" s="2" t="str">
        <f t="shared" si="283"/>
        <v>nie</v>
      </c>
      <c r="BQ126" s="2">
        <f t="shared" si="284"/>
        <v>2184</v>
      </c>
      <c r="BR126" s="1">
        <f t="shared" si="239"/>
        <v>22</v>
      </c>
      <c r="BS126" s="1">
        <f t="shared" si="269"/>
        <v>107</v>
      </c>
      <c r="BT126" s="1">
        <f t="shared" si="309"/>
        <v>104</v>
      </c>
      <c r="BU126" s="1">
        <f t="shared" si="255"/>
        <v>114</v>
      </c>
      <c r="BV126" s="2">
        <f t="shared" si="247"/>
        <v>2200</v>
      </c>
      <c r="BW126" s="8">
        <f t="shared" si="240"/>
        <v>5.2499999999999998E-2</v>
      </c>
      <c r="BX126" s="2">
        <f t="shared" si="248"/>
        <v>2315.5</v>
      </c>
      <c r="BY126" s="2">
        <f t="shared" si="241"/>
        <v>44</v>
      </c>
      <c r="BZ126" s="2">
        <f t="shared" si="273"/>
        <v>32500</v>
      </c>
      <c r="CA126" s="8">
        <f t="shared" si="270"/>
        <v>4.3999999999999997E-2</v>
      </c>
      <c r="CB126" s="2">
        <f t="shared" si="249"/>
        <v>33930</v>
      </c>
      <c r="CC126" s="2">
        <f t="shared" si="271"/>
        <v>650</v>
      </c>
      <c r="CD126" s="2">
        <f t="shared" si="285"/>
        <v>5733</v>
      </c>
      <c r="CE126" s="2">
        <f t="shared" si="250"/>
        <v>12945.5</v>
      </c>
      <c r="CF126" s="2">
        <f t="shared" si="251"/>
        <v>18746.2</v>
      </c>
      <c r="CG126" s="1">
        <f t="shared" ref="CG126:CG157" si="312">IF(CD126&lt;&gt;0,MIN(IF(BU126&lt;&gt;"",BU126,0),ROUNDDOWN(CF126/zamiana_COI,0)),0)</f>
        <v>114</v>
      </c>
      <c r="CH126" s="2">
        <f t="shared" si="286"/>
        <v>7357.6</v>
      </c>
      <c r="CI126" s="1">
        <f t="shared" si="242"/>
        <v>73</v>
      </c>
      <c r="CJ126" s="2">
        <f t="shared" si="252"/>
        <v>57.600000000000364</v>
      </c>
      <c r="CK126" s="2">
        <f t="shared" si="253"/>
        <v>151246.20000000001</v>
      </c>
      <c r="CL126" s="2">
        <f t="shared" si="287"/>
        <v>151.24620000000002</v>
      </c>
      <c r="CM126" s="2">
        <f t="shared" si="216"/>
        <v>1284.6745350000001</v>
      </c>
      <c r="CN126" s="2">
        <f t="shared" si="288"/>
        <v>149961.52546500001</v>
      </c>
      <c r="CO126" s="2">
        <f t="shared" si="217"/>
        <v>2878</v>
      </c>
      <c r="CP126" s="2">
        <f t="shared" si="289"/>
        <v>9189.9580000000024</v>
      </c>
      <c r="CQ126" s="2">
        <f t="shared" si="290"/>
        <v>137893.567465</v>
      </c>
      <c r="CS126" s="5">
        <f t="shared" si="304"/>
        <v>1000</v>
      </c>
      <c r="CT126" s="2">
        <f t="shared" si="305"/>
        <v>100000</v>
      </c>
      <c r="CU126" s="2">
        <f t="shared" si="306"/>
        <v>100000</v>
      </c>
      <c r="CV126" s="2">
        <f t="shared" si="307"/>
        <v>147811.69370559536</v>
      </c>
      <c r="CW126" s="8">
        <f t="shared" si="291"/>
        <v>4.9000000000000002E-2</v>
      </c>
      <c r="CX126" s="2">
        <f t="shared" si="292"/>
        <v>155054.46669716953</v>
      </c>
      <c r="CY126" s="2" t="str">
        <f t="shared" si="293"/>
        <v>nie</v>
      </c>
      <c r="CZ126" s="2">
        <f t="shared" si="222"/>
        <v>0</v>
      </c>
      <c r="DA126" s="2">
        <f t="shared" si="223"/>
        <v>0</v>
      </c>
      <c r="DB126" s="2">
        <f t="shared" si="224"/>
        <v>155054.46669716953</v>
      </c>
      <c r="DC126" s="2">
        <f t="shared" si="294"/>
        <v>155.05446669716952</v>
      </c>
      <c r="DD126" s="2">
        <f t="shared" si="225"/>
        <v>1308.4596157510086</v>
      </c>
      <c r="DE126" s="2">
        <f t="shared" si="226"/>
        <v>153746.00708141853</v>
      </c>
      <c r="DF126" s="2">
        <f t="shared" si="295"/>
        <v>3000</v>
      </c>
      <c r="DG126" s="2">
        <f t="shared" si="296"/>
        <v>9890.3486724622107</v>
      </c>
      <c r="DH126" s="2">
        <f t="shared" si="227"/>
        <v>140855.65840895631</v>
      </c>
    </row>
    <row r="127" spans="2:112">
      <c r="B127" s="232"/>
      <c r="C127" s="1">
        <f t="shared" si="256"/>
        <v>90</v>
      </c>
      <c r="D127" s="2">
        <f t="shared" si="259"/>
        <v>140907.27838755786</v>
      </c>
      <c r="E127" s="2">
        <f t="shared" si="260"/>
        <v>131877.20917297868</v>
      </c>
      <c r="F127" s="2">
        <f t="shared" si="261"/>
        <v>139793.35446499998</v>
      </c>
      <c r="G127" s="2">
        <f t="shared" si="262"/>
        <v>129813.85871499998</v>
      </c>
      <c r="H127" s="2">
        <f t="shared" si="263"/>
        <v>143353.87289487335</v>
      </c>
      <c r="I127" s="2">
        <f t="shared" si="264"/>
        <v>132495.57428833123</v>
      </c>
      <c r="J127" s="2">
        <f t="shared" si="257"/>
        <v>131384.85446087556</v>
      </c>
      <c r="K127" s="2">
        <f t="shared" si="258"/>
        <v>123925.21319190186</v>
      </c>
      <c r="W127" s="1">
        <f t="shared" si="297"/>
        <v>109</v>
      </c>
      <c r="X127" s="2">
        <f t="shared" si="274"/>
        <v>129654.21847700814</v>
      </c>
      <c r="Y127" s="8">
        <f t="shared" si="310"/>
        <v>4.3200000000000002E-2</v>
      </c>
      <c r="Z127" s="5">
        <f t="shared" si="298"/>
        <v>1516</v>
      </c>
      <c r="AA127" s="2">
        <f t="shared" si="299"/>
        <v>151448.4</v>
      </c>
      <c r="AB127" s="2">
        <f t="shared" si="207"/>
        <v>151600</v>
      </c>
      <c r="AC127" s="2">
        <f t="shared" si="300"/>
        <v>151600</v>
      </c>
      <c r="AD127" s="8">
        <f t="shared" si="275"/>
        <v>4.9000000000000002E-2</v>
      </c>
      <c r="AE127" s="2">
        <f t="shared" si="179"/>
        <v>152219.03333333335</v>
      </c>
      <c r="AF127" s="2" t="str">
        <f t="shared" si="276"/>
        <v>nie</v>
      </c>
      <c r="AG127" s="2">
        <f t="shared" si="277"/>
        <v>619.03333333335468</v>
      </c>
      <c r="AH127" s="1">
        <f t="shared" si="233"/>
        <v>1</v>
      </c>
      <c r="AI127" s="1">
        <f t="shared" si="265"/>
        <v>0</v>
      </c>
      <c r="AJ127" s="1">
        <f t="shared" si="308"/>
        <v>0</v>
      </c>
      <c r="AK127" s="1">
        <f t="shared" si="254"/>
        <v>0</v>
      </c>
      <c r="AL127" s="2">
        <f t="shared" si="243"/>
        <v>100</v>
      </c>
      <c r="AM127" s="8">
        <f t="shared" ref="AM127:AM162" si="313">proc_I_okres_TOS</f>
        <v>4.9000000000000002E-2</v>
      </c>
      <c r="AN127" s="2">
        <f t="shared" si="244"/>
        <v>100.40833333333335</v>
      </c>
      <c r="AO127" s="2">
        <f t="shared" ref="AO127:AO158" si="314">MIN(AH127*koszt_wczesniejszy_wykup_TOS,AN127-AL127)</f>
        <v>0.40833333333334565</v>
      </c>
      <c r="AP127" s="2">
        <f t="shared" si="272"/>
        <v>0</v>
      </c>
      <c r="AQ127" s="8">
        <f t="shared" si="266"/>
        <v>4.3200000000000002E-2</v>
      </c>
      <c r="AR127" s="2">
        <f t="shared" si="267"/>
        <v>0</v>
      </c>
      <c r="AS127" s="2">
        <f t="shared" si="268"/>
        <v>0</v>
      </c>
      <c r="AT127" s="2">
        <f t="shared" si="209"/>
        <v>0</v>
      </c>
      <c r="AU127" s="2">
        <f t="shared" si="245"/>
        <v>0</v>
      </c>
      <c r="AV127" s="2">
        <f t="shared" si="236"/>
        <v>18.304318079928635</v>
      </c>
      <c r="AW127" s="1">
        <f t="shared" si="311"/>
        <v>0</v>
      </c>
      <c r="AX127" s="2">
        <f t="shared" si="278"/>
        <v>18.304318079928635</v>
      </c>
      <c r="AY127" s="1">
        <f t="shared" si="237"/>
        <v>0</v>
      </c>
      <c r="AZ127" s="2">
        <f t="shared" si="210"/>
        <v>18.304318079928635</v>
      </c>
      <c r="BA127" s="2">
        <f t="shared" si="246"/>
        <v>152337.74598474661</v>
      </c>
      <c r="BB127" s="2">
        <f t="shared" si="279"/>
        <v>0</v>
      </c>
      <c r="BC127" s="2">
        <f t="shared" si="211"/>
        <v>1288.8917500958235</v>
      </c>
      <c r="BD127" s="2">
        <f t="shared" si="184"/>
        <v>151048.85423465079</v>
      </c>
      <c r="BE127" s="2">
        <f t="shared" si="212"/>
        <v>619.44166666668798</v>
      </c>
      <c r="BF127" s="2">
        <f t="shared" si="185"/>
        <v>9826.477820435186</v>
      </c>
      <c r="BG127" s="2">
        <f t="shared" si="186"/>
        <v>140602.93474754892</v>
      </c>
      <c r="BI127" s="8">
        <f t="shared" ref="BI127:BI162" si="315">MAX(INDEX(scenariusz_I_inflacja,MATCH(ROUNDUP(W127/12,0)-1,scenariusz_I_rok,0)),0)</f>
        <v>2.9000000000000001E-2</v>
      </c>
      <c r="BJ127" s="5">
        <f t="shared" si="301"/>
        <v>1092</v>
      </c>
      <c r="BK127" s="2">
        <f t="shared" si="302"/>
        <v>109090.8</v>
      </c>
      <c r="BL127" s="2">
        <f t="shared" si="303"/>
        <v>109200</v>
      </c>
      <c r="BM127" s="2">
        <f t="shared" si="280"/>
        <v>109200</v>
      </c>
      <c r="BN127" s="8">
        <f t="shared" si="281"/>
        <v>4.3999999999999997E-2</v>
      </c>
      <c r="BO127" s="2">
        <f t="shared" si="282"/>
        <v>109600.40000000001</v>
      </c>
      <c r="BP127" s="2" t="str">
        <f t="shared" si="283"/>
        <v>nie</v>
      </c>
      <c r="BQ127" s="2">
        <f t="shared" si="284"/>
        <v>2184</v>
      </c>
      <c r="BR127" s="1">
        <f t="shared" ref="BR127:BR162" si="316">IF(CD126&lt;&gt;0,CG126+CI126,BR126)</f>
        <v>187</v>
      </c>
      <c r="BS127" s="1">
        <f t="shared" si="269"/>
        <v>22</v>
      </c>
      <c r="BT127" s="1">
        <f t="shared" si="309"/>
        <v>107</v>
      </c>
      <c r="BU127" s="1">
        <f t="shared" si="255"/>
        <v>104</v>
      </c>
      <c r="BV127" s="2">
        <f t="shared" si="247"/>
        <v>18700</v>
      </c>
      <c r="BW127" s="8">
        <f t="shared" ref="BW127:BW162" si="317">proc_I_okres_COI</f>
        <v>5.2499999999999998E-2</v>
      </c>
      <c r="BX127" s="2">
        <f t="shared" si="248"/>
        <v>18781.8125</v>
      </c>
      <c r="BY127" s="2">
        <f t="shared" ref="BY127:BY158" si="318">MIN(BR127*koszt_wczesniejszy_wykup_COI,BX127-BV127)</f>
        <v>81.8125</v>
      </c>
      <c r="BZ127" s="2">
        <f t="shared" si="273"/>
        <v>23300</v>
      </c>
      <c r="CA127" s="8">
        <f t="shared" si="270"/>
        <v>4.3999999999999997E-2</v>
      </c>
      <c r="CB127" s="2">
        <f t="shared" si="249"/>
        <v>23385.433333333334</v>
      </c>
      <c r="CC127" s="2">
        <f t="shared" si="271"/>
        <v>466</v>
      </c>
      <c r="CD127" s="2">
        <f t="shared" si="285"/>
        <v>0</v>
      </c>
      <c r="CE127" s="2">
        <f t="shared" si="250"/>
        <v>0</v>
      </c>
      <c r="CF127" s="2">
        <f t="shared" si="251"/>
        <v>57.600000000000364</v>
      </c>
      <c r="CG127" s="1">
        <f t="shared" si="312"/>
        <v>0</v>
      </c>
      <c r="CH127" s="2">
        <f t="shared" si="286"/>
        <v>57.600000000000364</v>
      </c>
      <c r="CI127" s="1">
        <f t="shared" si="242"/>
        <v>0</v>
      </c>
      <c r="CJ127" s="2">
        <f t="shared" si="252"/>
        <v>57.600000000000364</v>
      </c>
      <c r="CK127" s="2">
        <f t="shared" si="253"/>
        <v>151825.24583333335</v>
      </c>
      <c r="CL127" s="2">
        <f t="shared" si="287"/>
        <v>0</v>
      </c>
      <c r="CM127" s="2">
        <f t="shared" si="216"/>
        <v>1284.6745350000001</v>
      </c>
      <c r="CN127" s="2">
        <f t="shared" si="288"/>
        <v>150540.57129833335</v>
      </c>
      <c r="CO127" s="2">
        <f t="shared" si="217"/>
        <v>2731.8125</v>
      </c>
      <c r="CP127" s="2">
        <f t="shared" si="289"/>
        <v>9327.7523333333356</v>
      </c>
      <c r="CQ127" s="2">
        <f t="shared" si="290"/>
        <v>138481.00646500001</v>
      </c>
      <c r="CS127" s="5">
        <f t="shared" si="304"/>
        <v>1000</v>
      </c>
      <c r="CT127" s="2">
        <f t="shared" si="305"/>
        <v>100000</v>
      </c>
      <c r="CU127" s="2">
        <f t="shared" si="306"/>
        <v>100000</v>
      </c>
      <c r="CV127" s="2">
        <f t="shared" si="307"/>
        <v>155054.46669716953</v>
      </c>
      <c r="CW127" s="8">
        <f t="shared" si="291"/>
        <v>4.9000000000000002E-2</v>
      </c>
      <c r="CX127" s="2">
        <f t="shared" si="292"/>
        <v>155687.60576951632</v>
      </c>
      <c r="CY127" s="2" t="str">
        <f t="shared" si="293"/>
        <v>nie</v>
      </c>
      <c r="CZ127" s="2">
        <f t="shared" si="222"/>
        <v>0</v>
      </c>
      <c r="DA127" s="2">
        <f t="shared" si="223"/>
        <v>0</v>
      </c>
      <c r="DB127" s="2">
        <f t="shared" si="224"/>
        <v>155687.60576951632</v>
      </c>
      <c r="DC127" s="2">
        <f t="shared" si="294"/>
        <v>0</v>
      </c>
      <c r="DD127" s="2">
        <f t="shared" si="225"/>
        <v>1308.4596157510086</v>
      </c>
      <c r="DE127" s="2">
        <f t="shared" si="226"/>
        <v>154379.14615376532</v>
      </c>
      <c r="DF127" s="2">
        <f t="shared" si="295"/>
        <v>3000</v>
      </c>
      <c r="DG127" s="2">
        <f t="shared" si="296"/>
        <v>10010.6450962081</v>
      </c>
      <c r="DH127" s="2">
        <f t="shared" si="227"/>
        <v>141368.50105755724</v>
      </c>
    </row>
    <row r="128" spans="2:112">
      <c r="B128" s="232"/>
      <c r="C128" s="1">
        <f t="shared" si="256"/>
        <v>91</v>
      </c>
      <c r="D128" s="2">
        <f t="shared" si="259"/>
        <v>141472.68938755788</v>
      </c>
      <c r="E128" s="2">
        <f t="shared" si="260"/>
        <v>132335.1920829787</v>
      </c>
      <c r="F128" s="2">
        <f t="shared" si="261"/>
        <v>140305.83363166667</v>
      </c>
      <c r="G128" s="2">
        <f t="shared" si="262"/>
        <v>130228.96683999999</v>
      </c>
      <c r="H128" s="2">
        <f t="shared" si="263"/>
        <v>143929.244120769</v>
      </c>
      <c r="I128" s="2">
        <f t="shared" si="264"/>
        <v>132961.62498130673</v>
      </c>
      <c r="J128" s="2">
        <f t="shared" si="257"/>
        <v>131783.93595630047</v>
      </c>
      <c r="K128" s="2">
        <f t="shared" si="258"/>
        <v>124220.41864471648</v>
      </c>
      <c r="W128" s="1">
        <f t="shared" si="297"/>
        <v>110</v>
      </c>
      <c r="X128" s="2">
        <f t="shared" si="274"/>
        <v>129966.7941138718</v>
      </c>
      <c r="Y128" s="8">
        <f t="shared" si="310"/>
        <v>4.3200000000000002E-2</v>
      </c>
      <c r="Z128" s="5">
        <f t="shared" si="298"/>
        <v>1516</v>
      </c>
      <c r="AA128" s="2">
        <f t="shared" si="299"/>
        <v>151448.4</v>
      </c>
      <c r="AB128" s="2">
        <f t="shared" si="207"/>
        <v>151600</v>
      </c>
      <c r="AC128" s="2">
        <f t="shared" si="300"/>
        <v>151600</v>
      </c>
      <c r="AD128" s="8">
        <f t="shared" si="275"/>
        <v>4.9000000000000002E-2</v>
      </c>
      <c r="AE128" s="2">
        <f t="shared" si="179"/>
        <v>152838.06666666665</v>
      </c>
      <c r="AF128" s="2" t="str">
        <f t="shared" si="276"/>
        <v>nie</v>
      </c>
      <c r="AG128" s="2">
        <f t="shared" si="277"/>
        <v>1238.0666666666511</v>
      </c>
      <c r="AH128" s="1">
        <f t="shared" si="233"/>
        <v>1</v>
      </c>
      <c r="AI128" s="1">
        <f t="shared" si="265"/>
        <v>0</v>
      </c>
      <c r="AJ128" s="1">
        <f t="shared" si="308"/>
        <v>0</v>
      </c>
      <c r="AK128" s="1">
        <f t="shared" si="254"/>
        <v>0</v>
      </c>
      <c r="AL128" s="2">
        <f t="shared" si="243"/>
        <v>100</v>
      </c>
      <c r="AM128" s="8">
        <f t="shared" si="313"/>
        <v>4.9000000000000002E-2</v>
      </c>
      <c r="AN128" s="2">
        <f t="shared" si="244"/>
        <v>100.81666666666666</v>
      </c>
      <c r="AO128" s="2">
        <f t="shared" si="314"/>
        <v>0.81666666666666288</v>
      </c>
      <c r="AP128" s="2">
        <f t="shared" si="272"/>
        <v>0</v>
      </c>
      <c r="AQ128" s="8">
        <f t="shared" si="266"/>
        <v>4.3200000000000002E-2</v>
      </c>
      <c r="AR128" s="2">
        <f t="shared" si="267"/>
        <v>0</v>
      </c>
      <c r="AS128" s="2">
        <f t="shared" si="268"/>
        <v>0</v>
      </c>
      <c r="AT128" s="2">
        <f t="shared" si="209"/>
        <v>0</v>
      </c>
      <c r="AU128" s="2">
        <f t="shared" si="245"/>
        <v>0</v>
      </c>
      <c r="AV128" s="2">
        <f t="shared" si="236"/>
        <v>18.304318079928635</v>
      </c>
      <c r="AW128" s="1">
        <f t="shared" si="311"/>
        <v>0</v>
      </c>
      <c r="AX128" s="2">
        <f t="shared" si="278"/>
        <v>18.304318079928635</v>
      </c>
      <c r="AY128" s="1">
        <f t="shared" si="237"/>
        <v>0</v>
      </c>
      <c r="AZ128" s="2">
        <f t="shared" si="210"/>
        <v>18.304318079928635</v>
      </c>
      <c r="BA128" s="2">
        <f t="shared" si="246"/>
        <v>152957.18765141326</v>
      </c>
      <c r="BB128" s="2">
        <f t="shared" si="279"/>
        <v>0</v>
      </c>
      <c r="BC128" s="2">
        <f t="shared" si="211"/>
        <v>1288.8917500958235</v>
      </c>
      <c r="BD128" s="2">
        <f t="shared" si="184"/>
        <v>151668.29590131744</v>
      </c>
      <c r="BE128" s="2">
        <f t="shared" si="212"/>
        <v>1238.8833333333178</v>
      </c>
      <c r="BF128" s="2">
        <f t="shared" si="185"/>
        <v>9826.477820435186</v>
      </c>
      <c r="BG128" s="2">
        <f t="shared" si="186"/>
        <v>140602.93474754892</v>
      </c>
      <c r="BI128" s="8">
        <f t="shared" si="315"/>
        <v>2.9000000000000001E-2</v>
      </c>
      <c r="BJ128" s="5">
        <f t="shared" si="301"/>
        <v>1092</v>
      </c>
      <c r="BK128" s="2">
        <f t="shared" si="302"/>
        <v>109090.8</v>
      </c>
      <c r="BL128" s="2">
        <f t="shared" si="303"/>
        <v>109200</v>
      </c>
      <c r="BM128" s="2">
        <f t="shared" si="280"/>
        <v>109200</v>
      </c>
      <c r="BN128" s="8">
        <f t="shared" si="281"/>
        <v>4.3999999999999997E-2</v>
      </c>
      <c r="BO128" s="2">
        <f t="shared" si="282"/>
        <v>110000.8</v>
      </c>
      <c r="BP128" s="2" t="str">
        <f t="shared" si="283"/>
        <v>nie</v>
      </c>
      <c r="BQ128" s="2">
        <f t="shared" si="284"/>
        <v>2184</v>
      </c>
      <c r="BR128" s="1">
        <f t="shared" si="316"/>
        <v>187</v>
      </c>
      <c r="BS128" s="1">
        <f t="shared" si="269"/>
        <v>22</v>
      </c>
      <c r="BT128" s="1">
        <f t="shared" si="309"/>
        <v>107</v>
      </c>
      <c r="BU128" s="1">
        <f t="shared" si="255"/>
        <v>104</v>
      </c>
      <c r="BV128" s="2">
        <f t="shared" si="247"/>
        <v>18700</v>
      </c>
      <c r="BW128" s="8">
        <f t="shared" si="317"/>
        <v>5.2499999999999998E-2</v>
      </c>
      <c r="BX128" s="2">
        <f t="shared" si="248"/>
        <v>18863.625</v>
      </c>
      <c r="BY128" s="2">
        <f t="shared" si="318"/>
        <v>163.625</v>
      </c>
      <c r="BZ128" s="2">
        <f t="shared" si="273"/>
        <v>23300</v>
      </c>
      <c r="CA128" s="8">
        <f t="shared" si="270"/>
        <v>4.3999999999999997E-2</v>
      </c>
      <c r="CB128" s="2">
        <f t="shared" si="249"/>
        <v>23470.866666666669</v>
      </c>
      <c r="CC128" s="2">
        <f t="shared" si="271"/>
        <v>466</v>
      </c>
      <c r="CD128" s="2">
        <f t="shared" si="285"/>
        <v>0</v>
      </c>
      <c r="CE128" s="2">
        <f t="shared" si="250"/>
        <v>0</v>
      </c>
      <c r="CF128" s="2">
        <f t="shared" si="251"/>
        <v>57.600000000000364</v>
      </c>
      <c r="CG128" s="1">
        <f t="shared" si="312"/>
        <v>0</v>
      </c>
      <c r="CH128" s="2">
        <f t="shared" si="286"/>
        <v>57.600000000000364</v>
      </c>
      <c r="CI128" s="1">
        <f t="shared" si="242"/>
        <v>0</v>
      </c>
      <c r="CJ128" s="2">
        <f t="shared" si="252"/>
        <v>57.600000000000364</v>
      </c>
      <c r="CK128" s="2">
        <f t="shared" si="253"/>
        <v>152392.89166666669</v>
      </c>
      <c r="CL128" s="2">
        <f t="shared" si="287"/>
        <v>0</v>
      </c>
      <c r="CM128" s="2">
        <f t="shared" si="216"/>
        <v>1284.6745350000001</v>
      </c>
      <c r="CN128" s="2">
        <f t="shared" si="288"/>
        <v>151108.21713166669</v>
      </c>
      <c r="CO128" s="2">
        <f t="shared" si="217"/>
        <v>2813.625</v>
      </c>
      <c r="CP128" s="2">
        <f t="shared" si="289"/>
        <v>9420.0606666666718</v>
      </c>
      <c r="CQ128" s="2">
        <f t="shared" si="290"/>
        <v>138874.53146500001</v>
      </c>
      <c r="CS128" s="5">
        <f t="shared" si="304"/>
        <v>1000</v>
      </c>
      <c r="CT128" s="2">
        <f t="shared" si="305"/>
        <v>100000</v>
      </c>
      <c r="CU128" s="2">
        <f t="shared" si="306"/>
        <v>100000</v>
      </c>
      <c r="CV128" s="2">
        <f t="shared" si="307"/>
        <v>155054.46669716953</v>
      </c>
      <c r="CW128" s="8">
        <f t="shared" si="291"/>
        <v>4.9000000000000002E-2</v>
      </c>
      <c r="CX128" s="2">
        <f t="shared" si="292"/>
        <v>156320.74484186308</v>
      </c>
      <c r="CY128" s="2" t="str">
        <f t="shared" si="293"/>
        <v>nie</v>
      </c>
      <c r="CZ128" s="2">
        <f t="shared" si="222"/>
        <v>0</v>
      </c>
      <c r="DA128" s="2">
        <f t="shared" si="223"/>
        <v>0</v>
      </c>
      <c r="DB128" s="2">
        <f t="shared" si="224"/>
        <v>156320.74484186308</v>
      </c>
      <c r="DC128" s="2">
        <f t="shared" si="294"/>
        <v>0</v>
      </c>
      <c r="DD128" s="2">
        <f t="shared" si="225"/>
        <v>1308.4596157510086</v>
      </c>
      <c r="DE128" s="2">
        <f t="shared" si="226"/>
        <v>155012.28522611209</v>
      </c>
      <c r="DF128" s="2">
        <f t="shared" si="295"/>
        <v>3000</v>
      </c>
      <c r="DG128" s="2">
        <f t="shared" si="296"/>
        <v>10130.941519953985</v>
      </c>
      <c r="DH128" s="2">
        <f t="shared" si="227"/>
        <v>141881.34370615811</v>
      </c>
    </row>
    <row r="129" spans="2:112">
      <c r="B129" s="232"/>
      <c r="C129" s="1">
        <f t="shared" si="256"/>
        <v>92</v>
      </c>
      <c r="D129" s="2">
        <f t="shared" si="259"/>
        <v>142038.10038755788</v>
      </c>
      <c r="E129" s="2">
        <f t="shared" si="260"/>
        <v>132793.17499297869</v>
      </c>
      <c r="F129" s="2">
        <f t="shared" si="261"/>
        <v>140818.31279833335</v>
      </c>
      <c r="G129" s="2">
        <f t="shared" si="262"/>
        <v>130644.07496500002</v>
      </c>
      <c r="H129" s="2">
        <f t="shared" si="263"/>
        <v>144504.61534666462</v>
      </c>
      <c r="I129" s="2">
        <f t="shared" si="264"/>
        <v>133427.67567428219</v>
      </c>
      <c r="J129" s="2">
        <f t="shared" si="257"/>
        <v>132184.22966176775</v>
      </c>
      <c r="K129" s="2">
        <f t="shared" si="258"/>
        <v>124515.62409753111</v>
      </c>
      <c r="W129" s="1">
        <f t="shared" si="297"/>
        <v>111</v>
      </c>
      <c r="X129" s="2">
        <f t="shared" si="274"/>
        <v>130279.36975073548</v>
      </c>
      <c r="Y129" s="8">
        <f t="shared" si="310"/>
        <v>4.3200000000000002E-2</v>
      </c>
      <c r="Z129" s="5">
        <f t="shared" si="298"/>
        <v>1516</v>
      </c>
      <c r="AA129" s="2">
        <f t="shared" si="299"/>
        <v>151448.4</v>
      </c>
      <c r="AB129" s="2">
        <f t="shared" si="207"/>
        <v>151600</v>
      </c>
      <c r="AC129" s="2">
        <f t="shared" si="300"/>
        <v>151600</v>
      </c>
      <c r="AD129" s="8">
        <f t="shared" si="275"/>
        <v>4.9000000000000002E-2</v>
      </c>
      <c r="AE129" s="2">
        <f t="shared" si="179"/>
        <v>153457.1</v>
      </c>
      <c r="AF129" s="2" t="str">
        <f t="shared" si="276"/>
        <v>nie</v>
      </c>
      <c r="AG129" s="2">
        <f t="shared" si="277"/>
        <v>1516</v>
      </c>
      <c r="AH129" s="1">
        <f t="shared" si="233"/>
        <v>1</v>
      </c>
      <c r="AI129" s="1">
        <f t="shared" si="265"/>
        <v>0</v>
      </c>
      <c r="AJ129" s="1">
        <f t="shared" si="308"/>
        <v>0</v>
      </c>
      <c r="AK129" s="1">
        <f t="shared" si="254"/>
        <v>0</v>
      </c>
      <c r="AL129" s="2">
        <f t="shared" si="243"/>
        <v>100</v>
      </c>
      <c r="AM129" s="8">
        <f t="shared" si="313"/>
        <v>4.9000000000000002E-2</v>
      </c>
      <c r="AN129" s="2">
        <f t="shared" si="244"/>
        <v>101.22500000000001</v>
      </c>
      <c r="AO129" s="2">
        <f t="shared" si="314"/>
        <v>1</v>
      </c>
      <c r="AP129" s="2">
        <f t="shared" si="272"/>
        <v>0</v>
      </c>
      <c r="AQ129" s="8">
        <f t="shared" si="266"/>
        <v>4.3200000000000002E-2</v>
      </c>
      <c r="AR129" s="2">
        <f t="shared" si="267"/>
        <v>0</v>
      </c>
      <c r="AS129" s="2">
        <f t="shared" si="268"/>
        <v>0</v>
      </c>
      <c r="AT129" s="2">
        <f t="shared" si="209"/>
        <v>0</v>
      </c>
      <c r="AU129" s="2">
        <f t="shared" si="245"/>
        <v>0</v>
      </c>
      <c r="AV129" s="2">
        <f t="shared" si="236"/>
        <v>18.304318079928635</v>
      </c>
      <c r="AW129" s="1">
        <f t="shared" si="311"/>
        <v>0</v>
      </c>
      <c r="AX129" s="2">
        <f t="shared" si="278"/>
        <v>18.304318079928635</v>
      </c>
      <c r="AY129" s="1">
        <f t="shared" si="237"/>
        <v>0</v>
      </c>
      <c r="AZ129" s="2">
        <f t="shared" si="210"/>
        <v>18.304318079928635</v>
      </c>
      <c r="BA129" s="2">
        <f t="shared" si="246"/>
        <v>153576.62931807994</v>
      </c>
      <c r="BB129" s="2">
        <f t="shared" si="279"/>
        <v>0</v>
      </c>
      <c r="BC129" s="2">
        <f t="shared" si="211"/>
        <v>1288.8917500958235</v>
      </c>
      <c r="BD129" s="2">
        <f t="shared" si="184"/>
        <v>152287.73756798412</v>
      </c>
      <c r="BE129" s="2">
        <f t="shared" si="212"/>
        <v>1517</v>
      </c>
      <c r="BF129" s="2">
        <f t="shared" si="185"/>
        <v>9891.3295704351895</v>
      </c>
      <c r="BG129" s="2">
        <f t="shared" si="186"/>
        <v>140879.40799754893</v>
      </c>
      <c r="BI129" s="8">
        <f t="shared" si="315"/>
        <v>2.9000000000000001E-2</v>
      </c>
      <c r="BJ129" s="5">
        <f t="shared" si="301"/>
        <v>1092</v>
      </c>
      <c r="BK129" s="2">
        <f t="shared" si="302"/>
        <v>109090.8</v>
      </c>
      <c r="BL129" s="2">
        <f t="shared" si="303"/>
        <v>109200</v>
      </c>
      <c r="BM129" s="2">
        <f t="shared" si="280"/>
        <v>109200</v>
      </c>
      <c r="BN129" s="8">
        <f t="shared" si="281"/>
        <v>4.3999999999999997E-2</v>
      </c>
      <c r="BO129" s="2">
        <f t="shared" si="282"/>
        <v>110401.19999999998</v>
      </c>
      <c r="BP129" s="2" t="str">
        <f t="shared" si="283"/>
        <v>nie</v>
      </c>
      <c r="BQ129" s="2">
        <f t="shared" si="284"/>
        <v>2184</v>
      </c>
      <c r="BR129" s="1">
        <f t="shared" si="316"/>
        <v>187</v>
      </c>
      <c r="BS129" s="1">
        <f t="shared" si="269"/>
        <v>22</v>
      </c>
      <c r="BT129" s="1">
        <f t="shared" si="309"/>
        <v>107</v>
      </c>
      <c r="BU129" s="1">
        <f t="shared" si="255"/>
        <v>104</v>
      </c>
      <c r="BV129" s="2">
        <f t="shared" si="247"/>
        <v>18700</v>
      </c>
      <c r="BW129" s="8">
        <f t="shared" si="317"/>
        <v>5.2499999999999998E-2</v>
      </c>
      <c r="BX129" s="2">
        <f t="shared" si="248"/>
        <v>18945.4375</v>
      </c>
      <c r="BY129" s="2">
        <f t="shared" si="318"/>
        <v>245.4375</v>
      </c>
      <c r="BZ129" s="2">
        <f t="shared" si="273"/>
        <v>23300</v>
      </c>
      <c r="CA129" s="8">
        <f t="shared" si="270"/>
        <v>4.3999999999999997E-2</v>
      </c>
      <c r="CB129" s="2">
        <f t="shared" si="249"/>
        <v>23556.3</v>
      </c>
      <c r="CC129" s="2">
        <f t="shared" si="271"/>
        <v>466</v>
      </c>
      <c r="CD129" s="2">
        <f t="shared" si="285"/>
        <v>0</v>
      </c>
      <c r="CE129" s="2">
        <f t="shared" si="250"/>
        <v>0</v>
      </c>
      <c r="CF129" s="2">
        <f t="shared" si="251"/>
        <v>57.600000000000364</v>
      </c>
      <c r="CG129" s="1">
        <f t="shared" si="312"/>
        <v>0</v>
      </c>
      <c r="CH129" s="2">
        <f t="shared" si="286"/>
        <v>57.600000000000364</v>
      </c>
      <c r="CI129" s="1">
        <f t="shared" si="242"/>
        <v>0</v>
      </c>
      <c r="CJ129" s="2">
        <f t="shared" si="252"/>
        <v>57.600000000000364</v>
      </c>
      <c r="CK129" s="2">
        <f t="shared" si="253"/>
        <v>152960.53749999998</v>
      </c>
      <c r="CL129" s="2">
        <f t="shared" si="287"/>
        <v>0</v>
      </c>
      <c r="CM129" s="2">
        <f t="shared" si="216"/>
        <v>1284.6745350000001</v>
      </c>
      <c r="CN129" s="2">
        <f t="shared" si="288"/>
        <v>151675.86296499998</v>
      </c>
      <c r="CO129" s="2">
        <f t="shared" si="217"/>
        <v>2895.4375</v>
      </c>
      <c r="CP129" s="2">
        <f t="shared" si="289"/>
        <v>9512.3689999999951</v>
      </c>
      <c r="CQ129" s="2">
        <f t="shared" si="290"/>
        <v>139268.05646499997</v>
      </c>
      <c r="CS129" s="5">
        <f t="shared" si="304"/>
        <v>1000</v>
      </c>
      <c r="CT129" s="2">
        <f t="shared" si="305"/>
        <v>100000</v>
      </c>
      <c r="CU129" s="2">
        <f t="shared" si="306"/>
        <v>100000</v>
      </c>
      <c r="CV129" s="2">
        <f t="shared" si="307"/>
        <v>155054.46669716953</v>
      </c>
      <c r="CW129" s="8">
        <f t="shared" si="291"/>
        <v>4.9000000000000002E-2</v>
      </c>
      <c r="CX129" s="2">
        <f t="shared" si="292"/>
        <v>156953.88391420987</v>
      </c>
      <c r="CY129" s="2" t="str">
        <f t="shared" si="293"/>
        <v>nie</v>
      </c>
      <c r="CZ129" s="2">
        <f t="shared" si="222"/>
        <v>0</v>
      </c>
      <c r="DA129" s="2">
        <f t="shared" si="223"/>
        <v>0</v>
      </c>
      <c r="DB129" s="2">
        <f t="shared" si="224"/>
        <v>156953.88391420987</v>
      </c>
      <c r="DC129" s="2">
        <f t="shared" si="294"/>
        <v>0</v>
      </c>
      <c r="DD129" s="2">
        <f t="shared" si="225"/>
        <v>1308.4596157510086</v>
      </c>
      <c r="DE129" s="2">
        <f t="shared" si="226"/>
        <v>155645.42429845888</v>
      </c>
      <c r="DF129" s="2">
        <f t="shared" si="295"/>
        <v>3000</v>
      </c>
      <c r="DG129" s="2">
        <f t="shared" si="296"/>
        <v>10251.237943699876</v>
      </c>
      <c r="DH129" s="2">
        <f t="shared" si="227"/>
        <v>142394.186354759</v>
      </c>
    </row>
    <row r="130" spans="2:112">
      <c r="B130" s="232"/>
      <c r="C130" s="1">
        <f t="shared" si="256"/>
        <v>93</v>
      </c>
      <c r="D130" s="2">
        <f t="shared" si="259"/>
        <v>142603.5113875579</v>
      </c>
      <c r="E130" s="2">
        <f t="shared" si="260"/>
        <v>133251.15790297871</v>
      </c>
      <c r="F130" s="2">
        <f t="shared" si="261"/>
        <v>141330.79196499998</v>
      </c>
      <c r="G130" s="2">
        <f t="shared" si="262"/>
        <v>131059.18308999998</v>
      </c>
      <c r="H130" s="2">
        <f t="shared" si="263"/>
        <v>145079.98657256024</v>
      </c>
      <c r="I130" s="2">
        <f t="shared" si="264"/>
        <v>133893.72636725762</v>
      </c>
      <c r="J130" s="2">
        <f t="shared" si="257"/>
        <v>132585.73925936536</v>
      </c>
      <c r="K130" s="2">
        <f t="shared" si="258"/>
        <v>124810.82955034572</v>
      </c>
      <c r="W130" s="1">
        <f t="shared" si="297"/>
        <v>112</v>
      </c>
      <c r="X130" s="2">
        <f t="shared" si="274"/>
        <v>130591.94538759917</v>
      </c>
      <c r="Y130" s="8">
        <f t="shared" si="310"/>
        <v>4.3200000000000002E-2</v>
      </c>
      <c r="Z130" s="5">
        <f t="shared" si="298"/>
        <v>1516</v>
      </c>
      <c r="AA130" s="2">
        <f t="shared" si="299"/>
        <v>151448.4</v>
      </c>
      <c r="AB130" s="2">
        <f t="shared" si="207"/>
        <v>151600</v>
      </c>
      <c r="AC130" s="2">
        <f t="shared" si="300"/>
        <v>151600</v>
      </c>
      <c r="AD130" s="8">
        <f t="shared" si="275"/>
        <v>4.9000000000000002E-2</v>
      </c>
      <c r="AE130" s="2">
        <f t="shared" si="179"/>
        <v>154076.13333333333</v>
      </c>
      <c r="AF130" s="2" t="str">
        <f t="shared" si="276"/>
        <v>nie</v>
      </c>
      <c r="AG130" s="2">
        <f t="shared" si="277"/>
        <v>1516</v>
      </c>
      <c r="AH130" s="1">
        <f t="shared" si="233"/>
        <v>1</v>
      </c>
      <c r="AI130" s="1">
        <f t="shared" si="265"/>
        <v>0</v>
      </c>
      <c r="AJ130" s="1">
        <f t="shared" si="308"/>
        <v>0</v>
      </c>
      <c r="AK130" s="1">
        <f t="shared" si="254"/>
        <v>0</v>
      </c>
      <c r="AL130" s="2">
        <f t="shared" si="243"/>
        <v>100</v>
      </c>
      <c r="AM130" s="8">
        <f t="shared" si="313"/>
        <v>4.9000000000000002E-2</v>
      </c>
      <c r="AN130" s="2">
        <f t="shared" si="244"/>
        <v>101.63333333333333</v>
      </c>
      <c r="AO130" s="2">
        <f t="shared" si="314"/>
        <v>1</v>
      </c>
      <c r="AP130" s="2">
        <f t="shared" si="272"/>
        <v>0</v>
      </c>
      <c r="AQ130" s="8">
        <f t="shared" si="266"/>
        <v>4.3200000000000002E-2</v>
      </c>
      <c r="AR130" s="2">
        <f t="shared" si="267"/>
        <v>0</v>
      </c>
      <c r="AS130" s="2">
        <f t="shared" si="268"/>
        <v>0</v>
      </c>
      <c r="AT130" s="2">
        <f t="shared" si="209"/>
        <v>0</v>
      </c>
      <c r="AU130" s="2">
        <f t="shared" si="245"/>
        <v>0</v>
      </c>
      <c r="AV130" s="2">
        <f t="shared" si="236"/>
        <v>18.304318079928635</v>
      </c>
      <c r="AW130" s="1">
        <f t="shared" si="311"/>
        <v>0</v>
      </c>
      <c r="AX130" s="2">
        <f t="shared" si="278"/>
        <v>18.304318079928635</v>
      </c>
      <c r="AY130" s="1">
        <f t="shared" si="237"/>
        <v>0</v>
      </c>
      <c r="AZ130" s="2">
        <f t="shared" si="210"/>
        <v>18.304318079928635</v>
      </c>
      <c r="BA130" s="2">
        <f t="shared" si="246"/>
        <v>154196.07098474659</v>
      </c>
      <c r="BB130" s="2">
        <f t="shared" si="279"/>
        <v>0</v>
      </c>
      <c r="BC130" s="2">
        <f t="shared" si="211"/>
        <v>1288.8917500958235</v>
      </c>
      <c r="BD130" s="2">
        <f t="shared" si="184"/>
        <v>152907.17923465077</v>
      </c>
      <c r="BE130" s="2">
        <f t="shared" si="212"/>
        <v>1517</v>
      </c>
      <c r="BF130" s="2">
        <f t="shared" si="185"/>
        <v>10009.023487101853</v>
      </c>
      <c r="BG130" s="2">
        <f t="shared" si="186"/>
        <v>141381.15574754891</v>
      </c>
      <c r="BI130" s="8">
        <f t="shared" si="315"/>
        <v>2.9000000000000001E-2</v>
      </c>
      <c r="BJ130" s="5">
        <f t="shared" si="301"/>
        <v>1092</v>
      </c>
      <c r="BK130" s="2">
        <f t="shared" si="302"/>
        <v>109090.8</v>
      </c>
      <c r="BL130" s="2">
        <f t="shared" si="303"/>
        <v>109200</v>
      </c>
      <c r="BM130" s="2">
        <f t="shared" si="280"/>
        <v>109200</v>
      </c>
      <c r="BN130" s="8">
        <f t="shared" si="281"/>
        <v>4.3999999999999997E-2</v>
      </c>
      <c r="BO130" s="2">
        <f t="shared" si="282"/>
        <v>110801.59999999999</v>
      </c>
      <c r="BP130" s="2" t="str">
        <f t="shared" si="283"/>
        <v>nie</v>
      </c>
      <c r="BQ130" s="2">
        <f t="shared" si="284"/>
        <v>2184</v>
      </c>
      <c r="BR130" s="1">
        <f t="shared" si="316"/>
        <v>187</v>
      </c>
      <c r="BS130" s="1">
        <f t="shared" si="269"/>
        <v>22</v>
      </c>
      <c r="BT130" s="1">
        <f t="shared" si="309"/>
        <v>107</v>
      </c>
      <c r="BU130" s="1">
        <f t="shared" si="255"/>
        <v>104</v>
      </c>
      <c r="BV130" s="2">
        <f t="shared" si="247"/>
        <v>18700</v>
      </c>
      <c r="BW130" s="8">
        <f t="shared" si="317"/>
        <v>5.2499999999999998E-2</v>
      </c>
      <c r="BX130" s="2">
        <f t="shared" si="248"/>
        <v>19027.25</v>
      </c>
      <c r="BY130" s="2">
        <f t="shared" si="318"/>
        <v>327.25</v>
      </c>
      <c r="BZ130" s="2">
        <f t="shared" si="273"/>
        <v>23300</v>
      </c>
      <c r="CA130" s="8">
        <f t="shared" si="270"/>
        <v>4.3999999999999997E-2</v>
      </c>
      <c r="CB130" s="2">
        <f t="shared" si="249"/>
        <v>23641.733333333334</v>
      </c>
      <c r="CC130" s="2">
        <f t="shared" si="271"/>
        <v>466</v>
      </c>
      <c r="CD130" s="2">
        <f t="shared" si="285"/>
        <v>0</v>
      </c>
      <c r="CE130" s="2">
        <f t="shared" si="250"/>
        <v>0</v>
      </c>
      <c r="CF130" s="2">
        <f t="shared" si="251"/>
        <v>57.600000000000364</v>
      </c>
      <c r="CG130" s="1">
        <f t="shared" si="312"/>
        <v>0</v>
      </c>
      <c r="CH130" s="2">
        <f t="shared" si="286"/>
        <v>57.600000000000364</v>
      </c>
      <c r="CI130" s="1">
        <f t="shared" si="242"/>
        <v>0</v>
      </c>
      <c r="CJ130" s="2">
        <f t="shared" si="252"/>
        <v>57.600000000000364</v>
      </c>
      <c r="CK130" s="2">
        <f t="shared" si="253"/>
        <v>153528.18333333332</v>
      </c>
      <c r="CL130" s="2">
        <f t="shared" si="287"/>
        <v>0</v>
      </c>
      <c r="CM130" s="2">
        <f t="shared" si="216"/>
        <v>1284.6745350000001</v>
      </c>
      <c r="CN130" s="2">
        <f t="shared" si="288"/>
        <v>152243.50879833332</v>
      </c>
      <c r="CO130" s="2">
        <f t="shared" si="217"/>
        <v>2977.25</v>
      </c>
      <c r="CP130" s="2">
        <f t="shared" si="289"/>
        <v>9604.6773333333313</v>
      </c>
      <c r="CQ130" s="2">
        <f t="shared" si="290"/>
        <v>139661.581465</v>
      </c>
      <c r="CS130" s="5">
        <f t="shared" si="304"/>
        <v>1000</v>
      </c>
      <c r="CT130" s="2">
        <f t="shared" si="305"/>
        <v>100000</v>
      </c>
      <c r="CU130" s="2">
        <f t="shared" si="306"/>
        <v>100000</v>
      </c>
      <c r="CV130" s="2">
        <f t="shared" si="307"/>
        <v>155054.46669716953</v>
      </c>
      <c r="CW130" s="8">
        <f t="shared" si="291"/>
        <v>4.9000000000000002E-2</v>
      </c>
      <c r="CX130" s="2">
        <f t="shared" si="292"/>
        <v>157587.02298655664</v>
      </c>
      <c r="CY130" s="2" t="str">
        <f t="shared" si="293"/>
        <v>nie</v>
      </c>
      <c r="CZ130" s="2">
        <f t="shared" si="222"/>
        <v>0</v>
      </c>
      <c r="DA130" s="2">
        <f t="shared" si="223"/>
        <v>0</v>
      </c>
      <c r="DB130" s="2">
        <f t="shared" si="224"/>
        <v>157587.02298655664</v>
      </c>
      <c r="DC130" s="2">
        <f t="shared" si="294"/>
        <v>0</v>
      </c>
      <c r="DD130" s="2">
        <f t="shared" si="225"/>
        <v>1308.4596157510086</v>
      </c>
      <c r="DE130" s="2">
        <f t="shared" si="226"/>
        <v>156278.56337080564</v>
      </c>
      <c r="DF130" s="2">
        <f t="shared" si="295"/>
        <v>3000</v>
      </c>
      <c r="DG130" s="2">
        <f t="shared" si="296"/>
        <v>10371.534367445762</v>
      </c>
      <c r="DH130" s="2">
        <f t="shared" si="227"/>
        <v>142907.02900335987</v>
      </c>
    </row>
    <row r="131" spans="2:112">
      <c r="B131" s="232"/>
      <c r="C131" s="1">
        <f t="shared" si="256"/>
        <v>94</v>
      </c>
      <c r="D131" s="2">
        <f t="shared" si="259"/>
        <v>143168.92238755786</v>
      </c>
      <c r="E131" s="2">
        <f t="shared" si="260"/>
        <v>133709.14081297867</v>
      </c>
      <c r="F131" s="2">
        <f t="shared" si="261"/>
        <v>141843.27113166667</v>
      </c>
      <c r="G131" s="2">
        <f t="shared" si="262"/>
        <v>131474.291215</v>
      </c>
      <c r="H131" s="2">
        <f t="shared" si="263"/>
        <v>145655.35779845587</v>
      </c>
      <c r="I131" s="2">
        <f t="shared" si="264"/>
        <v>134359.77706023309</v>
      </c>
      <c r="J131" s="2">
        <f t="shared" si="257"/>
        <v>132988.4684423657</v>
      </c>
      <c r="K131" s="2">
        <f t="shared" si="258"/>
        <v>125106.03500316034</v>
      </c>
      <c r="W131" s="1">
        <f t="shared" si="297"/>
        <v>113</v>
      </c>
      <c r="X131" s="2">
        <f t="shared" si="274"/>
        <v>130904.52102446287</v>
      </c>
      <c r="Y131" s="8">
        <f t="shared" si="310"/>
        <v>4.3200000000000002E-2</v>
      </c>
      <c r="Z131" s="5">
        <f t="shared" si="298"/>
        <v>1516</v>
      </c>
      <c r="AA131" s="2">
        <f t="shared" si="299"/>
        <v>151448.4</v>
      </c>
      <c r="AB131" s="2">
        <f t="shared" si="207"/>
        <v>151600</v>
      </c>
      <c r="AC131" s="2">
        <f t="shared" si="300"/>
        <v>151600</v>
      </c>
      <c r="AD131" s="8">
        <f t="shared" si="275"/>
        <v>4.9000000000000002E-2</v>
      </c>
      <c r="AE131" s="2">
        <f t="shared" si="179"/>
        <v>154695.16666666669</v>
      </c>
      <c r="AF131" s="2" t="str">
        <f t="shared" si="276"/>
        <v>nie</v>
      </c>
      <c r="AG131" s="2">
        <f t="shared" si="277"/>
        <v>1516</v>
      </c>
      <c r="AH131" s="1">
        <f t="shared" si="233"/>
        <v>1</v>
      </c>
      <c r="AI131" s="1">
        <f t="shared" si="265"/>
        <v>0</v>
      </c>
      <c r="AJ131" s="1">
        <f t="shared" si="308"/>
        <v>0</v>
      </c>
      <c r="AK131" s="1">
        <f t="shared" ref="AK131:AK162" si="319">IF(zapadalnosc_TOS/12&gt;=AK$18,AJ119,0)</f>
        <v>0</v>
      </c>
      <c r="AL131" s="2">
        <f t="shared" si="243"/>
        <v>100</v>
      </c>
      <c r="AM131" s="8">
        <f t="shared" si="313"/>
        <v>4.9000000000000002E-2</v>
      </c>
      <c r="AN131" s="2">
        <f t="shared" si="244"/>
        <v>102.04166666666667</v>
      </c>
      <c r="AO131" s="2">
        <f t="shared" si="314"/>
        <v>1</v>
      </c>
      <c r="AP131" s="2">
        <f t="shared" si="272"/>
        <v>0</v>
      </c>
      <c r="AQ131" s="8">
        <f t="shared" si="266"/>
        <v>4.3200000000000002E-2</v>
      </c>
      <c r="AR131" s="2">
        <f t="shared" si="267"/>
        <v>0</v>
      </c>
      <c r="AS131" s="2">
        <f t="shared" si="268"/>
        <v>0</v>
      </c>
      <c r="AT131" s="2">
        <f t="shared" si="209"/>
        <v>0</v>
      </c>
      <c r="AU131" s="2">
        <f t="shared" si="245"/>
        <v>0</v>
      </c>
      <c r="AV131" s="2">
        <f t="shared" si="236"/>
        <v>18.304318079928635</v>
      </c>
      <c r="AW131" s="1">
        <f t="shared" si="311"/>
        <v>0</v>
      </c>
      <c r="AX131" s="2">
        <f t="shared" si="278"/>
        <v>18.304318079928635</v>
      </c>
      <c r="AY131" s="1">
        <f t="shared" si="237"/>
        <v>0</v>
      </c>
      <c r="AZ131" s="2">
        <f t="shared" si="210"/>
        <v>18.304318079928635</v>
      </c>
      <c r="BA131" s="2">
        <f t="shared" si="246"/>
        <v>154815.51265141327</v>
      </c>
      <c r="BB131" s="2">
        <f t="shared" si="279"/>
        <v>0</v>
      </c>
      <c r="BC131" s="2">
        <f t="shared" si="211"/>
        <v>1288.8917500958235</v>
      </c>
      <c r="BD131" s="2">
        <f t="shared" si="184"/>
        <v>153526.62090131745</v>
      </c>
      <c r="BE131" s="2">
        <f t="shared" si="212"/>
        <v>1517</v>
      </c>
      <c r="BF131" s="2">
        <f t="shared" si="185"/>
        <v>10126.717403768522</v>
      </c>
      <c r="BG131" s="2">
        <f t="shared" si="186"/>
        <v>141882.90349754892</v>
      </c>
      <c r="BI131" s="8">
        <f t="shared" si="315"/>
        <v>2.9000000000000001E-2</v>
      </c>
      <c r="BJ131" s="5">
        <f t="shared" si="301"/>
        <v>1092</v>
      </c>
      <c r="BK131" s="2">
        <f t="shared" si="302"/>
        <v>109090.8</v>
      </c>
      <c r="BL131" s="2">
        <f t="shared" si="303"/>
        <v>109200</v>
      </c>
      <c r="BM131" s="2">
        <f t="shared" si="280"/>
        <v>109200</v>
      </c>
      <c r="BN131" s="8">
        <f t="shared" si="281"/>
        <v>4.3999999999999997E-2</v>
      </c>
      <c r="BO131" s="2">
        <f t="shared" si="282"/>
        <v>111202</v>
      </c>
      <c r="BP131" s="2" t="str">
        <f t="shared" si="283"/>
        <v>nie</v>
      </c>
      <c r="BQ131" s="2">
        <f t="shared" si="284"/>
        <v>2184</v>
      </c>
      <c r="BR131" s="1">
        <f t="shared" si="316"/>
        <v>187</v>
      </c>
      <c r="BS131" s="1">
        <f t="shared" si="269"/>
        <v>22</v>
      </c>
      <c r="BT131" s="1">
        <f t="shared" si="309"/>
        <v>107</v>
      </c>
      <c r="BU131" s="1">
        <f t="shared" ref="BU131:BU162" si="320">IF(zapadalnosc_COI/12&gt;=BU$18,BT119,0)</f>
        <v>104</v>
      </c>
      <c r="BV131" s="2">
        <f t="shared" si="247"/>
        <v>18700</v>
      </c>
      <c r="BW131" s="8">
        <f t="shared" si="317"/>
        <v>5.2499999999999998E-2</v>
      </c>
      <c r="BX131" s="2">
        <f t="shared" si="248"/>
        <v>19109.0625</v>
      </c>
      <c r="BY131" s="2">
        <f t="shared" si="318"/>
        <v>374</v>
      </c>
      <c r="BZ131" s="2">
        <f t="shared" si="273"/>
        <v>23300</v>
      </c>
      <c r="CA131" s="8">
        <f t="shared" si="270"/>
        <v>4.3999999999999997E-2</v>
      </c>
      <c r="CB131" s="2">
        <f t="shared" si="249"/>
        <v>23727.166666666668</v>
      </c>
      <c r="CC131" s="2">
        <f t="shared" si="271"/>
        <v>466</v>
      </c>
      <c r="CD131" s="2">
        <f t="shared" si="285"/>
        <v>0</v>
      </c>
      <c r="CE131" s="2">
        <f t="shared" si="250"/>
        <v>0</v>
      </c>
      <c r="CF131" s="2">
        <f t="shared" si="251"/>
        <v>57.600000000000364</v>
      </c>
      <c r="CG131" s="1">
        <f t="shared" si="312"/>
        <v>0</v>
      </c>
      <c r="CH131" s="2">
        <f t="shared" si="286"/>
        <v>57.600000000000364</v>
      </c>
      <c r="CI131" s="1">
        <f t="shared" si="242"/>
        <v>0</v>
      </c>
      <c r="CJ131" s="2">
        <f t="shared" si="252"/>
        <v>57.600000000000364</v>
      </c>
      <c r="CK131" s="2">
        <f t="shared" si="253"/>
        <v>154095.82916666666</v>
      </c>
      <c r="CL131" s="2">
        <f t="shared" si="287"/>
        <v>0</v>
      </c>
      <c r="CM131" s="2">
        <f t="shared" si="216"/>
        <v>1284.6745350000001</v>
      </c>
      <c r="CN131" s="2">
        <f t="shared" si="288"/>
        <v>152811.15463166666</v>
      </c>
      <c r="CO131" s="2">
        <f t="shared" si="217"/>
        <v>3024</v>
      </c>
      <c r="CP131" s="2">
        <f t="shared" si="289"/>
        <v>9703.6475416666653</v>
      </c>
      <c r="CQ131" s="2">
        <f t="shared" si="290"/>
        <v>140083.50709</v>
      </c>
      <c r="CS131" s="5">
        <f t="shared" si="304"/>
        <v>1000</v>
      </c>
      <c r="CT131" s="2">
        <f t="shared" si="305"/>
        <v>100000</v>
      </c>
      <c r="CU131" s="2">
        <f t="shared" si="306"/>
        <v>100000</v>
      </c>
      <c r="CV131" s="2">
        <f t="shared" si="307"/>
        <v>155054.46669716953</v>
      </c>
      <c r="CW131" s="8">
        <f t="shared" si="291"/>
        <v>4.9000000000000002E-2</v>
      </c>
      <c r="CX131" s="2">
        <f t="shared" si="292"/>
        <v>158220.16205890343</v>
      </c>
      <c r="CY131" s="2" t="str">
        <f t="shared" si="293"/>
        <v>nie</v>
      </c>
      <c r="CZ131" s="2">
        <f t="shared" si="222"/>
        <v>0</v>
      </c>
      <c r="DA131" s="2">
        <f t="shared" si="223"/>
        <v>0</v>
      </c>
      <c r="DB131" s="2">
        <f t="shared" si="224"/>
        <v>158220.16205890343</v>
      </c>
      <c r="DC131" s="2">
        <f t="shared" si="294"/>
        <v>0</v>
      </c>
      <c r="DD131" s="2">
        <f t="shared" si="225"/>
        <v>1308.4596157510086</v>
      </c>
      <c r="DE131" s="2">
        <f t="shared" si="226"/>
        <v>156911.70244315243</v>
      </c>
      <c r="DF131" s="2">
        <f t="shared" si="295"/>
        <v>3000</v>
      </c>
      <c r="DG131" s="2">
        <f t="shared" si="296"/>
        <v>10491.830791191651</v>
      </c>
      <c r="DH131" s="2">
        <f t="shared" si="227"/>
        <v>143419.87165196077</v>
      </c>
    </row>
    <row r="132" spans="2:112">
      <c r="B132" s="233"/>
      <c r="C132" s="1">
        <f t="shared" si="256"/>
        <v>95</v>
      </c>
      <c r="D132" s="2">
        <f t="shared" si="259"/>
        <v>143734.33338755788</v>
      </c>
      <c r="E132" s="2">
        <f t="shared" si="260"/>
        <v>134167.12372297869</v>
      </c>
      <c r="F132" s="2">
        <f t="shared" si="261"/>
        <v>142355.7502983333</v>
      </c>
      <c r="G132" s="2">
        <f t="shared" si="262"/>
        <v>131889.39933999997</v>
      </c>
      <c r="H132" s="2">
        <f t="shared" si="263"/>
        <v>146230.72902435152</v>
      </c>
      <c r="I132" s="2">
        <f t="shared" si="264"/>
        <v>134825.82775320855</v>
      </c>
      <c r="J132" s="2">
        <f t="shared" si="257"/>
        <v>133392.4209152594</v>
      </c>
      <c r="K132" s="2">
        <f t="shared" si="258"/>
        <v>125401.24045597497</v>
      </c>
      <c r="W132" s="1">
        <f t="shared" si="297"/>
        <v>114</v>
      </c>
      <c r="X132" s="2">
        <f t="shared" si="274"/>
        <v>131217.09666132653</v>
      </c>
      <c r="Y132" s="8">
        <f t="shared" si="310"/>
        <v>4.3200000000000002E-2</v>
      </c>
      <c r="Z132" s="5">
        <f t="shared" si="298"/>
        <v>1516</v>
      </c>
      <c r="AA132" s="2">
        <f t="shared" si="299"/>
        <v>151448.4</v>
      </c>
      <c r="AB132" s="2">
        <f t="shared" si="207"/>
        <v>151600</v>
      </c>
      <c r="AC132" s="2">
        <f t="shared" si="300"/>
        <v>151600</v>
      </c>
      <c r="AD132" s="8">
        <f t="shared" si="275"/>
        <v>4.9000000000000002E-2</v>
      </c>
      <c r="AE132" s="2">
        <f t="shared" si="179"/>
        <v>155314.19999999998</v>
      </c>
      <c r="AF132" s="2" t="str">
        <f t="shared" si="276"/>
        <v>nie</v>
      </c>
      <c r="AG132" s="2">
        <f t="shared" si="277"/>
        <v>1516</v>
      </c>
      <c r="AH132" s="1">
        <f t="shared" si="233"/>
        <v>1</v>
      </c>
      <c r="AI132" s="1">
        <f t="shared" si="265"/>
        <v>0</v>
      </c>
      <c r="AJ132" s="1">
        <f t="shared" si="308"/>
        <v>0</v>
      </c>
      <c r="AK132" s="1">
        <f t="shared" si="319"/>
        <v>0</v>
      </c>
      <c r="AL132" s="2">
        <f t="shared" si="243"/>
        <v>100</v>
      </c>
      <c r="AM132" s="8">
        <f t="shared" si="313"/>
        <v>4.9000000000000002E-2</v>
      </c>
      <c r="AN132" s="2">
        <f t="shared" si="244"/>
        <v>102.45</v>
      </c>
      <c r="AO132" s="2">
        <f t="shared" si="314"/>
        <v>1</v>
      </c>
      <c r="AP132" s="2">
        <f t="shared" si="272"/>
        <v>0</v>
      </c>
      <c r="AQ132" s="8">
        <f t="shared" si="266"/>
        <v>4.3200000000000002E-2</v>
      </c>
      <c r="AR132" s="2">
        <f t="shared" si="267"/>
        <v>0</v>
      </c>
      <c r="AS132" s="2">
        <f t="shared" si="268"/>
        <v>0</v>
      </c>
      <c r="AT132" s="2">
        <f t="shared" si="209"/>
        <v>0</v>
      </c>
      <c r="AU132" s="2">
        <f t="shared" si="245"/>
        <v>0</v>
      </c>
      <c r="AV132" s="2">
        <f t="shared" si="236"/>
        <v>18.304318079928635</v>
      </c>
      <c r="AW132" s="1">
        <f t="shared" si="311"/>
        <v>0</v>
      </c>
      <c r="AX132" s="2">
        <f t="shared" si="278"/>
        <v>18.304318079928635</v>
      </c>
      <c r="AY132" s="1">
        <f t="shared" si="237"/>
        <v>0</v>
      </c>
      <c r="AZ132" s="2">
        <f t="shared" si="210"/>
        <v>18.304318079928635</v>
      </c>
      <c r="BA132" s="2">
        <f t="shared" si="246"/>
        <v>155434.95431807992</v>
      </c>
      <c r="BB132" s="2">
        <f t="shared" si="279"/>
        <v>0</v>
      </c>
      <c r="BC132" s="2">
        <f t="shared" si="211"/>
        <v>1288.8917500958235</v>
      </c>
      <c r="BD132" s="2">
        <f t="shared" si="184"/>
        <v>154146.0625679841</v>
      </c>
      <c r="BE132" s="2">
        <f t="shared" si="212"/>
        <v>1517</v>
      </c>
      <c r="BF132" s="2">
        <f t="shared" si="185"/>
        <v>10244.411320435185</v>
      </c>
      <c r="BG132" s="2">
        <f t="shared" si="186"/>
        <v>142384.65124754893</v>
      </c>
      <c r="BI132" s="8">
        <f t="shared" si="315"/>
        <v>2.9000000000000001E-2</v>
      </c>
      <c r="BJ132" s="5">
        <f t="shared" si="301"/>
        <v>1092</v>
      </c>
      <c r="BK132" s="2">
        <f t="shared" si="302"/>
        <v>109090.8</v>
      </c>
      <c r="BL132" s="2">
        <f t="shared" si="303"/>
        <v>109200</v>
      </c>
      <c r="BM132" s="2">
        <f t="shared" si="280"/>
        <v>109200</v>
      </c>
      <c r="BN132" s="8">
        <f t="shared" si="281"/>
        <v>4.3999999999999997E-2</v>
      </c>
      <c r="BO132" s="2">
        <f t="shared" si="282"/>
        <v>111602.40000000001</v>
      </c>
      <c r="BP132" s="2" t="str">
        <f t="shared" si="283"/>
        <v>nie</v>
      </c>
      <c r="BQ132" s="2">
        <f t="shared" si="284"/>
        <v>2184</v>
      </c>
      <c r="BR132" s="1">
        <f t="shared" si="316"/>
        <v>187</v>
      </c>
      <c r="BS132" s="1">
        <f t="shared" si="269"/>
        <v>22</v>
      </c>
      <c r="BT132" s="1">
        <f t="shared" si="309"/>
        <v>107</v>
      </c>
      <c r="BU132" s="1">
        <f t="shared" si="320"/>
        <v>104</v>
      </c>
      <c r="BV132" s="2">
        <f t="shared" si="247"/>
        <v>18700</v>
      </c>
      <c r="BW132" s="8">
        <f t="shared" si="317"/>
        <v>5.2499999999999998E-2</v>
      </c>
      <c r="BX132" s="2">
        <f t="shared" si="248"/>
        <v>19190.875000000004</v>
      </c>
      <c r="BY132" s="2">
        <f t="shared" si="318"/>
        <v>374</v>
      </c>
      <c r="BZ132" s="2">
        <f t="shared" si="273"/>
        <v>23300</v>
      </c>
      <c r="CA132" s="8">
        <f t="shared" si="270"/>
        <v>4.3999999999999997E-2</v>
      </c>
      <c r="CB132" s="2">
        <f t="shared" si="249"/>
        <v>23812.600000000002</v>
      </c>
      <c r="CC132" s="2">
        <f t="shared" si="271"/>
        <v>466</v>
      </c>
      <c r="CD132" s="2">
        <f t="shared" si="285"/>
        <v>0</v>
      </c>
      <c r="CE132" s="2">
        <f t="shared" si="250"/>
        <v>0</v>
      </c>
      <c r="CF132" s="2">
        <f t="shared" si="251"/>
        <v>57.600000000000364</v>
      </c>
      <c r="CG132" s="1">
        <f t="shared" si="312"/>
        <v>0</v>
      </c>
      <c r="CH132" s="2">
        <f t="shared" si="286"/>
        <v>57.600000000000364</v>
      </c>
      <c r="CI132" s="1">
        <f t="shared" si="242"/>
        <v>0</v>
      </c>
      <c r="CJ132" s="2">
        <f t="shared" si="252"/>
        <v>57.600000000000364</v>
      </c>
      <c r="CK132" s="2">
        <f t="shared" si="253"/>
        <v>154663.47500000001</v>
      </c>
      <c r="CL132" s="2">
        <f t="shared" si="287"/>
        <v>0</v>
      </c>
      <c r="CM132" s="2">
        <f t="shared" si="216"/>
        <v>1284.6745350000001</v>
      </c>
      <c r="CN132" s="2">
        <f t="shared" si="288"/>
        <v>153378.80046500001</v>
      </c>
      <c r="CO132" s="2">
        <f t="shared" si="217"/>
        <v>3024</v>
      </c>
      <c r="CP132" s="2">
        <f t="shared" si="289"/>
        <v>9811.500250000001</v>
      </c>
      <c r="CQ132" s="2">
        <f t="shared" si="290"/>
        <v>140543.300215</v>
      </c>
      <c r="CS132" s="5">
        <f t="shared" si="304"/>
        <v>1000</v>
      </c>
      <c r="CT132" s="2">
        <f t="shared" si="305"/>
        <v>100000</v>
      </c>
      <c r="CU132" s="2">
        <f t="shared" si="306"/>
        <v>100000</v>
      </c>
      <c r="CV132" s="2">
        <f t="shared" si="307"/>
        <v>155054.46669716953</v>
      </c>
      <c r="CW132" s="8">
        <f t="shared" si="291"/>
        <v>4.9000000000000002E-2</v>
      </c>
      <c r="CX132" s="2">
        <f t="shared" si="292"/>
        <v>158853.30113125016</v>
      </c>
      <c r="CY132" s="2" t="str">
        <f t="shared" si="293"/>
        <v>nie</v>
      </c>
      <c r="CZ132" s="2">
        <f t="shared" si="222"/>
        <v>0</v>
      </c>
      <c r="DA132" s="2">
        <f t="shared" si="223"/>
        <v>0</v>
      </c>
      <c r="DB132" s="2">
        <f t="shared" si="224"/>
        <v>158853.30113125016</v>
      </c>
      <c r="DC132" s="2">
        <f t="shared" si="294"/>
        <v>0</v>
      </c>
      <c r="DD132" s="2">
        <f t="shared" si="225"/>
        <v>1308.4596157510086</v>
      </c>
      <c r="DE132" s="2">
        <f t="shared" si="226"/>
        <v>157544.84151549917</v>
      </c>
      <c r="DF132" s="2">
        <f t="shared" si="295"/>
        <v>3000</v>
      </c>
      <c r="DG132" s="2">
        <f t="shared" si="296"/>
        <v>10612.127214937531</v>
      </c>
      <c r="DH132" s="2">
        <f t="shared" si="227"/>
        <v>143932.71430056164</v>
      </c>
    </row>
    <row r="133" spans="2:112">
      <c r="B133" s="231">
        <f>ROUNDUP(C134/12,0)</f>
        <v>9</v>
      </c>
      <c r="C133" s="3">
        <f t="shared" si="256"/>
        <v>96</v>
      </c>
      <c r="D133" s="10">
        <f t="shared" si="259"/>
        <v>144154.45260990219</v>
      </c>
      <c r="E133" s="10">
        <f t="shared" si="260"/>
        <v>134479.814855323</v>
      </c>
      <c r="F133" s="10">
        <f t="shared" si="261"/>
        <v>142724.37166499998</v>
      </c>
      <c r="G133" s="10">
        <f t="shared" si="262"/>
        <v>133853.549665</v>
      </c>
      <c r="H133" s="10">
        <f t="shared" si="263"/>
        <v>146658.28855654152</v>
      </c>
      <c r="I133" s="10">
        <f t="shared" si="264"/>
        <v>135144.06675247839</v>
      </c>
      <c r="J133" s="10">
        <f t="shared" si="257"/>
        <v>133797.6003937895</v>
      </c>
      <c r="K133" s="10">
        <f t="shared" si="258"/>
        <v>125696.44590878957</v>
      </c>
      <c r="W133" s="1">
        <f t="shared" si="297"/>
        <v>115</v>
      </c>
      <c r="X133" s="2">
        <f t="shared" si="274"/>
        <v>131529.67229819021</v>
      </c>
      <c r="Y133" s="8">
        <f t="shared" si="310"/>
        <v>4.3200000000000002E-2</v>
      </c>
      <c r="Z133" s="5">
        <f t="shared" si="298"/>
        <v>1516</v>
      </c>
      <c r="AA133" s="2">
        <f t="shared" si="299"/>
        <v>151448.4</v>
      </c>
      <c r="AB133" s="2">
        <f t="shared" si="207"/>
        <v>151600</v>
      </c>
      <c r="AC133" s="2">
        <f t="shared" si="300"/>
        <v>151600</v>
      </c>
      <c r="AD133" s="8">
        <f t="shared" si="275"/>
        <v>4.9000000000000002E-2</v>
      </c>
      <c r="AE133" s="2">
        <f t="shared" si="179"/>
        <v>155933.23333333334</v>
      </c>
      <c r="AF133" s="2" t="str">
        <f t="shared" si="276"/>
        <v>nie</v>
      </c>
      <c r="AG133" s="2">
        <f t="shared" si="277"/>
        <v>1516</v>
      </c>
      <c r="AH133" s="1">
        <f t="shared" si="233"/>
        <v>1</v>
      </c>
      <c r="AI133" s="1">
        <f t="shared" si="265"/>
        <v>0</v>
      </c>
      <c r="AJ133" s="1">
        <f t="shared" si="308"/>
        <v>0</v>
      </c>
      <c r="AK133" s="1">
        <f t="shared" si="319"/>
        <v>0</v>
      </c>
      <c r="AL133" s="2">
        <f t="shared" si="243"/>
        <v>100</v>
      </c>
      <c r="AM133" s="8">
        <f t="shared" si="313"/>
        <v>4.9000000000000002E-2</v>
      </c>
      <c r="AN133" s="2">
        <f t="shared" si="244"/>
        <v>102.85833333333333</v>
      </c>
      <c r="AO133" s="2">
        <f t="shared" si="314"/>
        <v>1</v>
      </c>
      <c r="AP133" s="2">
        <f t="shared" si="272"/>
        <v>0</v>
      </c>
      <c r="AQ133" s="8">
        <f t="shared" si="266"/>
        <v>4.3200000000000002E-2</v>
      </c>
      <c r="AR133" s="2">
        <f t="shared" si="267"/>
        <v>0</v>
      </c>
      <c r="AS133" s="2">
        <f t="shared" si="268"/>
        <v>0</v>
      </c>
      <c r="AT133" s="2">
        <f t="shared" si="209"/>
        <v>0</v>
      </c>
      <c r="AU133" s="2">
        <f t="shared" si="245"/>
        <v>0</v>
      </c>
      <c r="AV133" s="2">
        <f t="shared" si="236"/>
        <v>18.304318079928635</v>
      </c>
      <c r="AW133" s="1">
        <f t="shared" si="311"/>
        <v>0</v>
      </c>
      <c r="AX133" s="2">
        <f t="shared" si="278"/>
        <v>18.304318079928635</v>
      </c>
      <c r="AY133" s="1">
        <f t="shared" si="237"/>
        <v>0</v>
      </c>
      <c r="AZ133" s="2">
        <f t="shared" si="210"/>
        <v>18.304318079928635</v>
      </c>
      <c r="BA133" s="2">
        <f t="shared" si="246"/>
        <v>156054.3959847466</v>
      </c>
      <c r="BB133" s="2">
        <f t="shared" si="279"/>
        <v>0</v>
      </c>
      <c r="BC133" s="2">
        <f t="shared" si="211"/>
        <v>1288.8917500958235</v>
      </c>
      <c r="BD133" s="2">
        <f t="shared" si="184"/>
        <v>154765.50423465078</v>
      </c>
      <c r="BE133" s="2">
        <f t="shared" si="212"/>
        <v>1517</v>
      </c>
      <c r="BF133" s="2">
        <f t="shared" si="185"/>
        <v>10362.105237101854</v>
      </c>
      <c r="BG133" s="2">
        <f t="shared" si="186"/>
        <v>142886.39899754894</v>
      </c>
      <c r="BI133" s="8">
        <f t="shared" si="315"/>
        <v>2.9000000000000001E-2</v>
      </c>
      <c r="BJ133" s="5">
        <f t="shared" si="301"/>
        <v>1092</v>
      </c>
      <c r="BK133" s="2">
        <f t="shared" si="302"/>
        <v>109090.8</v>
      </c>
      <c r="BL133" s="2">
        <f t="shared" si="303"/>
        <v>109200</v>
      </c>
      <c r="BM133" s="2">
        <f t="shared" si="280"/>
        <v>109200</v>
      </c>
      <c r="BN133" s="8">
        <f t="shared" si="281"/>
        <v>4.3999999999999997E-2</v>
      </c>
      <c r="BO133" s="2">
        <f t="shared" si="282"/>
        <v>112002.8</v>
      </c>
      <c r="BP133" s="2" t="str">
        <f t="shared" si="283"/>
        <v>nie</v>
      </c>
      <c r="BQ133" s="2">
        <f t="shared" si="284"/>
        <v>2184</v>
      </c>
      <c r="BR133" s="1">
        <f t="shared" si="316"/>
        <v>187</v>
      </c>
      <c r="BS133" s="1">
        <f t="shared" si="269"/>
        <v>22</v>
      </c>
      <c r="BT133" s="1">
        <f t="shared" si="309"/>
        <v>107</v>
      </c>
      <c r="BU133" s="1">
        <f t="shared" si="320"/>
        <v>104</v>
      </c>
      <c r="BV133" s="2">
        <f t="shared" si="247"/>
        <v>18700</v>
      </c>
      <c r="BW133" s="8">
        <f t="shared" si="317"/>
        <v>5.2499999999999998E-2</v>
      </c>
      <c r="BX133" s="2">
        <f t="shared" si="248"/>
        <v>19272.687499999996</v>
      </c>
      <c r="BY133" s="2">
        <f t="shared" si="318"/>
        <v>374</v>
      </c>
      <c r="BZ133" s="2">
        <f t="shared" si="273"/>
        <v>23300</v>
      </c>
      <c r="CA133" s="8">
        <f t="shared" si="270"/>
        <v>4.3999999999999997E-2</v>
      </c>
      <c r="CB133" s="2">
        <f t="shared" si="249"/>
        <v>23898.033333333336</v>
      </c>
      <c r="CC133" s="2">
        <f t="shared" si="271"/>
        <v>466</v>
      </c>
      <c r="CD133" s="2">
        <f t="shared" si="285"/>
        <v>0</v>
      </c>
      <c r="CE133" s="2">
        <f t="shared" si="250"/>
        <v>0</v>
      </c>
      <c r="CF133" s="2">
        <f t="shared" si="251"/>
        <v>57.600000000000364</v>
      </c>
      <c r="CG133" s="1">
        <f t="shared" si="312"/>
        <v>0</v>
      </c>
      <c r="CH133" s="2">
        <f t="shared" si="286"/>
        <v>57.600000000000364</v>
      </c>
      <c r="CI133" s="1">
        <f t="shared" si="242"/>
        <v>0</v>
      </c>
      <c r="CJ133" s="2">
        <f t="shared" si="252"/>
        <v>57.600000000000364</v>
      </c>
      <c r="CK133" s="2">
        <f t="shared" si="253"/>
        <v>155231.12083333332</v>
      </c>
      <c r="CL133" s="2">
        <f t="shared" si="287"/>
        <v>0</v>
      </c>
      <c r="CM133" s="2">
        <f t="shared" si="216"/>
        <v>1284.6745350000001</v>
      </c>
      <c r="CN133" s="2">
        <f t="shared" si="288"/>
        <v>153946.44629833332</v>
      </c>
      <c r="CO133" s="2">
        <f t="shared" si="217"/>
        <v>3024</v>
      </c>
      <c r="CP133" s="2">
        <f t="shared" si="289"/>
        <v>9919.3529583333311</v>
      </c>
      <c r="CQ133" s="2">
        <f t="shared" si="290"/>
        <v>141003.09333999999</v>
      </c>
      <c r="CS133" s="5">
        <f t="shared" si="304"/>
        <v>1000</v>
      </c>
      <c r="CT133" s="2">
        <f t="shared" si="305"/>
        <v>100000</v>
      </c>
      <c r="CU133" s="2">
        <f t="shared" si="306"/>
        <v>100000</v>
      </c>
      <c r="CV133" s="2">
        <f t="shared" si="307"/>
        <v>155054.46669716953</v>
      </c>
      <c r="CW133" s="8">
        <f t="shared" si="291"/>
        <v>4.9000000000000002E-2</v>
      </c>
      <c r="CX133" s="2">
        <f t="shared" si="292"/>
        <v>159486.44020359695</v>
      </c>
      <c r="CY133" s="2" t="str">
        <f t="shared" si="293"/>
        <v>nie</v>
      </c>
      <c r="CZ133" s="2">
        <f t="shared" si="222"/>
        <v>0</v>
      </c>
      <c r="DA133" s="2">
        <f t="shared" si="223"/>
        <v>0</v>
      </c>
      <c r="DB133" s="2">
        <f t="shared" si="224"/>
        <v>159486.44020359695</v>
      </c>
      <c r="DC133" s="2">
        <f t="shared" si="294"/>
        <v>0</v>
      </c>
      <c r="DD133" s="2">
        <f t="shared" si="225"/>
        <v>1308.4596157510086</v>
      </c>
      <c r="DE133" s="2">
        <f t="shared" si="226"/>
        <v>158177.98058784596</v>
      </c>
      <c r="DF133" s="2">
        <f t="shared" si="295"/>
        <v>3000</v>
      </c>
      <c r="DG133" s="2">
        <f t="shared" si="296"/>
        <v>10732.423638683422</v>
      </c>
      <c r="DH133" s="2">
        <f t="shared" si="227"/>
        <v>144445.55694916254</v>
      </c>
    </row>
    <row r="134" spans="2:112">
      <c r="B134" s="232"/>
      <c r="C134" s="1">
        <f t="shared" ref="C134:C165" si="321">W115</f>
        <v>97</v>
      </c>
      <c r="D134" s="2">
        <f t="shared" si="259"/>
        <v>144747.56874890221</v>
      </c>
      <c r="E134" s="2">
        <f t="shared" si="260"/>
        <v>134960.23892791301</v>
      </c>
      <c r="F134" s="2">
        <f t="shared" si="261"/>
        <v>143440.81333166666</v>
      </c>
      <c r="G134" s="2">
        <f t="shared" si="262"/>
        <v>134050.43366499999</v>
      </c>
      <c r="H134" s="2">
        <f t="shared" si="263"/>
        <v>147261.85297250605</v>
      </c>
      <c r="I134" s="2">
        <f t="shared" si="264"/>
        <v>135632.95392940968</v>
      </c>
      <c r="J134" s="2">
        <f t="shared" ref="J134:J165" si="322">FV(INDEX(scenariusz_I_konto,MATCH(ROUNDUP(C134/12,0),scenariusz_I_rok,0))/12*(1-podatek_Belki),1,0,-J133,1)</f>
        <v>134204.01060498564</v>
      </c>
      <c r="K134" s="2">
        <f t="shared" ref="K134:K165" si="323">X115</f>
        <v>126000.21231973582</v>
      </c>
      <c r="W134" s="1">
        <f t="shared" si="297"/>
        <v>116</v>
      </c>
      <c r="X134" s="2">
        <f t="shared" si="274"/>
        <v>131842.24793505392</v>
      </c>
      <c r="Y134" s="8">
        <f t="shared" si="310"/>
        <v>4.3200000000000002E-2</v>
      </c>
      <c r="Z134" s="5">
        <f t="shared" si="298"/>
        <v>1516</v>
      </c>
      <c r="AA134" s="2">
        <f t="shared" si="299"/>
        <v>151448.4</v>
      </c>
      <c r="AB134" s="2">
        <f t="shared" si="207"/>
        <v>151600</v>
      </c>
      <c r="AC134" s="2">
        <f t="shared" si="300"/>
        <v>151600</v>
      </c>
      <c r="AD134" s="8">
        <f t="shared" si="275"/>
        <v>4.9000000000000002E-2</v>
      </c>
      <c r="AE134" s="2">
        <f t="shared" si="179"/>
        <v>156552.26666666666</v>
      </c>
      <c r="AF134" s="2" t="str">
        <f t="shared" si="276"/>
        <v>nie</v>
      </c>
      <c r="AG134" s="2">
        <f t="shared" si="277"/>
        <v>1516</v>
      </c>
      <c r="AH134" s="1">
        <f t="shared" si="233"/>
        <v>1</v>
      </c>
      <c r="AI134" s="1">
        <f t="shared" si="265"/>
        <v>0</v>
      </c>
      <c r="AJ134" s="1">
        <f t="shared" si="308"/>
        <v>0</v>
      </c>
      <c r="AK134" s="1">
        <f t="shared" si="319"/>
        <v>0</v>
      </c>
      <c r="AL134" s="2">
        <f t="shared" si="243"/>
        <v>100</v>
      </c>
      <c r="AM134" s="8">
        <f t="shared" si="313"/>
        <v>4.9000000000000002E-2</v>
      </c>
      <c r="AN134" s="2">
        <f t="shared" si="244"/>
        <v>103.26666666666667</v>
      </c>
      <c r="AO134" s="2">
        <f t="shared" si="314"/>
        <v>1</v>
      </c>
      <c r="AP134" s="2">
        <f t="shared" si="272"/>
        <v>0</v>
      </c>
      <c r="AQ134" s="8">
        <f t="shared" si="266"/>
        <v>4.3200000000000002E-2</v>
      </c>
      <c r="AR134" s="2">
        <f t="shared" si="267"/>
        <v>0</v>
      </c>
      <c r="AS134" s="2">
        <f t="shared" si="268"/>
        <v>0</v>
      </c>
      <c r="AT134" s="2">
        <f t="shared" si="209"/>
        <v>0</v>
      </c>
      <c r="AU134" s="2">
        <f t="shared" si="245"/>
        <v>0</v>
      </c>
      <c r="AV134" s="2">
        <f t="shared" si="236"/>
        <v>18.304318079928635</v>
      </c>
      <c r="AW134" s="1">
        <f t="shared" si="311"/>
        <v>0</v>
      </c>
      <c r="AX134" s="2">
        <f t="shared" si="278"/>
        <v>18.304318079928635</v>
      </c>
      <c r="AY134" s="1">
        <f t="shared" si="237"/>
        <v>0</v>
      </c>
      <c r="AZ134" s="2">
        <f t="shared" si="210"/>
        <v>18.304318079928635</v>
      </c>
      <c r="BA134" s="2">
        <f t="shared" si="246"/>
        <v>156673.83765141325</v>
      </c>
      <c r="BB134" s="2">
        <f t="shared" si="279"/>
        <v>0</v>
      </c>
      <c r="BC134" s="2">
        <f t="shared" si="211"/>
        <v>1288.8917500958235</v>
      </c>
      <c r="BD134" s="2">
        <f t="shared" si="184"/>
        <v>155384.94590131743</v>
      </c>
      <c r="BE134" s="2">
        <f t="shared" si="212"/>
        <v>1517</v>
      </c>
      <c r="BF134" s="2">
        <f t="shared" si="185"/>
        <v>10479.799153768519</v>
      </c>
      <c r="BG134" s="2">
        <f t="shared" si="186"/>
        <v>143388.14674754892</v>
      </c>
      <c r="BI134" s="8">
        <f t="shared" si="315"/>
        <v>2.9000000000000001E-2</v>
      </c>
      <c r="BJ134" s="5">
        <f t="shared" si="301"/>
        <v>1092</v>
      </c>
      <c r="BK134" s="2">
        <f t="shared" si="302"/>
        <v>109090.8</v>
      </c>
      <c r="BL134" s="2">
        <f t="shared" si="303"/>
        <v>109200</v>
      </c>
      <c r="BM134" s="2">
        <f t="shared" si="280"/>
        <v>109200</v>
      </c>
      <c r="BN134" s="8">
        <f t="shared" si="281"/>
        <v>4.3999999999999997E-2</v>
      </c>
      <c r="BO134" s="2">
        <f t="shared" si="282"/>
        <v>112403.20000000001</v>
      </c>
      <c r="BP134" s="2" t="str">
        <f t="shared" si="283"/>
        <v>nie</v>
      </c>
      <c r="BQ134" s="2">
        <f t="shared" si="284"/>
        <v>2184</v>
      </c>
      <c r="BR134" s="1">
        <f t="shared" si="316"/>
        <v>187</v>
      </c>
      <c r="BS134" s="1">
        <f t="shared" si="269"/>
        <v>22</v>
      </c>
      <c r="BT134" s="1">
        <f t="shared" si="309"/>
        <v>107</v>
      </c>
      <c r="BU134" s="1">
        <f t="shared" si="320"/>
        <v>104</v>
      </c>
      <c r="BV134" s="2">
        <f t="shared" si="247"/>
        <v>18700</v>
      </c>
      <c r="BW134" s="8">
        <f t="shared" si="317"/>
        <v>5.2499999999999998E-2</v>
      </c>
      <c r="BX134" s="2">
        <f t="shared" si="248"/>
        <v>19354.5</v>
      </c>
      <c r="BY134" s="2">
        <f t="shared" si="318"/>
        <v>374</v>
      </c>
      <c r="BZ134" s="2">
        <f t="shared" si="273"/>
        <v>23300</v>
      </c>
      <c r="CA134" s="8">
        <f t="shared" si="270"/>
        <v>4.3999999999999997E-2</v>
      </c>
      <c r="CB134" s="2">
        <f t="shared" si="249"/>
        <v>23983.466666666671</v>
      </c>
      <c r="CC134" s="2">
        <f t="shared" si="271"/>
        <v>466</v>
      </c>
      <c r="CD134" s="2">
        <f t="shared" si="285"/>
        <v>0</v>
      </c>
      <c r="CE134" s="2">
        <f t="shared" si="250"/>
        <v>0</v>
      </c>
      <c r="CF134" s="2">
        <f t="shared" si="251"/>
        <v>57.600000000000364</v>
      </c>
      <c r="CG134" s="1">
        <f t="shared" si="312"/>
        <v>0</v>
      </c>
      <c r="CH134" s="2">
        <f t="shared" si="286"/>
        <v>57.600000000000364</v>
      </c>
      <c r="CI134" s="1">
        <f t="shared" si="242"/>
        <v>0</v>
      </c>
      <c r="CJ134" s="2">
        <f t="shared" si="252"/>
        <v>57.600000000000364</v>
      </c>
      <c r="CK134" s="2">
        <f t="shared" si="253"/>
        <v>155798.76666666669</v>
      </c>
      <c r="CL134" s="2">
        <f t="shared" si="287"/>
        <v>0</v>
      </c>
      <c r="CM134" s="2">
        <f t="shared" si="216"/>
        <v>1284.6745350000001</v>
      </c>
      <c r="CN134" s="2">
        <f t="shared" si="288"/>
        <v>154514.09213166669</v>
      </c>
      <c r="CO134" s="2">
        <f t="shared" si="217"/>
        <v>3024</v>
      </c>
      <c r="CP134" s="2">
        <f t="shared" si="289"/>
        <v>10027.205666666672</v>
      </c>
      <c r="CQ134" s="2">
        <f t="shared" si="290"/>
        <v>141462.88646500002</v>
      </c>
      <c r="CS134" s="5">
        <f t="shared" si="304"/>
        <v>1000</v>
      </c>
      <c r="CT134" s="2">
        <f t="shared" si="305"/>
        <v>100000</v>
      </c>
      <c r="CU134" s="2">
        <f t="shared" si="306"/>
        <v>100000</v>
      </c>
      <c r="CV134" s="2">
        <f t="shared" si="307"/>
        <v>155054.46669716953</v>
      </c>
      <c r="CW134" s="8">
        <f t="shared" si="291"/>
        <v>4.9000000000000002E-2</v>
      </c>
      <c r="CX134" s="2">
        <f t="shared" si="292"/>
        <v>160119.57927594372</v>
      </c>
      <c r="CY134" s="2" t="str">
        <f t="shared" si="293"/>
        <v>nie</v>
      </c>
      <c r="CZ134" s="2">
        <f t="shared" si="222"/>
        <v>0</v>
      </c>
      <c r="DA134" s="2">
        <f t="shared" si="223"/>
        <v>0</v>
      </c>
      <c r="DB134" s="2">
        <f t="shared" si="224"/>
        <v>160119.57927594372</v>
      </c>
      <c r="DC134" s="2">
        <f t="shared" si="294"/>
        <v>0</v>
      </c>
      <c r="DD134" s="2">
        <f t="shared" si="225"/>
        <v>1308.4596157510086</v>
      </c>
      <c r="DE134" s="2">
        <f t="shared" si="226"/>
        <v>158811.11966019272</v>
      </c>
      <c r="DF134" s="2">
        <f t="shared" si="295"/>
        <v>3000</v>
      </c>
      <c r="DG134" s="2">
        <f t="shared" si="296"/>
        <v>10852.720062429307</v>
      </c>
      <c r="DH134" s="2">
        <f t="shared" si="227"/>
        <v>144958.3995977634</v>
      </c>
    </row>
    <row r="135" spans="2:112">
      <c r="B135" s="232"/>
      <c r="C135" s="1">
        <f t="shared" si="321"/>
        <v>98</v>
      </c>
      <c r="D135" s="2">
        <f t="shared" si="259"/>
        <v>145340.6848879022</v>
      </c>
      <c r="E135" s="2">
        <f t="shared" si="260"/>
        <v>135440.663000503</v>
      </c>
      <c r="F135" s="2">
        <f t="shared" si="261"/>
        <v>144047.35499833335</v>
      </c>
      <c r="G135" s="2">
        <f t="shared" si="262"/>
        <v>134146.95866500001</v>
      </c>
      <c r="H135" s="2">
        <f t="shared" si="263"/>
        <v>147865.41738847055</v>
      </c>
      <c r="I135" s="2">
        <f t="shared" si="264"/>
        <v>136121.84110634093</v>
      </c>
      <c r="J135" s="2">
        <f t="shared" si="322"/>
        <v>134611.65528719829</v>
      </c>
      <c r="K135" s="2">
        <f t="shared" si="323"/>
        <v>126303.97873068204</v>
      </c>
      <c r="W135" s="1">
        <f t="shared" si="297"/>
        <v>117</v>
      </c>
      <c r="X135" s="2">
        <f t="shared" si="274"/>
        <v>132154.82357191757</v>
      </c>
      <c r="Y135" s="8">
        <f t="shared" si="310"/>
        <v>4.3200000000000002E-2</v>
      </c>
      <c r="Z135" s="5">
        <f t="shared" si="298"/>
        <v>1516</v>
      </c>
      <c r="AA135" s="2">
        <f t="shared" si="299"/>
        <v>151448.4</v>
      </c>
      <c r="AB135" s="2">
        <f t="shared" si="207"/>
        <v>151600</v>
      </c>
      <c r="AC135" s="2">
        <f t="shared" si="300"/>
        <v>151600</v>
      </c>
      <c r="AD135" s="8">
        <f t="shared" si="275"/>
        <v>4.9000000000000002E-2</v>
      </c>
      <c r="AE135" s="2">
        <f t="shared" si="179"/>
        <v>157171.30000000002</v>
      </c>
      <c r="AF135" s="2" t="str">
        <f t="shared" si="276"/>
        <v>nie</v>
      </c>
      <c r="AG135" s="2">
        <f t="shared" si="277"/>
        <v>1516</v>
      </c>
      <c r="AH135" s="1">
        <f t="shared" si="233"/>
        <v>1</v>
      </c>
      <c r="AI135" s="1">
        <f t="shared" si="265"/>
        <v>0</v>
      </c>
      <c r="AJ135" s="1">
        <f t="shared" si="308"/>
        <v>0</v>
      </c>
      <c r="AK135" s="1">
        <f t="shared" si="319"/>
        <v>0</v>
      </c>
      <c r="AL135" s="2">
        <f t="shared" si="243"/>
        <v>100</v>
      </c>
      <c r="AM135" s="8">
        <f t="shared" si="313"/>
        <v>4.9000000000000002E-2</v>
      </c>
      <c r="AN135" s="2">
        <f t="shared" si="244"/>
        <v>103.67500000000001</v>
      </c>
      <c r="AO135" s="2">
        <f t="shared" si="314"/>
        <v>1</v>
      </c>
      <c r="AP135" s="2">
        <f t="shared" si="272"/>
        <v>0</v>
      </c>
      <c r="AQ135" s="8">
        <f t="shared" si="266"/>
        <v>4.3200000000000002E-2</v>
      </c>
      <c r="AR135" s="2">
        <f t="shared" si="267"/>
        <v>0</v>
      </c>
      <c r="AS135" s="2">
        <f t="shared" si="268"/>
        <v>0</v>
      </c>
      <c r="AT135" s="2">
        <f t="shared" si="209"/>
        <v>0</v>
      </c>
      <c r="AU135" s="2">
        <f t="shared" si="245"/>
        <v>0</v>
      </c>
      <c r="AV135" s="2">
        <f t="shared" si="236"/>
        <v>18.304318079928635</v>
      </c>
      <c r="AW135" s="1">
        <f t="shared" si="311"/>
        <v>0</v>
      </c>
      <c r="AX135" s="2">
        <f t="shared" si="278"/>
        <v>18.304318079928635</v>
      </c>
      <c r="AY135" s="1">
        <f t="shared" si="237"/>
        <v>0</v>
      </c>
      <c r="AZ135" s="2">
        <f t="shared" si="210"/>
        <v>18.304318079928635</v>
      </c>
      <c r="BA135" s="2">
        <f t="shared" si="246"/>
        <v>157293.27931807993</v>
      </c>
      <c r="BB135" s="2">
        <f t="shared" si="279"/>
        <v>0</v>
      </c>
      <c r="BC135" s="2">
        <f t="shared" si="211"/>
        <v>1288.8917500958235</v>
      </c>
      <c r="BD135" s="2">
        <f t="shared" si="184"/>
        <v>156004.38756798411</v>
      </c>
      <c r="BE135" s="2">
        <f t="shared" si="212"/>
        <v>1517</v>
      </c>
      <c r="BF135" s="2">
        <f t="shared" si="185"/>
        <v>10597.493070435188</v>
      </c>
      <c r="BG135" s="2">
        <f t="shared" si="186"/>
        <v>143889.89449754893</v>
      </c>
      <c r="BI135" s="8">
        <f t="shared" si="315"/>
        <v>2.9000000000000001E-2</v>
      </c>
      <c r="BJ135" s="5">
        <f t="shared" si="301"/>
        <v>1092</v>
      </c>
      <c r="BK135" s="2">
        <f t="shared" si="302"/>
        <v>109090.8</v>
      </c>
      <c r="BL135" s="2">
        <f t="shared" si="303"/>
        <v>109200</v>
      </c>
      <c r="BM135" s="2">
        <f t="shared" si="280"/>
        <v>109200</v>
      </c>
      <c r="BN135" s="8">
        <f t="shared" si="281"/>
        <v>4.3999999999999997E-2</v>
      </c>
      <c r="BO135" s="2">
        <f t="shared" si="282"/>
        <v>112803.59999999999</v>
      </c>
      <c r="BP135" s="2" t="str">
        <f t="shared" si="283"/>
        <v>nie</v>
      </c>
      <c r="BQ135" s="2">
        <f t="shared" si="284"/>
        <v>2184</v>
      </c>
      <c r="BR135" s="1">
        <f t="shared" si="316"/>
        <v>187</v>
      </c>
      <c r="BS135" s="1">
        <f t="shared" si="269"/>
        <v>22</v>
      </c>
      <c r="BT135" s="1">
        <f t="shared" si="309"/>
        <v>107</v>
      </c>
      <c r="BU135" s="1">
        <f t="shared" si="320"/>
        <v>104</v>
      </c>
      <c r="BV135" s="2">
        <f t="shared" si="247"/>
        <v>18700</v>
      </c>
      <c r="BW135" s="8">
        <f t="shared" si="317"/>
        <v>5.2499999999999998E-2</v>
      </c>
      <c r="BX135" s="2">
        <f t="shared" si="248"/>
        <v>19436.3125</v>
      </c>
      <c r="BY135" s="2">
        <f t="shared" si="318"/>
        <v>374</v>
      </c>
      <c r="BZ135" s="2">
        <f t="shared" si="273"/>
        <v>23300</v>
      </c>
      <c r="CA135" s="8">
        <f t="shared" si="270"/>
        <v>4.3999999999999997E-2</v>
      </c>
      <c r="CB135" s="2">
        <f t="shared" si="249"/>
        <v>24068.899999999998</v>
      </c>
      <c r="CC135" s="2">
        <f t="shared" si="271"/>
        <v>466</v>
      </c>
      <c r="CD135" s="2">
        <f t="shared" si="285"/>
        <v>0</v>
      </c>
      <c r="CE135" s="2">
        <f t="shared" si="250"/>
        <v>0</v>
      </c>
      <c r="CF135" s="2">
        <f t="shared" si="251"/>
        <v>57.600000000000364</v>
      </c>
      <c r="CG135" s="1">
        <f t="shared" si="312"/>
        <v>0</v>
      </c>
      <c r="CH135" s="2">
        <f t="shared" si="286"/>
        <v>57.600000000000364</v>
      </c>
      <c r="CI135" s="1">
        <f t="shared" si="242"/>
        <v>0</v>
      </c>
      <c r="CJ135" s="2">
        <f t="shared" si="252"/>
        <v>57.600000000000364</v>
      </c>
      <c r="CK135" s="2">
        <f t="shared" si="253"/>
        <v>156366.41249999998</v>
      </c>
      <c r="CL135" s="2">
        <f t="shared" si="287"/>
        <v>0</v>
      </c>
      <c r="CM135" s="2">
        <f t="shared" si="216"/>
        <v>1284.6745350000001</v>
      </c>
      <c r="CN135" s="2">
        <f t="shared" si="288"/>
        <v>155081.73796499998</v>
      </c>
      <c r="CO135" s="2">
        <f t="shared" si="217"/>
        <v>3024</v>
      </c>
      <c r="CP135" s="2">
        <f t="shared" si="289"/>
        <v>10135.058374999995</v>
      </c>
      <c r="CQ135" s="2">
        <f t="shared" si="290"/>
        <v>141922.67958999999</v>
      </c>
      <c r="CS135" s="5">
        <f t="shared" si="304"/>
        <v>1000</v>
      </c>
      <c r="CT135" s="2">
        <f t="shared" si="305"/>
        <v>100000</v>
      </c>
      <c r="CU135" s="2">
        <f t="shared" si="306"/>
        <v>100000</v>
      </c>
      <c r="CV135" s="2">
        <f t="shared" si="307"/>
        <v>155054.46669716953</v>
      </c>
      <c r="CW135" s="8">
        <f t="shared" si="291"/>
        <v>4.9000000000000002E-2</v>
      </c>
      <c r="CX135" s="2">
        <f t="shared" si="292"/>
        <v>160752.71834829051</v>
      </c>
      <c r="CY135" s="2" t="str">
        <f t="shared" si="293"/>
        <v>nie</v>
      </c>
      <c r="CZ135" s="2">
        <f t="shared" si="222"/>
        <v>0</v>
      </c>
      <c r="DA135" s="2">
        <f t="shared" si="223"/>
        <v>0</v>
      </c>
      <c r="DB135" s="2">
        <f t="shared" si="224"/>
        <v>160752.71834829051</v>
      </c>
      <c r="DC135" s="2">
        <f t="shared" si="294"/>
        <v>0</v>
      </c>
      <c r="DD135" s="2">
        <f t="shared" si="225"/>
        <v>1308.4596157510086</v>
      </c>
      <c r="DE135" s="2">
        <f t="shared" si="226"/>
        <v>159444.25873253951</v>
      </c>
      <c r="DF135" s="2">
        <f t="shared" si="295"/>
        <v>3000</v>
      </c>
      <c r="DG135" s="2">
        <f t="shared" si="296"/>
        <v>10973.016486175196</v>
      </c>
      <c r="DH135" s="2">
        <f t="shared" si="227"/>
        <v>145471.24224636433</v>
      </c>
    </row>
    <row r="136" spans="2:112">
      <c r="B136" s="232"/>
      <c r="C136" s="1">
        <f t="shared" si="321"/>
        <v>99</v>
      </c>
      <c r="D136" s="2">
        <f t="shared" si="259"/>
        <v>145933.80102690219</v>
      </c>
      <c r="E136" s="2">
        <f t="shared" si="260"/>
        <v>135921.08707309299</v>
      </c>
      <c r="F136" s="2">
        <f t="shared" si="261"/>
        <v>144653.89666500001</v>
      </c>
      <c r="G136" s="2">
        <f t="shared" si="262"/>
        <v>134243.48366500001</v>
      </c>
      <c r="H136" s="2">
        <f t="shared" si="263"/>
        <v>148468.98180443508</v>
      </c>
      <c r="I136" s="2">
        <f t="shared" si="264"/>
        <v>136610.72828327218</v>
      </c>
      <c r="J136" s="2">
        <f t="shared" si="322"/>
        <v>135020.53819013314</v>
      </c>
      <c r="K136" s="2">
        <f t="shared" si="323"/>
        <v>126607.74514162829</v>
      </c>
      <c r="W136" s="1">
        <f t="shared" si="297"/>
        <v>118</v>
      </c>
      <c r="X136" s="2">
        <f t="shared" si="274"/>
        <v>132467.39920878128</v>
      </c>
      <c r="Y136" s="8">
        <f t="shared" si="310"/>
        <v>4.3200000000000002E-2</v>
      </c>
      <c r="Z136" s="5">
        <f t="shared" si="298"/>
        <v>1516</v>
      </c>
      <c r="AA136" s="2">
        <f t="shared" si="299"/>
        <v>151448.4</v>
      </c>
      <c r="AB136" s="2">
        <f t="shared" si="207"/>
        <v>151600</v>
      </c>
      <c r="AC136" s="2">
        <f t="shared" si="300"/>
        <v>151600</v>
      </c>
      <c r="AD136" s="8">
        <f t="shared" si="275"/>
        <v>4.9000000000000002E-2</v>
      </c>
      <c r="AE136" s="2">
        <f t="shared" si="179"/>
        <v>157790.33333333331</v>
      </c>
      <c r="AF136" s="2" t="str">
        <f t="shared" si="276"/>
        <v>nie</v>
      </c>
      <c r="AG136" s="2">
        <f t="shared" si="277"/>
        <v>1516</v>
      </c>
      <c r="AH136" s="1">
        <f t="shared" si="233"/>
        <v>1</v>
      </c>
      <c r="AI136" s="1">
        <f t="shared" si="265"/>
        <v>0</v>
      </c>
      <c r="AJ136" s="1">
        <f t="shared" si="308"/>
        <v>0</v>
      </c>
      <c r="AK136" s="1">
        <f t="shared" si="319"/>
        <v>0</v>
      </c>
      <c r="AL136" s="2">
        <f t="shared" si="243"/>
        <v>100</v>
      </c>
      <c r="AM136" s="8">
        <f t="shared" si="313"/>
        <v>4.9000000000000002E-2</v>
      </c>
      <c r="AN136" s="2">
        <f t="shared" si="244"/>
        <v>104.08333333333333</v>
      </c>
      <c r="AO136" s="2">
        <f t="shared" si="314"/>
        <v>1</v>
      </c>
      <c r="AP136" s="2">
        <f t="shared" si="272"/>
        <v>0</v>
      </c>
      <c r="AQ136" s="8">
        <f t="shared" si="266"/>
        <v>4.3200000000000002E-2</v>
      </c>
      <c r="AR136" s="2">
        <f t="shared" si="267"/>
        <v>0</v>
      </c>
      <c r="AS136" s="2">
        <f t="shared" si="268"/>
        <v>0</v>
      </c>
      <c r="AT136" s="2">
        <f t="shared" si="209"/>
        <v>0</v>
      </c>
      <c r="AU136" s="2">
        <f t="shared" si="245"/>
        <v>0</v>
      </c>
      <c r="AV136" s="2">
        <f t="shared" si="236"/>
        <v>18.304318079928635</v>
      </c>
      <c r="AW136" s="1">
        <f t="shared" si="311"/>
        <v>0</v>
      </c>
      <c r="AX136" s="2">
        <f t="shared" si="278"/>
        <v>18.304318079928635</v>
      </c>
      <c r="AY136" s="1">
        <f t="shared" si="237"/>
        <v>0</v>
      </c>
      <c r="AZ136" s="2">
        <f t="shared" si="210"/>
        <v>18.304318079928635</v>
      </c>
      <c r="BA136" s="2">
        <f t="shared" si="246"/>
        <v>157912.72098474659</v>
      </c>
      <c r="BB136" s="2">
        <f t="shared" si="279"/>
        <v>0</v>
      </c>
      <c r="BC136" s="2">
        <f t="shared" si="211"/>
        <v>1288.8917500958235</v>
      </c>
      <c r="BD136" s="2">
        <f t="shared" si="184"/>
        <v>156623.82923465077</v>
      </c>
      <c r="BE136" s="2">
        <f t="shared" si="212"/>
        <v>1517</v>
      </c>
      <c r="BF136" s="2">
        <f t="shared" si="185"/>
        <v>10715.186987101852</v>
      </c>
      <c r="BG136" s="2">
        <f t="shared" si="186"/>
        <v>144391.64224754891</v>
      </c>
      <c r="BI136" s="8">
        <f t="shared" si="315"/>
        <v>2.9000000000000001E-2</v>
      </c>
      <c r="BJ136" s="5">
        <f t="shared" si="301"/>
        <v>1092</v>
      </c>
      <c r="BK136" s="2">
        <f t="shared" si="302"/>
        <v>109090.8</v>
      </c>
      <c r="BL136" s="2">
        <f t="shared" si="303"/>
        <v>109200</v>
      </c>
      <c r="BM136" s="2">
        <f t="shared" si="280"/>
        <v>109200</v>
      </c>
      <c r="BN136" s="8">
        <f t="shared" si="281"/>
        <v>4.3999999999999997E-2</v>
      </c>
      <c r="BO136" s="2">
        <f t="shared" si="282"/>
        <v>113204</v>
      </c>
      <c r="BP136" s="2" t="str">
        <f t="shared" si="283"/>
        <v>nie</v>
      </c>
      <c r="BQ136" s="2">
        <f t="shared" si="284"/>
        <v>2184</v>
      </c>
      <c r="BR136" s="1">
        <f t="shared" si="316"/>
        <v>187</v>
      </c>
      <c r="BS136" s="1">
        <f t="shared" si="269"/>
        <v>22</v>
      </c>
      <c r="BT136" s="1">
        <f t="shared" si="309"/>
        <v>107</v>
      </c>
      <c r="BU136" s="1">
        <f t="shared" si="320"/>
        <v>104</v>
      </c>
      <c r="BV136" s="2">
        <f t="shared" si="247"/>
        <v>18700</v>
      </c>
      <c r="BW136" s="8">
        <f t="shared" si="317"/>
        <v>5.2499999999999998E-2</v>
      </c>
      <c r="BX136" s="2">
        <f t="shared" si="248"/>
        <v>19518.125</v>
      </c>
      <c r="BY136" s="2">
        <f t="shared" si="318"/>
        <v>374</v>
      </c>
      <c r="BZ136" s="2">
        <f t="shared" si="273"/>
        <v>23300</v>
      </c>
      <c r="CA136" s="8">
        <f t="shared" si="270"/>
        <v>4.3999999999999997E-2</v>
      </c>
      <c r="CB136" s="2">
        <f t="shared" si="249"/>
        <v>24154.333333333332</v>
      </c>
      <c r="CC136" s="2">
        <f t="shared" si="271"/>
        <v>466</v>
      </c>
      <c r="CD136" s="2">
        <f t="shared" si="285"/>
        <v>0</v>
      </c>
      <c r="CE136" s="2">
        <f t="shared" si="250"/>
        <v>0</v>
      </c>
      <c r="CF136" s="2">
        <f t="shared" si="251"/>
        <v>57.600000000000364</v>
      </c>
      <c r="CG136" s="1">
        <f t="shared" si="312"/>
        <v>0</v>
      </c>
      <c r="CH136" s="2">
        <f t="shared" si="286"/>
        <v>57.600000000000364</v>
      </c>
      <c r="CI136" s="1">
        <f t="shared" si="242"/>
        <v>0</v>
      </c>
      <c r="CJ136" s="2">
        <f t="shared" si="252"/>
        <v>57.600000000000364</v>
      </c>
      <c r="CK136" s="2">
        <f t="shared" si="253"/>
        <v>156934.05833333335</v>
      </c>
      <c r="CL136" s="2">
        <f t="shared" si="287"/>
        <v>0</v>
      </c>
      <c r="CM136" s="2">
        <f t="shared" si="216"/>
        <v>1284.6745350000001</v>
      </c>
      <c r="CN136" s="2">
        <f t="shared" si="288"/>
        <v>155649.38379833335</v>
      </c>
      <c r="CO136" s="2">
        <f t="shared" si="217"/>
        <v>3024</v>
      </c>
      <c r="CP136" s="2">
        <f t="shared" si="289"/>
        <v>10242.911083333336</v>
      </c>
      <c r="CQ136" s="2">
        <f t="shared" si="290"/>
        <v>142382.47271500001</v>
      </c>
      <c r="CS136" s="5">
        <f t="shared" si="304"/>
        <v>1000</v>
      </c>
      <c r="CT136" s="2">
        <f t="shared" si="305"/>
        <v>100000</v>
      </c>
      <c r="CU136" s="2">
        <f t="shared" si="306"/>
        <v>100000</v>
      </c>
      <c r="CV136" s="2">
        <f t="shared" si="307"/>
        <v>155054.46669716953</v>
      </c>
      <c r="CW136" s="8">
        <f t="shared" si="291"/>
        <v>4.9000000000000002E-2</v>
      </c>
      <c r="CX136" s="2">
        <f t="shared" si="292"/>
        <v>161385.85742063727</v>
      </c>
      <c r="CY136" s="2" t="str">
        <f t="shared" si="293"/>
        <v>nie</v>
      </c>
      <c r="CZ136" s="2">
        <f t="shared" si="222"/>
        <v>0</v>
      </c>
      <c r="DA136" s="2">
        <f t="shared" si="223"/>
        <v>0</v>
      </c>
      <c r="DB136" s="2">
        <f t="shared" si="224"/>
        <v>161385.85742063727</v>
      </c>
      <c r="DC136" s="2">
        <f t="shared" si="294"/>
        <v>0</v>
      </c>
      <c r="DD136" s="2">
        <f t="shared" si="225"/>
        <v>1308.4596157510086</v>
      </c>
      <c r="DE136" s="2">
        <f t="shared" si="226"/>
        <v>160077.39780488628</v>
      </c>
      <c r="DF136" s="2">
        <f t="shared" si="295"/>
        <v>3000</v>
      </c>
      <c r="DG136" s="2">
        <f t="shared" si="296"/>
        <v>11093.312909921082</v>
      </c>
      <c r="DH136" s="2">
        <f t="shared" si="227"/>
        <v>145984.0848949652</v>
      </c>
    </row>
    <row r="137" spans="2:112">
      <c r="B137" s="232"/>
      <c r="C137" s="1">
        <f t="shared" si="321"/>
        <v>100</v>
      </c>
      <c r="D137" s="2">
        <f t="shared" si="259"/>
        <v>146526.91716590218</v>
      </c>
      <c r="E137" s="2">
        <f t="shared" si="260"/>
        <v>136401.51114568301</v>
      </c>
      <c r="F137" s="2">
        <f t="shared" si="261"/>
        <v>145260.43833166669</v>
      </c>
      <c r="G137" s="2">
        <f t="shared" si="262"/>
        <v>134340.00866500003</v>
      </c>
      <c r="H137" s="2">
        <f t="shared" si="263"/>
        <v>149072.54622039958</v>
      </c>
      <c r="I137" s="2">
        <f t="shared" si="264"/>
        <v>137099.61546020344</v>
      </c>
      <c r="J137" s="2">
        <f t="shared" si="322"/>
        <v>135430.66307488567</v>
      </c>
      <c r="K137" s="2">
        <f t="shared" si="323"/>
        <v>126911.51155257454</v>
      </c>
      <c r="W137" s="1">
        <f t="shared" si="297"/>
        <v>119</v>
      </c>
      <c r="X137" s="2">
        <f t="shared" si="274"/>
        <v>132779.97484564496</v>
      </c>
      <c r="Y137" s="8">
        <f t="shared" si="310"/>
        <v>4.3200000000000002E-2</v>
      </c>
      <c r="Z137" s="5">
        <f t="shared" si="298"/>
        <v>1516</v>
      </c>
      <c r="AA137" s="2">
        <f t="shared" si="299"/>
        <v>151448.4</v>
      </c>
      <c r="AB137" s="2">
        <f t="shared" si="207"/>
        <v>151600</v>
      </c>
      <c r="AC137" s="2">
        <f t="shared" si="300"/>
        <v>151600</v>
      </c>
      <c r="AD137" s="8">
        <f t="shared" si="275"/>
        <v>4.9000000000000002E-2</v>
      </c>
      <c r="AE137" s="2">
        <f t="shared" si="179"/>
        <v>158409.36666666667</v>
      </c>
      <c r="AF137" s="2" t="str">
        <f t="shared" si="276"/>
        <v>nie</v>
      </c>
      <c r="AG137" s="2">
        <f t="shared" si="277"/>
        <v>1516</v>
      </c>
      <c r="AH137" s="1">
        <f t="shared" si="233"/>
        <v>1</v>
      </c>
      <c r="AI137" s="1">
        <f t="shared" si="265"/>
        <v>0</v>
      </c>
      <c r="AJ137" s="1">
        <f t="shared" si="308"/>
        <v>0</v>
      </c>
      <c r="AK137" s="1">
        <f t="shared" si="319"/>
        <v>0</v>
      </c>
      <c r="AL137" s="2">
        <f t="shared" si="243"/>
        <v>100</v>
      </c>
      <c r="AM137" s="8">
        <f t="shared" si="313"/>
        <v>4.9000000000000002E-2</v>
      </c>
      <c r="AN137" s="2">
        <f t="shared" si="244"/>
        <v>104.49166666666667</v>
      </c>
      <c r="AO137" s="2">
        <f t="shared" si="314"/>
        <v>1</v>
      </c>
      <c r="AP137" s="2">
        <f t="shared" si="272"/>
        <v>0</v>
      </c>
      <c r="AQ137" s="8">
        <f t="shared" si="266"/>
        <v>4.3200000000000002E-2</v>
      </c>
      <c r="AR137" s="2">
        <f t="shared" si="267"/>
        <v>0</v>
      </c>
      <c r="AS137" s="2">
        <f t="shared" si="268"/>
        <v>0</v>
      </c>
      <c r="AT137" s="2">
        <f t="shared" si="209"/>
        <v>0</v>
      </c>
      <c r="AU137" s="2">
        <f t="shared" si="245"/>
        <v>0</v>
      </c>
      <c r="AV137" s="2">
        <f t="shared" si="236"/>
        <v>18.304318079928635</v>
      </c>
      <c r="AW137" s="1">
        <f t="shared" si="311"/>
        <v>0</v>
      </c>
      <c r="AX137" s="2">
        <f t="shared" si="278"/>
        <v>18.304318079928635</v>
      </c>
      <c r="AY137" s="1">
        <f t="shared" si="237"/>
        <v>0</v>
      </c>
      <c r="AZ137" s="2">
        <f t="shared" si="210"/>
        <v>18.304318079928635</v>
      </c>
      <c r="BA137" s="2">
        <f t="shared" si="246"/>
        <v>158532.16265141327</v>
      </c>
      <c r="BB137" s="2">
        <f t="shared" si="279"/>
        <v>0</v>
      </c>
      <c r="BC137" s="2">
        <f t="shared" si="211"/>
        <v>1288.8917500958235</v>
      </c>
      <c r="BD137" s="2">
        <f t="shared" si="184"/>
        <v>157243.27090131745</v>
      </c>
      <c r="BE137" s="2">
        <f t="shared" si="212"/>
        <v>1517</v>
      </c>
      <c r="BF137" s="2">
        <f t="shared" si="185"/>
        <v>10832.880903768521</v>
      </c>
      <c r="BG137" s="2">
        <f t="shared" si="186"/>
        <v>144893.38999754892</v>
      </c>
      <c r="BI137" s="8">
        <f t="shared" si="315"/>
        <v>2.9000000000000001E-2</v>
      </c>
      <c r="BJ137" s="5">
        <f t="shared" si="301"/>
        <v>1092</v>
      </c>
      <c r="BK137" s="2">
        <f t="shared" si="302"/>
        <v>109090.8</v>
      </c>
      <c r="BL137" s="2">
        <f t="shared" si="303"/>
        <v>109200</v>
      </c>
      <c r="BM137" s="2">
        <f t="shared" si="280"/>
        <v>109200</v>
      </c>
      <c r="BN137" s="8">
        <f t="shared" si="281"/>
        <v>4.3999999999999997E-2</v>
      </c>
      <c r="BO137" s="2">
        <f t="shared" si="282"/>
        <v>113604.4</v>
      </c>
      <c r="BP137" s="2" t="str">
        <f t="shared" si="283"/>
        <v>nie</v>
      </c>
      <c r="BQ137" s="2">
        <f t="shared" si="284"/>
        <v>2184</v>
      </c>
      <c r="BR137" s="1">
        <f t="shared" si="316"/>
        <v>187</v>
      </c>
      <c r="BS137" s="1">
        <f t="shared" si="269"/>
        <v>22</v>
      </c>
      <c r="BT137" s="1">
        <f t="shared" si="309"/>
        <v>107</v>
      </c>
      <c r="BU137" s="1">
        <f t="shared" si="320"/>
        <v>104</v>
      </c>
      <c r="BV137" s="2">
        <f t="shared" si="247"/>
        <v>18700</v>
      </c>
      <c r="BW137" s="8">
        <f t="shared" si="317"/>
        <v>5.2499999999999998E-2</v>
      </c>
      <c r="BX137" s="2">
        <f t="shared" si="248"/>
        <v>19599.9375</v>
      </c>
      <c r="BY137" s="2">
        <f t="shared" si="318"/>
        <v>374</v>
      </c>
      <c r="BZ137" s="2">
        <f t="shared" si="273"/>
        <v>23300</v>
      </c>
      <c r="CA137" s="8">
        <f t="shared" si="270"/>
        <v>4.3999999999999997E-2</v>
      </c>
      <c r="CB137" s="2">
        <f t="shared" si="249"/>
        <v>24239.766666666666</v>
      </c>
      <c r="CC137" s="2">
        <f t="shared" si="271"/>
        <v>466</v>
      </c>
      <c r="CD137" s="2">
        <f t="shared" si="285"/>
        <v>0</v>
      </c>
      <c r="CE137" s="2">
        <f t="shared" si="250"/>
        <v>0</v>
      </c>
      <c r="CF137" s="2">
        <f t="shared" si="251"/>
        <v>57.600000000000364</v>
      </c>
      <c r="CG137" s="1">
        <f t="shared" si="312"/>
        <v>0</v>
      </c>
      <c r="CH137" s="2">
        <f t="shared" si="286"/>
        <v>57.600000000000364</v>
      </c>
      <c r="CI137" s="1">
        <f t="shared" si="242"/>
        <v>0</v>
      </c>
      <c r="CJ137" s="2">
        <f t="shared" si="252"/>
        <v>57.600000000000364</v>
      </c>
      <c r="CK137" s="2">
        <f t="shared" si="253"/>
        <v>157501.70416666666</v>
      </c>
      <c r="CL137" s="2">
        <f t="shared" si="287"/>
        <v>0</v>
      </c>
      <c r="CM137" s="2">
        <f t="shared" si="216"/>
        <v>1284.6745350000001</v>
      </c>
      <c r="CN137" s="2">
        <f t="shared" si="288"/>
        <v>156217.02963166666</v>
      </c>
      <c r="CO137" s="2">
        <f t="shared" si="217"/>
        <v>3024</v>
      </c>
      <c r="CP137" s="2">
        <f t="shared" si="289"/>
        <v>10350.763791666666</v>
      </c>
      <c r="CQ137" s="2">
        <f t="shared" si="290"/>
        <v>142842.26584000001</v>
      </c>
      <c r="CS137" s="5">
        <f t="shared" si="304"/>
        <v>1000</v>
      </c>
      <c r="CT137" s="2">
        <f t="shared" si="305"/>
        <v>100000</v>
      </c>
      <c r="CU137" s="2">
        <f t="shared" si="306"/>
        <v>100000</v>
      </c>
      <c r="CV137" s="2">
        <f t="shared" si="307"/>
        <v>155054.46669716953</v>
      </c>
      <c r="CW137" s="8">
        <f t="shared" si="291"/>
        <v>4.9000000000000002E-2</v>
      </c>
      <c r="CX137" s="2">
        <f t="shared" si="292"/>
        <v>162018.99649298406</v>
      </c>
      <c r="CY137" s="2" t="str">
        <f t="shared" si="293"/>
        <v>nie</v>
      </c>
      <c r="CZ137" s="2">
        <f t="shared" si="222"/>
        <v>0</v>
      </c>
      <c r="DA137" s="2">
        <f t="shared" si="223"/>
        <v>0</v>
      </c>
      <c r="DB137" s="2">
        <f t="shared" si="224"/>
        <v>162018.99649298406</v>
      </c>
      <c r="DC137" s="2">
        <f t="shared" si="294"/>
        <v>0</v>
      </c>
      <c r="DD137" s="2">
        <f t="shared" si="225"/>
        <v>1308.4596157510086</v>
      </c>
      <c r="DE137" s="2">
        <f t="shared" si="226"/>
        <v>160710.53687723307</v>
      </c>
      <c r="DF137" s="2">
        <f t="shared" si="295"/>
        <v>3000</v>
      </c>
      <c r="DG137" s="2">
        <f t="shared" si="296"/>
        <v>11213.609333666973</v>
      </c>
      <c r="DH137" s="2">
        <f t="shared" si="227"/>
        <v>146496.9275435661</v>
      </c>
    </row>
    <row r="138" spans="2:112">
      <c r="B138" s="232"/>
      <c r="C138" s="1">
        <f t="shared" si="321"/>
        <v>101</v>
      </c>
      <c r="D138" s="2">
        <f t="shared" si="259"/>
        <v>147120.0333049022</v>
      </c>
      <c r="E138" s="2">
        <f t="shared" si="260"/>
        <v>136881.93521827302</v>
      </c>
      <c r="F138" s="2">
        <f t="shared" si="261"/>
        <v>145866.97999833335</v>
      </c>
      <c r="G138" s="2">
        <f t="shared" si="262"/>
        <v>134605.72241500003</v>
      </c>
      <c r="H138" s="2">
        <f t="shared" si="263"/>
        <v>149676.11063636412</v>
      </c>
      <c r="I138" s="2">
        <f t="shared" si="264"/>
        <v>137588.50263713469</v>
      </c>
      <c r="J138" s="2">
        <f t="shared" si="322"/>
        <v>135842.03371397563</v>
      </c>
      <c r="K138" s="2">
        <f t="shared" si="323"/>
        <v>127215.27796352078</v>
      </c>
      <c r="W138" s="1">
        <f t="shared" si="297"/>
        <v>120</v>
      </c>
      <c r="X138" s="2">
        <f t="shared" si="274"/>
        <v>133092.55048250864</v>
      </c>
      <c r="Y138" s="8">
        <f t="shared" si="310"/>
        <v>4.3200000000000002E-2</v>
      </c>
      <c r="Z138" s="5">
        <f t="shared" si="298"/>
        <v>1516</v>
      </c>
      <c r="AA138" s="2">
        <f t="shared" si="299"/>
        <v>151448.4</v>
      </c>
      <c r="AB138" s="2">
        <f t="shared" si="207"/>
        <v>151600</v>
      </c>
      <c r="AC138" s="2">
        <f t="shared" si="300"/>
        <v>151600</v>
      </c>
      <c r="AD138" s="8">
        <f t="shared" si="275"/>
        <v>4.9000000000000002E-2</v>
      </c>
      <c r="AE138" s="2">
        <f t="shared" si="179"/>
        <v>159028.4</v>
      </c>
      <c r="AF138" s="2" t="str">
        <f t="shared" si="276"/>
        <v>nie</v>
      </c>
      <c r="AG138" s="2">
        <f t="shared" si="277"/>
        <v>1516</v>
      </c>
      <c r="AH138" s="1">
        <f t="shared" si="233"/>
        <v>1</v>
      </c>
      <c r="AI138" s="1">
        <f t="shared" si="265"/>
        <v>0</v>
      </c>
      <c r="AJ138" s="1">
        <f t="shared" si="308"/>
        <v>0</v>
      </c>
      <c r="AK138" s="1">
        <f t="shared" si="319"/>
        <v>0</v>
      </c>
      <c r="AL138" s="2">
        <f t="shared" si="243"/>
        <v>100</v>
      </c>
      <c r="AM138" s="8">
        <f t="shared" si="313"/>
        <v>4.9000000000000002E-2</v>
      </c>
      <c r="AN138" s="2">
        <f t="shared" si="244"/>
        <v>104.89999999999999</v>
      </c>
      <c r="AO138" s="2">
        <f t="shared" si="314"/>
        <v>1</v>
      </c>
      <c r="AP138" s="2">
        <f t="shared" si="272"/>
        <v>0</v>
      </c>
      <c r="AQ138" s="8">
        <f t="shared" si="266"/>
        <v>4.3200000000000002E-2</v>
      </c>
      <c r="AR138" s="2">
        <f t="shared" si="267"/>
        <v>0</v>
      </c>
      <c r="AS138" s="2">
        <f t="shared" si="268"/>
        <v>0</v>
      </c>
      <c r="AT138" s="2">
        <f t="shared" si="209"/>
        <v>0</v>
      </c>
      <c r="AU138" s="2">
        <f t="shared" si="245"/>
        <v>4.8999999999999915</v>
      </c>
      <c r="AV138" s="2">
        <f t="shared" si="236"/>
        <v>23.204318079928626</v>
      </c>
      <c r="AW138" s="1">
        <f t="shared" si="311"/>
        <v>0</v>
      </c>
      <c r="AX138" s="2">
        <f t="shared" si="278"/>
        <v>23.204318079928626</v>
      </c>
      <c r="AY138" s="1">
        <f t="shared" si="237"/>
        <v>0</v>
      </c>
      <c r="AZ138" s="2">
        <f t="shared" si="210"/>
        <v>23.204318079928626</v>
      </c>
      <c r="BA138" s="2">
        <f t="shared" si="246"/>
        <v>159151.60431807992</v>
      </c>
      <c r="BB138" s="2">
        <f t="shared" si="279"/>
        <v>159.15160431807993</v>
      </c>
      <c r="BC138" s="2">
        <f t="shared" si="211"/>
        <v>1448.0433544139034</v>
      </c>
      <c r="BD138" s="2">
        <f t="shared" si="184"/>
        <v>157703.56096366601</v>
      </c>
      <c r="BE138" s="2">
        <f t="shared" si="212"/>
        <v>1517</v>
      </c>
      <c r="BF138" s="2">
        <f t="shared" si="185"/>
        <v>10950.574820435184</v>
      </c>
      <c r="BG138" s="2">
        <f t="shared" si="186"/>
        <v>145235.98614323081</v>
      </c>
      <c r="BI138" s="8">
        <f t="shared" si="315"/>
        <v>2.9000000000000001E-2</v>
      </c>
      <c r="BJ138" s="5">
        <f t="shared" si="301"/>
        <v>1092</v>
      </c>
      <c r="BK138" s="2">
        <f t="shared" si="302"/>
        <v>109090.8</v>
      </c>
      <c r="BL138" s="2">
        <f t="shared" si="303"/>
        <v>109200</v>
      </c>
      <c r="BM138" s="2">
        <f t="shared" si="280"/>
        <v>109200</v>
      </c>
      <c r="BN138" s="8">
        <f t="shared" si="281"/>
        <v>4.3999999999999997E-2</v>
      </c>
      <c r="BO138" s="2">
        <f t="shared" si="282"/>
        <v>114004.8</v>
      </c>
      <c r="BP138" s="2" t="str">
        <f t="shared" si="283"/>
        <v>nie</v>
      </c>
      <c r="BQ138" s="2">
        <f t="shared" si="284"/>
        <v>2184</v>
      </c>
      <c r="BR138" s="1">
        <f t="shared" si="316"/>
        <v>187</v>
      </c>
      <c r="BS138" s="1">
        <f t="shared" si="269"/>
        <v>22</v>
      </c>
      <c r="BT138" s="1">
        <f t="shared" si="309"/>
        <v>107</v>
      </c>
      <c r="BU138" s="1">
        <f t="shared" si="320"/>
        <v>104</v>
      </c>
      <c r="BV138" s="2">
        <f t="shared" si="247"/>
        <v>18700</v>
      </c>
      <c r="BW138" s="8">
        <f t="shared" si="317"/>
        <v>5.2499999999999998E-2</v>
      </c>
      <c r="BX138" s="2">
        <f t="shared" si="248"/>
        <v>19681.75</v>
      </c>
      <c r="BY138" s="2">
        <f t="shared" si="318"/>
        <v>374</v>
      </c>
      <c r="BZ138" s="2">
        <f t="shared" si="273"/>
        <v>23300</v>
      </c>
      <c r="CA138" s="8">
        <f t="shared" si="270"/>
        <v>4.3999999999999997E-2</v>
      </c>
      <c r="CB138" s="2">
        <f t="shared" si="249"/>
        <v>24325.200000000001</v>
      </c>
      <c r="CC138" s="2">
        <f t="shared" si="271"/>
        <v>466</v>
      </c>
      <c r="CD138" s="2">
        <f t="shared" si="285"/>
        <v>4804.8000000000029</v>
      </c>
      <c r="CE138" s="2">
        <f t="shared" si="250"/>
        <v>12406.95</v>
      </c>
      <c r="CF138" s="2">
        <f t="shared" si="251"/>
        <v>17269.350000000006</v>
      </c>
      <c r="CG138" s="1">
        <f t="shared" si="312"/>
        <v>104</v>
      </c>
      <c r="CH138" s="2">
        <f t="shared" si="286"/>
        <v>6879.7500000000055</v>
      </c>
      <c r="CI138" s="1">
        <f t="shared" si="242"/>
        <v>68</v>
      </c>
      <c r="CJ138" s="2">
        <f t="shared" si="252"/>
        <v>79.750000000005457</v>
      </c>
      <c r="CK138" s="2">
        <f t="shared" si="253"/>
        <v>158069.35</v>
      </c>
      <c r="CL138" s="2">
        <f t="shared" si="287"/>
        <v>158.06935000000001</v>
      </c>
      <c r="CM138" s="2">
        <f t="shared" si="216"/>
        <v>1442.7438850000001</v>
      </c>
      <c r="CN138" s="2">
        <f t="shared" si="288"/>
        <v>156626.606115</v>
      </c>
      <c r="CO138" s="2">
        <f t="shared" si="217"/>
        <v>3024</v>
      </c>
      <c r="CP138" s="2">
        <f t="shared" si="289"/>
        <v>10458.616500000002</v>
      </c>
      <c r="CQ138" s="2">
        <f t="shared" si="290"/>
        <v>143143.989615</v>
      </c>
      <c r="CS138" s="5">
        <f t="shared" si="304"/>
        <v>1000</v>
      </c>
      <c r="CT138" s="2">
        <f t="shared" si="305"/>
        <v>100000</v>
      </c>
      <c r="CU138" s="2">
        <f t="shared" si="306"/>
        <v>100000</v>
      </c>
      <c r="CV138" s="2">
        <f t="shared" si="307"/>
        <v>155054.46669716953</v>
      </c>
      <c r="CW138" s="8">
        <f t="shared" si="291"/>
        <v>4.9000000000000002E-2</v>
      </c>
      <c r="CX138" s="2">
        <f t="shared" si="292"/>
        <v>162652.13556533083</v>
      </c>
      <c r="CY138" s="2" t="str">
        <f t="shared" si="293"/>
        <v>tak</v>
      </c>
      <c r="CZ138" s="2">
        <f t="shared" si="222"/>
        <v>14.935565330815734</v>
      </c>
      <c r="DA138" s="2">
        <f t="shared" si="223"/>
        <v>14.935565330815734</v>
      </c>
      <c r="DB138" s="2">
        <f t="shared" si="224"/>
        <v>162652.13556533083</v>
      </c>
      <c r="DC138" s="2">
        <f t="shared" si="294"/>
        <v>162.65213556533084</v>
      </c>
      <c r="DD138" s="2">
        <f t="shared" si="225"/>
        <v>1471.1117513163395</v>
      </c>
      <c r="DE138" s="2">
        <f t="shared" si="226"/>
        <v>161181.02381401448</v>
      </c>
      <c r="DF138" s="2">
        <f t="shared" si="295"/>
        <v>0</v>
      </c>
      <c r="DG138" s="2">
        <f t="shared" si="296"/>
        <v>11903.905757412856</v>
      </c>
      <c r="DH138" s="2">
        <f t="shared" si="227"/>
        <v>149277.11805660161</v>
      </c>
    </row>
    <row r="139" spans="2:112">
      <c r="B139" s="232"/>
      <c r="C139" s="1">
        <f t="shared" si="321"/>
        <v>102</v>
      </c>
      <c r="D139" s="2">
        <f t="shared" si="259"/>
        <v>147713.14944390219</v>
      </c>
      <c r="E139" s="2">
        <f t="shared" si="260"/>
        <v>137362.35929086301</v>
      </c>
      <c r="F139" s="2">
        <f t="shared" si="261"/>
        <v>146473.52166500001</v>
      </c>
      <c r="G139" s="2">
        <f t="shared" si="262"/>
        <v>135097.02116500001</v>
      </c>
      <c r="H139" s="2">
        <f t="shared" si="263"/>
        <v>150279.67505232859</v>
      </c>
      <c r="I139" s="2">
        <f t="shared" si="264"/>
        <v>138077.38981406591</v>
      </c>
      <c r="J139" s="2">
        <f t="shared" si="322"/>
        <v>136254.65389138184</v>
      </c>
      <c r="K139" s="2">
        <f t="shared" si="323"/>
        <v>127519.044374467</v>
      </c>
      <c r="W139" s="1">
        <f t="shared" si="297"/>
        <v>121</v>
      </c>
      <c r="X139" s="2">
        <f t="shared" si="274"/>
        <v>133414.19081284138</v>
      </c>
      <c r="Y139" s="8">
        <f t="shared" si="310"/>
        <v>4.3200000000000002E-2</v>
      </c>
      <c r="Z139" s="5">
        <f t="shared" si="298"/>
        <v>1516</v>
      </c>
      <c r="AA139" s="2">
        <f t="shared" si="299"/>
        <v>151448.4</v>
      </c>
      <c r="AB139" s="2">
        <f t="shared" si="207"/>
        <v>151600</v>
      </c>
      <c r="AC139" s="2">
        <f t="shared" si="300"/>
        <v>159028.4</v>
      </c>
      <c r="AD139" s="8">
        <f t="shared" si="275"/>
        <v>4.9000000000000002E-2</v>
      </c>
      <c r="AE139" s="2">
        <f t="shared" si="179"/>
        <v>159677.76596666669</v>
      </c>
      <c r="AF139" s="2" t="str">
        <f t="shared" si="276"/>
        <v>nie</v>
      </c>
      <c r="AG139" s="2">
        <f t="shared" si="277"/>
        <v>1516</v>
      </c>
      <c r="AH139" s="1">
        <f t="shared" si="233"/>
        <v>1</v>
      </c>
      <c r="AI139" s="1">
        <f t="shared" ref="AI139:AI162" si="324">IF(zapadalnosc_TOS/12&gt;=AI$18,AH127,0)</f>
        <v>1</v>
      </c>
      <c r="AJ139" s="1">
        <f t="shared" si="308"/>
        <v>0</v>
      </c>
      <c r="AK139" s="1">
        <f t="shared" si="319"/>
        <v>0</v>
      </c>
      <c r="AL139" s="2">
        <f t="shared" si="243"/>
        <v>100</v>
      </c>
      <c r="AM139" s="8">
        <f t="shared" si="313"/>
        <v>4.9000000000000002E-2</v>
      </c>
      <c r="AN139" s="2">
        <f t="shared" si="244"/>
        <v>100.40833333333335</v>
      </c>
      <c r="AO139" s="2">
        <f t="shared" si="314"/>
        <v>0.40833333333334565</v>
      </c>
      <c r="AP139" s="2">
        <f t="shared" si="272"/>
        <v>100</v>
      </c>
      <c r="AQ139" s="8">
        <f t="shared" ref="AQ139:AQ162" si="325">marza_TOS+Y139</f>
        <v>4.3200000000000002E-2</v>
      </c>
      <c r="AR139" s="2">
        <f t="shared" si="267"/>
        <v>100.36</v>
      </c>
      <c r="AS139" s="2">
        <f t="shared" ref="AS139:AS162" si="326">SUM(AI139:AK139)*koszt_wczesniejszy_wykup_TOS</f>
        <v>1</v>
      </c>
      <c r="AT139" s="2">
        <f t="shared" si="209"/>
        <v>0</v>
      </c>
      <c r="AU139" s="2">
        <f t="shared" si="245"/>
        <v>0</v>
      </c>
      <c r="AV139" s="2">
        <f t="shared" si="236"/>
        <v>23.204318079928626</v>
      </c>
      <c r="AW139" s="1">
        <f t="shared" si="311"/>
        <v>0</v>
      </c>
      <c r="AX139" s="2">
        <f t="shared" si="278"/>
        <v>23.204318079928626</v>
      </c>
      <c r="AY139" s="1">
        <f t="shared" si="237"/>
        <v>0</v>
      </c>
      <c r="AZ139" s="2">
        <f t="shared" si="210"/>
        <v>23.204318079928626</v>
      </c>
      <c r="BA139" s="2">
        <f t="shared" si="246"/>
        <v>159901.73861807992</v>
      </c>
      <c r="BB139" s="2">
        <f t="shared" si="279"/>
        <v>0</v>
      </c>
      <c r="BC139" s="2">
        <f t="shared" si="211"/>
        <v>1448.0433544139034</v>
      </c>
      <c r="BD139" s="2">
        <f t="shared" si="184"/>
        <v>158453.69526366601</v>
      </c>
      <c r="BE139" s="2">
        <f t="shared" si="212"/>
        <v>1517.4083333333333</v>
      </c>
      <c r="BF139" s="2">
        <f t="shared" si="185"/>
        <v>11093.022754101854</v>
      </c>
      <c r="BG139" s="2">
        <f t="shared" si="186"/>
        <v>145843.26417623082</v>
      </c>
      <c r="BI139" s="8">
        <f t="shared" si="315"/>
        <v>2.9000000000000001E-2</v>
      </c>
      <c r="BJ139" s="5">
        <f t="shared" si="301"/>
        <v>1092</v>
      </c>
      <c r="BK139" s="2">
        <f t="shared" si="302"/>
        <v>109090.8</v>
      </c>
      <c r="BL139" s="2">
        <f t="shared" si="303"/>
        <v>109200</v>
      </c>
      <c r="BM139" s="2">
        <f t="shared" si="280"/>
        <v>109200</v>
      </c>
      <c r="BN139" s="8">
        <f t="shared" si="281"/>
        <v>4.3999999999999997E-2</v>
      </c>
      <c r="BO139" s="2">
        <f t="shared" si="282"/>
        <v>109600.40000000001</v>
      </c>
      <c r="BP139" s="2" t="str">
        <f t="shared" si="283"/>
        <v>nie</v>
      </c>
      <c r="BQ139" s="2">
        <f t="shared" si="284"/>
        <v>2184</v>
      </c>
      <c r="BR139" s="1">
        <f t="shared" si="316"/>
        <v>172</v>
      </c>
      <c r="BS139" s="1">
        <f t="shared" ref="BS139:BS162" si="327">IF(zapadalnosc_COI/12&gt;=BS$18,BR127,0)</f>
        <v>187</v>
      </c>
      <c r="BT139" s="1">
        <f t="shared" si="309"/>
        <v>22</v>
      </c>
      <c r="BU139" s="1">
        <f t="shared" si="320"/>
        <v>107</v>
      </c>
      <c r="BV139" s="2">
        <f t="shared" si="247"/>
        <v>17200</v>
      </c>
      <c r="BW139" s="8">
        <f t="shared" si="317"/>
        <v>5.2499999999999998E-2</v>
      </c>
      <c r="BX139" s="2">
        <f t="shared" si="248"/>
        <v>17275.25</v>
      </c>
      <c r="BY139" s="2">
        <f t="shared" si="318"/>
        <v>75.25</v>
      </c>
      <c r="BZ139" s="2">
        <f t="shared" si="273"/>
        <v>31600</v>
      </c>
      <c r="CA139" s="8">
        <f t="shared" ref="CA139:CA162" si="328">marza_COI+BI139</f>
        <v>4.3999999999999997E-2</v>
      </c>
      <c r="CB139" s="2">
        <f t="shared" si="249"/>
        <v>31715.866666666669</v>
      </c>
      <c r="CC139" s="2">
        <f t="shared" ref="CC139:CC162" si="329">SUM(BS139:BU139)*koszt_wczesniejszy_wykup_COI</f>
        <v>632</v>
      </c>
      <c r="CD139" s="2">
        <f t="shared" si="285"/>
        <v>0</v>
      </c>
      <c r="CE139" s="2">
        <f t="shared" si="250"/>
        <v>0</v>
      </c>
      <c r="CF139" s="2">
        <f t="shared" si="251"/>
        <v>79.750000000005457</v>
      </c>
      <c r="CG139" s="1">
        <f t="shared" si="312"/>
        <v>0</v>
      </c>
      <c r="CH139" s="2">
        <f t="shared" si="286"/>
        <v>79.750000000005457</v>
      </c>
      <c r="CI139" s="1">
        <f t="shared" si="242"/>
        <v>0</v>
      </c>
      <c r="CJ139" s="2">
        <f t="shared" si="252"/>
        <v>79.750000000005457</v>
      </c>
      <c r="CK139" s="2">
        <f t="shared" si="253"/>
        <v>158671.26666666666</v>
      </c>
      <c r="CL139" s="2">
        <f t="shared" si="287"/>
        <v>0</v>
      </c>
      <c r="CM139" s="2">
        <f t="shared" si="216"/>
        <v>1442.7438850000001</v>
      </c>
      <c r="CN139" s="2">
        <f t="shared" si="288"/>
        <v>157228.52278166666</v>
      </c>
      <c r="CO139" s="2">
        <f t="shared" si="217"/>
        <v>2891.25</v>
      </c>
      <c r="CP139" s="2">
        <f t="shared" si="289"/>
        <v>10598.203166666666</v>
      </c>
      <c r="CQ139" s="2">
        <f t="shared" si="290"/>
        <v>143739.06961499999</v>
      </c>
      <c r="CS139" s="5">
        <f t="shared" si="304"/>
        <v>1628</v>
      </c>
      <c r="CT139" s="2">
        <f t="shared" si="305"/>
        <v>162637.20000000001</v>
      </c>
      <c r="CU139" s="2">
        <f t="shared" si="306"/>
        <v>162800</v>
      </c>
      <c r="CV139" s="2">
        <f t="shared" si="307"/>
        <v>162800</v>
      </c>
      <c r="CW139" s="8">
        <f t="shared" si="291"/>
        <v>5.7500000000000002E-2</v>
      </c>
      <c r="CX139" s="2">
        <f t="shared" si="292"/>
        <v>163580.08333333334</v>
      </c>
      <c r="CY139" s="2" t="str">
        <f t="shared" si="293"/>
        <v>nie</v>
      </c>
      <c r="CZ139" s="2">
        <f t="shared" si="222"/>
        <v>0</v>
      </c>
      <c r="DA139" s="2">
        <f t="shared" si="223"/>
        <v>14.935565330815734</v>
      </c>
      <c r="DB139" s="2">
        <f t="shared" si="224"/>
        <v>163595.01889866416</v>
      </c>
      <c r="DC139" s="2">
        <f t="shared" si="294"/>
        <v>0</v>
      </c>
      <c r="DD139" s="2">
        <f t="shared" si="225"/>
        <v>1471.1117513163395</v>
      </c>
      <c r="DE139" s="2">
        <f t="shared" si="226"/>
        <v>162123.90714734781</v>
      </c>
      <c r="DF139" s="2">
        <f t="shared" si="295"/>
        <v>780.08333333334303</v>
      </c>
      <c r="DG139" s="2">
        <f t="shared" si="296"/>
        <v>11932</v>
      </c>
      <c r="DH139" s="2">
        <f t="shared" si="227"/>
        <v>149411.82381401447</v>
      </c>
    </row>
    <row r="140" spans="2:112">
      <c r="B140" s="232"/>
      <c r="C140" s="1">
        <f t="shared" si="321"/>
        <v>103</v>
      </c>
      <c r="D140" s="2">
        <f t="shared" si="259"/>
        <v>148306.26558290221</v>
      </c>
      <c r="E140" s="2">
        <f t="shared" si="260"/>
        <v>137842.78336345303</v>
      </c>
      <c r="F140" s="2">
        <f t="shared" si="261"/>
        <v>147080.06333166666</v>
      </c>
      <c r="G140" s="2">
        <f t="shared" si="262"/>
        <v>135588.319915</v>
      </c>
      <c r="H140" s="2">
        <f t="shared" si="263"/>
        <v>150883.23946829312</v>
      </c>
      <c r="I140" s="2">
        <f t="shared" si="264"/>
        <v>138566.2769909972</v>
      </c>
      <c r="J140" s="2">
        <f t="shared" si="322"/>
        <v>136668.5274025769</v>
      </c>
      <c r="K140" s="2">
        <f t="shared" si="323"/>
        <v>127822.81078541325</v>
      </c>
      <c r="W140" s="1">
        <f t="shared" si="297"/>
        <v>122</v>
      </c>
      <c r="X140" s="2">
        <f t="shared" si="274"/>
        <v>133735.83114317409</v>
      </c>
      <c r="Y140" s="8">
        <f t="shared" si="310"/>
        <v>4.3200000000000002E-2</v>
      </c>
      <c r="Z140" s="5">
        <f t="shared" si="298"/>
        <v>1516</v>
      </c>
      <c r="AA140" s="2">
        <f t="shared" si="299"/>
        <v>151448.4</v>
      </c>
      <c r="AB140" s="2">
        <f t="shared" si="207"/>
        <v>151600</v>
      </c>
      <c r="AC140" s="2">
        <f t="shared" si="300"/>
        <v>159028.4</v>
      </c>
      <c r="AD140" s="8">
        <f t="shared" si="275"/>
        <v>4.9000000000000002E-2</v>
      </c>
      <c r="AE140" s="2">
        <f t="shared" si="179"/>
        <v>160327.13193333332</v>
      </c>
      <c r="AF140" s="2" t="str">
        <f t="shared" si="276"/>
        <v>nie</v>
      </c>
      <c r="AG140" s="2">
        <f t="shared" si="277"/>
        <v>1516</v>
      </c>
      <c r="AH140" s="1">
        <f t="shared" si="233"/>
        <v>1</v>
      </c>
      <c r="AI140" s="1">
        <f t="shared" si="324"/>
        <v>1</v>
      </c>
      <c r="AJ140" s="1">
        <f t="shared" si="308"/>
        <v>0</v>
      </c>
      <c r="AK140" s="1">
        <f t="shared" si="319"/>
        <v>0</v>
      </c>
      <c r="AL140" s="2">
        <f t="shared" si="243"/>
        <v>100</v>
      </c>
      <c r="AM140" s="8">
        <f t="shared" si="313"/>
        <v>4.9000000000000002E-2</v>
      </c>
      <c r="AN140" s="2">
        <f t="shared" si="244"/>
        <v>100.81666666666666</v>
      </c>
      <c r="AO140" s="2">
        <f t="shared" si="314"/>
        <v>0.81666666666666288</v>
      </c>
      <c r="AP140" s="2">
        <f t="shared" si="272"/>
        <v>100</v>
      </c>
      <c r="AQ140" s="8">
        <f t="shared" si="325"/>
        <v>4.3200000000000002E-2</v>
      </c>
      <c r="AR140" s="2">
        <f t="shared" si="267"/>
        <v>100.72000000000001</v>
      </c>
      <c r="AS140" s="2">
        <f t="shared" si="326"/>
        <v>1</v>
      </c>
      <c r="AT140" s="2">
        <f t="shared" si="209"/>
        <v>0</v>
      </c>
      <c r="AU140" s="2">
        <f t="shared" si="245"/>
        <v>0</v>
      </c>
      <c r="AV140" s="2">
        <f t="shared" si="236"/>
        <v>23.204318079928626</v>
      </c>
      <c r="AW140" s="1">
        <f t="shared" si="311"/>
        <v>0</v>
      </c>
      <c r="AX140" s="2">
        <f t="shared" si="278"/>
        <v>23.204318079928626</v>
      </c>
      <c r="AY140" s="1">
        <f t="shared" si="237"/>
        <v>0</v>
      </c>
      <c r="AZ140" s="2">
        <f t="shared" si="210"/>
        <v>23.204318079928626</v>
      </c>
      <c r="BA140" s="2">
        <f t="shared" si="246"/>
        <v>160551.87291807993</v>
      </c>
      <c r="BB140" s="2">
        <f t="shared" si="279"/>
        <v>0</v>
      </c>
      <c r="BC140" s="2">
        <f t="shared" si="211"/>
        <v>1448.0433544139034</v>
      </c>
      <c r="BD140" s="2">
        <f t="shared" si="184"/>
        <v>159103.82956366602</v>
      </c>
      <c r="BE140" s="2">
        <f t="shared" si="212"/>
        <v>1517.8166666666666</v>
      </c>
      <c r="BF140" s="2">
        <f t="shared" si="185"/>
        <v>11216.470687768517</v>
      </c>
      <c r="BG140" s="2">
        <f t="shared" si="186"/>
        <v>146369.54220923083</v>
      </c>
      <c r="BI140" s="8">
        <f t="shared" si="315"/>
        <v>2.9000000000000001E-2</v>
      </c>
      <c r="BJ140" s="5">
        <f t="shared" si="301"/>
        <v>1092</v>
      </c>
      <c r="BK140" s="2">
        <f t="shared" si="302"/>
        <v>109090.8</v>
      </c>
      <c r="BL140" s="2">
        <f t="shared" si="303"/>
        <v>109200</v>
      </c>
      <c r="BM140" s="2">
        <f t="shared" si="280"/>
        <v>109200</v>
      </c>
      <c r="BN140" s="8">
        <f t="shared" si="281"/>
        <v>4.3999999999999997E-2</v>
      </c>
      <c r="BO140" s="2">
        <f t="shared" si="282"/>
        <v>110000.8</v>
      </c>
      <c r="BP140" s="2" t="str">
        <f t="shared" si="283"/>
        <v>nie</v>
      </c>
      <c r="BQ140" s="2">
        <f t="shared" si="284"/>
        <v>2184</v>
      </c>
      <c r="BR140" s="1">
        <f t="shared" si="316"/>
        <v>172</v>
      </c>
      <c r="BS140" s="1">
        <f t="shared" si="327"/>
        <v>187</v>
      </c>
      <c r="BT140" s="1">
        <f t="shared" si="309"/>
        <v>22</v>
      </c>
      <c r="BU140" s="1">
        <f t="shared" si="320"/>
        <v>107</v>
      </c>
      <c r="BV140" s="2">
        <f t="shared" si="247"/>
        <v>17200</v>
      </c>
      <c r="BW140" s="8">
        <f t="shared" si="317"/>
        <v>5.2499999999999998E-2</v>
      </c>
      <c r="BX140" s="2">
        <f t="shared" si="248"/>
        <v>17350.5</v>
      </c>
      <c r="BY140" s="2">
        <f t="shared" si="318"/>
        <v>150.5</v>
      </c>
      <c r="BZ140" s="2">
        <f t="shared" si="273"/>
        <v>31600</v>
      </c>
      <c r="CA140" s="8">
        <f t="shared" si="328"/>
        <v>4.3999999999999997E-2</v>
      </c>
      <c r="CB140" s="2">
        <f t="shared" si="249"/>
        <v>31831.733333333337</v>
      </c>
      <c r="CC140" s="2">
        <f t="shared" si="329"/>
        <v>632</v>
      </c>
      <c r="CD140" s="2">
        <f t="shared" si="285"/>
        <v>0</v>
      </c>
      <c r="CE140" s="2">
        <f t="shared" si="250"/>
        <v>0</v>
      </c>
      <c r="CF140" s="2">
        <f t="shared" si="251"/>
        <v>79.750000000005457</v>
      </c>
      <c r="CG140" s="1">
        <f t="shared" si="312"/>
        <v>0</v>
      </c>
      <c r="CH140" s="2">
        <f t="shared" si="286"/>
        <v>79.750000000005457</v>
      </c>
      <c r="CI140" s="1">
        <f t="shared" si="242"/>
        <v>0</v>
      </c>
      <c r="CJ140" s="2">
        <f t="shared" si="252"/>
        <v>79.750000000005457</v>
      </c>
      <c r="CK140" s="2">
        <f t="shared" si="253"/>
        <v>159262.78333333333</v>
      </c>
      <c r="CL140" s="2">
        <f t="shared" si="287"/>
        <v>0</v>
      </c>
      <c r="CM140" s="2">
        <f t="shared" si="216"/>
        <v>1442.7438850000001</v>
      </c>
      <c r="CN140" s="2">
        <f t="shared" si="288"/>
        <v>157820.03944833332</v>
      </c>
      <c r="CO140" s="2">
        <f t="shared" si="217"/>
        <v>2966.5</v>
      </c>
      <c r="CP140" s="2">
        <f t="shared" si="289"/>
        <v>10696.293833333331</v>
      </c>
      <c r="CQ140" s="2">
        <f t="shared" si="290"/>
        <v>144157.24561499999</v>
      </c>
      <c r="CS140" s="5">
        <f t="shared" si="304"/>
        <v>1628</v>
      </c>
      <c r="CT140" s="2">
        <f t="shared" si="305"/>
        <v>162637.20000000001</v>
      </c>
      <c r="CU140" s="2">
        <f t="shared" si="306"/>
        <v>162800</v>
      </c>
      <c r="CV140" s="2">
        <f t="shared" si="307"/>
        <v>162800</v>
      </c>
      <c r="CW140" s="8">
        <f t="shared" si="291"/>
        <v>5.7500000000000002E-2</v>
      </c>
      <c r="CX140" s="2">
        <f t="shared" si="292"/>
        <v>164360.16666666666</v>
      </c>
      <c r="CY140" s="2" t="str">
        <f t="shared" si="293"/>
        <v>nie</v>
      </c>
      <c r="CZ140" s="2">
        <f t="shared" si="222"/>
        <v>0</v>
      </c>
      <c r="DA140" s="2">
        <f t="shared" si="223"/>
        <v>14.935565330815734</v>
      </c>
      <c r="DB140" s="2">
        <f t="shared" si="224"/>
        <v>164375.10223199747</v>
      </c>
      <c r="DC140" s="2">
        <f t="shared" si="294"/>
        <v>0</v>
      </c>
      <c r="DD140" s="2">
        <f t="shared" si="225"/>
        <v>1471.1117513163395</v>
      </c>
      <c r="DE140" s="2">
        <f t="shared" si="226"/>
        <v>162903.99048068112</v>
      </c>
      <c r="DF140" s="2">
        <f t="shared" si="295"/>
        <v>1560.166666666657</v>
      </c>
      <c r="DG140" s="2">
        <f t="shared" si="296"/>
        <v>11932</v>
      </c>
      <c r="DH140" s="2">
        <f t="shared" si="227"/>
        <v>149411.82381401447</v>
      </c>
    </row>
    <row r="141" spans="2:112">
      <c r="B141" s="232"/>
      <c r="C141" s="1">
        <f t="shared" si="321"/>
        <v>104</v>
      </c>
      <c r="D141" s="2">
        <f t="shared" si="259"/>
        <v>148899.38172190217</v>
      </c>
      <c r="E141" s="2">
        <f t="shared" si="260"/>
        <v>138323.20743604298</v>
      </c>
      <c r="F141" s="2">
        <f t="shared" si="261"/>
        <v>147686.60499833332</v>
      </c>
      <c r="G141" s="2">
        <f t="shared" si="262"/>
        <v>136079.61866499999</v>
      </c>
      <c r="H141" s="2">
        <f t="shared" si="263"/>
        <v>151486.80388425762</v>
      </c>
      <c r="I141" s="2">
        <f t="shared" si="264"/>
        <v>139055.16416792845</v>
      </c>
      <c r="J141" s="2">
        <f t="shared" si="322"/>
        <v>137083.65805456223</v>
      </c>
      <c r="K141" s="2">
        <f t="shared" si="323"/>
        <v>128126.5771963595</v>
      </c>
      <c r="W141" s="1">
        <f t="shared" si="297"/>
        <v>123</v>
      </c>
      <c r="X141" s="2">
        <f t="shared" si="274"/>
        <v>134057.47147350683</v>
      </c>
      <c r="Y141" s="8">
        <f t="shared" si="310"/>
        <v>4.3200000000000002E-2</v>
      </c>
      <c r="Z141" s="5">
        <f t="shared" si="298"/>
        <v>1516</v>
      </c>
      <c r="AA141" s="2">
        <f t="shared" si="299"/>
        <v>151448.4</v>
      </c>
      <c r="AB141" s="2">
        <f t="shared" si="207"/>
        <v>151600</v>
      </c>
      <c r="AC141" s="2">
        <f t="shared" si="300"/>
        <v>159028.4</v>
      </c>
      <c r="AD141" s="8">
        <f t="shared" si="275"/>
        <v>4.9000000000000002E-2</v>
      </c>
      <c r="AE141" s="2">
        <f t="shared" si="179"/>
        <v>160976.49790000002</v>
      </c>
      <c r="AF141" s="2" t="str">
        <f t="shared" si="276"/>
        <v>nie</v>
      </c>
      <c r="AG141" s="2">
        <f t="shared" si="277"/>
        <v>1516</v>
      </c>
      <c r="AH141" s="1">
        <f t="shared" si="233"/>
        <v>1</v>
      </c>
      <c r="AI141" s="1">
        <f t="shared" si="324"/>
        <v>1</v>
      </c>
      <c r="AJ141" s="1">
        <f t="shared" si="308"/>
        <v>0</v>
      </c>
      <c r="AK141" s="1">
        <f t="shared" si="319"/>
        <v>0</v>
      </c>
      <c r="AL141" s="2">
        <f t="shared" si="243"/>
        <v>100</v>
      </c>
      <c r="AM141" s="8">
        <f t="shared" si="313"/>
        <v>4.9000000000000002E-2</v>
      </c>
      <c r="AN141" s="2">
        <f t="shared" si="244"/>
        <v>101.22500000000001</v>
      </c>
      <c r="AO141" s="2">
        <f t="shared" si="314"/>
        <v>1</v>
      </c>
      <c r="AP141" s="2">
        <f t="shared" si="272"/>
        <v>100</v>
      </c>
      <c r="AQ141" s="8">
        <f t="shared" si="325"/>
        <v>4.3200000000000002E-2</v>
      </c>
      <c r="AR141" s="2">
        <f t="shared" si="267"/>
        <v>101.08</v>
      </c>
      <c r="AS141" s="2">
        <f t="shared" si="326"/>
        <v>1</v>
      </c>
      <c r="AT141" s="2">
        <f t="shared" si="209"/>
        <v>0</v>
      </c>
      <c r="AU141" s="2">
        <f t="shared" si="245"/>
        <v>0</v>
      </c>
      <c r="AV141" s="2">
        <f t="shared" si="236"/>
        <v>23.204318079928626</v>
      </c>
      <c r="AW141" s="1">
        <f t="shared" si="311"/>
        <v>0</v>
      </c>
      <c r="AX141" s="2">
        <f t="shared" si="278"/>
        <v>23.204318079928626</v>
      </c>
      <c r="AY141" s="1">
        <f t="shared" si="237"/>
        <v>0</v>
      </c>
      <c r="AZ141" s="2">
        <f t="shared" si="210"/>
        <v>23.204318079928626</v>
      </c>
      <c r="BA141" s="2">
        <f t="shared" si="246"/>
        <v>161202.00721807993</v>
      </c>
      <c r="BB141" s="2">
        <f t="shared" si="279"/>
        <v>0</v>
      </c>
      <c r="BC141" s="2">
        <f t="shared" si="211"/>
        <v>1448.0433544139034</v>
      </c>
      <c r="BD141" s="2">
        <f t="shared" si="184"/>
        <v>159753.96386366602</v>
      </c>
      <c r="BE141" s="2">
        <f t="shared" si="212"/>
        <v>1518</v>
      </c>
      <c r="BF141" s="2">
        <f t="shared" si="185"/>
        <v>11339.961371435187</v>
      </c>
      <c r="BG141" s="2">
        <f t="shared" si="186"/>
        <v>146896.00249223085</v>
      </c>
      <c r="BI141" s="8">
        <f t="shared" si="315"/>
        <v>2.9000000000000001E-2</v>
      </c>
      <c r="BJ141" s="5">
        <f t="shared" si="301"/>
        <v>1092</v>
      </c>
      <c r="BK141" s="2">
        <f t="shared" si="302"/>
        <v>109090.8</v>
      </c>
      <c r="BL141" s="2">
        <f t="shared" si="303"/>
        <v>109200</v>
      </c>
      <c r="BM141" s="2">
        <f t="shared" si="280"/>
        <v>109200</v>
      </c>
      <c r="BN141" s="8">
        <f t="shared" si="281"/>
        <v>4.3999999999999997E-2</v>
      </c>
      <c r="BO141" s="2">
        <f t="shared" si="282"/>
        <v>110401.19999999998</v>
      </c>
      <c r="BP141" s="2" t="str">
        <f t="shared" si="283"/>
        <v>nie</v>
      </c>
      <c r="BQ141" s="2">
        <f t="shared" si="284"/>
        <v>2184</v>
      </c>
      <c r="BR141" s="1">
        <f t="shared" si="316"/>
        <v>172</v>
      </c>
      <c r="BS141" s="1">
        <f t="shared" si="327"/>
        <v>187</v>
      </c>
      <c r="BT141" s="1">
        <f t="shared" si="309"/>
        <v>22</v>
      </c>
      <c r="BU141" s="1">
        <f t="shared" si="320"/>
        <v>107</v>
      </c>
      <c r="BV141" s="2">
        <f t="shared" si="247"/>
        <v>17200</v>
      </c>
      <c r="BW141" s="8">
        <f t="shared" si="317"/>
        <v>5.2499999999999998E-2</v>
      </c>
      <c r="BX141" s="2">
        <f t="shared" si="248"/>
        <v>17425.75</v>
      </c>
      <c r="BY141" s="2">
        <f t="shared" si="318"/>
        <v>225.75</v>
      </c>
      <c r="BZ141" s="2">
        <f t="shared" si="273"/>
        <v>31600</v>
      </c>
      <c r="CA141" s="8">
        <f t="shared" si="328"/>
        <v>4.3999999999999997E-2</v>
      </c>
      <c r="CB141" s="2">
        <f t="shared" si="249"/>
        <v>31947.599999999999</v>
      </c>
      <c r="CC141" s="2">
        <f t="shared" si="329"/>
        <v>632</v>
      </c>
      <c r="CD141" s="2">
        <f t="shared" si="285"/>
        <v>0</v>
      </c>
      <c r="CE141" s="2">
        <f t="shared" si="250"/>
        <v>0</v>
      </c>
      <c r="CF141" s="2">
        <f t="shared" si="251"/>
        <v>79.750000000005457</v>
      </c>
      <c r="CG141" s="1">
        <f t="shared" si="312"/>
        <v>0</v>
      </c>
      <c r="CH141" s="2">
        <f t="shared" si="286"/>
        <v>79.750000000005457</v>
      </c>
      <c r="CI141" s="1">
        <f t="shared" si="242"/>
        <v>0</v>
      </c>
      <c r="CJ141" s="2">
        <f t="shared" si="252"/>
        <v>79.750000000005457</v>
      </c>
      <c r="CK141" s="2">
        <f t="shared" si="253"/>
        <v>159854.29999999999</v>
      </c>
      <c r="CL141" s="2">
        <f t="shared" si="287"/>
        <v>0</v>
      </c>
      <c r="CM141" s="2">
        <f t="shared" si="216"/>
        <v>1442.7438850000001</v>
      </c>
      <c r="CN141" s="2">
        <f t="shared" si="288"/>
        <v>158411.55611499998</v>
      </c>
      <c r="CO141" s="2">
        <f t="shared" si="217"/>
        <v>3041.75</v>
      </c>
      <c r="CP141" s="2">
        <f t="shared" si="289"/>
        <v>10794.384499999998</v>
      </c>
      <c r="CQ141" s="2">
        <f t="shared" si="290"/>
        <v>144575.421615</v>
      </c>
      <c r="CS141" s="5">
        <f t="shared" si="304"/>
        <v>1628</v>
      </c>
      <c r="CT141" s="2">
        <f t="shared" si="305"/>
        <v>162637.20000000001</v>
      </c>
      <c r="CU141" s="2">
        <f t="shared" si="306"/>
        <v>162800</v>
      </c>
      <c r="CV141" s="2">
        <f t="shared" si="307"/>
        <v>162800</v>
      </c>
      <c r="CW141" s="8">
        <f t="shared" si="291"/>
        <v>5.7500000000000002E-2</v>
      </c>
      <c r="CX141" s="2">
        <f t="shared" si="292"/>
        <v>165140.25</v>
      </c>
      <c r="CY141" s="2" t="str">
        <f t="shared" si="293"/>
        <v>nie</v>
      </c>
      <c r="CZ141" s="2">
        <f t="shared" si="222"/>
        <v>0</v>
      </c>
      <c r="DA141" s="2">
        <f t="shared" si="223"/>
        <v>14.935565330815734</v>
      </c>
      <c r="DB141" s="2">
        <f t="shared" si="224"/>
        <v>165155.18556533082</v>
      </c>
      <c r="DC141" s="2">
        <f t="shared" si="294"/>
        <v>0</v>
      </c>
      <c r="DD141" s="2">
        <f t="shared" si="225"/>
        <v>1471.1117513163395</v>
      </c>
      <c r="DE141" s="2">
        <f t="shared" si="226"/>
        <v>163684.07381401447</v>
      </c>
      <c r="DF141" s="2">
        <f t="shared" si="295"/>
        <v>2340.25</v>
      </c>
      <c r="DG141" s="2">
        <f t="shared" si="296"/>
        <v>11932</v>
      </c>
      <c r="DH141" s="2">
        <f t="shared" si="227"/>
        <v>149411.82381401447</v>
      </c>
    </row>
    <row r="142" spans="2:112">
      <c r="B142" s="232"/>
      <c r="C142" s="1">
        <f t="shared" si="321"/>
        <v>105</v>
      </c>
      <c r="D142" s="2">
        <f t="shared" si="259"/>
        <v>149492.49786090219</v>
      </c>
      <c r="E142" s="2">
        <f t="shared" si="260"/>
        <v>138803.631508633</v>
      </c>
      <c r="F142" s="2">
        <f t="shared" si="261"/>
        <v>148293.14666500001</v>
      </c>
      <c r="G142" s="2">
        <f t="shared" si="262"/>
        <v>136570.917415</v>
      </c>
      <c r="H142" s="2">
        <f t="shared" si="263"/>
        <v>152090.36830022215</v>
      </c>
      <c r="I142" s="2">
        <f t="shared" si="264"/>
        <v>139544.0513448597</v>
      </c>
      <c r="J142" s="2">
        <f t="shared" si="322"/>
        <v>137500.04966590297</v>
      </c>
      <c r="K142" s="2">
        <f t="shared" si="323"/>
        <v>128430.34360730574</v>
      </c>
      <c r="W142" s="1">
        <f t="shared" si="297"/>
        <v>124</v>
      </c>
      <c r="X142" s="2">
        <f t="shared" si="274"/>
        <v>134379.11180383957</v>
      </c>
      <c r="Y142" s="8">
        <f t="shared" si="310"/>
        <v>4.3200000000000002E-2</v>
      </c>
      <c r="Z142" s="5">
        <f t="shared" si="298"/>
        <v>1516</v>
      </c>
      <c r="AA142" s="2">
        <f t="shared" si="299"/>
        <v>151448.4</v>
      </c>
      <c r="AB142" s="2">
        <f t="shared" si="207"/>
        <v>151600</v>
      </c>
      <c r="AC142" s="2">
        <f t="shared" si="300"/>
        <v>159028.4</v>
      </c>
      <c r="AD142" s="8">
        <f t="shared" si="275"/>
        <v>4.9000000000000002E-2</v>
      </c>
      <c r="AE142" s="2">
        <f t="shared" si="179"/>
        <v>161625.86386666665</v>
      </c>
      <c r="AF142" s="2" t="str">
        <f t="shared" si="276"/>
        <v>nie</v>
      </c>
      <c r="AG142" s="2">
        <f t="shared" si="277"/>
        <v>1516</v>
      </c>
      <c r="AH142" s="1">
        <f t="shared" si="233"/>
        <v>1</v>
      </c>
      <c r="AI142" s="1">
        <f t="shared" si="324"/>
        <v>1</v>
      </c>
      <c r="AJ142" s="1">
        <f t="shared" si="308"/>
        <v>0</v>
      </c>
      <c r="AK142" s="1">
        <f t="shared" si="319"/>
        <v>0</v>
      </c>
      <c r="AL142" s="2">
        <f t="shared" si="243"/>
        <v>100</v>
      </c>
      <c r="AM142" s="8">
        <f t="shared" si="313"/>
        <v>4.9000000000000002E-2</v>
      </c>
      <c r="AN142" s="2">
        <f t="shared" si="244"/>
        <v>101.63333333333333</v>
      </c>
      <c r="AO142" s="2">
        <f t="shared" si="314"/>
        <v>1</v>
      </c>
      <c r="AP142" s="2">
        <f t="shared" si="272"/>
        <v>100</v>
      </c>
      <c r="AQ142" s="8">
        <f t="shared" si="325"/>
        <v>4.3200000000000002E-2</v>
      </c>
      <c r="AR142" s="2">
        <f t="shared" si="267"/>
        <v>101.44</v>
      </c>
      <c r="AS142" s="2">
        <f t="shared" si="326"/>
        <v>1</v>
      </c>
      <c r="AT142" s="2">
        <f t="shared" si="209"/>
        <v>0</v>
      </c>
      <c r="AU142" s="2">
        <f t="shared" si="245"/>
        <v>0</v>
      </c>
      <c r="AV142" s="2">
        <f t="shared" si="236"/>
        <v>23.204318079928626</v>
      </c>
      <c r="AW142" s="1">
        <f t="shared" si="311"/>
        <v>0</v>
      </c>
      <c r="AX142" s="2">
        <f t="shared" si="278"/>
        <v>23.204318079928626</v>
      </c>
      <c r="AY142" s="1">
        <f t="shared" si="237"/>
        <v>0</v>
      </c>
      <c r="AZ142" s="2">
        <f t="shared" si="210"/>
        <v>23.204318079928626</v>
      </c>
      <c r="BA142" s="2">
        <f t="shared" si="246"/>
        <v>161852.14151807991</v>
      </c>
      <c r="BB142" s="2">
        <f t="shared" si="279"/>
        <v>0</v>
      </c>
      <c r="BC142" s="2">
        <f t="shared" si="211"/>
        <v>1448.0433544139034</v>
      </c>
      <c r="BD142" s="2">
        <f t="shared" si="184"/>
        <v>160404.098163666</v>
      </c>
      <c r="BE142" s="2">
        <f t="shared" si="212"/>
        <v>1518</v>
      </c>
      <c r="BF142" s="2">
        <f t="shared" si="185"/>
        <v>11463.486888435184</v>
      </c>
      <c r="BG142" s="2">
        <f t="shared" si="186"/>
        <v>147422.61127523083</v>
      </c>
      <c r="BI142" s="8">
        <f t="shared" si="315"/>
        <v>2.9000000000000001E-2</v>
      </c>
      <c r="BJ142" s="5">
        <f t="shared" si="301"/>
        <v>1092</v>
      </c>
      <c r="BK142" s="2">
        <f t="shared" si="302"/>
        <v>109090.8</v>
      </c>
      <c r="BL142" s="2">
        <f t="shared" si="303"/>
        <v>109200</v>
      </c>
      <c r="BM142" s="2">
        <f t="shared" si="280"/>
        <v>109200</v>
      </c>
      <c r="BN142" s="8">
        <f t="shared" si="281"/>
        <v>4.3999999999999997E-2</v>
      </c>
      <c r="BO142" s="2">
        <f t="shared" si="282"/>
        <v>110801.59999999999</v>
      </c>
      <c r="BP142" s="2" t="str">
        <f t="shared" si="283"/>
        <v>nie</v>
      </c>
      <c r="BQ142" s="2">
        <f t="shared" si="284"/>
        <v>2184</v>
      </c>
      <c r="BR142" s="1">
        <f t="shared" si="316"/>
        <v>172</v>
      </c>
      <c r="BS142" s="1">
        <f t="shared" si="327"/>
        <v>187</v>
      </c>
      <c r="BT142" s="1">
        <f t="shared" si="309"/>
        <v>22</v>
      </c>
      <c r="BU142" s="1">
        <f t="shared" si="320"/>
        <v>107</v>
      </c>
      <c r="BV142" s="2">
        <f t="shared" si="247"/>
        <v>17200</v>
      </c>
      <c r="BW142" s="8">
        <f t="shared" si="317"/>
        <v>5.2499999999999998E-2</v>
      </c>
      <c r="BX142" s="2">
        <f t="shared" si="248"/>
        <v>17501</v>
      </c>
      <c r="BY142" s="2">
        <f t="shared" si="318"/>
        <v>301</v>
      </c>
      <c r="BZ142" s="2">
        <f t="shared" si="273"/>
        <v>31600</v>
      </c>
      <c r="CA142" s="8">
        <f t="shared" si="328"/>
        <v>4.3999999999999997E-2</v>
      </c>
      <c r="CB142" s="2">
        <f t="shared" si="249"/>
        <v>32063.466666666664</v>
      </c>
      <c r="CC142" s="2">
        <f t="shared" si="329"/>
        <v>632</v>
      </c>
      <c r="CD142" s="2">
        <f t="shared" si="285"/>
        <v>0</v>
      </c>
      <c r="CE142" s="2">
        <f t="shared" si="250"/>
        <v>0</v>
      </c>
      <c r="CF142" s="2">
        <f t="shared" si="251"/>
        <v>79.750000000005457</v>
      </c>
      <c r="CG142" s="1">
        <f t="shared" si="312"/>
        <v>0</v>
      </c>
      <c r="CH142" s="2">
        <f t="shared" si="286"/>
        <v>79.750000000005457</v>
      </c>
      <c r="CI142" s="1">
        <f t="shared" si="242"/>
        <v>0</v>
      </c>
      <c r="CJ142" s="2">
        <f t="shared" si="252"/>
        <v>79.750000000005457</v>
      </c>
      <c r="CK142" s="2">
        <f t="shared" si="253"/>
        <v>160445.81666666665</v>
      </c>
      <c r="CL142" s="2">
        <f t="shared" si="287"/>
        <v>0</v>
      </c>
      <c r="CM142" s="2">
        <f t="shared" si="216"/>
        <v>1442.7438850000001</v>
      </c>
      <c r="CN142" s="2">
        <f t="shared" si="288"/>
        <v>159003.07278166665</v>
      </c>
      <c r="CO142" s="2">
        <f t="shared" si="217"/>
        <v>3117</v>
      </c>
      <c r="CP142" s="2">
        <f t="shared" si="289"/>
        <v>10892.475166666663</v>
      </c>
      <c r="CQ142" s="2">
        <f t="shared" si="290"/>
        <v>144993.59761499998</v>
      </c>
      <c r="CS142" s="5">
        <f t="shared" si="304"/>
        <v>1628</v>
      </c>
      <c r="CT142" s="2">
        <f t="shared" si="305"/>
        <v>162637.20000000001</v>
      </c>
      <c r="CU142" s="2">
        <f t="shared" si="306"/>
        <v>162800</v>
      </c>
      <c r="CV142" s="2">
        <f t="shared" si="307"/>
        <v>162800</v>
      </c>
      <c r="CW142" s="8">
        <f t="shared" si="291"/>
        <v>5.7500000000000002E-2</v>
      </c>
      <c r="CX142" s="2">
        <f t="shared" si="292"/>
        <v>165920.33333333334</v>
      </c>
      <c r="CY142" s="2" t="str">
        <f t="shared" si="293"/>
        <v>nie</v>
      </c>
      <c r="CZ142" s="2">
        <f t="shared" si="222"/>
        <v>0</v>
      </c>
      <c r="DA142" s="2">
        <f t="shared" si="223"/>
        <v>14.935565330815734</v>
      </c>
      <c r="DB142" s="2">
        <f t="shared" si="224"/>
        <v>165935.26889866416</v>
      </c>
      <c r="DC142" s="2">
        <f t="shared" si="294"/>
        <v>0</v>
      </c>
      <c r="DD142" s="2">
        <f t="shared" si="225"/>
        <v>1471.1117513163395</v>
      </c>
      <c r="DE142" s="2">
        <f t="shared" si="226"/>
        <v>164464.15714734781</v>
      </c>
      <c r="DF142" s="2">
        <f t="shared" si="295"/>
        <v>3120.333333333343</v>
      </c>
      <c r="DG142" s="2">
        <f t="shared" si="296"/>
        <v>11932</v>
      </c>
      <c r="DH142" s="2">
        <f t="shared" si="227"/>
        <v>149411.82381401447</v>
      </c>
    </row>
    <row r="143" spans="2:112">
      <c r="B143" s="232"/>
      <c r="C143" s="1">
        <f t="shared" si="321"/>
        <v>106</v>
      </c>
      <c r="D143" s="2">
        <f t="shared" si="259"/>
        <v>150085.61399990218</v>
      </c>
      <c r="E143" s="2">
        <f t="shared" si="260"/>
        <v>139284.05558122299</v>
      </c>
      <c r="F143" s="2">
        <f t="shared" si="261"/>
        <v>148899.68833166666</v>
      </c>
      <c r="G143" s="2">
        <f t="shared" si="262"/>
        <v>137062.21616499999</v>
      </c>
      <c r="H143" s="2">
        <f t="shared" si="263"/>
        <v>152693.93271618665</v>
      </c>
      <c r="I143" s="2">
        <f t="shared" si="264"/>
        <v>140032.93852179096</v>
      </c>
      <c r="J143" s="2">
        <f t="shared" si="322"/>
        <v>137917.70606676314</v>
      </c>
      <c r="K143" s="2">
        <f t="shared" si="323"/>
        <v>128734.11001825199</v>
      </c>
      <c r="W143" s="1">
        <f t="shared" si="297"/>
        <v>125</v>
      </c>
      <c r="X143" s="2">
        <f t="shared" si="274"/>
        <v>134700.7521341723</v>
      </c>
      <c r="Y143" s="8">
        <f t="shared" si="310"/>
        <v>4.3200000000000002E-2</v>
      </c>
      <c r="Z143" s="5">
        <f t="shared" si="298"/>
        <v>1516</v>
      </c>
      <c r="AA143" s="2">
        <f t="shared" si="299"/>
        <v>151448.4</v>
      </c>
      <c r="AB143" s="2">
        <f t="shared" si="207"/>
        <v>151600</v>
      </c>
      <c r="AC143" s="2">
        <f t="shared" si="300"/>
        <v>159028.4</v>
      </c>
      <c r="AD143" s="8">
        <f t="shared" si="275"/>
        <v>4.9000000000000002E-2</v>
      </c>
      <c r="AE143" s="2">
        <f t="shared" si="179"/>
        <v>162275.22983333335</v>
      </c>
      <c r="AF143" s="2" t="str">
        <f t="shared" si="276"/>
        <v>nie</v>
      </c>
      <c r="AG143" s="2">
        <f t="shared" si="277"/>
        <v>1516</v>
      </c>
      <c r="AH143" s="1">
        <f t="shared" si="233"/>
        <v>1</v>
      </c>
      <c r="AI143" s="1">
        <f t="shared" si="324"/>
        <v>1</v>
      </c>
      <c r="AJ143" s="1">
        <f t="shared" si="308"/>
        <v>0</v>
      </c>
      <c r="AK143" s="1">
        <f t="shared" si="319"/>
        <v>0</v>
      </c>
      <c r="AL143" s="2">
        <f t="shared" si="243"/>
        <v>100</v>
      </c>
      <c r="AM143" s="8">
        <f t="shared" si="313"/>
        <v>4.9000000000000002E-2</v>
      </c>
      <c r="AN143" s="2">
        <f t="shared" si="244"/>
        <v>102.04166666666667</v>
      </c>
      <c r="AO143" s="2">
        <f t="shared" si="314"/>
        <v>1</v>
      </c>
      <c r="AP143" s="2">
        <f t="shared" si="272"/>
        <v>100</v>
      </c>
      <c r="AQ143" s="8">
        <f t="shared" si="325"/>
        <v>4.3200000000000002E-2</v>
      </c>
      <c r="AR143" s="2">
        <f t="shared" si="267"/>
        <v>101.8</v>
      </c>
      <c r="AS143" s="2">
        <f t="shared" si="326"/>
        <v>1</v>
      </c>
      <c r="AT143" s="2">
        <f t="shared" si="209"/>
        <v>0</v>
      </c>
      <c r="AU143" s="2">
        <f t="shared" si="245"/>
        <v>0</v>
      </c>
      <c r="AV143" s="2">
        <f t="shared" si="236"/>
        <v>23.204318079928626</v>
      </c>
      <c r="AW143" s="1">
        <f t="shared" si="311"/>
        <v>0</v>
      </c>
      <c r="AX143" s="2">
        <f t="shared" si="278"/>
        <v>23.204318079928626</v>
      </c>
      <c r="AY143" s="1">
        <f t="shared" si="237"/>
        <v>0</v>
      </c>
      <c r="AZ143" s="2">
        <f t="shared" si="210"/>
        <v>23.204318079928626</v>
      </c>
      <c r="BA143" s="2">
        <f t="shared" si="246"/>
        <v>162502.27581807991</v>
      </c>
      <c r="BB143" s="2">
        <f t="shared" si="279"/>
        <v>0</v>
      </c>
      <c r="BC143" s="2">
        <f t="shared" si="211"/>
        <v>1448.0433544139034</v>
      </c>
      <c r="BD143" s="2">
        <f t="shared" si="184"/>
        <v>161054.23246366601</v>
      </c>
      <c r="BE143" s="2">
        <f t="shared" si="212"/>
        <v>1518</v>
      </c>
      <c r="BF143" s="2">
        <f t="shared" si="185"/>
        <v>11587.012405435184</v>
      </c>
      <c r="BG143" s="2">
        <f t="shared" si="186"/>
        <v>147949.22005823083</v>
      </c>
      <c r="BI143" s="8">
        <f t="shared" si="315"/>
        <v>2.9000000000000001E-2</v>
      </c>
      <c r="BJ143" s="5">
        <f t="shared" si="301"/>
        <v>1092</v>
      </c>
      <c r="BK143" s="2">
        <f t="shared" si="302"/>
        <v>109090.8</v>
      </c>
      <c r="BL143" s="2">
        <f t="shared" si="303"/>
        <v>109200</v>
      </c>
      <c r="BM143" s="2">
        <f t="shared" si="280"/>
        <v>109200</v>
      </c>
      <c r="BN143" s="8">
        <f t="shared" si="281"/>
        <v>4.3999999999999997E-2</v>
      </c>
      <c r="BO143" s="2">
        <f t="shared" si="282"/>
        <v>111202</v>
      </c>
      <c r="BP143" s="2" t="str">
        <f t="shared" si="283"/>
        <v>nie</v>
      </c>
      <c r="BQ143" s="2">
        <f t="shared" si="284"/>
        <v>2184</v>
      </c>
      <c r="BR143" s="1">
        <f t="shared" si="316"/>
        <v>172</v>
      </c>
      <c r="BS143" s="1">
        <f t="shared" si="327"/>
        <v>187</v>
      </c>
      <c r="BT143" s="1">
        <f t="shared" si="309"/>
        <v>22</v>
      </c>
      <c r="BU143" s="1">
        <f t="shared" si="320"/>
        <v>107</v>
      </c>
      <c r="BV143" s="2">
        <f t="shared" si="247"/>
        <v>17200</v>
      </c>
      <c r="BW143" s="8">
        <f t="shared" si="317"/>
        <v>5.2499999999999998E-2</v>
      </c>
      <c r="BX143" s="2">
        <f t="shared" si="248"/>
        <v>17576.25</v>
      </c>
      <c r="BY143" s="2">
        <f t="shared" si="318"/>
        <v>344</v>
      </c>
      <c r="BZ143" s="2">
        <f t="shared" si="273"/>
        <v>31600</v>
      </c>
      <c r="CA143" s="8">
        <f t="shared" si="328"/>
        <v>4.3999999999999997E-2</v>
      </c>
      <c r="CB143" s="2">
        <f t="shared" si="249"/>
        <v>32179.333333333332</v>
      </c>
      <c r="CC143" s="2">
        <f t="shared" si="329"/>
        <v>632</v>
      </c>
      <c r="CD143" s="2">
        <f t="shared" si="285"/>
        <v>0</v>
      </c>
      <c r="CE143" s="2">
        <f t="shared" si="250"/>
        <v>0</v>
      </c>
      <c r="CF143" s="2">
        <f t="shared" si="251"/>
        <v>79.750000000005457</v>
      </c>
      <c r="CG143" s="1">
        <f t="shared" si="312"/>
        <v>0</v>
      </c>
      <c r="CH143" s="2">
        <f t="shared" si="286"/>
        <v>79.750000000005457</v>
      </c>
      <c r="CI143" s="1">
        <f t="shared" si="242"/>
        <v>0</v>
      </c>
      <c r="CJ143" s="2">
        <f t="shared" si="252"/>
        <v>79.750000000005457</v>
      </c>
      <c r="CK143" s="2">
        <f t="shared" si="253"/>
        <v>161037.33333333334</v>
      </c>
      <c r="CL143" s="2">
        <f t="shared" si="287"/>
        <v>0</v>
      </c>
      <c r="CM143" s="2">
        <f t="shared" si="216"/>
        <v>1442.7438850000001</v>
      </c>
      <c r="CN143" s="2">
        <f t="shared" si="288"/>
        <v>159594.58944833334</v>
      </c>
      <c r="CO143" s="2">
        <f t="shared" si="217"/>
        <v>3160</v>
      </c>
      <c r="CP143" s="2">
        <f t="shared" si="289"/>
        <v>10996.693333333335</v>
      </c>
      <c r="CQ143" s="2">
        <f t="shared" si="290"/>
        <v>145437.89611500001</v>
      </c>
      <c r="CS143" s="5">
        <f t="shared" si="304"/>
        <v>1628</v>
      </c>
      <c r="CT143" s="2">
        <f t="shared" si="305"/>
        <v>162637.20000000001</v>
      </c>
      <c r="CU143" s="2">
        <f t="shared" si="306"/>
        <v>162800</v>
      </c>
      <c r="CV143" s="2">
        <f t="shared" si="307"/>
        <v>162800</v>
      </c>
      <c r="CW143" s="8">
        <f t="shared" si="291"/>
        <v>5.7500000000000002E-2</v>
      </c>
      <c r="CX143" s="2">
        <f t="shared" si="292"/>
        <v>166700.41666666666</v>
      </c>
      <c r="CY143" s="2" t="str">
        <f t="shared" si="293"/>
        <v>nie</v>
      </c>
      <c r="CZ143" s="2">
        <f t="shared" si="222"/>
        <v>0</v>
      </c>
      <c r="DA143" s="2">
        <f t="shared" si="223"/>
        <v>14.935565330815734</v>
      </c>
      <c r="DB143" s="2">
        <f t="shared" si="224"/>
        <v>166715.35223199747</v>
      </c>
      <c r="DC143" s="2">
        <f t="shared" si="294"/>
        <v>0</v>
      </c>
      <c r="DD143" s="2">
        <f t="shared" si="225"/>
        <v>1471.1117513163395</v>
      </c>
      <c r="DE143" s="2">
        <f t="shared" si="226"/>
        <v>165244.24048068112</v>
      </c>
      <c r="DF143" s="2">
        <f t="shared" si="295"/>
        <v>3900.416666666657</v>
      </c>
      <c r="DG143" s="2">
        <f t="shared" si="296"/>
        <v>11932</v>
      </c>
      <c r="DH143" s="2">
        <f t="shared" si="227"/>
        <v>149411.82381401447</v>
      </c>
    </row>
    <row r="144" spans="2:112">
      <c r="B144" s="233"/>
      <c r="C144" s="1">
        <f t="shared" si="321"/>
        <v>107</v>
      </c>
      <c r="D144" s="2">
        <f t="shared" si="259"/>
        <v>150678.7301389022</v>
      </c>
      <c r="E144" s="2">
        <f t="shared" si="260"/>
        <v>139764.479653813</v>
      </c>
      <c r="F144" s="2">
        <f t="shared" si="261"/>
        <v>149506.22999833335</v>
      </c>
      <c r="G144" s="2">
        <f t="shared" si="262"/>
        <v>137553.51491500001</v>
      </c>
      <c r="H144" s="2">
        <f t="shared" si="263"/>
        <v>153297.49713215118</v>
      </c>
      <c r="I144" s="2">
        <f t="shared" si="264"/>
        <v>140521.82569872224</v>
      </c>
      <c r="J144" s="2">
        <f t="shared" si="322"/>
        <v>138336.63109894094</v>
      </c>
      <c r="K144" s="2">
        <f t="shared" si="323"/>
        <v>129037.87642919824</v>
      </c>
      <c r="W144" s="1">
        <f t="shared" si="297"/>
        <v>126</v>
      </c>
      <c r="X144" s="2">
        <f t="shared" si="274"/>
        <v>135022.39246450501</v>
      </c>
      <c r="Y144" s="8">
        <f t="shared" si="310"/>
        <v>4.3200000000000002E-2</v>
      </c>
      <c r="Z144" s="5">
        <f t="shared" si="298"/>
        <v>1516</v>
      </c>
      <c r="AA144" s="2">
        <f t="shared" si="299"/>
        <v>151448.4</v>
      </c>
      <c r="AB144" s="2">
        <f t="shared" si="207"/>
        <v>151600</v>
      </c>
      <c r="AC144" s="2">
        <f t="shared" si="300"/>
        <v>159028.4</v>
      </c>
      <c r="AD144" s="8">
        <f t="shared" si="275"/>
        <v>4.9000000000000002E-2</v>
      </c>
      <c r="AE144" s="2">
        <f t="shared" si="179"/>
        <v>162924.59579999998</v>
      </c>
      <c r="AF144" s="2" t="str">
        <f t="shared" si="276"/>
        <v>nie</v>
      </c>
      <c r="AG144" s="2">
        <f t="shared" si="277"/>
        <v>1516</v>
      </c>
      <c r="AH144" s="1">
        <f t="shared" si="233"/>
        <v>1</v>
      </c>
      <c r="AI144" s="1">
        <f t="shared" si="324"/>
        <v>1</v>
      </c>
      <c r="AJ144" s="1">
        <f t="shared" si="308"/>
        <v>0</v>
      </c>
      <c r="AK144" s="1">
        <f t="shared" si="319"/>
        <v>0</v>
      </c>
      <c r="AL144" s="2">
        <f t="shared" si="243"/>
        <v>100</v>
      </c>
      <c r="AM144" s="8">
        <f t="shared" si="313"/>
        <v>4.9000000000000002E-2</v>
      </c>
      <c r="AN144" s="2">
        <f t="shared" si="244"/>
        <v>102.45</v>
      </c>
      <c r="AO144" s="2">
        <f t="shared" si="314"/>
        <v>1</v>
      </c>
      <c r="AP144" s="2">
        <f t="shared" si="272"/>
        <v>100</v>
      </c>
      <c r="AQ144" s="8">
        <f t="shared" si="325"/>
        <v>4.3200000000000002E-2</v>
      </c>
      <c r="AR144" s="2">
        <f t="shared" si="267"/>
        <v>102.16000000000001</v>
      </c>
      <c r="AS144" s="2">
        <f t="shared" si="326"/>
        <v>1</v>
      </c>
      <c r="AT144" s="2">
        <f t="shared" si="209"/>
        <v>0</v>
      </c>
      <c r="AU144" s="2">
        <f t="shared" si="245"/>
        <v>0</v>
      </c>
      <c r="AV144" s="2">
        <f t="shared" si="236"/>
        <v>23.204318079928626</v>
      </c>
      <c r="AW144" s="1">
        <f t="shared" si="311"/>
        <v>0</v>
      </c>
      <c r="AX144" s="2">
        <f t="shared" si="278"/>
        <v>23.204318079928626</v>
      </c>
      <c r="AY144" s="1">
        <f t="shared" si="237"/>
        <v>0</v>
      </c>
      <c r="AZ144" s="2">
        <f t="shared" si="210"/>
        <v>23.204318079928626</v>
      </c>
      <c r="BA144" s="2">
        <f t="shared" si="246"/>
        <v>163152.41011807992</v>
      </c>
      <c r="BB144" s="2">
        <f t="shared" si="279"/>
        <v>0</v>
      </c>
      <c r="BC144" s="2">
        <f t="shared" si="211"/>
        <v>1448.0433544139034</v>
      </c>
      <c r="BD144" s="2">
        <f t="shared" si="184"/>
        <v>161704.36676366601</v>
      </c>
      <c r="BE144" s="2">
        <f t="shared" si="212"/>
        <v>1518</v>
      </c>
      <c r="BF144" s="2">
        <f t="shared" si="185"/>
        <v>11710.537922435185</v>
      </c>
      <c r="BG144" s="2">
        <f t="shared" si="186"/>
        <v>148475.82884123083</v>
      </c>
      <c r="BI144" s="8">
        <f t="shared" si="315"/>
        <v>2.9000000000000001E-2</v>
      </c>
      <c r="BJ144" s="5">
        <f t="shared" si="301"/>
        <v>1092</v>
      </c>
      <c r="BK144" s="2">
        <f t="shared" si="302"/>
        <v>109090.8</v>
      </c>
      <c r="BL144" s="2">
        <f t="shared" si="303"/>
        <v>109200</v>
      </c>
      <c r="BM144" s="2">
        <f t="shared" si="280"/>
        <v>109200</v>
      </c>
      <c r="BN144" s="8">
        <f t="shared" si="281"/>
        <v>4.3999999999999997E-2</v>
      </c>
      <c r="BO144" s="2">
        <f t="shared" si="282"/>
        <v>111602.40000000001</v>
      </c>
      <c r="BP144" s="2" t="str">
        <f t="shared" si="283"/>
        <v>nie</v>
      </c>
      <c r="BQ144" s="2">
        <f t="shared" si="284"/>
        <v>2184</v>
      </c>
      <c r="BR144" s="1">
        <f t="shared" si="316"/>
        <v>172</v>
      </c>
      <c r="BS144" s="1">
        <f t="shared" si="327"/>
        <v>187</v>
      </c>
      <c r="BT144" s="1">
        <f t="shared" si="309"/>
        <v>22</v>
      </c>
      <c r="BU144" s="1">
        <f t="shared" si="320"/>
        <v>107</v>
      </c>
      <c r="BV144" s="2">
        <f t="shared" si="247"/>
        <v>17200</v>
      </c>
      <c r="BW144" s="8">
        <f t="shared" si="317"/>
        <v>5.2499999999999998E-2</v>
      </c>
      <c r="BX144" s="2">
        <f t="shared" si="248"/>
        <v>17651.500000000004</v>
      </c>
      <c r="BY144" s="2">
        <f t="shared" si="318"/>
        <v>344</v>
      </c>
      <c r="BZ144" s="2">
        <f t="shared" si="273"/>
        <v>31600</v>
      </c>
      <c r="CA144" s="8">
        <f t="shared" si="328"/>
        <v>4.3999999999999997E-2</v>
      </c>
      <c r="CB144" s="2">
        <f t="shared" si="249"/>
        <v>32295.200000000001</v>
      </c>
      <c r="CC144" s="2">
        <f t="shared" si="329"/>
        <v>632</v>
      </c>
      <c r="CD144" s="2">
        <f t="shared" si="285"/>
        <v>0</v>
      </c>
      <c r="CE144" s="2">
        <f t="shared" si="250"/>
        <v>0</v>
      </c>
      <c r="CF144" s="2">
        <f t="shared" si="251"/>
        <v>79.750000000005457</v>
      </c>
      <c r="CG144" s="1">
        <f t="shared" si="312"/>
        <v>0</v>
      </c>
      <c r="CH144" s="2">
        <f t="shared" si="286"/>
        <v>79.750000000005457</v>
      </c>
      <c r="CI144" s="1">
        <f t="shared" si="242"/>
        <v>0</v>
      </c>
      <c r="CJ144" s="2">
        <f t="shared" si="252"/>
        <v>79.750000000005457</v>
      </c>
      <c r="CK144" s="2">
        <f t="shared" si="253"/>
        <v>161628.85</v>
      </c>
      <c r="CL144" s="2">
        <f t="shared" si="287"/>
        <v>0</v>
      </c>
      <c r="CM144" s="2">
        <f t="shared" si="216"/>
        <v>1442.7438850000001</v>
      </c>
      <c r="CN144" s="2">
        <f t="shared" si="288"/>
        <v>160186.106115</v>
      </c>
      <c r="CO144" s="2">
        <f t="shared" si="217"/>
        <v>3160</v>
      </c>
      <c r="CP144" s="2">
        <f t="shared" si="289"/>
        <v>11109.081500000002</v>
      </c>
      <c r="CQ144" s="2">
        <f t="shared" si="290"/>
        <v>145917.024615</v>
      </c>
      <c r="CS144" s="5">
        <f t="shared" si="304"/>
        <v>1628</v>
      </c>
      <c r="CT144" s="2">
        <f t="shared" si="305"/>
        <v>162637.20000000001</v>
      </c>
      <c r="CU144" s="2">
        <f t="shared" si="306"/>
        <v>162800</v>
      </c>
      <c r="CV144" s="2">
        <f t="shared" si="307"/>
        <v>162800</v>
      </c>
      <c r="CW144" s="8">
        <f t="shared" si="291"/>
        <v>5.7500000000000002E-2</v>
      </c>
      <c r="CX144" s="2">
        <f t="shared" si="292"/>
        <v>167480.5</v>
      </c>
      <c r="CY144" s="2" t="str">
        <f t="shared" si="293"/>
        <v>nie</v>
      </c>
      <c r="CZ144" s="2">
        <f t="shared" si="222"/>
        <v>0</v>
      </c>
      <c r="DA144" s="2">
        <f t="shared" si="223"/>
        <v>14.935565330815734</v>
      </c>
      <c r="DB144" s="2">
        <f t="shared" si="224"/>
        <v>167495.43556533082</v>
      </c>
      <c r="DC144" s="2">
        <f t="shared" si="294"/>
        <v>0</v>
      </c>
      <c r="DD144" s="2">
        <f t="shared" si="225"/>
        <v>1471.1117513163395</v>
      </c>
      <c r="DE144" s="2">
        <f t="shared" si="226"/>
        <v>166024.32381401447</v>
      </c>
      <c r="DF144" s="2">
        <f t="shared" si="295"/>
        <v>4680.5</v>
      </c>
      <c r="DG144" s="2">
        <f t="shared" si="296"/>
        <v>11932</v>
      </c>
      <c r="DH144" s="2">
        <f t="shared" si="227"/>
        <v>149411.82381401447</v>
      </c>
    </row>
    <row r="145" spans="2:112">
      <c r="B145" s="231">
        <f>ROUNDUP(C146/12,0)</f>
        <v>10</v>
      </c>
      <c r="C145" s="3">
        <f t="shared" si="321"/>
        <v>108</v>
      </c>
      <c r="D145" s="10">
        <f t="shared" si="259"/>
        <v>150277.8125679841</v>
      </c>
      <c r="E145" s="10">
        <f t="shared" si="260"/>
        <v>140480.13874754892</v>
      </c>
      <c r="F145" s="10">
        <f t="shared" si="261"/>
        <v>149961.52546500001</v>
      </c>
      <c r="G145" s="10">
        <f t="shared" si="262"/>
        <v>137893.567465</v>
      </c>
      <c r="H145" s="10">
        <f t="shared" si="263"/>
        <v>153746.00708141853</v>
      </c>
      <c r="I145" s="10">
        <f t="shared" si="264"/>
        <v>140855.65840895631</v>
      </c>
      <c r="J145" s="10">
        <f t="shared" si="322"/>
        <v>138756.82861590397</v>
      </c>
      <c r="K145" s="10">
        <f t="shared" si="323"/>
        <v>129341.64284014444</v>
      </c>
      <c r="W145" s="1">
        <f t="shared" si="297"/>
        <v>127</v>
      </c>
      <c r="X145" s="2">
        <f t="shared" si="274"/>
        <v>135344.03279483775</v>
      </c>
      <c r="Y145" s="8">
        <f t="shared" si="310"/>
        <v>4.3200000000000002E-2</v>
      </c>
      <c r="Z145" s="5">
        <f t="shared" si="298"/>
        <v>1516</v>
      </c>
      <c r="AA145" s="2">
        <f t="shared" si="299"/>
        <v>151448.4</v>
      </c>
      <c r="AB145" s="2">
        <f t="shared" si="207"/>
        <v>151600</v>
      </c>
      <c r="AC145" s="2">
        <f t="shared" si="300"/>
        <v>159028.4</v>
      </c>
      <c r="AD145" s="8">
        <f t="shared" si="275"/>
        <v>4.9000000000000002E-2</v>
      </c>
      <c r="AE145" s="2">
        <f t="shared" si="179"/>
        <v>163573.96176666667</v>
      </c>
      <c r="AF145" s="2" t="str">
        <f t="shared" si="276"/>
        <v>nie</v>
      </c>
      <c r="AG145" s="2">
        <f t="shared" si="277"/>
        <v>1516</v>
      </c>
      <c r="AH145" s="1">
        <f t="shared" si="233"/>
        <v>1</v>
      </c>
      <c r="AI145" s="1">
        <f t="shared" si="324"/>
        <v>1</v>
      </c>
      <c r="AJ145" s="1">
        <f t="shared" si="308"/>
        <v>0</v>
      </c>
      <c r="AK145" s="1">
        <f t="shared" si="319"/>
        <v>0</v>
      </c>
      <c r="AL145" s="2">
        <f t="shared" si="243"/>
        <v>100</v>
      </c>
      <c r="AM145" s="8">
        <f t="shared" si="313"/>
        <v>4.9000000000000002E-2</v>
      </c>
      <c r="AN145" s="2">
        <f t="shared" si="244"/>
        <v>102.85833333333333</v>
      </c>
      <c r="AO145" s="2">
        <f t="shared" si="314"/>
        <v>1</v>
      </c>
      <c r="AP145" s="2">
        <f t="shared" si="272"/>
        <v>100</v>
      </c>
      <c r="AQ145" s="8">
        <f t="shared" si="325"/>
        <v>4.3200000000000002E-2</v>
      </c>
      <c r="AR145" s="2">
        <f t="shared" si="267"/>
        <v>102.51999999999998</v>
      </c>
      <c r="AS145" s="2">
        <f t="shared" si="326"/>
        <v>1</v>
      </c>
      <c r="AT145" s="2">
        <f t="shared" si="209"/>
        <v>0</v>
      </c>
      <c r="AU145" s="2">
        <f t="shared" si="245"/>
        <v>0</v>
      </c>
      <c r="AV145" s="2">
        <f t="shared" si="236"/>
        <v>23.204318079928626</v>
      </c>
      <c r="AW145" s="1">
        <f t="shared" si="311"/>
        <v>0</v>
      </c>
      <c r="AX145" s="2">
        <f t="shared" si="278"/>
        <v>23.204318079928626</v>
      </c>
      <c r="AY145" s="1">
        <f t="shared" si="237"/>
        <v>0</v>
      </c>
      <c r="AZ145" s="2">
        <f t="shared" si="210"/>
        <v>23.204318079928626</v>
      </c>
      <c r="BA145" s="2">
        <f t="shared" si="246"/>
        <v>163802.54441807992</v>
      </c>
      <c r="BB145" s="2">
        <f t="shared" si="279"/>
        <v>0</v>
      </c>
      <c r="BC145" s="2">
        <f t="shared" si="211"/>
        <v>1448.0433544139034</v>
      </c>
      <c r="BD145" s="2">
        <f t="shared" si="184"/>
        <v>162354.50106366602</v>
      </c>
      <c r="BE145" s="2">
        <f t="shared" si="212"/>
        <v>1518</v>
      </c>
      <c r="BF145" s="2">
        <f t="shared" si="185"/>
        <v>11834.063439435186</v>
      </c>
      <c r="BG145" s="2">
        <f t="shared" si="186"/>
        <v>149002.43762423084</v>
      </c>
      <c r="BI145" s="8">
        <f t="shared" si="315"/>
        <v>2.9000000000000001E-2</v>
      </c>
      <c r="BJ145" s="5">
        <f t="shared" si="301"/>
        <v>1092</v>
      </c>
      <c r="BK145" s="2">
        <f t="shared" si="302"/>
        <v>109090.8</v>
      </c>
      <c r="BL145" s="2">
        <f t="shared" si="303"/>
        <v>109200</v>
      </c>
      <c r="BM145" s="2">
        <f t="shared" si="280"/>
        <v>109200</v>
      </c>
      <c r="BN145" s="8">
        <f t="shared" si="281"/>
        <v>4.3999999999999997E-2</v>
      </c>
      <c r="BO145" s="2">
        <f t="shared" si="282"/>
        <v>112002.8</v>
      </c>
      <c r="BP145" s="2" t="str">
        <f t="shared" si="283"/>
        <v>nie</v>
      </c>
      <c r="BQ145" s="2">
        <f t="shared" si="284"/>
        <v>2184</v>
      </c>
      <c r="BR145" s="1">
        <f t="shared" si="316"/>
        <v>172</v>
      </c>
      <c r="BS145" s="1">
        <f t="shared" si="327"/>
        <v>187</v>
      </c>
      <c r="BT145" s="1">
        <f t="shared" si="309"/>
        <v>22</v>
      </c>
      <c r="BU145" s="1">
        <f t="shared" si="320"/>
        <v>107</v>
      </c>
      <c r="BV145" s="2">
        <f t="shared" si="247"/>
        <v>17200</v>
      </c>
      <c r="BW145" s="8">
        <f t="shared" si="317"/>
        <v>5.2499999999999998E-2</v>
      </c>
      <c r="BX145" s="2">
        <f t="shared" si="248"/>
        <v>17726.75</v>
      </c>
      <c r="BY145" s="2">
        <f t="shared" si="318"/>
        <v>344</v>
      </c>
      <c r="BZ145" s="2">
        <f t="shared" si="273"/>
        <v>31600</v>
      </c>
      <c r="CA145" s="8">
        <f t="shared" si="328"/>
        <v>4.3999999999999997E-2</v>
      </c>
      <c r="CB145" s="2">
        <f t="shared" si="249"/>
        <v>32411.066666666669</v>
      </c>
      <c r="CC145" s="2">
        <f t="shared" si="329"/>
        <v>632</v>
      </c>
      <c r="CD145" s="2">
        <f t="shared" si="285"/>
        <v>0</v>
      </c>
      <c r="CE145" s="2">
        <f t="shared" si="250"/>
        <v>0</v>
      </c>
      <c r="CF145" s="2">
        <f t="shared" si="251"/>
        <v>79.750000000005457</v>
      </c>
      <c r="CG145" s="1">
        <f t="shared" si="312"/>
        <v>0</v>
      </c>
      <c r="CH145" s="2">
        <f t="shared" si="286"/>
        <v>79.750000000005457</v>
      </c>
      <c r="CI145" s="1">
        <f t="shared" si="242"/>
        <v>0</v>
      </c>
      <c r="CJ145" s="2">
        <f t="shared" si="252"/>
        <v>79.750000000005457</v>
      </c>
      <c r="CK145" s="2">
        <f t="shared" si="253"/>
        <v>162220.36666666667</v>
      </c>
      <c r="CL145" s="2">
        <f t="shared" si="287"/>
        <v>0</v>
      </c>
      <c r="CM145" s="2">
        <f t="shared" si="216"/>
        <v>1442.7438850000001</v>
      </c>
      <c r="CN145" s="2">
        <f t="shared" si="288"/>
        <v>160777.62278166667</v>
      </c>
      <c r="CO145" s="2">
        <f t="shared" si="217"/>
        <v>3160</v>
      </c>
      <c r="CP145" s="2">
        <f t="shared" si="289"/>
        <v>11221.469666666668</v>
      </c>
      <c r="CQ145" s="2">
        <f t="shared" si="290"/>
        <v>146396.15311499999</v>
      </c>
      <c r="CS145" s="5">
        <f t="shared" si="304"/>
        <v>1628</v>
      </c>
      <c r="CT145" s="2">
        <f t="shared" si="305"/>
        <v>162637.20000000001</v>
      </c>
      <c r="CU145" s="2">
        <f t="shared" si="306"/>
        <v>162800</v>
      </c>
      <c r="CV145" s="2">
        <f t="shared" si="307"/>
        <v>162800</v>
      </c>
      <c r="CW145" s="8">
        <f t="shared" si="291"/>
        <v>5.7500000000000002E-2</v>
      </c>
      <c r="CX145" s="2">
        <f t="shared" si="292"/>
        <v>168260.58333333331</v>
      </c>
      <c r="CY145" s="2" t="str">
        <f t="shared" si="293"/>
        <v>nie</v>
      </c>
      <c r="CZ145" s="2">
        <f t="shared" si="222"/>
        <v>0</v>
      </c>
      <c r="DA145" s="2">
        <f t="shared" si="223"/>
        <v>14.935565330815734</v>
      </c>
      <c r="DB145" s="2">
        <f t="shared" si="224"/>
        <v>168275.51889866413</v>
      </c>
      <c r="DC145" s="2">
        <f t="shared" si="294"/>
        <v>0</v>
      </c>
      <c r="DD145" s="2">
        <f t="shared" si="225"/>
        <v>1471.1117513163395</v>
      </c>
      <c r="DE145" s="2">
        <f t="shared" si="226"/>
        <v>166804.40714734778</v>
      </c>
      <c r="DF145" s="2">
        <f t="shared" si="295"/>
        <v>4884</v>
      </c>
      <c r="DG145" s="2">
        <f t="shared" si="296"/>
        <v>12041.550833333329</v>
      </c>
      <c r="DH145" s="2">
        <f t="shared" si="227"/>
        <v>149878.85631401444</v>
      </c>
    </row>
    <row r="146" spans="2:112">
      <c r="B146" s="232"/>
      <c r="C146" s="1">
        <f t="shared" si="321"/>
        <v>109</v>
      </c>
      <c r="D146" s="2">
        <f t="shared" si="259"/>
        <v>151048.85423465079</v>
      </c>
      <c r="E146" s="2">
        <f t="shared" si="260"/>
        <v>140602.93474754892</v>
      </c>
      <c r="F146" s="2">
        <f t="shared" si="261"/>
        <v>150540.57129833335</v>
      </c>
      <c r="G146" s="2">
        <f t="shared" si="262"/>
        <v>138481.00646500001</v>
      </c>
      <c r="H146" s="2">
        <f t="shared" si="263"/>
        <v>154379.14615376532</v>
      </c>
      <c r="I146" s="2">
        <f t="shared" si="264"/>
        <v>141368.50105755724</v>
      </c>
      <c r="J146" s="2">
        <f t="shared" si="322"/>
        <v>139178.30248282477</v>
      </c>
      <c r="K146" s="2">
        <f t="shared" si="323"/>
        <v>129654.21847700814</v>
      </c>
      <c r="W146" s="1">
        <f t="shared" si="297"/>
        <v>128</v>
      </c>
      <c r="X146" s="2">
        <f t="shared" si="274"/>
        <v>135665.67312517049</v>
      </c>
      <c r="Y146" s="8">
        <f t="shared" si="310"/>
        <v>4.3200000000000002E-2</v>
      </c>
      <c r="Z146" s="5">
        <f t="shared" si="298"/>
        <v>1516</v>
      </c>
      <c r="AA146" s="2">
        <f t="shared" si="299"/>
        <v>151448.4</v>
      </c>
      <c r="AB146" s="2">
        <f t="shared" si="207"/>
        <v>151600</v>
      </c>
      <c r="AC146" s="2">
        <f t="shared" si="300"/>
        <v>159028.4</v>
      </c>
      <c r="AD146" s="8">
        <f t="shared" si="275"/>
        <v>4.9000000000000002E-2</v>
      </c>
      <c r="AE146" s="2">
        <f t="shared" si="179"/>
        <v>164223.32773333331</v>
      </c>
      <c r="AF146" s="2" t="str">
        <f t="shared" si="276"/>
        <v>nie</v>
      </c>
      <c r="AG146" s="2">
        <f t="shared" si="277"/>
        <v>1516</v>
      </c>
      <c r="AH146" s="1">
        <f t="shared" si="233"/>
        <v>1</v>
      </c>
      <c r="AI146" s="1">
        <f t="shared" si="324"/>
        <v>1</v>
      </c>
      <c r="AJ146" s="1">
        <f t="shared" si="308"/>
        <v>0</v>
      </c>
      <c r="AK146" s="1">
        <f t="shared" si="319"/>
        <v>0</v>
      </c>
      <c r="AL146" s="2">
        <f t="shared" si="243"/>
        <v>100</v>
      </c>
      <c r="AM146" s="8">
        <f t="shared" si="313"/>
        <v>4.9000000000000002E-2</v>
      </c>
      <c r="AN146" s="2">
        <f t="shared" si="244"/>
        <v>103.26666666666667</v>
      </c>
      <c r="AO146" s="2">
        <f t="shared" si="314"/>
        <v>1</v>
      </c>
      <c r="AP146" s="2">
        <f t="shared" si="272"/>
        <v>100</v>
      </c>
      <c r="AQ146" s="8">
        <f t="shared" si="325"/>
        <v>4.3200000000000002E-2</v>
      </c>
      <c r="AR146" s="2">
        <f t="shared" si="267"/>
        <v>102.88</v>
      </c>
      <c r="AS146" s="2">
        <f t="shared" si="326"/>
        <v>1</v>
      </c>
      <c r="AT146" s="2">
        <f t="shared" si="209"/>
        <v>0</v>
      </c>
      <c r="AU146" s="2">
        <f t="shared" si="245"/>
        <v>0</v>
      </c>
      <c r="AV146" s="2">
        <f t="shared" si="236"/>
        <v>23.204318079928626</v>
      </c>
      <c r="AW146" s="1">
        <f t="shared" si="311"/>
        <v>0</v>
      </c>
      <c r="AX146" s="2">
        <f t="shared" si="278"/>
        <v>23.204318079928626</v>
      </c>
      <c r="AY146" s="1">
        <f t="shared" si="237"/>
        <v>0</v>
      </c>
      <c r="AZ146" s="2">
        <f t="shared" si="210"/>
        <v>23.204318079928626</v>
      </c>
      <c r="BA146" s="2">
        <f t="shared" si="246"/>
        <v>164452.6787180799</v>
      </c>
      <c r="BB146" s="2">
        <f t="shared" si="279"/>
        <v>0</v>
      </c>
      <c r="BC146" s="2">
        <f t="shared" si="211"/>
        <v>1448.0433544139034</v>
      </c>
      <c r="BD146" s="2">
        <f t="shared" si="184"/>
        <v>163004.63536366599</v>
      </c>
      <c r="BE146" s="2">
        <f t="shared" si="212"/>
        <v>1518</v>
      </c>
      <c r="BF146" s="2">
        <f t="shared" si="185"/>
        <v>11957.588956435182</v>
      </c>
      <c r="BG146" s="2">
        <f t="shared" si="186"/>
        <v>149529.04640723081</v>
      </c>
      <c r="BI146" s="8">
        <f t="shared" si="315"/>
        <v>2.9000000000000001E-2</v>
      </c>
      <c r="BJ146" s="5">
        <f t="shared" si="301"/>
        <v>1092</v>
      </c>
      <c r="BK146" s="2">
        <f t="shared" si="302"/>
        <v>109090.8</v>
      </c>
      <c r="BL146" s="2">
        <f t="shared" si="303"/>
        <v>109200</v>
      </c>
      <c r="BM146" s="2">
        <f t="shared" si="280"/>
        <v>109200</v>
      </c>
      <c r="BN146" s="8">
        <f t="shared" si="281"/>
        <v>4.3999999999999997E-2</v>
      </c>
      <c r="BO146" s="2">
        <f t="shared" si="282"/>
        <v>112403.20000000001</v>
      </c>
      <c r="BP146" s="2" t="str">
        <f t="shared" si="283"/>
        <v>nie</v>
      </c>
      <c r="BQ146" s="2">
        <f t="shared" si="284"/>
        <v>2184</v>
      </c>
      <c r="BR146" s="1">
        <f t="shared" si="316"/>
        <v>172</v>
      </c>
      <c r="BS146" s="1">
        <f t="shared" si="327"/>
        <v>187</v>
      </c>
      <c r="BT146" s="1">
        <f t="shared" si="309"/>
        <v>22</v>
      </c>
      <c r="BU146" s="1">
        <f t="shared" si="320"/>
        <v>107</v>
      </c>
      <c r="BV146" s="2">
        <f t="shared" si="247"/>
        <v>17200</v>
      </c>
      <c r="BW146" s="8">
        <f t="shared" si="317"/>
        <v>5.2499999999999998E-2</v>
      </c>
      <c r="BX146" s="2">
        <f t="shared" si="248"/>
        <v>17802</v>
      </c>
      <c r="BY146" s="2">
        <f t="shared" si="318"/>
        <v>344</v>
      </c>
      <c r="BZ146" s="2">
        <f t="shared" si="273"/>
        <v>31600</v>
      </c>
      <c r="CA146" s="8">
        <f t="shared" si="328"/>
        <v>4.3999999999999997E-2</v>
      </c>
      <c r="CB146" s="2">
        <f t="shared" si="249"/>
        <v>32526.933333333338</v>
      </c>
      <c r="CC146" s="2">
        <f t="shared" si="329"/>
        <v>632</v>
      </c>
      <c r="CD146" s="2">
        <f t="shared" si="285"/>
        <v>0</v>
      </c>
      <c r="CE146" s="2">
        <f t="shared" si="250"/>
        <v>0</v>
      </c>
      <c r="CF146" s="2">
        <f t="shared" si="251"/>
        <v>79.750000000005457</v>
      </c>
      <c r="CG146" s="1">
        <f t="shared" si="312"/>
        <v>0</v>
      </c>
      <c r="CH146" s="2">
        <f t="shared" si="286"/>
        <v>79.750000000005457</v>
      </c>
      <c r="CI146" s="1">
        <f t="shared" si="242"/>
        <v>0</v>
      </c>
      <c r="CJ146" s="2">
        <f t="shared" si="252"/>
        <v>79.750000000005457</v>
      </c>
      <c r="CK146" s="2">
        <f t="shared" si="253"/>
        <v>162811.88333333336</v>
      </c>
      <c r="CL146" s="2">
        <f t="shared" si="287"/>
        <v>0</v>
      </c>
      <c r="CM146" s="2">
        <f t="shared" si="216"/>
        <v>1442.7438850000001</v>
      </c>
      <c r="CN146" s="2">
        <f t="shared" si="288"/>
        <v>161369.13944833336</v>
      </c>
      <c r="CO146" s="2">
        <f t="shared" si="217"/>
        <v>3160</v>
      </c>
      <c r="CP146" s="2">
        <f t="shared" si="289"/>
        <v>11333.857833333339</v>
      </c>
      <c r="CQ146" s="2">
        <f t="shared" si="290"/>
        <v>146875.28161500001</v>
      </c>
      <c r="CS146" s="5">
        <f t="shared" si="304"/>
        <v>1628</v>
      </c>
      <c r="CT146" s="2">
        <f t="shared" si="305"/>
        <v>162637.20000000001</v>
      </c>
      <c r="CU146" s="2">
        <f t="shared" si="306"/>
        <v>162800</v>
      </c>
      <c r="CV146" s="2">
        <f t="shared" si="307"/>
        <v>162800</v>
      </c>
      <c r="CW146" s="8">
        <f t="shared" si="291"/>
        <v>5.7500000000000002E-2</v>
      </c>
      <c r="CX146" s="2">
        <f t="shared" si="292"/>
        <v>169040.66666666666</v>
      </c>
      <c r="CY146" s="2" t="str">
        <f t="shared" si="293"/>
        <v>nie</v>
      </c>
      <c r="CZ146" s="2">
        <f t="shared" si="222"/>
        <v>0</v>
      </c>
      <c r="DA146" s="2">
        <f t="shared" si="223"/>
        <v>14.935565330815734</v>
      </c>
      <c r="DB146" s="2">
        <f t="shared" si="224"/>
        <v>169055.60223199747</v>
      </c>
      <c r="DC146" s="2">
        <f t="shared" si="294"/>
        <v>0</v>
      </c>
      <c r="DD146" s="2">
        <f t="shared" si="225"/>
        <v>1471.1117513163395</v>
      </c>
      <c r="DE146" s="2">
        <f t="shared" si="226"/>
        <v>167584.49048068112</v>
      </c>
      <c r="DF146" s="2">
        <f t="shared" si="295"/>
        <v>4884</v>
      </c>
      <c r="DG146" s="2">
        <f t="shared" si="296"/>
        <v>12189.766666666665</v>
      </c>
      <c r="DH146" s="2">
        <f t="shared" si="227"/>
        <v>150510.72381401446</v>
      </c>
    </row>
    <row r="147" spans="2:112">
      <c r="B147" s="232"/>
      <c r="C147" s="1">
        <f t="shared" si="321"/>
        <v>110</v>
      </c>
      <c r="D147" s="2">
        <f t="shared" si="259"/>
        <v>151668.29590131744</v>
      </c>
      <c r="E147" s="2">
        <f t="shared" si="260"/>
        <v>140602.93474754892</v>
      </c>
      <c r="F147" s="2">
        <f t="shared" si="261"/>
        <v>151108.21713166669</v>
      </c>
      <c r="G147" s="2">
        <f t="shared" si="262"/>
        <v>138874.53146500001</v>
      </c>
      <c r="H147" s="2">
        <f t="shared" si="263"/>
        <v>155012.28522611209</v>
      </c>
      <c r="I147" s="2">
        <f t="shared" si="264"/>
        <v>141881.34370615811</v>
      </c>
      <c r="J147" s="2">
        <f t="shared" si="322"/>
        <v>139601.05657661636</v>
      </c>
      <c r="K147" s="2">
        <f t="shared" si="323"/>
        <v>129966.7941138718</v>
      </c>
      <c r="W147" s="1">
        <f t="shared" si="297"/>
        <v>129</v>
      </c>
      <c r="X147" s="2">
        <f t="shared" ref="X147:X162" si="330">zakup_domyslny_wartosc*IFERROR((INDEX(scenariusz_I_inflacja_skumulowana,MATCH(ROUNDDOWN(W147/12,0),scenariusz_I_rok,0))+1),1)
*(1+MOD(W147,12)*INDEX(scenariusz_I_inflacja,MATCH(ROUNDUP(W147/12,0),scenariusz_I_rok,0))/12)</f>
        <v>135987.3134555032</v>
      </c>
      <c r="Y147" s="8">
        <f t="shared" si="310"/>
        <v>4.3200000000000002E-2</v>
      </c>
      <c r="Z147" s="5">
        <f t="shared" si="298"/>
        <v>1516</v>
      </c>
      <c r="AA147" s="2">
        <f t="shared" si="299"/>
        <v>151448.4</v>
      </c>
      <c r="AB147" s="2">
        <f t="shared" si="207"/>
        <v>151600</v>
      </c>
      <c r="AC147" s="2">
        <f t="shared" si="300"/>
        <v>159028.4</v>
      </c>
      <c r="AD147" s="8">
        <f t="shared" ref="AD147:AD162" si="331">IF(AND(MOD($W147,zapadalnosc_TOS)&lt;=zmiana_oprocentowania_co_ile_mc_TOS,MOD($W147,zapadalnosc_TOS)&lt;&gt;0),proc_I_okres_TOS,(marza_TOS+$Y147))</f>
        <v>4.9000000000000002E-2</v>
      </c>
      <c r="AE147" s="2">
        <f t="shared" ref="AE147:AE162" si="332">AC147*(1+AD147*IF(MOD($W147,12)&lt;&gt;0,MOD($W147,12),12)/12)</f>
        <v>164872.6937</v>
      </c>
      <c r="AF147" s="2" t="str">
        <f t="shared" ref="AF147:AF162" si="333">IF(MOD($W147,zapadalnosc_TOS)=0,"tak","nie")</f>
        <v>nie</v>
      </c>
      <c r="AG147" s="2">
        <f t="shared" ref="AG147:AG162" si="334">IF(MOD($W147,zapadalnosc_TOS)=0,0,
IF(AND(MOD($W147,zapadalnosc_TOS)&lt;zapadalnosc_TOS,MOD($W147,zapadalnosc_TOS)&lt;=koszt_wczesniejszy_wykup_ochrona_TOS),
MIN(AE147-AB147,Z147*koszt_wczesniejszy_wykup_TOS),Z147*koszt_wczesniejszy_wykup_TOS))</f>
        <v>1516</v>
      </c>
      <c r="AH147" s="1">
        <f t="shared" si="233"/>
        <v>1</v>
      </c>
      <c r="AI147" s="1">
        <f t="shared" si="324"/>
        <v>1</v>
      </c>
      <c r="AJ147" s="1">
        <f t="shared" si="308"/>
        <v>0</v>
      </c>
      <c r="AK147" s="1">
        <f t="shared" si="319"/>
        <v>0</v>
      </c>
      <c r="AL147" s="2">
        <f t="shared" si="243"/>
        <v>100</v>
      </c>
      <c r="AM147" s="8">
        <f t="shared" si="313"/>
        <v>4.9000000000000002E-2</v>
      </c>
      <c r="AN147" s="2">
        <f t="shared" si="244"/>
        <v>103.67500000000001</v>
      </c>
      <c r="AO147" s="2">
        <f t="shared" si="314"/>
        <v>1</v>
      </c>
      <c r="AP147" s="2">
        <f t="shared" si="272"/>
        <v>100</v>
      </c>
      <c r="AQ147" s="8">
        <f t="shared" si="325"/>
        <v>4.3200000000000002E-2</v>
      </c>
      <c r="AR147" s="2">
        <f t="shared" si="267"/>
        <v>103.24</v>
      </c>
      <c r="AS147" s="2">
        <f t="shared" si="326"/>
        <v>1</v>
      </c>
      <c r="AT147" s="2">
        <f t="shared" si="209"/>
        <v>0</v>
      </c>
      <c r="AU147" s="2">
        <f t="shared" si="245"/>
        <v>0</v>
      </c>
      <c r="AV147" s="2">
        <f t="shared" si="236"/>
        <v>23.204318079928626</v>
      </c>
      <c r="AW147" s="1">
        <f t="shared" si="311"/>
        <v>0</v>
      </c>
      <c r="AX147" s="2">
        <f t="shared" ref="AX147:AX162" si="335">AV147-AW147*zamiana_TOS</f>
        <v>23.204318079928626</v>
      </c>
      <c r="AY147" s="1">
        <f t="shared" si="237"/>
        <v>0</v>
      </c>
      <c r="AZ147" s="2">
        <f t="shared" si="210"/>
        <v>23.204318079928626</v>
      </c>
      <c r="BA147" s="2">
        <f t="shared" si="246"/>
        <v>165102.81301807991</v>
      </c>
      <c r="BB147" s="2">
        <f t="shared" ref="BB147:BB162" si="336">MIN(IF(MOD($W147,12)=0,INDEX(IKE_oplata_wskaznik,MATCH(ROUNDUP($W147/12,0),IKE_oplata_rok,0)),0)*BA147,200)</f>
        <v>0</v>
      </c>
      <c r="BC147" s="2">
        <f t="shared" si="211"/>
        <v>1448.0433544139034</v>
      </c>
      <c r="BD147" s="2">
        <f t="shared" ref="BD147:BD162" si="337">BA147-BC147</f>
        <v>163654.769663666</v>
      </c>
      <c r="BE147" s="2">
        <f t="shared" si="212"/>
        <v>1518</v>
      </c>
      <c r="BF147" s="2">
        <f t="shared" ref="BF147:BF162" si="338">(BA147-BE147-zakup_domyslny_wartosc)*podatek_Belki</f>
        <v>12081.114473435182</v>
      </c>
      <c r="BG147" s="2">
        <f t="shared" ref="BG147:BG162" si="339">BA147-BC147-BE147-BF147</f>
        <v>150055.65519023081</v>
      </c>
      <c r="BI147" s="8">
        <f t="shared" si="315"/>
        <v>2.9000000000000001E-2</v>
      </c>
      <c r="BJ147" s="5">
        <f t="shared" si="301"/>
        <v>1092</v>
      </c>
      <c r="BK147" s="2">
        <f t="shared" si="302"/>
        <v>109090.8</v>
      </c>
      <c r="BL147" s="2">
        <f t="shared" si="303"/>
        <v>109200</v>
      </c>
      <c r="BM147" s="2">
        <f t="shared" ref="BM147:BM162" si="340">BL147</f>
        <v>109200</v>
      </c>
      <c r="BN147" s="8">
        <f t="shared" ref="BN147:BN162" si="341">IF(AND(MOD($W147,zapadalnosc_COI)&lt;=zmiana_oprocentowania_co_ile_mc_COI,MOD($W147,zapadalnosc_COI)&lt;&gt;0),proc_I_okres_COI,(marza_COI+$BI147))</f>
        <v>4.3999999999999997E-2</v>
      </c>
      <c r="BO147" s="2">
        <f t="shared" ref="BO147:BO162" si="342">BM147*(1+BN147*IF(MOD($W147,12)&lt;&gt;0,MOD($W147,12),12)/12)</f>
        <v>112803.59999999999</v>
      </c>
      <c r="BP147" s="2" t="str">
        <f t="shared" ref="BP147:BP162" si="343">IF(MOD($W147,zapadalnosc_COI)=0,"tak","nie")</f>
        <v>nie</v>
      </c>
      <c r="BQ147" s="2">
        <f t="shared" ref="BQ147:BQ162" si="344">IF(MOD($W147,zapadalnosc_COI)=0,0,
IF(AND(MOD($W147,zapadalnosc_COI)&lt;zapadalnosc_COI,MOD($W147,zapadalnosc_COI)&lt;=koszt_wczesniejszy_wykup_ochrona_COI),
MIN(BO147-BL147,BJ147*koszt_wczesniejszy_wykup_COI),BJ147*koszt_wczesniejszy_wykup_COI))</f>
        <v>2184</v>
      </c>
      <c r="BR147" s="1">
        <f t="shared" si="316"/>
        <v>172</v>
      </c>
      <c r="BS147" s="1">
        <f t="shared" si="327"/>
        <v>187</v>
      </c>
      <c r="BT147" s="1">
        <f t="shared" si="309"/>
        <v>22</v>
      </c>
      <c r="BU147" s="1">
        <f t="shared" si="320"/>
        <v>107</v>
      </c>
      <c r="BV147" s="2">
        <f t="shared" si="247"/>
        <v>17200</v>
      </c>
      <c r="BW147" s="8">
        <f t="shared" si="317"/>
        <v>5.2499999999999998E-2</v>
      </c>
      <c r="BX147" s="2">
        <f t="shared" si="248"/>
        <v>17877.25</v>
      </c>
      <c r="BY147" s="2">
        <f t="shared" si="318"/>
        <v>344</v>
      </c>
      <c r="BZ147" s="2">
        <f t="shared" si="273"/>
        <v>31600</v>
      </c>
      <c r="CA147" s="8">
        <f t="shared" si="328"/>
        <v>4.3999999999999997E-2</v>
      </c>
      <c r="CB147" s="2">
        <f t="shared" si="249"/>
        <v>32642.799999999996</v>
      </c>
      <c r="CC147" s="2">
        <f t="shared" si="329"/>
        <v>632</v>
      </c>
      <c r="CD147" s="2">
        <f t="shared" ref="CD147:CD161" si="345">IF(MOD($W147,wyplata_odsetek_COI)=0, (BO147-BL147),0)
-IF(AND(BP147="tak",BK148&lt;&gt;""),BK148-BL147,0)</f>
        <v>0</v>
      </c>
      <c r="CE147" s="2">
        <f t="shared" si="250"/>
        <v>0</v>
      </c>
      <c r="CF147" s="2">
        <f t="shared" si="251"/>
        <v>79.750000000005457</v>
      </c>
      <c r="CG147" s="1">
        <f t="shared" si="312"/>
        <v>0</v>
      </c>
      <c r="CH147" s="2">
        <f t="shared" ref="CH147:CH162" si="346">CF147-CG147*zamiana_COI</f>
        <v>79.750000000005457</v>
      </c>
      <c r="CI147" s="1">
        <f t="shared" si="242"/>
        <v>0</v>
      </c>
      <c r="CJ147" s="2">
        <f t="shared" si="252"/>
        <v>79.750000000005457</v>
      </c>
      <c r="CK147" s="2">
        <f t="shared" si="253"/>
        <v>163403.4</v>
      </c>
      <c r="CL147" s="2">
        <f t="shared" ref="CL147:CL162" si="347">MIN(IF(MOD($W147,12)=0,INDEX(IKE_oplata_wskaznik,MATCH(ROUNDUP($W147/12,0),IKE_oplata_rok,0)),0)*CK147,200)</f>
        <v>0</v>
      </c>
      <c r="CM147" s="2">
        <f t="shared" si="216"/>
        <v>1442.7438850000001</v>
      </c>
      <c r="CN147" s="2">
        <f t="shared" ref="CN147:CN162" si="348">CK147-CM147</f>
        <v>161960.65611499999</v>
      </c>
      <c r="CO147" s="2">
        <f t="shared" si="217"/>
        <v>3160</v>
      </c>
      <c r="CP147" s="2">
        <f t="shared" ref="CP147:CP162" si="349">(CK147-CO147-zakup_domyslny_wartosc)*podatek_Belki</f>
        <v>11446.245999999999</v>
      </c>
      <c r="CQ147" s="2">
        <f t="shared" ref="CQ147:CQ162" si="350">CK147-CM147-CO147-CP147</f>
        <v>147354.41011499998</v>
      </c>
      <c r="CS147" s="5">
        <f t="shared" si="304"/>
        <v>1628</v>
      </c>
      <c r="CT147" s="2">
        <f t="shared" si="305"/>
        <v>162637.20000000001</v>
      </c>
      <c r="CU147" s="2">
        <f t="shared" si="306"/>
        <v>162800</v>
      </c>
      <c r="CV147" s="2">
        <f t="shared" si="307"/>
        <v>162800</v>
      </c>
      <c r="CW147" s="8">
        <f t="shared" ref="CW147:CW162" si="351">IF(AND(MOD($W147,zapadalnosc_EDO)&lt;=12,MOD($W147,zapadalnosc_EDO)&lt;&gt;0),proc_I_okres_EDO,(marza_EDO+$BI147))</f>
        <v>5.7500000000000002E-2</v>
      </c>
      <c r="CX147" s="2">
        <f t="shared" ref="CX147:CX162" si="352">CV147*(1+CW147*IF(MOD($W147,12)&lt;&gt;0,MOD($W147,12),12)/12)</f>
        <v>169820.75</v>
      </c>
      <c r="CY147" s="2" t="str">
        <f t="shared" ref="CY147:CY162" si="353">IF(MOD($W147,zapadalnosc_EDO)=0,"tak","nie")</f>
        <v>nie</v>
      </c>
      <c r="CZ147" s="2">
        <f t="shared" si="222"/>
        <v>0</v>
      </c>
      <c r="DA147" s="2">
        <f t="shared" si="223"/>
        <v>14.935565330815734</v>
      </c>
      <c r="DB147" s="2">
        <f t="shared" si="224"/>
        <v>169835.68556533082</v>
      </c>
      <c r="DC147" s="2">
        <f t="shared" ref="DC147:DC162" si="354">MIN(IF(MOD(W147,12)=0,INDEX(IKE_oplata_wskaznik,MATCH(ROUNDUP(W147/12,0),IKE_oplata_rok,0)),0)*DB147,200)</f>
        <v>0</v>
      </c>
      <c r="DD147" s="2">
        <f t="shared" si="225"/>
        <v>1471.1117513163395</v>
      </c>
      <c r="DE147" s="2">
        <f t="shared" si="226"/>
        <v>168364.57381401447</v>
      </c>
      <c r="DF147" s="2">
        <f t="shared" ref="DF147:DF162" si="355">IF(AND(MOD($W147,zapadalnosc_EDO)&lt;zapadalnosc_EDO,MOD($W147,zapadalnosc_EDO)&lt;&gt;0),MIN(CX147-CU147,CS147*koszt_wczesniejszy_wykup_EDO),0)</f>
        <v>4884</v>
      </c>
      <c r="DG147" s="2">
        <f t="shared" ref="DG147:DG162" si="356">(CX147-DF147-zakup_domyslny_wartosc)*podatek_Belki</f>
        <v>12337.9825</v>
      </c>
      <c r="DH147" s="2">
        <f t="shared" si="227"/>
        <v>151142.59131401445</v>
      </c>
    </row>
    <row r="148" spans="2:112">
      <c r="B148" s="232"/>
      <c r="C148" s="1">
        <f t="shared" si="321"/>
        <v>111</v>
      </c>
      <c r="D148" s="2">
        <f t="shared" si="259"/>
        <v>152287.73756798412</v>
      </c>
      <c r="E148" s="2">
        <f t="shared" si="260"/>
        <v>140879.40799754893</v>
      </c>
      <c r="F148" s="2">
        <f t="shared" si="261"/>
        <v>151675.86296499998</v>
      </c>
      <c r="G148" s="2">
        <f t="shared" si="262"/>
        <v>139268.05646499997</v>
      </c>
      <c r="H148" s="2">
        <f t="shared" si="263"/>
        <v>155645.42429845888</v>
      </c>
      <c r="I148" s="2">
        <f t="shared" si="264"/>
        <v>142394.186354759</v>
      </c>
      <c r="J148" s="2">
        <f t="shared" si="322"/>
        <v>140025.09478596784</v>
      </c>
      <c r="K148" s="2">
        <f t="shared" si="323"/>
        <v>130279.36975073548</v>
      </c>
      <c r="W148" s="1">
        <f t="shared" ref="W148:W162" si="357">W147+1</f>
        <v>130</v>
      </c>
      <c r="X148" s="2">
        <f t="shared" si="330"/>
        <v>136308.95378583594</v>
      </c>
      <c r="Y148" s="8">
        <f t="shared" si="310"/>
        <v>4.3200000000000002E-2</v>
      </c>
      <c r="Z148" s="5">
        <f t="shared" ref="Z148:Z162" si="358">IF(AF147="tak",
ROUNDDOWN(AE147/zamiana_TOS,0),
Z147)</f>
        <v>1516</v>
      </c>
      <c r="AA148" s="2">
        <f t="shared" ref="AA148:AA162" si="359">IF(AF147="tak",
Z148*zamiana_TOS,
AA147)</f>
        <v>151448.4</v>
      </c>
      <c r="AB148" s="2">
        <f t="shared" ref="AB148:AB162" si="360">IF(AF147="tak",
Z148*100,
AB147)</f>
        <v>151600</v>
      </c>
      <c r="AC148" s="2">
        <f t="shared" ref="AC148:AC162" si="361">IF(AF147="tak",
 AB148,
IF(MOD($W148,kapitalizacja_odsetek_mc_TOS)&lt;&gt;1,AC147,AE147))</f>
        <v>159028.4</v>
      </c>
      <c r="AD148" s="8">
        <f t="shared" si="331"/>
        <v>4.9000000000000002E-2</v>
      </c>
      <c r="AE148" s="2">
        <f t="shared" si="332"/>
        <v>165522.05966666664</v>
      </c>
      <c r="AF148" s="2" t="str">
        <f t="shared" si="333"/>
        <v>nie</v>
      </c>
      <c r="AG148" s="2">
        <f t="shared" si="334"/>
        <v>1516</v>
      </c>
      <c r="AH148" s="1">
        <f t="shared" si="233"/>
        <v>1</v>
      </c>
      <c r="AI148" s="1">
        <f t="shared" si="324"/>
        <v>1</v>
      </c>
      <c r="AJ148" s="1">
        <f t="shared" si="308"/>
        <v>0</v>
      </c>
      <c r="AK148" s="1">
        <f t="shared" si="319"/>
        <v>0</v>
      </c>
      <c r="AL148" s="2">
        <f t="shared" si="243"/>
        <v>100</v>
      </c>
      <c r="AM148" s="8">
        <f t="shared" si="313"/>
        <v>4.9000000000000002E-2</v>
      </c>
      <c r="AN148" s="2">
        <f t="shared" si="244"/>
        <v>104.08333333333333</v>
      </c>
      <c r="AO148" s="2">
        <f t="shared" si="314"/>
        <v>1</v>
      </c>
      <c r="AP148" s="2">
        <f t="shared" si="272"/>
        <v>100</v>
      </c>
      <c r="AQ148" s="8">
        <f t="shared" si="325"/>
        <v>4.3200000000000002E-2</v>
      </c>
      <c r="AR148" s="2">
        <f t="shared" si="267"/>
        <v>103.60000000000001</v>
      </c>
      <c r="AS148" s="2">
        <f t="shared" si="326"/>
        <v>1</v>
      </c>
      <c r="AT148" s="2">
        <f t="shared" ref="AT148:AT161" si="362">IF(AND(AF148="tak",AA149&lt;&gt;""),
 AE148-AA149,
0)</f>
        <v>0</v>
      </c>
      <c r="AU148" s="2">
        <f t="shared" si="245"/>
        <v>0</v>
      </c>
      <c r="AV148" s="2">
        <f t="shared" si="236"/>
        <v>23.204318079928626</v>
      </c>
      <c r="AW148" s="1">
        <f t="shared" si="311"/>
        <v>0</v>
      </c>
      <c r="AX148" s="2">
        <f t="shared" si="335"/>
        <v>23.204318079928626</v>
      </c>
      <c r="AY148" s="1">
        <f t="shared" si="237"/>
        <v>0</v>
      </c>
      <c r="AZ148" s="2">
        <f t="shared" ref="AZ148:AZ162" si="363">AX148-AY148*100</f>
        <v>23.204318079928626</v>
      </c>
      <c r="BA148" s="2">
        <f t="shared" si="246"/>
        <v>165752.94731807991</v>
      </c>
      <c r="BB148" s="2">
        <f t="shared" si="336"/>
        <v>0</v>
      </c>
      <c r="BC148" s="2">
        <f t="shared" ref="BC148:BC162" si="364">BB148+BC147</f>
        <v>1448.0433544139034</v>
      </c>
      <c r="BD148" s="2">
        <f t="shared" si="337"/>
        <v>164304.903963666</v>
      </c>
      <c r="BE148" s="2">
        <f t="shared" ref="BE148:BE162" si="365">AG148+AO148+AS148</f>
        <v>1518</v>
      </c>
      <c r="BF148" s="2">
        <f t="shared" si="338"/>
        <v>12204.639990435184</v>
      </c>
      <c r="BG148" s="2">
        <f t="shared" si="339"/>
        <v>150582.26397323082</v>
      </c>
      <c r="BI148" s="8">
        <f t="shared" si="315"/>
        <v>2.9000000000000001E-2</v>
      </c>
      <c r="BJ148" s="5">
        <f t="shared" ref="BJ148:BJ162" si="366">IF(BP147="tak",
ROUNDDOWN(BO147/zamiana_COI,0),
BJ147)</f>
        <v>1092</v>
      </c>
      <c r="BK148" s="2">
        <f t="shared" ref="BK148:BK162" si="367">IF(BP147="tak",
BJ148*zamiana_COI,
BK147)</f>
        <v>109090.8</v>
      </c>
      <c r="BL148" s="2">
        <f t="shared" ref="BL148:BL162" si="368">IF(BP147="tak",
BJ148*100,
BL147)</f>
        <v>109200</v>
      </c>
      <c r="BM148" s="2">
        <f t="shared" si="340"/>
        <v>109200</v>
      </c>
      <c r="BN148" s="8">
        <f t="shared" si="341"/>
        <v>4.3999999999999997E-2</v>
      </c>
      <c r="BO148" s="2">
        <f t="shared" si="342"/>
        <v>113204</v>
      </c>
      <c r="BP148" s="2" t="str">
        <f t="shared" si="343"/>
        <v>nie</v>
      </c>
      <c r="BQ148" s="2">
        <f t="shared" si="344"/>
        <v>2184</v>
      </c>
      <c r="BR148" s="1">
        <f t="shared" si="316"/>
        <v>172</v>
      </c>
      <c r="BS148" s="1">
        <f t="shared" si="327"/>
        <v>187</v>
      </c>
      <c r="BT148" s="1">
        <f t="shared" si="309"/>
        <v>22</v>
      </c>
      <c r="BU148" s="1">
        <f t="shared" si="320"/>
        <v>107</v>
      </c>
      <c r="BV148" s="2">
        <f t="shared" si="247"/>
        <v>17200</v>
      </c>
      <c r="BW148" s="8">
        <f t="shared" si="317"/>
        <v>5.2499999999999998E-2</v>
      </c>
      <c r="BX148" s="2">
        <f t="shared" si="248"/>
        <v>17952.5</v>
      </c>
      <c r="BY148" s="2">
        <f t="shared" si="318"/>
        <v>344</v>
      </c>
      <c r="BZ148" s="2">
        <f t="shared" si="273"/>
        <v>31600</v>
      </c>
      <c r="CA148" s="8">
        <f t="shared" si="328"/>
        <v>4.3999999999999997E-2</v>
      </c>
      <c r="CB148" s="2">
        <f t="shared" si="249"/>
        <v>32758.666666666664</v>
      </c>
      <c r="CC148" s="2">
        <f t="shared" si="329"/>
        <v>632</v>
      </c>
      <c r="CD148" s="2">
        <f t="shared" si="345"/>
        <v>0</v>
      </c>
      <c r="CE148" s="2">
        <f t="shared" si="250"/>
        <v>0</v>
      </c>
      <c r="CF148" s="2">
        <f t="shared" si="251"/>
        <v>79.750000000005457</v>
      </c>
      <c r="CG148" s="1">
        <f t="shared" si="312"/>
        <v>0</v>
      </c>
      <c r="CH148" s="2">
        <f t="shared" si="346"/>
        <v>79.750000000005457</v>
      </c>
      <c r="CI148" s="1">
        <f t="shared" si="242"/>
        <v>0</v>
      </c>
      <c r="CJ148" s="2">
        <f t="shared" si="252"/>
        <v>79.750000000005457</v>
      </c>
      <c r="CK148" s="2">
        <f t="shared" si="253"/>
        <v>163994.91666666666</v>
      </c>
      <c r="CL148" s="2">
        <f t="shared" si="347"/>
        <v>0</v>
      </c>
      <c r="CM148" s="2">
        <f t="shared" ref="CM148:CM162" si="369">CL148+CM147</f>
        <v>1442.7438850000001</v>
      </c>
      <c r="CN148" s="2">
        <f t="shared" si="348"/>
        <v>162552.17278166665</v>
      </c>
      <c r="CO148" s="2">
        <f t="shared" ref="CO148:CO162" si="370">BQ148+BY148+CC148</f>
        <v>3160</v>
      </c>
      <c r="CP148" s="2">
        <f t="shared" si="349"/>
        <v>11558.634166666665</v>
      </c>
      <c r="CQ148" s="2">
        <f t="shared" si="350"/>
        <v>147833.538615</v>
      </c>
      <c r="CS148" s="5">
        <f t="shared" ref="CS148:CS162" si="371">IF(CY147="tak",
ROUNDDOWN(CX147/zamiana_EDO,0),
CS147)</f>
        <v>1628</v>
      </c>
      <c r="CT148" s="2">
        <f t="shared" ref="CT148:CT162" si="372">IF(CY147="tak",
CS148*zamiana_EDO,
CT147)</f>
        <v>162637.20000000001</v>
      </c>
      <c r="CU148" s="2">
        <f t="shared" ref="CU148:CU162" si="373">IF(CY147="tak",
CS148*100,
CU147)</f>
        <v>162800</v>
      </c>
      <c r="CV148" s="2">
        <f t="shared" ref="CV148:CV162" si="374">IF(CY147="tak",
 CU148,
IF(MOD($W148,kapitalizacja_odsetek_mc_EDO)&lt;&gt;1,CV147,CX147))</f>
        <v>162800</v>
      </c>
      <c r="CW148" s="8">
        <f t="shared" si="351"/>
        <v>5.7500000000000002E-2</v>
      </c>
      <c r="CX148" s="2">
        <f t="shared" si="352"/>
        <v>170600.83333333331</v>
      </c>
      <c r="CY148" s="2" t="str">
        <f t="shared" si="353"/>
        <v>nie</v>
      </c>
      <c r="CZ148" s="2">
        <f t="shared" ref="CZ148:CZ162" si="375">IF(AND(CY148="tak",CT149&lt;&gt;""),
 CX148-CT149,
0)</f>
        <v>0</v>
      </c>
      <c r="DA148" s="2">
        <f t="shared" ref="DA148:DA162" si="376">DA147+CZ148</f>
        <v>14.935565330815734</v>
      </c>
      <c r="DB148" s="2">
        <f t="shared" ref="DB148:DB162" si="377">DA147+CX148</f>
        <v>170615.76889866413</v>
      </c>
      <c r="DC148" s="2">
        <f t="shared" si="354"/>
        <v>0</v>
      </c>
      <c r="DD148" s="2">
        <f t="shared" ref="DD148:DD162" si="378">DC148+DD147</f>
        <v>1471.1117513163395</v>
      </c>
      <c r="DE148" s="2">
        <f t="shared" ref="DE148:DE162" si="379">DB148-DD148</f>
        <v>169144.65714734778</v>
      </c>
      <c r="DF148" s="2">
        <f t="shared" si="355"/>
        <v>4884</v>
      </c>
      <c r="DG148" s="2">
        <f t="shared" si="356"/>
        <v>12486.19833333333</v>
      </c>
      <c r="DH148" s="2">
        <f t="shared" ref="DH148:DH162" si="380">DB148-DD148-DF148-DG148</f>
        <v>151774.45881401445</v>
      </c>
    </row>
    <row r="149" spans="2:112">
      <c r="B149" s="232"/>
      <c r="C149" s="1">
        <f t="shared" si="321"/>
        <v>112</v>
      </c>
      <c r="D149" s="2">
        <f t="shared" si="259"/>
        <v>152907.17923465077</v>
      </c>
      <c r="E149" s="2">
        <f t="shared" si="260"/>
        <v>141381.15574754891</v>
      </c>
      <c r="F149" s="2">
        <f t="shared" si="261"/>
        <v>152243.50879833332</v>
      </c>
      <c r="G149" s="2">
        <f t="shared" si="262"/>
        <v>139661.581465</v>
      </c>
      <c r="H149" s="2">
        <f t="shared" si="263"/>
        <v>156278.56337080564</v>
      </c>
      <c r="I149" s="2">
        <f t="shared" si="264"/>
        <v>142907.02900335987</v>
      </c>
      <c r="J149" s="2">
        <f t="shared" si="322"/>
        <v>140450.42101138021</v>
      </c>
      <c r="K149" s="2">
        <f t="shared" si="323"/>
        <v>130591.94538759917</v>
      </c>
      <c r="W149" s="1">
        <f t="shared" si="357"/>
        <v>131</v>
      </c>
      <c r="X149" s="2">
        <f t="shared" si="330"/>
        <v>136630.59411616868</v>
      </c>
      <c r="Y149" s="8">
        <f t="shared" si="310"/>
        <v>4.3200000000000002E-2</v>
      </c>
      <c r="Z149" s="5">
        <f t="shared" si="358"/>
        <v>1516</v>
      </c>
      <c r="AA149" s="2">
        <f t="shared" si="359"/>
        <v>151448.4</v>
      </c>
      <c r="AB149" s="2">
        <f t="shared" si="360"/>
        <v>151600</v>
      </c>
      <c r="AC149" s="2">
        <f t="shared" si="361"/>
        <v>159028.4</v>
      </c>
      <c r="AD149" s="8">
        <f t="shared" si="331"/>
        <v>4.9000000000000002E-2</v>
      </c>
      <c r="AE149" s="2">
        <f t="shared" si="332"/>
        <v>166171.42563333333</v>
      </c>
      <c r="AF149" s="2" t="str">
        <f t="shared" si="333"/>
        <v>nie</v>
      </c>
      <c r="AG149" s="2">
        <f t="shared" si="334"/>
        <v>1516</v>
      </c>
      <c r="AH149" s="1">
        <f t="shared" si="233"/>
        <v>1</v>
      </c>
      <c r="AI149" s="1">
        <f t="shared" si="324"/>
        <v>1</v>
      </c>
      <c r="AJ149" s="1">
        <f t="shared" si="308"/>
        <v>0</v>
      </c>
      <c r="AK149" s="1">
        <f t="shared" si="319"/>
        <v>0</v>
      </c>
      <c r="AL149" s="2">
        <f t="shared" si="243"/>
        <v>100</v>
      </c>
      <c r="AM149" s="8">
        <f t="shared" si="313"/>
        <v>4.9000000000000002E-2</v>
      </c>
      <c r="AN149" s="2">
        <f t="shared" si="244"/>
        <v>104.49166666666667</v>
      </c>
      <c r="AO149" s="2">
        <f t="shared" si="314"/>
        <v>1</v>
      </c>
      <c r="AP149" s="2">
        <f t="shared" si="272"/>
        <v>100</v>
      </c>
      <c r="AQ149" s="8">
        <f t="shared" si="325"/>
        <v>4.3200000000000002E-2</v>
      </c>
      <c r="AR149" s="2">
        <f t="shared" si="267"/>
        <v>103.96000000000001</v>
      </c>
      <c r="AS149" s="2">
        <f t="shared" si="326"/>
        <v>1</v>
      </c>
      <c r="AT149" s="2">
        <f t="shared" si="362"/>
        <v>0</v>
      </c>
      <c r="AU149" s="2">
        <f t="shared" si="245"/>
        <v>0</v>
      </c>
      <c r="AV149" s="2">
        <f t="shared" si="236"/>
        <v>23.204318079928626</v>
      </c>
      <c r="AW149" s="1">
        <f t="shared" si="311"/>
        <v>0</v>
      </c>
      <c r="AX149" s="2">
        <f t="shared" si="335"/>
        <v>23.204318079928626</v>
      </c>
      <c r="AY149" s="1">
        <f t="shared" si="237"/>
        <v>0</v>
      </c>
      <c r="AZ149" s="2">
        <f t="shared" si="363"/>
        <v>23.204318079928626</v>
      </c>
      <c r="BA149" s="2">
        <f t="shared" si="246"/>
        <v>166403.08161807992</v>
      </c>
      <c r="BB149" s="2">
        <f t="shared" si="336"/>
        <v>0</v>
      </c>
      <c r="BC149" s="2">
        <f t="shared" si="364"/>
        <v>1448.0433544139034</v>
      </c>
      <c r="BD149" s="2">
        <f t="shared" si="337"/>
        <v>164955.03826366601</v>
      </c>
      <c r="BE149" s="2">
        <f t="shared" si="365"/>
        <v>1518</v>
      </c>
      <c r="BF149" s="2">
        <f t="shared" si="338"/>
        <v>12328.165507435184</v>
      </c>
      <c r="BG149" s="2">
        <f t="shared" si="339"/>
        <v>151108.87275623082</v>
      </c>
      <c r="BI149" s="8">
        <f t="shared" si="315"/>
        <v>2.9000000000000001E-2</v>
      </c>
      <c r="BJ149" s="5">
        <f t="shared" si="366"/>
        <v>1092</v>
      </c>
      <c r="BK149" s="2">
        <f t="shared" si="367"/>
        <v>109090.8</v>
      </c>
      <c r="BL149" s="2">
        <f t="shared" si="368"/>
        <v>109200</v>
      </c>
      <c r="BM149" s="2">
        <f t="shared" si="340"/>
        <v>109200</v>
      </c>
      <c r="BN149" s="8">
        <f t="shared" si="341"/>
        <v>4.3999999999999997E-2</v>
      </c>
      <c r="BO149" s="2">
        <f t="shared" si="342"/>
        <v>113604.4</v>
      </c>
      <c r="BP149" s="2" t="str">
        <f t="shared" si="343"/>
        <v>nie</v>
      </c>
      <c r="BQ149" s="2">
        <f t="shared" si="344"/>
        <v>2184</v>
      </c>
      <c r="BR149" s="1">
        <f t="shared" si="316"/>
        <v>172</v>
      </c>
      <c r="BS149" s="1">
        <f t="shared" si="327"/>
        <v>187</v>
      </c>
      <c r="BT149" s="1">
        <f t="shared" si="309"/>
        <v>22</v>
      </c>
      <c r="BU149" s="1">
        <f t="shared" si="320"/>
        <v>107</v>
      </c>
      <c r="BV149" s="2">
        <f t="shared" si="247"/>
        <v>17200</v>
      </c>
      <c r="BW149" s="8">
        <f t="shared" si="317"/>
        <v>5.2499999999999998E-2</v>
      </c>
      <c r="BX149" s="2">
        <f t="shared" si="248"/>
        <v>18027.75</v>
      </c>
      <c r="BY149" s="2">
        <f t="shared" si="318"/>
        <v>344</v>
      </c>
      <c r="BZ149" s="2">
        <f t="shared" si="273"/>
        <v>31600</v>
      </c>
      <c r="CA149" s="8">
        <f t="shared" si="328"/>
        <v>4.3999999999999997E-2</v>
      </c>
      <c r="CB149" s="2">
        <f t="shared" si="249"/>
        <v>32874.533333333333</v>
      </c>
      <c r="CC149" s="2">
        <f t="shared" si="329"/>
        <v>632</v>
      </c>
      <c r="CD149" s="2">
        <f t="shared" si="345"/>
        <v>0</v>
      </c>
      <c r="CE149" s="2">
        <f t="shared" si="250"/>
        <v>0</v>
      </c>
      <c r="CF149" s="2">
        <f t="shared" si="251"/>
        <v>79.750000000005457</v>
      </c>
      <c r="CG149" s="1">
        <f t="shared" si="312"/>
        <v>0</v>
      </c>
      <c r="CH149" s="2">
        <f t="shared" si="346"/>
        <v>79.750000000005457</v>
      </c>
      <c r="CI149" s="1">
        <f t="shared" si="242"/>
        <v>0</v>
      </c>
      <c r="CJ149" s="2">
        <f t="shared" si="252"/>
        <v>79.750000000005457</v>
      </c>
      <c r="CK149" s="2">
        <f t="shared" si="253"/>
        <v>164586.43333333332</v>
      </c>
      <c r="CL149" s="2">
        <f t="shared" si="347"/>
        <v>0</v>
      </c>
      <c r="CM149" s="2">
        <f t="shared" si="369"/>
        <v>1442.7438850000001</v>
      </c>
      <c r="CN149" s="2">
        <f t="shared" si="348"/>
        <v>163143.68944833332</v>
      </c>
      <c r="CO149" s="2">
        <f t="shared" si="370"/>
        <v>3160</v>
      </c>
      <c r="CP149" s="2">
        <f t="shared" si="349"/>
        <v>11671.022333333331</v>
      </c>
      <c r="CQ149" s="2">
        <f t="shared" si="350"/>
        <v>148312.66711499999</v>
      </c>
      <c r="CS149" s="5">
        <f t="shared" si="371"/>
        <v>1628</v>
      </c>
      <c r="CT149" s="2">
        <f t="shared" si="372"/>
        <v>162637.20000000001</v>
      </c>
      <c r="CU149" s="2">
        <f t="shared" si="373"/>
        <v>162800</v>
      </c>
      <c r="CV149" s="2">
        <f t="shared" si="374"/>
        <v>162800</v>
      </c>
      <c r="CW149" s="8">
        <f t="shared" si="351"/>
        <v>5.7500000000000002E-2</v>
      </c>
      <c r="CX149" s="2">
        <f t="shared" si="352"/>
        <v>171380.91666666666</v>
      </c>
      <c r="CY149" s="2" t="str">
        <f t="shared" si="353"/>
        <v>nie</v>
      </c>
      <c r="CZ149" s="2">
        <f t="shared" si="375"/>
        <v>0</v>
      </c>
      <c r="DA149" s="2">
        <f t="shared" si="376"/>
        <v>14.935565330815734</v>
      </c>
      <c r="DB149" s="2">
        <f t="shared" si="377"/>
        <v>171395.85223199747</v>
      </c>
      <c r="DC149" s="2">
        <f t="shared" si="354"/>
        <v>0</v>
      </c>
      <c r="DD149" s="2">
        <f t="shared" si="378"/>
        <v>1471.1117513163395</v>
      </c>
      <c r="DE149" s="2">
        <f t="shared" si="379"/>
        <v>169924.74048068112</v>
      </c>
      <c r="DF149" s="2">
        <f t="shared" si="355"/>
        <v>4884</v>
      </c>
      <c r="DG149" s="2">
        <f t="shared" si="356"/>
        <v>12634.414166666666</v>
      </c>
      <c r="DH149" s="2">
        <f t="shared" si="380"/>
        <v>152406.32631401447</v>
      </c>
    </row>
    <row r="150" spans="2:112">
      <c r="B150" s="232"/>
      <c r="C150" s="1">
        <f t="shared" si="321"/>
        <v>113</v>
      </c>
      <c r="D150" s="2">
        <f t="shared" si="259"/>
        <v>153526.62090131745</v>
      </c>
      <c r="E150" s="2">
        <f t="shared" si="260"/>
        <v>141882.90349754892</v>
      </c>
      <c r="F150" s="2">
        <f t="shared" si="261"/>
        <v>152811.15463166666</v>
      </c>
      <c r="G150" s="2">
        <f t="shared" si="262"/>
        <v>140083.50709</v>
      </c>
      <c r="H150" s="2">
        <f t="shared" si="263"/>
        <v>156911.70244315243</v>
      </c>
      <c r="I150" s="2">
        <f t="shared" si="264"/>
        <v>143419.87165196077</v>
      </c>
      <c r="J150" s="2">
        <f t="shared" si="322"/>
        <v>140877.0391652023</v>
      </c>
      <c r="K150" s="2">
        <f t="shared" si="323"/>
        <v>130904.52102446287</v>
      </c>
      <c r="W150" s="1">
        <f t="shared" si="357"/>
        <v>132</v>
      </c>
      <c r="X150" s="2">
        <f t="shared" si="330"/>
        <v>136952.23444650139</v>
      </c>
      <c r="Y150" s="8">
        <f t="shared" si="310"/>
        <v>4.3200000000000002E-2</v>
      </c>
      <c r="Z150" s="5">
        <f t="shared" si="358"/>
        <v>1516</v>
      </c>
      <c r="AA150" s="2">
        <f t="shared" si="359"/>
        <v>151448.4</v>
      </c>
      <c r="AB150" s="2">
        <f t="shared" si="360"/>
        <v>151600</v>
      </c>
      <c r="AC150" s="2">
        <f t="shared" si="361"/>
        <v>159028.4</v>
      </c>
      <c r="AD150" s="8">
        <f t="shared" si="331"/>
        <v>4.9000000000000002E-2</v>
      </c>
      <c r="AE150" s="2">
        <f t="shared" si="332"/>
        <v>166820.7916</v>
      </c>
      <c r="AF150" s="2" t="str">
        <f t="shared" si="333"/>
        <v>nie</v>
      </c>
      <c r="AG150" s="2">
        <f t="shared" si="334"/>
        <v>1516</v>
      </c>
      <c r="AH150" s="1">
        <f t="shared" si="233"/>
        <v>1</v>
      </c>
      <c r="AI150" s="1">
        <f t="shared" si="324"/>
        <v>1</v>
      </c>
      <c r="AJ150" s="1">
        <f t="shared" si="308"/>
        <v>0</v>
      </c>
      <c r="AK150" s="1">
        <f t="shared" si="319"/>
        <v>0</v>
      </c>
      <c r="AL150" s="2">
        <f t="shared" si="243"/>
        <v>100</v>
      </c>
      <c r="AM150" s="8">
        <f t="shared" si="313"/>
        <v>4.9000000000000002E-2</v>
      </c>
      <c r="AN150" s="2">
        <f t="shared" si="244"/>
        <v>104.89999999999999</v>
      </c>
      <c r="AO150" s="2">
        <f t="shared" si="314"/>
        <v>1</v>
      </c>
      <c r="AP150" s="2">
        <f t="shared" si="272"/>
        <v>100</v>
      </c>
      <c r="AQ150" s="8">
        <f t="shared" si="325"/>
        <v>4.3200000000000002E-2</v>
      </c>
      <c r="AR150" s="2">
        <f t="shared" si="267"/>
        <v>104.32</v>
      </c>
      <c r="AS150" s="2">
        <f t="shared" si="326"/>
        <v>1</v>
      </c>
      <c r="AT150" s="2">
        <f t="shared" si="362"/>
        <v>0</v>
      </c>
      <c r="AU150" s="2">
        <f t="shared" si="245"/>
        <v>9.2199999999999847</v>
      </c>
      <c r="AV150" s="2">
        <f t="shared" si="236"/>
        <v>32.424318079928611</v>
      </c>
      <c r="AW150" s="1">
        <f t="shared" si="311"/>
        <v>0</v>
      </c>
      <c r="AX150" s="2">
        <f t="shared" si="335"/>
        <v>32.424318079928611</v>
      </c>
      <c r="AY150" s="1">
        <f t="shared" si="237"/>
        <v>0</v>
      </c>
      <c r="AZ150" s="2">
        <f t="shared" si="363"/>
        <v>32.424318079928611</v>
      </c>
      <c r="BA150" s="2">
        <f t="shared" si="246"/>
        <v>167053.21591807992</v>
      </c>
      <c r="BB150" s="2">
        <f t="shared" si="336"/>
        <v>167.05321591807993</v>
      </c>
      <c r="BC150" s="2">
        <f t="shared" si="364"/>
        <v>1615.0965703319835</v>
      </c>
      <c r="BD150" s="2">
        <f t="shared" si="337"/>
        <v>165438.11934774794</v>
      </c>
      <c r="BE150" s="2">
        <f t="shared" si="365"/>
        <v>1518</v>
      </c>
      <c r="BF150" s="2">
        <f t="shared" si="338"/>
        <v>12451.691024435186</v>
      </c>
      <c r="BG150" s="2">
        <f t="shared" si="339"/>
        <v>151468.42832331275</v>
      </c>
      <c r="BI150" s="8">
        <f t="shared" si="315"/>
        <v>2.9000000000000001E-2</v>
      </c>
      <c r="BJ150" s="5">
        <f t="shared" si="366"/>
        <v>1092</v>
      </c>
      <c r="BK150" s="2">
        <f t="shared" si="367"/>
        <v>109090.8</v>
      </c>
      <c r="BL150" s="2">
        <f t="shared" si="368"/>
        <v>109200</v>
      </c>
      <c r="BM150" s="2">
        <f t="shared" si="340"/>
        <v>109200</v>
      </c>
      <c r="BN150" s="8">
        <f t="shared" si="341"/>
        <v>4.3999999999999997E-2</v>
      </c>
      <c r="BO150" s="2">
        <f t="shared" si="342"/>
        <v>114004.8</v>
      </c>
      <c r="BP150" s="2" t="str">
        <f t="shared" si="343"/>
        <v>nie</v>
      </c>
      <c r="BQ150" s="2">
        <f t="shared" si="344"/>
        <v>2184</v>
      </c>
      <c r="BR150" s="1">
        <f t="shared" si="316"/>
        <v>172</v>
      </c>
      <c r="BS150" s="1">
        <f t="shared" si="327"/>
        <v>187</v>
      </c>
      <c r="BT150" s="1">
        <f t="shared" si="309"/>
        <v>22</v>
      </c>
      <c r="BU150" s="1">
        <f t="shared" si="320"/>
        <v>107</v>
      </c>
      <c r="BV150" s="2">
        <f t="shared" si="247"/>
        <v>17200</v>
      </c>
      <c r="BW150" s="8">
        <f t="shared" si="317"/>
        <v>5.2499999999999998E-2</v>
      </c>
      <c r="BX150" s="2">
        <f t="shared" si="248"/>
        <v>18103</v>
      </c>
      <c r="BY150" s="2">
        <f t="shared" si="318"/>
        <v>344</v>
      </c>
      <c r="BZ150" s="2">
        <f t="shared" si="273"/>
        <v>31600</v>
      </c>
      <c r="CA150" s="8">
        <f t="shared" si="328"/>
        <v>4.3999999999999997E-2</v>
      </c>
      <c r="CB150" s="2">
        <f t="shared" si="249"/>
        <v>32990.400000000001</v>
      </c>
      <c r="CC150" s="2">
        <f t="shared" si="329"/>
        <v>632</v>
      </c>
      <c r="CD150" s="2">
        <f t="shared" si="345"/>
        <v>4804.8000000000029</v>
      </c>
      <c r="CE150" s="2">
        <f t="shared" si="250"/>
        <v>12993.400000000001</v>
      </c>
      <c r="CF150" s="2">
        <f t="shared" si="251"/>
        <v>17877.950000000012</v>
      </c>
      <c r="CG150" s="1">
        <f t="shared" si="312"/>
        <v>107</v>
      </c>
      <c r="CH150" s="2">
        <f t="shared" si="346"/>
        <v>7188.6500000000106</v>
      </c>
      <c r="CI150" s="1">
        <f t="shared" si="242"/>
        <v>71</v>
      </c>
      <c r="CJ150" s="2">
        <f t="shared" si="252"/>
        <v>88.65000000001055</v>
      </c>
      <c r="CK150" s="2">
        <f t="shared" si="253"/>
        <v>165177.94999999998</v>
      </c>
      <c r="CL150" s="2">
        <f t="shared" si="347"/>
        <v>165.17794999999998</v>
      </c>
      <c r="CM150" s="2">
        <f t="shared" si="369"/>
        <v>1607.9218350000001</v>
      </c>
      <c r="CN150" s="2">
        <f t="shared" si="348"/>
        <v>163570.028165</v>
      </c>
      <c r="CO150" s="2">
        <f t="shared" si="370"/>
        <v>3160</v>
      </c>
      <c r="CP150" s="2">
        <f t="shared" si="349"/>
        <v>11783.410499999996</v>
      </c>
      <c r="CQ150" s="2">
        <f t="shared" si="350"/>
        <v>148626.617665</v>
      </c>
      <c r="CS150" s="5">
        <f t="shared" si="371"/>
        <v>1628</v>
      </c>
      <c r="CT150" s="2">
        <f t="shared" si="372"/>
        <v>162637.20000000001</v>
      </c>
      <c r="CU150" s="2">
        <f t="shared" si="373"/>
        <v>162800</v>
      </c>
      <c r="CV150" s="2">
        <f t="shared" si="374"/>
        <v>162800</v>
      </c>
      <c r="CW150" s="8">
        <f t="shared" si="351"/>
        <v>5.7500000000000002E-2</v>
      </c>
      <c r="CX150" s="2">
        <f t="shared" si="352"/>
        <v>172161.00000000003</v>
      </c>
      <c r="CY150" s="2" t="str">
        <f t="shared" si="353"/>
        <v>nie</v>
      </c>
      <c r="CZ150" s="2">
        <f t="shared" si="375"/>
        <v>0</v>
      </c>
      <c r="DA150" s="2">
        <f t="shared" si="376"/>
        <v>14.935565330815734</v>
      </c>
      <c r="DB150" s="2">
        <f t="shared" si="377"/>
        <v>172175.93556533084</v>
      </c>
      <c r="DC150" s="2">
        <f t="shared" si="354"/>
        <v>172.17593556533086</v>
      </c>
      <c r="DD150" s="2">
        <f t="shared" si="378"/>
        <v>1643.2876868816702</v>
      </c>
      <c r="DE150" s="2">
        <f t="shared" si="379"/>
        <v>170532.64787844918</v>
      </c>
      <c r="DF150" s="2">
        <f t="shared" si="355"/>
        <v>4884</v>
      </c>
      <c r="DG150" s="2">
        <f t="shared" si="356"/>
        <v>12782.630000000006</v>
      </c>
      <c r="DH150" s="2">
        <f t="shared" si="380"/>
        <v>152866.01787844917</v>
      </c>
    </row>
    <row r="151" spans="2:112">
      <c r="B151" s="232"/>
      <c r="C151" s="1">
        <f t="shared" si="321"/>
        <v>114</v>
      </c>
      <c r="D151" s="2">
        <f t="shared" si="259"/>
        <v>154146.0625679841</v>
      </c>
      <c r="E151" s="2">
        <f t="shared" si="260"/>
        <v>142384.65124754893</v>
      </c>
      <c r="F151" s="2">
        <f t="shared" si="261"/>
        <v>153378.80046500001</v>
      </c>
      <c r="G151" s="2">
        <f t="shared" si="262"/>
        <v>140543.300215</v>
      </c>
      <c r="H151" s="2">
        <f t="shared" si="263"/>
        <v>157544.84151549917</v>
      </c>
      <c r="I151" s="2">
        <f t="shared" si="264"/>
        <v>143932.71430056164</v>
      </c>
      <c r="J151" s="2">
        <f t="shared" si="322"/>
        <v>141304.9531716666</v>
      </c>
      <c r="K151" s="2">
        <f t="shared" si="323"/>
        <v>131217.09666132653</v>
      </c>
      <c r="W151" s="1">
        <f t="shared" si="357"/>
        <v>133</v>
      </c>
      <c r="X151" s="2">
        <f t="shared" si="330"/>
        <v>137283.20234641377</v>
      </c>
      <c r="Y151" s="8">
        <f t="shared" si="310"/>
        <v>4.3200000000000002E-2</v>
      </c>
      <c r="Z151" s="5">
        <f t="shared" si="358"/>
        <v>1516</v>
      </c>
      <c r="AA151" s="2">
        <f t="shared" si="359"/>
        <v>151448.4</v>
      </c>
      <c r="AB151" s="2">
        <f t="shared" si="360"/>
        <v>151600</v>
      </c>
      <c r="AC151" s="2">
        <f t="shared" si="361"/>
        <v>166820.7916</v>
      </c>
      <c r="AD151" s="8">
        <f t="shared" si="331"/>
        <v>4.9000000000000002E-2</v>
      </c>
      <c r="AE151" s="2">
        <f t="shared" si="332"/>
        <v>167501.97649903334</v>
      </c>
      <c r="AF151" s="2" t="str">
        <f t="shared" si="333"/>
        <v>nie</v>
      </c>
      <c r="AG151" s="2">
        <f t="shared" si="334"/>
        <v>1516</v>
      </c>
      <c r="AH151" s="1">
        <f t="shared" si="233"/>
        <v>1</v>
      </c>
      <c r="AI151" s="1">
        <f t="shared" si="324"/>
        <v>1</v>
      </c>
      <c r="AJ151" s="1">
        <f t="shared" ref="AJ151:AJ162" si="381">IF(zapadalnosc_TOS/12&gt;=AJ$18,AI139,0)</f>
        <v>1</v>
      </c>
      <c r="AK151" s="1">
        <f t="shared" si="319"/>
        <v>0</v>
      </c>
      <c r="AL151" s="2">
        <f t="shared" si="243"/>
        <v>100</v>
      </c>
      <c r="AM151" s="8">
        <f t="shared" si="313"/>
        <v>4.9000000000000002E-2</v>
      </c>
      <c r="AN151" s="2">
        <f t="shared" si="244"/>
        <v>100.40833333333335</v>
      </c>
      <c r="AO151" s="2">
        <f t="shared" si="314"/>
        <v>0.40833333333334565</v>
      </c>
      <c r="AP151" s="2">
        <f t="shared" si="272"/>
        <v>200</v>
      </c>
      <c r="AQ151" s="8">
        <f t="shared" si="325"/>
        <v>4.3200000000000002E-2</v>
      </c>
      <c r="AR151" s="2">
        <f t="shared" si="267"/>
        <v>200.72</v>
      </c>
      <c r="AS151" s="2">
        <f t="shared" si="326"/>
        <v>2</v>
      </c>
      <c r="AT151" s="2">
        <f t="shared" si="362"/>
        <v>0</v>
      </c>
      <c r="AU151" s="2">
        <f t="shared" si="245"/>
        <v>0</v>
      </c>
      <c r="AV151" s="2">
        <f t="shared" si="236"/>
        <v>32.424318079928611</v>
      </c>
      <c r="AW151" s="1">
        <f t="shared" si="311"/>
        <v>0</v>
      </c>
      <c r="AX151" s="2">
        <f t="shared" si="335"/>
        <v>32.424318079928611</v>
      </c>
      <c r="AY151" s="1">
        <f t="shared" si="237"/>
        <v>0</v>
      </c>
      <c r="AZ151" s="2">
        <f t="shared" si="363"/>
        <v>32.424318079928611</v>
      </c>
      <c r="BA151" s="2">
        <f t="shared" si="246"/>
        <v>167835.52915044659</v>
      </c>
      <c r="BB151" s="2">
        <f t="shared" si="336"/>
        <v>0</v>
      </c>
      <c r="BC151" s="2">
        <f t="shared" si="364"/>
        <v>1615.0965703319835</v>
      </c>
      <c r="BD151" s="2">
        <f t="shared" si="337"/>
        <v>166220.4325801146</v>
      </c>
      <c r="BE151" s="2">
        <f t="shared" si="365"/>
        <v>1518.4083333333333</v>
      </c>
      <c r="BF151" s="2">
        <f t="shared" si="338"/>
        <v>12600.252955251519</v>
      </c>
      <c r="BG151" s="2">
        <f t="shared" si="339"/>
        <v>152101.77129152976</v>
      </c>
      <c r="BI151" s="8">
        <f t="shared" si="315"/>
        <v>2.9000000000000001E-2</v>
      </c>
      <c r="BJ151" s="5">
        <f t="shared" si="366"/>
        <v>1092</v>
      </c>
      <c r="BK151" s="2">
        <f t="shared" si="367"/>
        <v>109090.8</v>
      </c>
      <c r="BL151" s="2">
        <f t="shared" si="368"/>
        <v>109200</v>
      </c>
      <c r="BM151" s="2">
        <f t="shared" si="340"/>
        <v>109200</v>
      </c>
      <c r="BN151" s="8">
        <f t="shared" si="341"/>
        <v>4.3999999999999997E-2</v>
      </c>
      <c r="BO151" s="2">
        <f t="shared" si="342"/>
        <v>109600.40000000001</v>
      </c>
      <c r="BP151" s="2" t="str">
        <f t="shared" si="343"/>
        <v>nie</v>
      </c>
      <c r="BQ151" s="2">
        <f t="shared" si="344"/>
        <v>2184</v>
      </c>
      <c r="BR151" s="1">
        <f t="shared" si="316"/>
        <v>178</v>
      </c>
      <c r="BS151" s="1">
        <f t="shared" si="327"/>
        <v>172</v>
      </c>
      <c r="BT151" s="1">
        <f t="shared" ref="BT151:BT162" si="382">IF(zapadalnosc_COI/12&gt;=BT$18,BS139,0)</f>
        <v>187</v>
      </c>
      <c r="BU151" s="1">
        <f t="shared" si="320"/>
        <v>22</v>
      </c>
      <c r="BV151" s="2">
        <f t="shared" si="247"/>
        <v>17800</v>
      </c>
      <c r="BW151" s="8">
        <f t="shared" si="317"/>
        <v>5.2499999999999998E-2</v>
      </c>
      <c r="BX151" s="2">
        <f t="shared" si="248"/>
        <v>17877.875</v>
      </c>
      <c r="BY151" s="2">
        <f t="shared" si="318"/>
        <v>77.875</v>
      </c>
      <c r="BZ151" s="2">
        <f t="shared" si="273"/>
        <v>38100</v>
      </c>
      <c r="CA151" s="8">
        <f t="shared" si="328"/>
        <v>4.3999999999999997E-2</v>
      </c>
      <c r="CB151" s="2">
        <f t="shared" si="249"/>
        <v>38239.700000000004</v>
      </c>
      <c r="CC151" s="2">
        <f t="shared" si="329"/>
        <v>762</v>
      </c>
      <c r="CD151" s="2">
        <f t="shared" si="345"/>
        <v>0</v>
      </c>
      <c r="CE151" s="2">
        <f t="shared" si="250"/>
        <v>0</v>
      </c>
      <c r="CF151" s="2">
        <f t="shared" si="251"/>
        <v>88.65000000001055</v>
      </c>
      <c r="CG151" s="1">
        <f t="shared" si="312"/>
        <v>0</v>
      </c>
      <c r="CH151" s="2">
        <f t="shared" si="346"/>
        <v>88.65000000001055</v>
      </c>
      <c r="CI151" s="1">
        <f t="shared" si="242"/>
        <v>0</v>
      </c>
      <c r="CJ151" s="2">
        <f t="shared" si="252"/>
        <v>88.65000000001055</v>
      </c>
      <c r="CK151" s="2">
        <f t="shared" si="253"/>
        <v>165806.62500000003</v>
      </c>
      <c r="CL151" s="2">
        <f t="shared" si="347"/>
        <v>0</v>
      </c>
      <c r="CM151" s="2">
        <f t="shared" si="369"/>
        <v>1607.9218350000001</v>
      </c>
      <c r="CN151" s="2">
        <f t="shared" si="348"/>
        <v>164198.70316500004</v>
      </c>
      <c r="CO151" s="2">
        <f t="shared" si="370"/>
        <v>3023.875</v>
      </c>
      <c r="CP151" s="2">
        <f t="shared" si="349"/>
        <v>11928.722500000005</v>
      </c>
      <c r="CQ151" s="2">
        <f t="shared" si="350"/>
        <v>149246.10566500004</v>
      </c>
      <c r="CS151" s="5">
        <f t="shared" si="371"/>
        <v>1628</v>
      </c>
      <c r="CT151" s="2">
        <f t="shared" si="372"/>
        <v>162637.20000000001</v>
      </c>
      <c r="CU151" s="2">
        <f t="shared" si="373"/>
        <v>162800</v>
      </c>
      <c r="CV151" s="2">
        <f t="shared" si="374"/>
        <v>172161.00000000003</v>
      </c>
      <c r="CW151" s="8">
        <f t="shared" si="351"/>
        <v>4.9000000000000002E-2</v>
      </c>
      <c r="CX151" s="2">
        <f t="shared" si="352"/>
        <v>172863.99075000006</v>
      </c>
      <c r="CY151" s="2" t="str">
        <f t="shared" si="353"/>
        <v>nie</v>
      </c>
      <c r="CZ151" s="2">
        <f t="shared" si="375"/>
        <v>0</v>
      </c>
      <c r="DA151" s="2">
        <f t="shared" si="376"/>
        <v>14.935565330815734</v>
      </c>
      <c r="DB151" s="2">
        <f t="shared" si="377"/>
        <v>172878.92631533087</v>
      </c>
      <c r="DC151" s="2">
        <f t="shared" si="354"/>
        <v>0</v>
      </c>
      <c r="DD151" s="2">
        <f t="shared" si="378"/>
        <v>1643.2876868816702</v>
      </c>
      <c r="DE151" s="2">
        <f t="shared" si="379"/>
        <v>171235.6386284492</v>
      </c>
      <c r="DF151" s="2">
        <f t="shared" si="355"/>
        <v>4884</v>
      </c>
      <c r="DG151" s="2">
        <f t="shared" si="356"/>
        <v>12916.198242500011</v>
      </c>
      <c r="DH151" s="2">
        <f t="shared" si="380"/>
        <v>153435.44038594919</v>
      </c>
    </row>
    <row r="152" spans="2:112">
      <c r="B152" s="232"/>
      <c r="C152" s="1">
        <f t="shared" si="321"/>
        <v>115</v>
      </c>
      <c r="D152" s="2">
        <f t="shared" si="259"/>
        <v>154765.50423465078</v>
      </c>
      <c r="E152" s="2">
        <f t="shared" si="260"/>
        <v>142886.39899754894</v>
      </c>
      <c r="F152" s="2">
        <f t="shared" si="261"/>
        <v>153946.44629833332</v>
      </c>
      <c r="G152" s="2">
        <f t="shared" si="262"/>
        <v>141003.09333999999</v>
      </c>
      <c r="H152" s="2">
        <f t="shared" si="263"/>
        <v>158177.98058784596</v>
      </c>
      <c r="I152" s="2">
        <f t="shared" si="264"/>
        <v>144445.55694916254</v>
      </c>
      <c r="J152" s="2">
        <f t="shared" si="322"/>
        <v>141734.16696692555</v>
      </c>
      <c r="K152" s="2">
        <f t="shared" si="323"/>
        <v>131529.67229819021</v>
      </c>
      <c r="W152" s="1">
        <f t="shared" si="357"/>
        <v>134</v>
      </c>
      <c r="X152" s="2">
        <f t="shared" si="330"/>
        <v>137614.17024632613</v>
      </c>
      <c r="Y152" s="8">
        <f t="shared" si="310"/>
        <v>4.3200000000000002E-2</v>
      </c>
      <c r="Z152" s="5">
        <f t="shared" si="358"/>
        <v>1516</v>
      </c>
      <c r="AA152" s="2">
        <f t="shared" si="359"/>
        <v>151448.4</v>
      </c>
      <c r="AB152" s="2">
        <f t="shared" si="360"/>
        <v>151600</v>
      </c>
      <c r="AC152" s="2">
        <f t="shared" si="361"/>
        <v>166820.7916</v>
      </c>
      <c r="AD152" s="8">
        <f t="shared" si="331"/>
        <v>4.9000000000000002E-2</v>
      </c>
      <c r="AE152" s="2">
        <f t="shared" si="332"/>
        <v>168183.16139806667</v>
      </c>
      <c r="AF152" s="2" t="str">
        <f t="shared" si="333"/>
        <v>nie</v>
      </c>
      <c r="AG152" s="2">
        <f t="shared" si="334"/>
        <v>1516</v>
      </c>
      <c r="AH152" s="1">
        <f t="shared" si="233"/>
        <v>1</v>
      </c>
      <c r="AI152" s="1">
        <f t="shared" si="324"/>
        <v>1</v>
      </c>
      <c r="AJ152" s="1">
        <f t="shared" si="381"/>
        <v>1</v>
      </c>
      <c r="AK152" s="1">
        <f t="shared" si="319"/>
        <v>0</v>
      </c>
      <c r="AL152" s="2">
        <f t="shared" si="243"/>
        <v>100</v>
      </c>
      <c r="AM152" s="8">
        <f t="shared" si="313"/>
        <v>4.9000000000000002E-2</v>
      </c>
      <c r="AN152" s="2">
        <f t="shared" si="244"/>
        <v>100.81666666666666</v>
      </c>
      <c r="AO152" s="2">
        <f t="shared" si="314"/>
        <v>0.81666666666666288</v>
      </c>
      <c r="AP152" s="2">
        <f t="shared" si="272"/>
        <v>200</v>
      </c>
      <c r="AQ152" s="8">
        <f t="shared" si="325"/>
        <v>4.3200000000000002E-2</v>
      </c>
      <c r="AR152" s="2">
        <f t="shared" si="267"/>
        <v>201.44000000000003</v>
      </c>
      <c r="AS152" s="2">
        <f t="shared" si="326"/>
        <v>2</v>
      </c>
      <c r="AT152" s="2">
        <f t="shared" si="362"/>
        <v>0</v>
      </c>
      <c r="AU152" s="2">
        <f t="shared" si="245"/>
        <v>0</v>
      </c>
      <c r="AV152" s="2">
        <f t="shared" si="236"/>
        <v>32.424318079928611</v>
      </c>
      <c r="AW152" s="1">
        <f t="shared" si="311"/>
        <v>0</v>
      </c>
      <c r="AX152" s="2">
        <f t="shared" si="335"/>
        <v>32.424318079928611</v>
      </c>
      <c r="AY152" s="1">
        <f t="shared" si="237"/>
        <v>0</v>
      </c>
      <c r="AZ152" s="2">
        <f t="shared" si="363"/>
        <v>32.424318079928611</v>
      </c>
      <c r="BA152" s="2">
        <f t="shared" si="246"/>
        <v>168517.84238281328</v>
      </c>
      <c r="BB152" s="2">
        <f t="shared" si="336"/>
        <v>0</v>
      </c>
      <c r="BC152" s="2">
        <f t="shared" si="364"/>
        <v>1615.0965703319835</v>
      </c>
      <c r="BD152" s="2">
        <f t="shared" si="337"/>
        <v>166902.7458124813</v>
      </c>
      <c r="BE152" s="2">
        <f t="shared" si="365"/>
        <v>1518.8166666666666</v>
      </c>
      <c r="BF152" s="2">
        <f t="shared" si="338"/>
        <v>12729.814886067854</v>
      </c>
      <c r="BG152" s="2">
        <f t="shared" si="339"/>
        <v>152654.11425974677</v>
      </c>
      <c r="BI152" s="8">
        <f t="shared" si="315"/>
        <v>2.9000000000000001E-2</v>
      </c>
      <c r="BJ152" s="5">
        <f t="shared" si="366"/>
        <v>1092</v>
      </c>
      <c r="BK152" s="2">
        <f t="shared" si="367"/>
        <v>109090.8</v>
      </c>
      <c r="BL152" s="2">
        <f t="shared" si="368"/>
        <v>109200</v>
      </c>
      <c r="BM152" s="2">
        <f t="shared" si="340"/>
        <v>109200</v>
      </c>
      <c r="BN152" s="8">
        <f t="shared" si="341"/>
        <v>4.3999999999999997E-2</v>
      </c>
      <c r="BO152" s="2">
        <f t="shared" si="342"/>
        <v>110000.8</v>
      </c>
      <c r="BP152" s="2" t="str">
        <f t="shared" si="343"/>
        <v>nie</v>
      </c>
      <c r="BQ152" s="2">
        <f t="shared" si="344"/>
        <v>2184</v>
      </c>
      <c r="BR152" s="1">
        <f t="shared" si="316"/>
        <v>178</v>
      </c>
      <c r="BS152" s="1">
        <f t="shared" si="327"/>
        <v>172</v>
      </c>
      <c r="BT152" s="1">
        <f t="shared" si="382"/>
        <v>187</v>
      </c>
      <c r="BU152" s="1">
        <f t="shared" si="320"/>
        <v>22</v>
      </c>
      <c r="BV152" s="2">
        <f t="shared" si="247"/>
        <v>17800</v>
      </c>
      <c r="BW152" s="8">
        <f t="shared" si="317"/>
        <v>5.2499999999999998E-2</v>
      </c>
      <c r="BX152" s="2">
        <f t="shared" si="248"/>
        <v>17955.75</v>
      </c>
      <c r="BY152" s="2">
        <f t="shared" si="318"/>
        <v>155.75</v>
      </c>
      <c r="BZ152" s="2">
        <f t="shared" si="273"/>
        <v>38100</v>
      </c>
      <c r="CA152" s="8">
        <f t="shared" si="328"/>
        <v>4.3999999999999997E-2</v>
      </c>
      <c r="CB152" s="2">
        <f t="shared" si="249"/>
        <v>38379.4</v>
      </c>
      <c r="CC152" s="2">
        <f t="shared" si="329"/>
        <v>762</v>
      </c>
      <c r="CD152" s="2">
        <f t="shared" si="345"/>
        <v>0</v>
      </c>
      <c r="CE152" s="2">
        <f t="shared" si="250"/>
        <v>0</v>
      </c>
      <c r="CF152" s="2">
        <f t="shared" si="251"/>
        <v>88.65000000001055</v>
      </c>
      <c r="CG152" s="1">
        <f t="shared" si="312"/>
        <v>0</v>
      </c>
      <c r="CH152" s="2">
        <f t="shared" si="346"/>
        <v>88.65000000001055</v>
      </c>
      <c r="CI152" s="1">
        <f t="shared" si="242"/>
        <v>0</v>
      </c>
      <c r="CJ152" s="2">
        <f t="shared" si="252"/>
        <v>88.65000000001055</v>
      </c>
      <c r="CK152" s="2">
        <f t="shared" si="253"/>
        <v>166424.60000000003</v>
      </c>
      <c r="CL152" s="2">
        <f t="shared" si="347"/>
        <v>0</v>
      </c>
      <c r="CM152" s="2">
        <f t="shared" si="369"/>
        <v>1607.9218350000001</v>
      </c>
      <c r="CN152" s="2">
        <f t="shared" si="348"/>
        <v>164816.67816500005</v>
      </c>
      <c r="CO152" s="2">
        <f t="shared" si="370"/>
        <v>3101.75</v>
      </c>
      <c r="CP152" s="2">
        <f t="shared" si="349"/>
        <v>12031.341500000006</v>
      </c>
      <c r="CQ152" s="2">
        <f t="shared" si="350"/>
        <v>149683.58666500004</v>
      </c>
      <c r="CS152" s="5">
        <f t="shared" si="371"/>
        <v>1628</v>
      </c>
      <c r="CT152" s="2">
        <f t="shared" si="372"/>
        <v>162637.20000000001</v>
      </c>
      <c r="CU152" s="2">
        <f t="shared" si="373"/>
        <v>162800</v>
      </c>
      <c r="CV152" s="2">
        <f t="shared" si="374"/>
        <v>172161.00000000003</v>
      </c>
      <c r="CW152" s="8">
        <f t="shared" si="351"/>
        <v>4.9000000000000002E-2</v>
      </c>
      <c r="CX152" s="2">
        <f t="shared" si="352"/>
        <v>173566.98150000002</v>
      </c>
      <c r="CY152" s="2" t="str">
        <f t="shared" si="353"/>
        <v>nie</v>
      </c>
      <c r="CZ152" s="2">
        <f t="shared" si="375"/>
        <v>0</v>
      </c>
      <c r="DA152" s="2">
        <f t="shared" si="376"/>
        <v>14.935565330815734</v>
      </c>
      <c r="DB152" s="2">
        <f t="shared" si="377"/>
        <v>173581.91706533084</v>
      </c>
      <c r="DC152" s="2">
        <f t="shared" si="354"/>
        <v>0</v>
      </c>
      <c r="DD152" s="2">
        <f t="shared" si="378"/>
        <v>1643.2876868816702</v>
      </c>
      <c r="DE152" s="2">
        <f t="shared" si="379"/>
        <v>171938.62937844917</v>
      </c>
      <c r="DF152" s="2">
        <f t="shared" si="355"/>
        <v>4884</v>
      </c>
      <c r="DG152" s="2">
        <f t="shared" si="356"/>
        <v>13049.766485000004</v>
      </c>
      <c r="DH152" s="2">
        <f t="shared" si="380"/>
        <v>154004.86289344917</v>
      </c>
    </row>
    <row r="153" spans="2:112">
      <c r="B153" s="232"/>
      <c r="C153" s="1">
        <f t="shared" si="321"/>
        <v>116</v>
      </c>
      <c r="D153" s="2">
        <f t="shared" si="259"/>
        <v>155384.94590131743</v>
      </c>
      <c r="E153" s="2">
        <f t="shared" si="260"/>
        <v>143388.14674754892</v>
      </c>
      <c r="F153" s="2">
        <f t="shared" si="261"/>
        <v>154514.09213166669</v>
      </c>
      <c r="G153" s="2">
        <f t="shared" si="262"/>
        <v>141462.88646500002</v>
      </c>
      <c r="H153" s="2">
        <f t="shared" si="263"/>
        <v>158811.11966019272</v>
      </c>
      <c r="I153" s="2">
        <f t="shared" si="264"/>
        <v>144958.3995977634</v>
      </c>
      <c r="J153" s="2">
        <f t="shared" si="322"/>
        <v>142164.6844990876</v>
      </c>
      <c r="K153" s="2">
        <f t="shared" si="323"/>
        <v>131842.24793505392</v>
      </c>
      <c r="W153" s="1">
        <f t="shared" si="357"/>
        <v>135</v>
      </c>
      <c r="X153" s="2">
        <f t="shared" si="330"/>
        <v>137945.13814623852</v>
      </c>
      <c r="Y153" s="8">
        <f t="shared" ref="Y153:Y162" si="383">MAX(INDEX(scenariusz_I_WIBOR6M,MATCH(ROUNDUP(W153/12,0),scenariusz_I_rok,0)),0)</f>
        <v>4.3200000000000002E-2</v>
      </c>
      <c r="Z153" s="5">
        <f t="shared" si="358"/>
        <v>1516</v>
      </c>
      <c r="AA153" s="2">
        <f t="shared" si="359"/>
        <v>151448.4</v>
      </c>
      <c r="AB153" s="2">
        <f t="shared" si="360"/>
        <v>151600</v>
      </c>
      <c r="AC153" s="2">
        <f t="shared" si="361"/>
        <v>166820.7916</v>
      </c>
      <c r="AD153" s="8">
        <f t="shared" si="331"/>
        <v>4.9000000000000002E-2</v>
      </c>
      <c r="AE153" s="2">
        <f t="shared" si="332"/>
        <v>168864.34629710001</v>
      </c>
      <c r="AF153" s="2" t="str">
        <f t="shared" si="333"/>
        <v>nie</v>
      </c>
      <c r="AG153" s="2">
        <f t="shared" si="334"/>
        <v>1516</v>
      </c>
      <c r="AH153" s="1">
        <f t="shared" si="233"/>
        <v>1</v>
      </c>
      <c r="AI153" s="1">
        <f t="shared" si="324"/>
        <v>1</v>
      </c>
      <c r="AJ153" s="1">
        <f t="shared" si="381"/>
        <v>1</v>
      </c>
      <c r="AK153" s="1">
        <f t="shared" si="319"/>
        <v>0</v>
      </c>
      <c r="AL153" s="2">
        <f t="shared" si="243"/>
        <v>100</v>
      </c>
      <c r="AM153" s="8">
        <f t="shared" si="313"/>
        <v>4.9000000000000002E-2</v>
      </c>
      <c r="AN153" s="2">
        <f t="shared" si="244"/>
        <v>101.22500000000001</v>
      </c>
      <c r="AO153" s="2">
        <f t="shared" si="314"/>
        <v>1</v>
      </c>
      <c r="AP153" s="2">
        <f t="shared" si="272"/>
        <v>200</v>
      </c>
      <c r="AQ153" s="8">
        <f t="shared" si="325"/>
        <v>4.3200000000000002E-2</v>
      </c>
      <c r="AR153" s="2">
        <f t="shared" si="267"/>
        <v>202.16</v>
      </c>
      <c r="AS153" s="2">
        <f t="shared" si="326"/>
        <v>2</v>
      </c>
      <c r="AT153" s="2">
        <f t="shared" si="362"/>
        <v>0</v>
      </c>
      <c r="AU153" s="2">
        <f t="shared" si="245"/>
        <v>0</v>
      </c>
      <c r="AV153" s="2">
        <f t="shared" si="236"/>
        <v>32.424318079928611</v>
      </c>
      <c r="AW153" s="1">
        <f t="shared" si="311"/>
        <v>0</v>
      </c>
      <c r="AX153" s="2">
        <f t="shared" si="335"/>
        <v>32.424318079928611</v>
      </c>
      <c r="AY153" s="1">
        <f t="shared" si="237"/>
        <v>0</v>
      </c>
      <c r="AZ153" s="2">
        <f t="shared" si="363"/>
        <v>32.424318079928611</v>
      </c>
      <c r="BA153" s="2">
        <f t="shared" si="246"/>
        <v>169200.15561517995</v>
      </c>
      <c r="BB153" s="2">
        <f t="shared" si="336"/>
        <v>0</v>
      </c>
      <c r="BC153" s="2">
        <f t="shared" si="364"/>
        <v>1615.0965703319835</v>
      </c>
      <c r="BD153" s="2">
        <f t="shared" si="337"/>
        <v>167585.05904484796</v>
      </c>
      <c r="BE153" s="2">
        <f t="shared" si="365"/>
        <v>1519</v>
      </c>
      <c r="BF153" s="2">
        <f t="shared" si="338"/>
        <v>12859.419566884189</v>
      </c>
      <c r="BG153" s="2">
        <f t="shared" si="339"/>
        <v>153206.63947796376</v>
      </c>
      <c r="BI153" s="8">
        <f t="shared" si="315"/>
        <v>2.9000000000000001E-2</v>
      </c>
      <c r="BJ153" s="5">
        <f t="shared" si="366"/>
        <v>1092</v>
      </c>
      <c r="BK153" s="2">
        <f t="shared" si="367"/>
        <v>109090.8</v>
      </c>
      <c r="BL153" s="2">
        <f t="shared" si="368"/>
        <v>109200</v>
      </c>
      <c r="BM153" s="2">
        <f t="shared" si="340"/>
        <v>109200</v>
      </c>
      <c r="BN153" s="8">
        <f t="shared" si="341"/>
        <v>4.3999999999999997E-2</v>
      </c>
      <c r="BO153" s="2">
        <f t="shared" si="342"/>
        <v>110401.19999999998</v>
      </c>
      <c r="BP153" s="2" t="str">
        <f t="shared" si="343"/>
        <v>nie</v>
      </c>
      <c r="BQ153" s="2">
        <f t="shared" si="344"/>
        <v>2184</v>
      </c>
      <c r="BR153" s="1">
        <f t="shared" si="316"/>
        <v>178</v>
      </c>
      <c r="BS153" s="1">
        <f t="shared" si="327"/>
        <v>172</v>
      </c>
      <c r="BT153" s="1">
        <f t="shared" si="382"/>
        <v>187</v>
      </c>
      <c r="BU153" s="1">
        <f t="shared" si="320"/>
        <v>22</v>
      </c>
      <c r="BV153" s="2">
        <f t="shared" si="247"/>
        <v>17800</v>
      </c>
      <c r="BW153" s="8">
        <f t="shared" si="317"/>
        <v>5.2499999999999998E-2</v>
      </c>
      <c r="BX153" s="2">
        <f t="shared" si="248"/>
        <v>18033.625</v>
      </c>
      <c r="BY153" s="2">
        <f t="shared" si="318"/>
        <v>233.625</v>
      </c>
      <c r="BZ153" s="2">
        <f t="shared" si="273"/>
        <v>38100</v>
      </c>
      <c r="CA153" s="8">
        <f t="shared" si="328"/>
        <v>4.3999999999999997E-2</v>
      </c>
      <c r="CB153" s="2">
        <f t="shared" si="249"/>
        <v>38519.1</v>
      </c>
      <c r="CC153" s="2">
        <f t="shared" si="329"/>
        <v>762</v>
      </c>
      <c r="CD153" s="2">
        <f t="shared" si="345"/>
        <v>0</v>
      </c>
      <c r="CE153" s="2">
        <f t="shared" si="250"/>
        <v>0</v>
      </c>
      <c r="CF153" s="2">
        <f t="shared" si="251"/>
        <v>88.65000000001055</v>
      </c>
      <c r="CG153" s="1">
        <f t="shared" si="312"/>
        <v>0</v>
      </c>
      <c r="CH153" s="2">
        <f t="shared" si="346"/>
        <v>88.65000000001055</v>
      </c>
      <c r="CI153" s="1">
        <f t="shared" si="242"/>
        <v>0</v>
      </c>
      <c r="CJ153" s="2">
        <f t="shared" si="252"/>
        <v>88.65000000001055</v>
      </c>
      <c r="CK153" s="2">
        <f t="shared" si="253"/>
        <v>167042.57500000001</v>
      </c>
      <c r="CL153" s="2">
        <f t="shared" si="347"/>
        <v>0</v>
      </c>
      <c r="CM153" s="2">
        <f t="shared" si="369"/>
        <v>1607.9218350000001</v>
      </c>
      <c r="CN153" s="2">
        <f t="shared" si="348"/>
        <v>165434.65316500003</v>
      </c>
      <c r="CO153" s="2">
        <f t="shared" si="370"/>
        <v>3179.625</v>
      </c>
      <c r="CP153" s="2">
        <f t="shared" si="349"/>
        <v>12133.960500000003</v>
      </c>
      <c r="CQ153" s="2">
        <f t="shared" si="350"/>
        <v>150121.06766500001</v>
      </c>
      <c r="CS153" s="5">
        <f t="shared" si="371"/>
        <v>1628</v>
      </c>
      <c r="CT153" s="2">
        <f t="shared" si="372"/>
        <v>162637.20000000001</v>
      </c>
      <c r="CU153" s="2">
        <f t="shared" si="373"/>
        <v>162800</v>
      </c>
      <c r="CV153" s="2">
        <f t="shared" si="374"/>
        <v>172161.00000000003</v>
      </c>
      <c r="CW153" s="8">
        <f t="shared" si="351"/>
        <v>4.9000000000000002E-2</v>
      </c>
      <c r="CX153" s="2">
        <f t="shared" si="352"/>
        <v>174269.97225000005</v>
      </c>
      <c r="CY153" s="2" t="str">
        <f t="shared" si="353"/>
        <v>nie</v>
      </c>
      <c r="CZ153" s="2">
        <f t="shared" si="375"/>
        <v>0</v>
      </c>
      <c r="DA153" s="2">
        <f t="shared" si="376"/>
        <v>14.935565330815734</v>
      </c>
      <c r="DB153" s="2">
        <f t="shared" si="377"/>
        <v>174284.90781533087</v>
      </c>
      <c r="DC153" s="2">
        <f t="shared" si="354"/>
        <v>0</v>
      </c>
      <c r="DD153" s="2">
        <f t="shared" si="378"/>
        <v>1643.2876868816702</v>
      </c>
      <c r="DE153" s="2">
        <f t="shared" si="379"/>
        <v>172641.6201284492</v>
      </c>
      <c r="DF153" s="2">
        <f t="shared" si="355"/>
        <v>4884</v>
      </c>
      <c r="DG153" s="2">
        <f t="shared" si="356"/>
        <v>13183.334727500009</v>
      </c>
      <c r="DH153" s="2">
        <f t="shared" si="380"/>
        <v>154574.28540094919</v>
      </c>
    </row>
    <row r="154" spans="2:112">
      <c r="B154" s="232"/>
      <c r="C154" s="1">
        <f t="shared" si="321"/>
        <v>117</v>
      </c>
      <c r="D154" s="2">
        <f t="shared" si="259"/>
        <v>156004.38756798411</v>
      </c>
      <c r="E154" s="2">
        <f t="shared" si="260"/>
        <v>143889.89449754893</v>
      </c>
      <c r="F154" s="2">
        <f t="shared" si="261"/>
        <v>155081.73796499998</v>
      </c>
      <c r="G154" s="2">
        <f t="shared" si="262"/>
        <v>141922.67958999999</v>
      </c>
      <c r="H154" s="2">
        <f t="shared" si="263"/>
        <v>159444.25873253951</v>
      </c>
      <c r="I154" s="2">
        <f t="shared" si="264"/>
        <v>145471.24224636433</v>
      </c>
      <c r="J154" s="2">
        <f t="shared" si="322"/>
        <v>142596.50972825359</v>
      </c>
      <c r="K154" s="2">
        <f t="shared" si="323"/>
        <v>132154.82357191757</v>
      </c>
      <c r="W154" s="1">
        <f t="shared" si="357"/>
        <v>136</v>
      </c>
      <c r="X154" s="2">
        <f t="shared" si="330"/>
        <v>138276.1060461509</v>
      </c>
      <c r="Y154" s="8">
        <f t="shared" si="383"/>
        <v>4.3200000000000002E-2</v>
      </c>
      <c r="Z154" s="5">
        <f t="shared" si="358"/>
        <v>1516</v>
      </c>
      <c r="AA154" s="2">
        <f t="shared" si="359"/>
        <v>151448.4</v>
      </c>
      <c r="AB154" s="2">
        <f t="shared" si="360"/>
        <v>151600</v>
      </c>
      <c r="AC154" s="2">
        <f t="shared" si="361"/>
        <v>166820.7916</v>
      </c>
      <c r="AD154" s="8">
        <f t="shared" si="331"/>
        <v>4.9000000000000002E-2</v>
      </c>
      <c r="AE154" s="2">
        <f t="shared" si="332"/>
        <v>169545.53119613332</v>
      </c>
      <c r="AF154" s="2" t="str">
        <f t="shared" si="333"/>
        <v>nie</v>
      </c>
      <c r="AG154" s="2">
        <f t="shared" si="334"/>
        <v>1516</v>
      </c>
      <c r="AH154" s="1">
        <f t="shared" si="233"/>
        <v>1</v>
      </c>
      <c r="AI154" s="1">
        <f t="shared" si="324"/>
        <v>1</v>
      </c>
      <c r="AJ154" s="1">
        <f t="shared" si="381"/>
        <v>1</v>
      </c>
      <c r="AK154" s="1">
        <f t="shared" si="319"/>
        <v>0</v>
      </c>
      <c r="AL154" s="2">
        <f t="shared" si="243"/>
        <v>100</v>
      </c>
      <c r="AM154" s="8">
        <f t="shared" si="313"/>
        <v>4.9000000000000002E-2</v>
      </c>
      <c r="AN154" s="2">
        <f t="shared" si="244"/>
        <v>101.63333333333333</v>
      </c>
      <c r="AO154" s="2">
        <f t="shared" si="314"/>
        <v>1</v>
      </c>
      <c r="AP154" s="2">
        <f t="shared" si="272"/>
        <v>200</v>
      </c>
      <c r="AQ154" s="8">
        <f t="shared" si="325"/>
        <v>4.3200000000000002E-2</v>
      </c>
      <c r="AR154" s="2">
        <f t="shared" si="267"/>
        <v>202.88</v>
      </c>
      <c r="AS154" s="2">
        <f t="shared" si="326"/>
        <v>2</v>
      </c>
      <c r="AT154" s="2">
        <f t="shared" si="362"/>
        <v>0</v>
      </c>
      <c r="AU154" s="2">
        <f t="shared" si="245"/>
        <v>0</v>
      </c>
      <c r="AV154" s="2">
        <f t="shared" si="236"/>
        <v>32.424318079928611</v>
      </c>
      <c r="AW154" s="1">
        <f t="shared" si="311"/>
        <v>0</v>
      </c>
      <c r="AX154" s="2">
        <f t="shared" si="335"/>
        <v>32.424318079928611</v>
      </c>
      <c r="AY154" s="1">
        <f t="shared" si="237"/>
        <v>0</v>
      </c>
      <c r="AZ154" s="2">
        <f t="shared" si="363"/>
        <v>32.424318079928611</v>
      </c>
      <c r="BA154" s="2">
        <f t="shared" si="246"/>
        <v>169882.46884754658</v>
      </c>
      <c r="BB154" s="2">
        <f t="shared" si="336"/>
        <v>0</v>
      </c>
      <c r="BC154" s="2">
        <f t="shared" si="364"/>
        <v>1615.0965703319835</v>
      </c>
      <c r="BD154" s="2">
        <f t="shared" si="337"/>
        <v>168267.3722772146</v>
      </c>
      <c r="BE154" s="2">
        <f t="shared" si="365"/>
        <v>1519</v>
      </c>
      <c r="BF154" s="2">
        <f t="shared" si="338"/>
        <v>12989.059081033851</v>
      </c>
      <c r="BG154" s="2">
        <f t="shared" si="339"/>
        <v>153759.31319618074</v>
      </c>
      <c r="BI154" s="8">
        <f t="shared" si="315"/>
        <v>2.9000000000000001E-2</v>
      </c>
      <c r="BJ154" s="5">
        <f t="shared" si="366"/>
        <v>1092</v>
      </c>
      <c r="BK154" s="2">
        <f t="shared" si="367"/>
        <v>109090.8</v>
      </c>
      <c r="BL154" s="2">
        <f t="shared" si="368"/>
        <v>109200</v>
      </c>
      <c r="BM154" s="2">
        <f t="shared" si="340"/>
        <v>109200</v>
      </c>
      <c r="BN154" s="8">
        <f t="shared" si="341"/>
        <v>4.3999999999999997E-2</v>
      </c>
      <c r="BO154" s="2">
        <f t="shared" si="342"/>
        <v>110801.59999999999</v>
      </c>
      <c r="BP154" s="2" t="str">
        <f t="shared" si="343"/>
        <v>nie</v>
      </c>
      <c r="BQ154" s="2">
        <f t="shared" si="344"/>
        <v>2184</v>
      </c>
      <c r="BR154" s="1">
        <f t="shared" si="316"/>
        <v>178</v>
      </c>
      <c r="BS154" s="1">
        <f t="shared" si="327"/>
        <v>172</v>
      </c>
      <c r="BT154" s="1">
        <f t="shared" si="382"/>
        <v>187</v>
      </c>
      <c r="BU154" s="1">
        <f t="shared" si="320"/>
        <v>22</v>
      </c>
      <c r="BV154" s="2">
        <f t="shared" si="247"/>
        <v>17800</v>
      </c>
      <c r="BW154" s="8">
        <f t="shared" si="317"/>
        <v>5.2499999999999998E-2</v>
      </c>
      <c r="BX154" s="2">
        <f t="shared" si="248"/>
        <v>18111.5</v>
      </c>
      <c r="BY154" s="2">
        <f t="shared" si="318"/>
        <v>311.5</v>
      </c>
      <c r="BZ154" s="2">
        <f t="shared" si="273"/>
        <v>38100</v>
      </c>
      <c r="CA154" s="8">
        <f t="shared" si="328"/>
        <v>4.3999999999999997E-2</v>
      </c>
      <c r="CB154" s="2">
        <f t="shared" si="249"/>
        <v>38658.799999999996</v>
      </c>
      <c r="CC154" s="2">
        <f t="shared" si="329"/>
        <v>762</v>
      </c>
      <c r="CD154" s="2">
        <f t="shared" si="345"/>
        <v>0</v>
      </c>
      <c r="CE154" s="2">
        <f t="shared" si="250"/>
        <v>0</v>
      </c>
      <c r="CF154" s="2">
        <f t="shared" si="251"/>
        <v>88.65000000001055</v>
      </c>
      <c r="CG154" s="1">
        <f t="shared" si="312"/>
        <v>0</v>
      </c>
      <c r="CH154" s="2">
        <f t="shared" si="346"/>
        <v>88.65000000001055</v>
      </c>
      <c r="CI154" s="1">
        <f t="shared" si="242"/>
        <v>0</v>
      </c>
      <c r="CJ154" s="2">
        <f t="shared" si="252"/>
        <v>88.65000000001055</v>
      </c>
      <c r="CK154" s="2">
        <f t="shared" si="253"/>
        <v>167660.55000000002</v>
      </c>
      <c r="CL154" s="2">
        <f t="shared" si="347"/>
        <v>0</v>
      </c>
      <c r="CM154" s="2">
        <f t="shared" si="369"/>
        <v>1607.9218350000001</v>
      </c>
      <c r="CN154" s="2">
        <f t="shared" si="348"/>
        <v>166052.62816500003</v>
      </c>
      <c r="CO154" s="2">
        <f t="shared" si="370"/>
        <v>3257.5</v>
      </c>
      <c r="CP154" s="2">
        <f t="shared" si="349"/>
        <v>12236.579500000003</v>
      </c>
      <c r="CQ154" s="2">
        <f t="shared" si="350"/>
        <v>150558.54866500004</v>
      </c>
      <c r="CS154" s="5">
        <f t="shared" si="371"/>
        <v>1628</v>
      </c>
      <c r="CT154" s="2">
        <f t="shared" si="372"/>
        <v>162637.20000000001</v>
      </c>
      <c r="CU154" s="2">
        <f t="shared" si="373"/>
        <v>162800</v>
      </c>
      <c r="CV154" s="2">
        <f t="shared" si="374"/>
        <v>172161.00000000003</v>
      </c>
      <c r="CW154" s="8">
        <f t="shared" si="351"/>
        <v>4.9000000000000002E-2</v>
      </c>
      <c r="CX154" s="2">
        <f t="shared" si="352"/>
        <v>174972.96300000002</v>
      </c>
      <c r="CY154" s="2" t="str">
        <f t="shared" si="353"/>
        <v>nie</v>
      </c>
      <c r="CZ154" s="2">
        <f t="shared" si="375"/>
        <v>0</v>
      </c>
      <c r="DA154" s="2">
        <f t="shared" si="376"/>
        <v>14.935565330815734</v>
      </c>
      <c r="DB154" s="2">
        <f t="shared" si="377"/>
        <v>174987.89856533083</v>
      </c>
      <c r="DC154" s="2">
        <f t="shared" si="354"/>
        <v>0</v>
      </c>
      <c r="DD154" s="2">
        <f t="shared" si="378"/>
        <v>1643.2876868816702</v>
      </c>
      <c r="DE154" s="2">
        <f t="shared" si="379"/>
        <v>173344.61087844917</v>
      </c>
      <c r="DF154" s="2">
        <f t="shared" si="355"/>
        <v>4884</v>
      </c>
      <c r="DG154" s="2">
        <f t="shared" si="356"/>
        <v>13316.902970000003</v>
      </c>
      <c r="DH154" s="2">
        <f t="shared" si="380"/>
        <v>155143.70790844917</v>
      </c>
    </row>
    <row r="155" spans="2:112">
      <c r="B155" s="232"/>
      <c r="C155" s="1">
        <f t="shared" si="321"/>
        <v>118</v>
      </c>
      <c r="D155" s="2">
        <f t="shared" si="259"/>
        <v>156623.82923465077</v>
      </c>
      <c r="E155" s="2">
        <f t="shared" si="260"/>
        <v>144391.64224754891</v>
      </c>
      <c r="F155" s="2">
        <f t="shared" si="261"/>
        <v>155649.38379833335</v>
      </c>
      <c r="G155" s="2">
        <f t="shared" si="262"/>
        <v>142382.47271500001</v>
      </c>
      <c r="H155" s="2">
        <f t="shared" si="263"/>
        <v>160077.39780488628</v>
      </c>
      <c r="I155" s="2">
        <f t="shared" si="264"/>
        <v>145984.0848949652</v>
      </c>
      <c r="J155" s="2">
        <f t="shared" si="322"/>
        <v>143029.64662655315</v>
      </c>
      <c r="K155" s="2">
        <f t="shared" si="323"/>
        <v>132467.39920878128</v>
      </c>
      <c r="W155" s="1">
        <f t="shared" si="357"/>
        <v>137</v>
      </c>
      <c r="X155" s="2">
        <f t="shared" si="330"/>
        <v>138607.07394606329</v>
      </c>
      <c r="Y155" s="8">
        <f t="shared" si="383"/>
        <v>4.3200000000000002E-2</v>
      </c>
      <c r="Z155" s="5">
        <f t="shared" si="358"/>
        <v>1516</v>
      </c>
      <c r="AA155" s="2">
        <f t="shared" si="359"/>
        <v>151448.4</v>
      </c>
      <c r="AB155" s="2">
        <f t="shared" si="360"/>
        <v>151600</v>
      </c>
      <c r="AC155" s="2">
        <f t="shared" si="361"/>
        <v>166820.7916</v>
      </c>
      <c r="AD155" s="8">
        <f t="shared" si="331"/>
        <v>4.9000000000000002E-2</v>
      </c>
      <c r="AE155" s="2">
        <f t="shared" si="332"/>
        <v>170226.71609516669</v>
      </c>
      <c r="AF155" s="2" t="str">
        <f t="shared" si="333"/>
        <v>nie</v>
      </c>
      <c r="AG155" s="2">
        <f t="shared" si="334"/>
        <v>1516</v>
      </c>
      <c r="AH155" s="1">
        <f t="shared" si="233"/>
        <v>1</v>
      </c>
      <c r="AI155" s="1">
        <f t="shared" si="324"/>
        <v>1</v>
      </c>
      <c r="AJ155" s="1">
        <f t="shared" si="381"/>
        <v>1</v>
      </c>
      <c r="AK155" s="1">
        <f t="shared" si="319"/>
        <v>0</v>
      </c>
      <c r="AL155" s="2">
        <f t="shared" si="243"/>
        <v>100</v>
      </c>
      <c r="AM155" s="8">
        <f t="shared" si="313"/>
        <v>4.9000000000000002E-2</v>
      </c>
      <c r="AN155" s="2">
        <f t="shared" si="244"/>
        <v>102.04166666666667</v>
      </c>
      <c r="AO155" s="2">
        <f t="shared" si="314"/>
        <v>1</v>
      </c>
      <c r="AP155" s="2">
        <f t="shared" si="272"/>
        <v>200</v>
      </c>
      <c r="AQ155" s="8">
        <f t="shared" si="325"/>
        <v>4.3200000000000002E-2</v>
      </c>
      <c r="AR155" s="2">
        <f t="shared" si="267"/>
        <v>203.6</v>
      </c>
      <c r="AS155" s="2">
        <f t="shared" si="326"/>
        <v>2</v>
      </c>
      <c r="AT155" s="2">
        <f t="shared" si="362"/>
        <v>0</v>
      </c>
      <c r="AU155" s="2">
        <f t="shared" si="245"/>
        <v>0</v>
      </c>
      <c r="AV155" s="2">
        <f t="shared" si="236"/>
        <v>32.424318079928611</v>
      </c>
      <c r="AW155" s="1">
        <f t="shared" si="311"/>
        <v>0</v>
      </c>
      <c r="AX155" s="2">
        <f t="shared" si="335"/>
        <v>32.424318079928611</v>
      </c>
      <c r="AY155" s="1">
        <f t="shared" si="237"/>
        <v>0</v>
      </c>
      <c r="AZ155" s="2">
        <f t="shared" si="363"/>
        <v>32.424318079928611</v>
      </c>
      <c r="BA155" s="2">
        <f t="shared" si="246"/>
        <v>170564.78207991328</v>
      </c>
      <c r="BB155" s="2">
        <f t="shared" si="336"/>
        <v>0</v>
      </c>
      <c r="BC155" s="2">
        <f t="shared" si="364"/>
        <v>1615.0965703319835</v>
      </c>
      <c r="BD155" s="2">
        <f t="shared" si="337"/>
        <v>168949.68550958129</v>
      </c>
      <c r="BE155" s="2">
        <f t="shared" si="365"/>
        <v>1519</v>
      </c>
      <c r="BF155" s="2">
        <f t="shared" si="338"/>
        <v>13118.698595183523</v>
      </c>
      <c r="BG155" s="2">
        <f t="shared" si="339"/>
        <v>154311.98691439777</v>
      </c>
      <c r="BI155" s="8">
        <f t="shared" si="315"/>
        <v>2.9000000000000001E-2</v>
      </c>
      <c r="BJ155" s="5">
        <f t="shared" si="366"/>
        <v>1092</v>
      </c>
      <c r="BK155" s="2">
        <f t="shared" si="367"/>
        <v>109090.8</v>
      </c>
      <c r="BL155" s="2">
        <f t="shared" si="368"/>
        <v>109200</v>
      </c>
      <c r="BM155" s="2">
        <f t="shared" si="340"/>
        <v>109200</v>
      </c>
      <c r="BN155" s="8">
        <f t="shared" si="341"/>
        <v>4.3999999999999997E-2</v>
      </c>
      <c r="BO155" s="2">
        <f t="shared" si="342"/>
        <v>111202</v>
      </c>
      <c r="BP155" s="2" t="str">
        <f t="shared" si="343"/>
        <v>nie</v>
      </c>
      <c r="BQ155" s="2">
        <f t="shared" si="344"/>
        <v>2184</v>
      </c>
      <c r="BR155" s="1">
        <f t="shared" si="316"/>
        <v>178</v>
      </c>
      <c r="BS155" s="1">
        <f t="shared" si="327"/>
        <v>172</v>
      </c>
      <c r="BT155" s="1">
        <f t="shared" si="382"/>
        <v>187</v>
      </c>
      <c r="BU155" s="1">
        <f t="shared" si="320"/>
        <v>22</v>
      </c>
      <c r="BV155" s="2">
        <f t="shared" si="247"/>
        <v>17800</v>
      </c>
      <c r="BW155" s="8">
        <f t="shared" si="317"/>
        <v>5.2499999999999998E-2</v>
      </c>
      <c r="BX155" s="2">
        <f t="shared" si="248"/>
        <v>18189.375</v>
      </c>
      <c r="BY155" s="2">
        <f t="shared" si="318"/>
        <v>356</v>
      </c>
      <c r="BZ155" s="2">
        <f t="shared" si="273"/>
        <v>38100</v>
      </c>
      <c r="CA155" s="8">
        <f t="shared" si="328"/>
        <v>4.3999999999999997E-2</v>
      </c>
      <c r="CB155" s="2">
        <f t="shared" si="249"/>
        <v>38798.5</v>
      </c>
      <c r="CC155" s="2">
        <f t="shared" si="329"/>
        <v>762</v>
      </c>
      <c r="CD155" s="2">
        <f t="shared" si="345"/>
        <v>0</v>
      </c>
      <c r="CE155" s="2">
        <f t="shared" si="250"/>
        <v>0</v>
      </c>
      <c r="CF155" s="2">
        <f t="shared" si="251"/>
        <v>88.65000000001055</v>
      </c>
      <c r="CG155" s="1">
        <f t="shared" si="312"/>
        <v>0</v>
      </c>
      <c r="CH155" s="2">
        <f t="shared" si="346"/>
        <v>88.65000000001055</v>
      </c>
      <c r="CI155" s="1">
        <f t="shared" si="242"/>
        <v>0</v>
      </c>
      <c r="CJ155" s="2">
        <f t="shared" si="252"/>
        <v>88.65000000001055</v>
      </c>
      <c r="CK155" s="2">
        <f t="shared" si="253"/>
        <v>168278.52500000002</v>
      </c>
      <c r="CL155" s="2">
        <f t="shared" si="347"/>
        <v>0</v>
      </c>
      <c r="CM155" s="2">
        <f t="shared" si="369"/>
        <v>1607.9218350000001</v>
      </c>
      <c r="CN155" s="2">
        <f t="shared" si="348"/>
        <v>166670.60316500004</v>
      </c>
      <c r="CO155" s="2">
        <f t="shared" si="370"/>
        <v>3302</v>
      </c>
      <c r="CP155" s="2">
        <f t="shared" si="349"/>
        <v>12345.539750000005</v>
      </c>
      <c r="CQ155" s="2">
        <f t="shared" si="350"/>
        <v>151023.06341500004</v>
      </c>
      <c r="CS155" s="5">
        <f t="shared" si="371"/>
        <v>1628</v>
      </c>
      <c r="CT155" s="2">
        <f t="shared" si="372"/>
        <v>162637.20000000001</v>
      </c>
      <c r="CU155" s="2">
        <f t="shared" si="373"/>
        <v>162800</v>
      </c>
      <c r="CV155" s="2">
        <f t="shared" si="374"/>
        <v>172161.00000000003</v>
      </c>
      <c r="CW155" s="8">
        <f t="shared" si="351"/>
        <v>4.9000000000000002E-2</v>
      </c>
      <c r="CX155" s="2">
        <f t="shared" si="352"/>
        <v>175675.95375000004</v>
      </c>
      <c r="CY155" s="2" t="str">
        <f t="shared" si="353"/>
        <v>nie</v>
      </c>
      <c r="CZ155" s="2">
        <f t="shared" si="375"/>
        <v>0</v>
      </c>
      <c r="DA155" s="2">
        <f t="shared" si="376"/>
        <v>14.935565330815734</v>
      </c>
      <c r="DB155" s="2">
        <f t="shared" si="377"/>
        <v>175690.88931533086</v>
      </c>
      <c r="DC155" s="2">
        <f t="shared" si="354"/>
        <v>0</v>
      </c>
      <c r="DD155" s="2">
        <f t="shared" si="378"/>
        <v>1643.2876868816702</v>
      </c>
      <c r="DE155" s="2">
        <f t="shared" si="379"/>
        <v>174047.60162844919</v>
      </c>
      <c r="DF155" s="2">
        <f t="shared" si="355"/>
        <v>4884</v>
      </c>
      <c r="DG155" s="2">
        <f t="shared" si="356"/>
        <v>13450.471212500008</v>
      </c>
      <c r="DH155" s="2">
        <f t="shared" si="380"/>
        <v>155713.13041594918</v>
      </c>
    </row>
    <row r="156" spans="2:112">
      <c r="B156" s="233"/>
      <c r="C156" s="1">
        <f t="shared" si="321"/>
        <v>119</v>
      </c>
      <c r="D156" s="2">
        <f t="shared" si="259"/>
        <v>157243.27090131745</v>
      </c>
      <c r="E156" s="2">
        <f t="shared" si="260"/>
        <v>144893.38999754892</v>
      </c>
      <c r="F156" s="2">
        <f t="shared" si="261"/>
        <v>156217.02963166666</v>
      </c>
      <c r="G156" s="2">
        <f t="shared" si="262"/>
        <v>142842.26584000001</v>
      </c>
      <c r="H156" s="2">
        <f t="shared" si="263"/>
        <v>160710.53687723307</v>
      </c>
      <c r="I156" s="2">
        <f t="shared" si="264"/>
        <v>146496.9275435661</v>
      </c>
      <c r="J156" s="2">
        <f t="shared" si="322"/>
        <v>143464.09917818132</v>
      </c>
      <c r="K156" s="2">
        <f t="shared" si="323"/>
        <v>132779.97484564496</v>
      </c>
      <c r="W156" s="1">
        <f t="shared" si="357"/>
        <v>138</v>
      </c>
      <c r="X156" s="2">
        <f t="shared" si="330"/>
        <v>138938.04184597565</v>
      </c>
      <c r="Y156" s="8">
        <f t="shared" si="383"/>
        <v>4.3200000000000002E-2</v>
      </c>
      <c r="Z156" s="5">
        <f t="shared" si="358"/>
        <v>1516</v>
      </c>
      <c r="AA156" s="2">
        <f t="shared" si="359"/>
        <v>151448.4</v>
      </c>
      <c r="AB156" s="2">
        <f t="shared" si="360"/>
        <v>151600</v>
      </c>
      <c r="AC156" s="2">
        <f t="shared" si="361"/>
        <v>166820.7916</v>
      </c>
      <c r="AD156" s="8">
        <f t="shared" si="331"/>
        <v>4.9000000000000002E-2</v>
      </c>
      <c r="AE156" s="2">
        <f t="shared" si="332"/>
        <v>170907.9009942</v>
      </c>
      <c r="AF156" s="2" t="str">
        <f t="shared" si="333"/>
        <v>nie</v>
      </c>
      <c r="AG156" s="2">
        <f t="shared" si="334"/>
        <v>1516</v>
      </c>
      <c r="AH156" s="1">
        <f t="shared" si="233"/>
        <v>1</v>
      </c>
      <c r="AI156" s="1">
        <f t="shared" si="324"/>
        <v>1</v>
      </c>
      <c r="AJ156" s="1">
        <f t="shared" si="381"/>
        <v>1</v>
      </c>
      <c r="AK156" s="1">
        <f t="shared" si="319"/>
        <v>0</v>
      </c>
      <c r="AL156" s="2">
        <f t="shared" si="243"/>
        <v>100</v>
      </c>
      <c r="AM156" s="8">
        <f t="shared" si="313"/>
        <v>4.9000000000000002E-2</v>
      </c>
      <c r="AN156" s="2">
        <f t="shared" si="244"/>
        <v>102.45</v>
      </c>
      <c r="AO156" s="2">
        <f t="shared" si="314"/>
        <v>1</v>
      </c>
      <c r="AP156" s="2">
        <f t="shared" si="272"/>
        <v>200</v>
      </c>
      <c r="AQ156" s="8">
        <f t="shared" si="325"/>
        <v>4.3200000000000002E-2</v>
      </c>
      <c r="AR156" s="2">
        <f t="shared" si="267"/>
        <v>204.32000000000002</v>
      </c>
      <c r="AS156" s="2">
        <f t="shared" si="326"/>
        <v>2</v>
      </c>
      <c r="AT156" s="2">
        <f t="shared" si="362"/>
        <v>0</v>
      </c>
      <c r="AU156" s="2">
        <f t="shared" si="245"/>
        <v>0</v>
      </c>
      <c r="AV156" s="2">
        <f t="shared" si="236"/>
        <v>32.424318079928611</v>
      </c>
      <c r="AW156" s="1">
        <f t="shared" si="311"/>
        <v>0</v>
      </c>
      <c r="AX156" s="2">
        <f t="shared" si="335"/>
        <v>32.424318079928611</v>
      </c>
      <c r="AY156" s="1">
        <f t="shared" si="237"/>
        <v>0</v>
      </c>
      <c r="AZ156" s="2">
        <f t="shared" si="363"/>
        <v>32.424318079928611</v>
      </c>
      <c r="BA156" s="2">
        <f t="shared" si="246"/>
        <v>171247.09531227994</v>
      </c>
      <c r="BB156" s="2">
        <f t="shared" si="336"/>
        <v>0</v>
      </c>
      <c r="BC156" s="2">
        <f t="shared" si="364"/>
        <v>1615.0965703319835</v>
      </c>
      <c r="BD156" s="2">
        <f t="shared" si="337"/>
        <v>169631.99874194796</v>
      </c>
      <c r="BE156" s="2">
        <f t="shared" si="365"/>
        <v>1519</v>
      </c>
      <c r="BF156" s="2">
        <f t="shared" si="338"/>
        <v>13248.338109333188</v>
      </c>
      <c r="BG156" s="2">
        <f t="shared" si="339"/>
        <v>154864.66063261477</v>
      </c>
      <c r="BI156" s="8">
        <f t="shared" si="315"/>
        <v>2.9000000000000001E-2</v>
      </c>
      <c r="BJ156" s="5">
        <f t="shared" si="366"/>
        <v>1092</v>
      </c>
      <c r="BK156" s="2">
        <f t="shared" si="367"/>
        <v>109090.8</v>
      </c>
      <c r="BL156" s="2">
        <f t="shared" si="368"/>
        <v>109200</v>
      </c>
      <c r="BM156" s="2">
        <f t="shared" si="340"/>
        <v>109200</v>
      </c>
      <c r="BN156" s="8">
        <f t="shared" si="341"/>
        <v>4.3999999999999997E-2</v>
      </c>
      <c r="BO156" s="2">
        <f t="shared" si="342"/>
        <v>111602.40000000001</v>
      </c>
      <c r="BP156" s="2" t="str">
        <f t="shared" si="343"/>
        <v>nie</v>
      </c>
      <c r="BQ156" s="2">
        <f t="shared" si="344"/>
        <v>2184</v>
      </c>
      <c r="BR156" s="1">
        <f t="shared" si="316"/>
        <v>178</v>
      </c>
      <c r="BS156" s="1">
        <f t="shared" si="327"/>
        <v>172</v>
      </c>
      <c r="BT156" s="1">
        <f t="shared" si="382"/>
        <v>187</v>
      </c>
      <c r="BU156" s="1">
        <f t="shared" si="320"/>
        <v>22</v>
      </c>
      <c r="BV156" s="2">
        <f t="shared" si="247"/>
        <v>17800</v>
      </c>
      <c r="BW156" s="8">
        <f t="shared" si="317"/>
        <v>5.2499999999999998E-2</v>
      </c>
      <c r="BX156" s="2">
        <f t="shared" si="248"/>
        <v>18267.250000000004</v>
      </c>
      <c r="BY156" s="2">
        <f t="shared" si="318"/>
        <v>356</v>
      </c>
      <c r="BZ156" s="2">
        <f t="shared" si="273"/>
        <v>38100</v>
      </c>
      <c r="CA156" s="8">
        <f t="shared" si="328"/>
        <v>4.3999999999999997E-2</v>
      </c>
      <c r="CB156" s="2">
        <f t="shared" si="249"/>
        <v>38938.200000000004</v>
      </c>
      <c r="CC156" s="2">
        <f t="shared" si="329"/>
        <v>762</v>
      </c>
      <c r="CD156" s="2">
        <f t="shared" si="345"/>
        <v>0</v>
      </c>
      <c r="CE156" s="2">
        <f t="shared" si="250"/>
        <v>0</v>
      </c>
      <c r="CF156" s="2">
        <f t="shared" si="251"/>
        <v>88.65000000001055</v>
      </c>
      <c r="CG156" s="1">
        <f t="shared" si="312"/>
        <v>0</v>
      </c>
      <c r="CH156" s="2">
        <f t="shared" si="346"/>
        <v>88.65000000001055</v>
      </c>
      <c r="CI156" s="1">
        <f t="shared" si="242"/>
        <v>0</v>
      </c>
      <c r="CJ156" s="2">
        <f t="shared" si="252"/>
        <v>88.65000000001055</v>
      </c>
      <c r="CK156" s="2">
        <f t="shared" si="253"/>
        <v>168896.50000000003</v>
      </c>
      <c r="CL156" s="2">
        <f t="shared" si="347"/>
        <v>0</v>
      </c>
      <c r="CM156" s="2">
        <f t="shared" si="369"/>
        <v>1607.9218350000001</v>
      </c>
      <c r="CN156" s="2">
        <f t="shared" si="348"/>
        <v>167288.57816500004</v>
      </c>
      <c r="CO156" s="2">
        <f t="shared" si="370"/>
        <v>3302</v>
      </c>
      <c r="CP156" s="2">
        <f t="shared" si="349"/>
        <v>12462.955000000005</v>
      </c>
      <c r="CQ156" s="2">
        <f t="shared" si="350"/>
        <v>151523.62316500003</v>
      </c>
      <c r="CS156" s="5">
        <f t="shared" si="371"/>
        <v>1628</v>
      </c>
      <c r="CT156" s="2">
        <f t="shared" si="372"/>
        <v>162637.20000000001</v>
      </c>
      <c r="CU156" s="2">
        <f t="shared" si="373"/>
        <v>162800</v>
      </c>
      <c r="CV156" s="2">
        <f t="shared" si="374"/>
        <v>172161.00000000003</v>
      </c>
      <c r="CW156" s="8">
        <f t="shared" si="351"/>
        <v>4.9000000000000002E-2</v>
      </c>
      <c r="CX156" s="2">
        <f t="shared" si="352"/>
        <v>176378.94450000001</v>
      </c>
      <c r="CY156" s="2" t="str">
        <f t="shared" si="353"/>
        <v>nie</v>
      </c>
      <c r="CZ156" s="2">
        <f t="shared" si="375"/>
        <v>0</v>
      </c>
      <c r="DA156" s="2">
        <f t="shared" si="376"/>
        <v>14.935565330815734</v>
      </c>
      <c r="DB156" s="2">
        <f t="shared" si="377"/>
        <v>176393.88006533083</v>
      </c>
      <c r="DC156" s="2">
        <f t="shared" si="354"/>
        <v>0</v>
      </c>
      <c r="DD156" s="2">
        <f t="shared" si="378"/>
        <v>1643.2876868816702</v>
      </c>
      <c r="DE156" s="2">
        <f t="shared" si="379"/>
        <v>174750.59237844916</v>
      </c>
      <c r="DF156" s="2">
        <f t="shared" si="355"/>
        <v>4884</v>
      </c>
      <c r="DG156" s="2">
        <f t="shared" si="356"/>
        <v>13584.039455000002</v>
      </c>
      <c r="DH156" s="2">
        <f t="shared" si="380"/>
        <v>156282.55292344917</v>
      </c>
    </row>
    <row r="157" spans="2:112">
      <c r="B157" s="231">
        <f>ROUNDUP(C158/12,0)</f>
        <v>11</v>
      </c>
      <c r="C157" s="3">
        <f t="shared" si="321"/>
        <v>120</v>
      </c>
      <c r="D157" s="10">
        <f t="shared" si="259"/>
        <v>157703.56096366601</v>
      </c>
      <c r="E157" s="10">
        <f t="shared" si="260"/>
        <v>145235.98614323081</v>
      </c>
      <c r="F157" s="10">
        <f t="shared" si="261"/>
        <v>156626.606115</v>
      </c>
      <c r="G157" s="10">
        <f t="shared" si="262"/>
        <v>143143.989615</v>
      </c>
      <c r="H157" s="10">
        <f t="shared" si="263"/>
        <v>161181.02381401448</v>
      </c>
      <c r="I157" s="10">
        <f t="shared" si="264"/>
        <v>149277.11805660161</v>
      </c>
      <c r="J157" s="10">
        <f t="shared" si="322"/>
        <v>143899.87137943506</v>
      </c>
      <c r="K157" s="10">
        <f t="shared" si="323"/>
        <v>133092.55048250864</v>
      </c>
      <c r="W157" s="1">
        <f t="shared" si="357"/>
        <v>139</v>
      </c>
      <c r="X157" s="2">
        <f t="shared" si="330"/>
        <v>139269.00974588803</v>
      </c>
      <c r="Y157" s="8">
        <f t="shared" si="383"/>
        <v>4.3200000000000002E-2</v>
      </c>
      <c r="Z157" s="5">
        <f t="shared" si="358"/>
        <v>1516</v>
      </c>
      <c r="AA157" s="2">
        <f t="shared" si="359"/>
        <v>151448.4</v>
      </c>
      <c r="AB157" s="2">
        <f t="shared" si="360"/>
        <v>151600</v>
      </c>
      <c r="AC157" s="2">
        <f t="shared" si="361"/>
        <v>166820.7916</v>
      </c>
      <c r="AD157" s="8">
        <f t="shared" si="331"/>
        <v>4.9000000000000002E-2</v>
      </c>
      <c r="AE157" s="2">
        <f t="shared" si="332"/>
        <v>171589.08589323334</v>
      </c>
      <c r="AF157" s="2" t="str">
        <f t="shared" si="333"/>
        <v>nie</v>
      </c>
      <c r="AG157" s="2">
        <f t="shared" si="334"/>
        <v>1516</v>
      </c>
      <c r="AH157" s="1">
        <f t="shared" si="233"/>
        <v>1</v>
      </c>
      <c r="AI157" s="1">
        <f t="shared" si="324"/>
        <v>1</v>
      </c>
      <c r="AJ157" s="1">
        <f t="shared" si="381"/>
        <v>1</v>
      </c>
      <c r="AK157" s="1">
        <f t="shared" si="319"/>
        <v>0</v>
      </c>
      <c r="AL157" s="2">
        <f t="shared" si="243"/>
        <v>100</v>
      </c>
      <c r="AM157" s="8">
        <f t="shared" si="313"/>
        <v>4.9000000000000002E-2</v>
      </c>
      <c r="AN157" s="2">
        <f t="shared" si="244"/>
        <v>102.85833333333333</v>
      </c>
      <c r="AO157" s="2">
        <f t="shared" si="314"/>
        <v>1</v>
      </c>
      <c r="AP157" s="2">
        <f t="shared" si="272"/>
        <v>200</v>
      </c>
      <c r="AQ157" s="8">
        <f t="shared" si="325"/>
        <v>4.3200000000000002E-2</v>
      </c>
      <c r="AR157" s="2">
        <f t="shared" si="267"/>
        <v>205.03999999999996</v>
      </c>
      <c r="AS157" s="2">
        <f t="shared" si="326"/>
        <v>2</v>
      </c>
      <c r="AT157" s="2">
        <f t="shared" si="362"/>
        <v>0</v>
      </c>
      <c r="AU157" s="2">
        <f t="shared" si="245"/>
        <v>0</v>
      </c>
      <c r="AV157" s="2">
        <f t="shared" si="236"/>
        <v>32.424318079928611</v>
      </c>
      <c r="AW157" s="1">
        <f t="shared" si="311"/>
        <v>0</v>
      </c>
      <c r="AX157" s="2">
        <f t="shared" si="335"/>
        <v>32.424318079928611</v>
      </c>
      <c r="AY157" s="1">
        <f t="shared" si="237"/>
        <v>0</v>
      </c>
      <c r="AZ157" s="2">
        <f t="shared" si="363"/>
        <v>32.424318079928611</v>
      </c>
      <c r="BA157" s="2">
        <f t="shared" si="246"/>
        <v>171929.40854464661</v>
      </c>
      <c r="BB157" s="2">
        <f t="shared" si="336"/>
        <v>0</v>
      </c>
      <c r="BC157" s="2">
        <f t="shared" si="364"/>
        <v>1615.0965703319835</v>
      </c>
      <c r="BD157" s="2">
        <f t="shared" si="337"/>
        <v>170314.31197431462</v>
      </c>
      <c r="BE157" s="2">
        <f t="shared" si="365"/>
        <v>1519</v>
      </c>
      <c r="BF157" s="2">
        <f t="shared" si="338"/>
        <v>13377.977623482855</v>
      </c>
      <c r="BG157" s="2">
        <f t="shared" si="339"/>
        <v>155417.33435083178</v>
      </c>
      <c r="BI157" s="8">
        <f t="shared" si="315"/>
        <v>2.9000000000000001E-2</v>
      </c>
      <c r="BJ157" s="5">
        <f t="shared" si="366"/>
        <v>1092</v>
      </c>
      <c r="BK157" s="2">
        <f t="shared" si="367"/>
        <v>109090.8</v>
      </c>
      <c r="BL157" s="2">
        <f t="shared" si="368"/>
        <v>109200</v>
      </c>
      <c r="BM157" s="2">
        <f t="shared" si="340"/>
        <v>109200</v>
      </c>
      <c r="BN157" s="8">
        <f t="shared" si="341"/>
        <v>4.3999999999999997E-2</v>
      </c>
      <c r="BO157" s="2">
        <f t="shared" si="342"/>
        <v>112002.8</v>
      </c>
      <c r="BP157" s="2" t="str">
        <f t="shared" si="343"/>
        <v>nie</v>
      </c>
      <c r="BQ157" s="2">
        <f t="shared" si="344"/>
        <v>2184</v>
      </c>
      <c r="BR157" s="1">
        <f t="shared" si="316"/>
        <v>178</v>
      </c>
      <c r="BS157" s="1">
        <f t="shared" si="327"/>
        <v>172</v>
      </c>
      <c r="BT157" s="1">
        <f t="shared" si="382"/>
        <v>187</v>
      </c>
      <c r="BU157" s="1">
        <f t="shared" si="320"/>
        <v>22</v>
      </c>
      <c r="BV157" s="2">
        <f t="shared" si="247"/>
        <v>17800</v>
      </c>
      <c r="BW157" s="8">
        <f t="shared" si="317"/>
        <v>5.2499999999999998E-2</v>
      </c>
      <c r="BX157" s="2">
        <f t="shared" si="248"/>
        <v>18345.125</v>
      </c>
      <c r="BY157" s="2">
        <f t="shared" si="318"/>
        <v>356</v>
      </c>
      <c r="BZ157" s="2">
        <f t="shared" si="273"/>
        <v>38100</v>
      </c>
      <c r="CA157" s="8">
        <f t="shared" si="328"/>
        <v>4.3999999999999997E-2</v>
      </c>
      <c r="CB157" s="2">
        <f t="shared" si="249"/>
        <v>39077.9</v>
      </c>
      <c r="CC157" s="2">
        <f t="shared" si="329"/>
        <v>762</v>
      </c>
      <c r="CD157" s="2">
        <f t="shared" si="345"/>
        <v>0</v>
      </c>
      <c r="CE157" s="2">
        <f t="shared" si="250"/>
        <v>0</v>
      </c>
      <c r="CF157" s="2">
        <f t="shared" si="251"/>
        <v>88.65000000001055</v>
      </c>
      <c r="CG157" s="1">
        <f t="shared" si="312"/>
        <v>0</v>
      </c>
      <c r="CH157" s="2">
        <f t="shared" si="346"/>
        <v>88.65000000001055</v>
      </c>
      <c r="CI157" s="1">
        <f t="shared" si="242"/>
        <v>0</v>
      </c>
      <c r="CJ157" s="2">
        <f t="shared" si="252"/>
        <v>88.65000000001055</v>
      </c>
      <c r="CK157" s="2">
        <f t="shared" si="253"/>
        <v>169514.47500000003</v>
      </c>
      <c r="CL157" s="2">
        <f t="shared" si="347"/>
        <v>0</v>
      </c>
      <c r="CM157" s="2">
        <f t="shared" si="369"/>
        <v>1607.9218350000001</v>
      </c>
      <c r="CN157" s="2">
        <f t="shared" si="348"/>
        <v>167906.55316500005</v>
      </c>
      <c r="CO157" s="2">
        <f t="shared" si="370"/>
        <v>3302</v>
      </c>
      <c r="CP157" s="2">
        <f t="shared" si="349"/>
        <v>12580.370250000007</v>
      </c>
      <c r="CQ157" s="2">
        <f t="shared" si="350"/>
        <v>152024.18291500004</v>
      </c>
      <c r="CS157" s="5">
        <f t="shared" si="371"/>
        <v>1628</v>
      </c>
      <c r="CT157" s="2">
        <f t="shared" si="372"/>
        <v>162637.20000000001</v>
      </c>
      <c r="CU157" s="2">
        <f t="shared" si="373"/>
        <v>162800</v>
      </c>
      <c r="CV157" s="2">
        <f t="shared" si="374"/>
        <v>172161.00000000003</v>
      </c>
      <c r="CW157" s="8">
        <f t="shared" si="351"/>
        <v>4.9000000000000002E-2</v>
      </c>
      <c r="CX157" s="2">
        <f t="shared" si="352"/>
        <v>177081.93525000004</v>
      </c>
      <c r="CY157" s="2" t="str">
        <f t="shared" si="353"/>
        <v>nie</v>
      </c>
      <c r="CZ157" s="2">
        <f t="shared" si="375"/>
        <v>0</v>
      </c>
      <c r="DA157" s="2">
        <f t="shared" si="376"/>
        <v>14.935565330815734</v>
      </c>
      <c r="DB157" s="2">
        <f t="shared" si="377"/>
        <v>177096.87081533085</v>
      </c>
      <c r="DC157" s="2">
        <f t="shared" si="354"/>
        <v>0</v>
      </c>
      <c r="DD157" s="2">
        <f t="shared" si="378"/>
        <v>1643.2876868816702</v>
      </c>
      <c r="DE157" s="2">
        <f t="shared" si="379"/>
        <v>175453.58312844919</v>
      </c>
      <c r="DF157" s="2">
        <f t="shared" si="355"/>
        <v>4884</v>
      </c>
      <c r="DG157" s="2">
        <f t="shared" si="356"/>
        <v>13717.607697500007</v>
      </c>
      <c r="DH157" s="2">
        <f t="shared" si="380"/>
        <v>156851.97543094918</v>
      </c>
    </row>
    <row r="158" spans="2:112">
      <c r="B158" s="232"/>
      <c r="C158" s="1">
        <f t="shared" si="321"/>
        <v>121</v>
      </c>
      <c r="D158" s="2">
        <f t="shared" si="259"/>
        <v>158453.69526366601</v>
      </c>
      <c r="E158" s="2">
        <f t="shared" si="260"/>
        <v>145843.26417623082</v>
      </c>
      <c r="F158" s="2">
        <f t="shared" si="261"/>
        <v>157228.52278166666</v>
      </c>
      <c r="G158" s="2">
        <f t="shared" si="262"/>
        <v>143739.06961499999</v>
      </c>
      <c r="H158" s="2">
        <f t="shared" si="263"/>
        <v>162123.90714734781</v>
      </c>
      <c r="I158" s="2">
        <f t="shared" si="264"/>
        <v>149411.82381401447</v>
      </c>
      <c r="J158" s="2">
        <f t="shared" si="322"/>
        <v>144336.96723875011</v>
      </c>
      <c r="K158" s="2">
        <f t="shared" si="323"/>
        <v>133414.19081284138</v>
      </c>
      <c r="W158" s="1">
        <f t="shared" si="357"/>
        <v>140</v>
      </c>
      <c r="X158" s="2">
        <f t="shared" si="330"/>
        <v>139599.97764580042</v>
      </c>
      <c r="Y158" s="8">
        <f t="shared" si="383"/>
        <v>4.3200000000000002E-2</v>
      </c>
      <c r="Z158" s="5">
        <f t="shared" si="358"/>
        <v>1516</v>
      </c>
      <c r="AA158" s="2">
        <f t="shared" si="359"/>
        <v>151448.4</v>
      </c>
      <c r="AB158" s="2">
        <f t="shared" si="360"/>
        <v>151600</v>
      </c>
      <c r="AC158" s="2">
        <f t="shared" si="361"/>
        <v>166820.7916</v>
      </c>
      <c r="AD158" s="8">
        <f t="shared" si="331"/>
        <v>4.9000000000000002E-2</v>
      </c>
      <c r="AE158" s="2">
        <f t="shared" si="332"/>
        <v>172270.27079226665</v>
      </c>
      <c r="AF158" s="2" t="str">
        <f t="shared" si="333"/>
        <v>nie</v>
      </c>
      <c r="AG158" s="2">
        <f t="shared" si="334"/>
        <v>1516</v>
      </c>
      <c r="AH158" s="1">
        <f t="shared" si="233"/>
        <v>1</v>
      </c>
      <c r="AI158" s="1">
        <f t="shared" si="324"/>
        <v>1</v>
      </c>
      <c r="AJ158" s="1">
        <f t="shared" si="381"/>
        <v>1</v>
      </c>
      <c r="AK158" s="1">
        <f t="shared" si="319"/>
        <v>0</v>
      </c>
      <c r="AL158" s="2">
        <f t="shared" si="243"/>
        <v>100</v>
      </c>
      <c r="AM158" s="8">
        <f t="shared" si="313"/>
        <v>4.9000000000000002E-2</v>
      </c>
      <c r="AN158" s="2">
        <f t="shared" si="244"/>
        <v>103.26666666666667</v>
      </c>
      <c r="AO158" s="2">
        <f t="shared" si="314"/>
        <v>1</v>
      </c>
      <c r="AP158" s="2">
        <f t="shared" si="272"/>
        <v>200</v>
      </c>
      <c r="AQ158" s="8">
        <f t="shared" si="325"/>
        <v>4.3200000000000002E-2</v>
      </c>
      <c r="AR158" s="2">
        <f t="shared" si="267"/>
        <v>205.76</v>
      </c>
      <c r="AS158" s="2">
        <f t="shared" si="326"/>
        <v>2</v>
      </c>
      <c r="AT158" s="2">
        <f t="shared" si="362"/>
        <v>0</v>
      </c>
      <c r="AU158" s="2">
        <f t="shared" si="245"/>
        <v>0</v>
      </c>
      <c r="AV158" s="2">
        <f t="shared" si="236"/>
        <v>32.424318079928611</v>
      </c>
      <c r="AW158" s="1">
        <f t="shared" ref="AW158:AW162" si="384">IF(AT158&lt;&gt;0,MIN(IF(AK158&lt;&gt;"",AK158,0),ROUNDDOWN(AV158/zamiana_TOS,0)),0)</f>
        <v>0</v>
      </c>
      <c r="AX158" s="2">
        <f t="shared" si="335"/>
        <v>32.424318079928611</v>
      </c>
      <c r="AY158" s="1">
        <f t="shared" si="237"/>
        <v>0</v>
      </c>
      <c r="AZ158" s="2">
        <f t="shared" si="363"/>
        <v>32.424318079928611</v>
      </c>
      <c r="BA158" s="2">
        <f t="shared" si="246"/>
        <v>172611.72177701324</v>
      </c>
      <c r="BB158" s="2">
        <f t="shared" si="336"/>
        <v>0</v>
      </c>
      <c r="BC158" s="2">
        <f t="shared" si="364"/>
        <v>1615.0965703319835</v>
      </c>
      <c r="BD158" s="2">
        <f t="shared" si="337"/>
        <v>170996.62520668126</v>
      </c>
      <c r="BE158" s="2">
        <f t="shared" si="365"/>
        <v>1519</v>
      </c>
      <c r="BF158" s="2">
        <f t="shared" si="338"/>
        <v>13507.617137632516</v>
      </c>
      <c r="BG158" s="2">
        <f t="shared" si="339"/>
        <v>155970.00806904875</v>
      </c>
      <c r="BI158" s="8">
        <f t="shared" si="315"/>
        <v>2.9000000000000001E-2</v>
      </c>
      <c r="BJ158" s="5">
        <f t="shared" si="366"/>
        <v>1092</v>
      </c>
      <c r="BK158" s="2">
        <f t="shared" si="367"/>
        <v>109090.8</v>
      </c>
      <c r="BL158" s="2">
        <f t="shared" si="368"/>
        <v>109200</v>
      </c>
      <c r="BM158" s="2">
        <f t="shared" si="340"/>
        <v>109200</v>
      </c>
      <c r="BN158" s="8">
        <f t="shared" si="341"/>
        <v>4.3999999999999997E-2</v>
      </c>
      <c r="BO158" s="2">
        <f t="shared" si="342"/>
        <v>112403.20000000001</v>
      </c>
      <c r="BP158" s="2" t="str">
        <f t="shared" si="343"/>
        <v>nie</v>
      </c>
      <c r="BQ158" s="2">
        <f t="shared" si="344"/>
        <v>2184</v>
      </c>
      <c r="BR158" s="1">
        <f t="shared" si="316"/>
        <v>178</v>
      </c>
      <c r="BS158" s="1">
        <f t="shared" si="327"/>
        <v>172</v>
      </c>
      <c r="BT158" s="1">
        <f t="shared" si="382"/>
        <v>187</v>
      </c>
      <c r="BU158" s="1">
        <f t="shared" si="320"/>
        <v>22</v>
      </c>
      <c r="BV158" s="2">
        <f t="shared" si="247"/>
        <v>17800</v>
      </c>
      <c r="BW158" s="8">
        <f t="shared" si="317"/>
        <v>5.2499999999999998E-2</v>
      </c>
      <c r="BX158" s="2">
        <f t="shared" si="248"/>
        <v>18423</v>
      </c>
      <c r="BY158" s="2">
        <f t="shared" si="318"/>
        <v>356</v>
      </c>
      <c r="BZ158" s="2">
        <f t="shared" si="273"/>
        <v>38100</v>
      </c>
      <c r="CA158" s="8">
        <f t="shared" si="328"/>
        <v>4.3999999999999997E-2</v>
      </c>
      <c r="CB158" s="2">
        <f t="shared" si="249"/>
        <v>39217.600000000006</v>
      </c>
      <c r="CC158" s="2">
        <f t="shared" si="329"/>
        <v>762</v>
      </c>
      <c r="CD158" s="2">
        <f t="shared" si="345"/>
        <v>0</v>
      </c>
      <c r="CE158" s="2">
        <f t="shared" si="250"/>
        <v>0</v>
      </c>
      <c r="CF158" s="2">
        <f t="shared" si="251"/>
        <v>88.65000000001055</v>
      </c>
      <c r="CG158" s="1">
        <f t="shared" ref="CG158:CG162" si="385">IF(CD158&lt;&gt;0,MIN(IF(BU158&lt;&gt;"",BU158,0),ROUNDDOWN(CF158/zamiana_COI,0)),0)</f>
        <v>0</v>
      </c>
      <c r="CH158" s="2">
        <f t="shared" si="346"/>
        <v>88.65000000001055</v>
      </c>
      <c r="CI158" s="1">
        <f t="shared" si="242"/>
        <v>0</v>
      </c>
      <c r="CJ158" s="2">
        <f t="shared" si="252"/>
        <v>88.65000000001055</v>
      </c>
      <c r="CK158" s="2">
        <f t="shared" si="253"/>
        <v>170132.45000000004</v>
      </c>
      <c r="CL158" s="2">
        <f t="shared" si="347"/>
        <v>0</v>
      </c>
      <c r="CM158" s="2">
        <f t="shared" si="369"/>
        <v>1607.9218350000001</v>
      </c>
      <c r="CN158" s="2">
        <f t="shared" si="348"/>
        <v>168524.52816500005</v>
      </c>
      <c r="CO158" s="2">
        <f t="shared" si="370"/>
        <v>3302</v>
      </c>
      <c r="CP158" s="2">
        <f t="shared" si="349"/>
        <v>12697.785500000007</v>
      </c>
      <c r="CQ158" s="2">
        <f t="shared" si="350"/>
        <v>152524.74266500006</v>
      </c>
      <c r="CS158" s="5">
        <f t="shared" si="371"/>
        <v>1628</v>
      </c>
      <c r="CT158" s="2">
        <f t="shared" si="372"/>
        <v>162637.20000000001</v>
      </c>
      <c r="CU158" s="2">
        <f t="shared" si="373"/>
        <v>162800</v>
      </c>
      <c r="CV158" s="2">
        <f t="shared" si="374"/>
        <v>172161.00000000003</v>
      </c>
      <c r="CW158" s="8">
        <f t="shared" si="351"/>
        <v>4.9000000000000002E-2</v>
      </c>
      <c r="CX158" s="2">
        <f t="shared" si="352"/>
        <v>177784.92600000004</v>
      </c>
      <c r="CY158" s="2" t="str">
        <f t="shared" si="353"/>
        <v>nie</v>
      </c>
      <c r="CZ158" s="2">
        <f t="shared" si="375"/>
        <v>0</v>
      </c>
      <c r="DA158" s="2">
        <f t="shared" si="376"/>
        <v>14.935565330815734</v>
      </c>
      <c r="DB158" s="2">
        <f t="shared" si="377"/>
        <v>177799.86156533085</v>
      </c>
      <c r="DC158" s="2">
        <f t="shared" si="354"/>
        <v>0</v>
      </c>
      <c r="DD158" s="2">
        <f t="shared" si="378"/>
        <v>1643.2876868816702</v>
      </c>
      <c r="DE158" s="2">
        <f t="shared" si="379"/>
        <v>176156.57387844918</v>
      </c>
      <c r="DF158" s="2">
        <f t="shared" si="355"/>
        <v>4884</v>
      </c>
      <c r="DG158" s="2">
        <f t="shared" si="356"/>
        <v>13851.175940000006</v>
      </c>
      <c r="DH158" s="2">
        <f t="shared" si="380"/>
        <v>157421.39793844917</v>
      </c>
    </row>
    <row r="159" spans="2:112">
      <c r="B159" s="232"/>
      <c r="C159" s="1">
        <f t="shared" si="321"/>
        <v>122</v>
      </c>
      <c r="D159" s="2">
        <f t="shared" si="259"/>
        <v>159103.82956366602</v>
      </c>
      <c r="E159" s="2">
        <f t="shared" si="260"/>
        <v>146369.54220923083</v>
      </c>
      <c r="F159" s="2">
        <f t="shared" si="261"/>
        <v>157820.03944833332</v>
      </c>
      <c r="G159" s="2">
        <f t="shared" si="262"/>
        <v>144157.24561499999</v>
      </c>
      <c r="H159" s="2">
        <f t="shared" si="263"/>
        <v>162903.99048068112</v>
      </c>
      <c r="I159" s="2">
        <f t="shared" si="264"/>
        <v>149411.82381401447</v>
      </c>
      <c r="J159" s="2">
        <f t="shared" si="322"/>
        <v>144775.39077673783</v>
      </c>
      <c r="K159" s="2">
        <f t="shared" si="323"/>
        <v>133735.83114317409</v>
      </c>
      <c r="W159" s="1">
        <f t="shared" si="357"/>
        <v>141</v>
      </c>
      <c r="X159" s="2">
        <f t="shared" si="330"/>
        <v>139930.94554571278</v>
      </c>
      <c r="Y159" s="8">
        <f t="shared" si="383"/>
        <v>4.3200000000000002E-2</v>
      </c>
      <c r="Z159" s="5">
        <f t="shared" si="358"/>
        <v>1516</v>
      </c>
      <c r="AA159" s="2">
        <f t="shared" si="359"/>
        <v>151448.4</v>
      </c>
      <c r="AB159" s="2">
        <f t="shared" si="360"/>
        <v>151600</v>
      </c>
      <c r="AC159" s="2">
        <f t="shared" si="361"/>
        <v>166820.7916</v>
      </c>
      <c r="AD159" s="8">
        <f t="shared" si="331"/>
        <v>4.9000000000000002E-2</v>
      </c>
      <c r="AE159" s="2">
        <f t="shared" si="332"/>
        <v>172951.45569130001</v>
      </c>
      <c r="AF159" s="2" t="str">
        <f t="shared" si="333"/>
        <v>nie</v>
      </c>
      <c r="AG159" s="2">
        <f t="shared" si="334"/>
        <v>1516</v>
      </c>
      <c r="AH159" s="1">
        <f t="shared" ref="AH159:AH162" si="386">IF(AT158&lt;&gt;0,AW158+AY158,AH158)</f>
        <v>1</v>
      </c>
      <c r="AI159" s="1">
        <f t="shared" si="324"/>
        <v>1</v>
      </c>
      <c r="AJ159" s="1">
        <f t="shared" si="381"/>
        <v>1</v>
      </c>
      <c r="AK159" s="1">
        <f t="shared" si="319"/>
        <v>0</v>
      </c>
      <c r="AL159" s="2">
        <f t="shared" si="243"/>
        <v>100</v>
      </c>
      <c r="AM159" s="8">
        <f t="shared" si="313"/>
        <v>4.9000000000000002E-2</v>
      </c>
      <c r="AN159" s="2">
        <f t="shared" si="244"/>
        <v>103.67500000000001</v>
      </c>
      <c r="AO159" s="2">
        <f t="shared" ref="AO159:AO162" si="387">MIN(AH159*koszt_wczesniejszy_wykup_TOS,AN159-AL159)</f>
        <v>1</v>
      </c>
      <c r="AP159" s="2">
        <f t="shared" si="272"/>
        <v>200</v>
      </c>
      <c r="AQ159" s="8">
        <f t="shared" si="325"/>
        <v>4.3200000000000002E-2</v>
      </c>
      <c r="AR159" s="2">
        <f t="shared" si="267"/>
        <v>206.48</v>
      </c>
      <c r="AS159" s="2">
        <f t="shared" si="326"/>
        <v>2</v>
      </c>
      <c r="AT159" s="2">
        <f t="shared" si="362"/>
        <v>0</v>
      </c>
      <c r="AU159" s="2">
        <f t="shared" si="245"/>
        <v>0</v>
      </c>
      <c r="AV159" s="2">
        <f t="shared" ref="AV159:AV161" si="388">AZ158+AT159+AU159</f>
        <v>32.424318079928611</v>
      </c>
      <c r="AW159" s="1">
        <f t="shared" si="384"/>
        <v>0</v>
      </c>
      <c r="AX159" s="2">
        <f t="shared" si="335"/>
        <v>32.424318079928611</v>
      </c>
      <c r="AY159" s="1">
        <f t="shared" ref="AY159:AY162" si="389">ROUNDDOWN(AX159/100,0)</f>
        <v>0</v>
      </c>
      <c r="AZ159" s="2">
        <f t="shared" si="363"/>
        <v>32.424318079928611</v>
      </c>
      <c r="BA159" s="2">
        <f t="shared" si="246"/>
        <v>173294.03500937994</v>
      </c>
      <c r="BB159" s="2">
        <f t="shared" si="336"/>
        <v>0</v>
      </c>
      <c r="BC159" s="2">
        <f t="shared" si="364"/>
        <v>1615.0965703319835</v>
      </c>
      <c r="BD159" s="2">
        <f t="shared" si="337"/>
        <v>171678.93843904795</v>
      </c>
      <c r="BE159" s="2">
        <f t="shared" si="365"/>
        <v>1519</v>
      </c>
      <c r="BF159" s="2">
        <f t="shared" si="338"/>
        <v>13637.256651782187</v>
      </c>
      <c r="BG159" s="2">
        <f t="shared" si="339"/>
        <v>156522.68178726576</v>
      </c>
      <c r="BI159" s="8">
        <f t="shared" si="315"/>
        <v>2.9000000000000001E-2</v>
      </c>
      <c r="BJ159" s="5">
        <f t="shared" si="366"/>
        <v>1092</v>
      </c>
      <c r="BK159" s="2">
        <f t="shared" si="367"/>
        <v>109090.8</v>
      </c>
      <c r="BL159" s="2">
        <f t="shared" si="368"/>
        <v>109200</v>
      </c>
      <c r="BM159" s="2">
        <f t="shared" si="340"/>
        <v>109200</v>
      </c>
      <c r="BN159" s="8">
        <f t="shared" si="341"/>
        <v>4.3999999999999997E-2</v>
      </c>
      <c r="BO159" s="2">
        <f t="shared" si="342"/>
        <v>112803.59999999999</v>
      </c>
      <c r="BP159" s="2" t="str">
        <f t="shared" si="343"/>
        <v>nie</v>
      </c>
      <c r="BQ159" s="2">
        <f t="shared" si="344"/>
        <v>2184</v>
      </c>
      <c r="BR159" s="1">
        <f t="shared" si="316"/>
        <v>178</v>
      </c>
      <c r="BS159" s="1">
        <f t="shared" si="327"/>
        <v>172</v>
      </c>
      <c r="BT159" s="1">
        <f t="shared" si="382"/>
        <v>187</v>
      </c>
      <c r="BU159" s="1">
        <f t="shared" si="320"/>
        <v>22</v>
      </c>
      <c r="BV159" s="2">
        <f t="shared" si="247"/>
        <v>17800</v>
      </c>
      <c r="BW159" s="8">
        <f t="shared" si="317"/>
        <v>5.2499999999999998E-2</v>
      </c>
      <c r="BX159" s="2">
        <f t="shared" si="248"/>
        <v>18500.875</v>
      </c>
      <c r="BY159" s="2">
        <f t="shared" ref="BY159:BY162" si="390">MIN(BR159*koszt_wczesniejszy_wykup_COI,BX159-BV159)</f>
        <v>356</v>
      </c>
      <c r="BZ159" s="2">
        <f t="shared" si="273"/>
        <v>38100</v>
      </c>
      <c r="CA159" s="8">
        <f t="shared" si="328"/>
        <v>4.3999999999999997E-2</v>
      </c>
      <c r="CB159" s="2">
        <f t="shared" si="249"/>
        <v>39357.299999999996</v>
      </c>
      <c r="CC159" s="2">
        <f t="shared" si="329"/>
        <v>762</v>
      </c>
      <c r="CD159" s="2">
        <f t="shared" si="345"/>
        <v>0</v>
      </c>
      <c r="CE159" s="2">
        <f t="shared" si="250"/>
        <v>0</v>
      </c>
      <c r="CF159" s="2">
        <f t="shared" si="251"/>
        <v>88.65000000001055</v>
      </c>
      <c r="CG159" s="1">
        <f t="shared" si="385"/>
        <v>0</v>
      </c>
      <c r="CH159" s="2">
        <f t="shared" si="346"/>
        <v>88.65000000001055</v>
      </c>
      <c r="CI159" s="1">
        <f t="shared" ref="CI159:CI162" si="391">ROUNDDOWN(CH159/100,0)</f>
        <v>0</v>
      </c>
      <c r="CJ159" s="2">
        <f t="shared" si="252"/>
        <v>88.65000000001055</v>
      </c>
      <c r="CK159" s="2">
        <f t="shared" si="253"/>
        <v>170750.42499999999</v>
      </c>
      <c r="CL159" s="2">
        <f t="shared" si="347"/>
        <v>0</v>
      </c>
      <c r="CM159" s="2">
        <f t="shared" si="369"/>
        <v>1607.9218350000001</v>
      </c>
      <c r="CN159" s="2">
        <f t="shared" si="348"/>
        <v>169142.503165</v>
      </c>
      <c r="CO159" s="2">
        <f t="shared" si="370"/>
        <v>3302</v>
      </c>
      <c r="CP159" s="2">
        <f t="shared" si="349"/>
        <v>12815.200749999998</v>
      </c>
      <c r="CQ159" s="2">
        <f t="shared" si="350"/>
        <v>153025.30241500001</v>
      </c>
      <c r="CS159" s="5">
        <f t="shared" si="371"/>
        <v>1628</v>
      </c>
      <c r="CT159" s="2">
        <f t="shared" si="372"/>
        <v>162637.20000000001</v>
      </c>
      <c r="CU159" s="2">
        <f t="shared" si="373"/>
        <v>162800</v>
      </c>
      <c r="CV159" s="2">
        <f t="shared" si="374"/>
        <v>172161.00000000003</v>
      </c>
      <c r="CW159" s="8">
        <f t="shared" si="351"/>
        <v>4.9000000000000002E-2</v>
      </c>
      <c r="CX159" s="2">
        <f t="shared" si="352"/>
        <v>178487.91675000003</v>
      </c>
      <c r="CY159" s="2" t="str">
        <f t="shared" si="353"/>
        <v>nie</v>
      </c>
      <c r="CZ159" s="2">
        <f t="shared" si="375"/>
        <v>0</v>
      </c>
      <c r="DA159" s="2">
        <f t="shared" si="376"/>
        <v>14.935565330815734</v>
      </c>
      <c r="DB159" s="2">
        <f t="shared" si="377"/>
        <v>178502.85231533085</v>
      </c>
      <c r="DC159" s="2">
        <f t="shared" si="354"/>
        <v>0</v>
      </c>
      <c r="DD159" s="2">
        <f t="shared" si="378"/>
        <v>1643.2876868816702</v>
      </c>
      <c r="DE159" s="2">
        <f t="shared" si="379"/>
        <v>176859.56462844918</v>
      </c>
      <c r="DF159" s="2">
        <f t="shared" si="355"/>
        <v>4884</v>
      </c>
      <c r="DG159" s="2">
        <f t="shared" si="356"/>
        <v>13984.744182500006</v>
      </c>
      <c r="DH159" s="2">
        <f t="shared" si="380"/>
        <v>157990.82044594918</v>
      </c>
    </row>
    <row r="160" spans="2:112">
      <c r="B160" s="232"/>
      <c r="C160" s="1">
        <f t="shared" si="321"/>
        <v>123</v>
      </c>
      <c r="D160" s="2">
        <f t="shared" si="259"/>
        <v>159753.96386366602</v>
      </c>
      <c r="E160" s="2">
        <f t="shared" si="260"/>
        <v>146896.00249223085</v>
      </c>
      <c r="F160" s="2">
        <f t="shared" si="261"/>
        <v>158411.55611499998</v>
      </c>
      <c r="G160" s="2">
        <f t="shared" si="262"/>
        <v>144575.421615</v>
      </c>
      <c r="H160" s="2">
        <f t="shared" si="263"/>
        <v>163684.07381401447</v>
      </c>
      <c r="I160" s="2">
        <f t="shared" si="264"/>
        <v>149411.82381401447</v>
      </c>
      <c r="J160" s="2">
        <f t="shared" si="322"/>
        <v>145215.14602622218</v>
      </c>
      <c r="K160" s="2">
        <f t="shared" si="323"/>
        <v>134057.47147350683</v>
      </c>
      <c r="W160" s="1">
        <f t="shared" si="357"/>
        <v>142</v>
      </c>
      <c r="X160" s="2">
        <f t="shared" si="330"/>
        <v>140261.91344562516</v>
      </c>
      <c r="Y160" s="8">
        <f t="shared" si="383"/>
        <v>4.3200000000000002E-2</v>
      </c>
      <c r="Z160" s="5">
        <f t="shared" si="358"/>
        <v>1516</v>
      </c>
      <c r="AA160" s="2">
        <f t="shared" si="359"/>
        <v>151448.4</v>
      </c>
      <c r="AB160" s="2">
        <f t="shared" si="360"/>
        <v>151600</v>
      </c>
      <c r="AC160" s="2">
        <f t="shared" si="361"/>
        <v>166820.7916</v>
      </c>
      <c r="AD160" s="8">
        <f t="shared" si="331"/>
        <v>4.9000000000000002E-2</v>
      </c>
      <c r="AE160" s="2">
        <f t="shared" si="332"/>
        <v>173632.64059033332</v>
      </c>
      <c r="AF160" s="2" t="str">
        <f t="shared" si="333"/>
        <v>nie</v>
      </c>
      <c r="AG160" s="2">
        <f t="shared" si="334"/>
        <v>1516</v>
      </c>
      <c r="AH160" s="1">
        <f t="shared" si="386"/>
        <v>1</v>
      </c>
      <c r="AI160" s="1">
        <f t="shared" si="324"/>
        <v>1</v>
      </c>
      <c r="AJ160" s="1">
        <f t="shared" si="381"/>
        <v>1</v>
      </c>
      <c r="AK160" s="1">
        <f t="shared" si="319"/>
        <v>0</v>
      </c>
      <c r="AL160" s="2">
        <f t="shared" ref="AL160:AL162" si="392">AH160*100</f>
        <v>100</v>
      </c>
      <c r="AM160" s="8">
        <f t="shared" si="313"/>
        <v>4.9000000000000002E-2</v>
      </c>
      <c r="AN160" s="2">
        <f t="shared" ref="AN160:AN162" si="393">AL160*(1+AM160*IF(MOD($W160,12)&lt;&gt;0,MOD($W160,12),12)/12)</f>
        <v>104.08333333333333</v>
      </c>
      <c r="AO160" s="2">
        <f t="shared" si="387"/>
        <v>1</v>
      </c>
      <c r="AP160" s="2">
        <f t="shared" si="272"/>
        <v>200</v>
      </c>
      <c r="AQ160" s="8">
        <f t="shared" si="325"/>
        <v>4.3200000000000002E-2</v>
      </c>
      <c r="AR160" s="2">
        <f t="shared" si="267"/>
        <v>207.20000000000002</v>
      </c>
      <c r="AS160" s="2">
        <f t="shared" si="326"/>
        <v>2</v>
      </c>
      <c r="AT160" s="2">
        <f t="shared" si="362"/>
        <v>0</v>
      </c>
      <c r="AU160" s="2">
        <f t="shared" ref="AU160:AU161" si="394">IF(MOD($W160,12)=0,AN160-AL160+AR160-AP160+AK160*100,0)</f>
        <v>0</v>
      </c>
      <c r="AV160" s="2">
        <f t="shared" si="388"/>
        <v>32.424318079928611</v>
      </c>
      <c r="AW160" s="1">
        <f t="shared" si="384"/>
        <v>0</v>
      </c>
      <c r="AX160" s="2">
        <f t="shared" si="335"/>
        <v>32.424318079928611</v>
      </c>
      <c r="AY160" s="1">
        <f t="shared" si="389"/>
        <v>0</v>
      </c>
      <c r="AZ160" s="2">
        <f t="shared" si="363"/>
        <v>32.424318079928611</v>
      </c>
      <c r="BA160" s="2">
        <f t="shared" ref="BA160:BA162" si="395">AE160+AN160+AR160+AZ159</f>
        <v>173976.3482417466</v>
      </c>
      <c r="BB160" s="2">
        <f t="shared" si="336"/>
        <v>0</v>
      </c>
      <c r="BC160" s="2">
        <f t="shared" si="364"/>
        <v>1615.0965703319835</v>
      </c>
      <c r="BD160" s="2">
        <f t="shared" si="337"/>
        <v>172361.25167141462</v>
      </c>
      <c r="BE160" s="2">
        <f t="shared" si="365"/>
        <v>1519</v>
      </c>
      <c r="BF160" s="2">
        <f t="shared" si="338"/>
        <v>13766.896165931854</v>
      </c>
      <c r="BG160" s="2">
        <f t="shared" si="339"/>
        <v>157075.35550548276</v>
      </c>
      <c r="BI160" s="8">
        <f t="shared" si="315"/>
        <v>2.9000000000000001E-2</v>
      </c>
      <c r="BJ160" s="5">
        <f t="shared" si="366"/>
        <v>1092</v>
      </c>
      <c r="BK160" s="2">
        <f t="shared" si="367"/>
        <v>109090.8</v>
      </c>
      <c r="BL160" s="2">
        <f t="shared" si="368"/>
        <v>109200</v>
      </c>
      <c r="BM160" s="2">
        <f t="shared" si="340"/>
        <v>109200</v>
      </c>
      <c r="BN160" s="8">
        <f t="shared" si="341"/>
        <v>4.3999999999999997E-2</v>
      </c>
      <c r="BO160" s="2">
        <f t="shared" si="342"/>
        <v>113204</v>
      </c>
      <c r="BP160" s="2" t="str">
        <f t="shared" si="343"/>
        <v>nie</v>
      </c>
      <c r="BQ160" s="2">
        <f t="shared" si="344"/>
        <v>2184</v>
      </c>
      <c r="BR160" s="1">
        <f t="shared" si="316"/>
        <v>178</v>
      </c>
      <c r="BS160" s="1">
        <f t="shared" si="327"/>
        <v>172</v>
      </c>
      <c r="BT160" s="1">
        <f t="shared" si="382"/>
        <v>187</v>
      </c>
      <c r="BU160" s="1">
        <f t="shared" si="320"/>
        <v>22</v>
      </c>
      <c r="BV160" s="2">
        <f t="shared" ref="BV160:BV162" si="396">BR160*100</f>
        <v>17800</v>
      </c>
      <c r="BW160" s="8">
        <f t="shared" si="317"/>
        <v>5.2499999999999998E-2</v>
      </c>
      <c r="BX160" s="2">
        <f t="shared" ref="BX160:BX162" si="397">BV160*(1+BW160*IF(MOD($W160,12)&lt;&gt;0,MOD($W160,12),12)/12)</f>
        <v>18578.75</v>
      </c>
      <c r="BY160" s="2">
        <f t="shared" si="390"/>
        <v>356</v>
      </c>
      <c r="BZ160" s="2">
        <f t="shared" si="273"/>
        <v>38100</v>
      </c>
      <c r="CA160" s="8">
        <f t="shared" si="328"/>
        <v>4.3999999999999997E-2</v>
      </c>
      <c r="CB160" s="2">
        <f t="shared" ref="CB160:CB162" si="398">BZ160*(1+CA160*IF(MOD($W160,12)&lt;&gt;0,MOD($W160,12),12)/12)</f>
        <v>39497</v>
      </c>
      <c r="CC160" s="2">
        <f t="shared" si="329"/>
        <v>762</v>
      </c>
      <c r="CD160" s="2">
        <f t="shared" si="345"/>
        <v>0</v>
      </c>
      <c r="CE160" s="2">
        <f t="shared" ref="CE160:CE161" si="399">IF(MOD($W160,12)=0,BX160-BV160+CB160-BZ160+BU160*100,0)</f>
        <v>0</v>
      </c>
      <c r="CF160" s="2">
        <f t="shared" ref="CF160:CF161" si="400">CJ159+CD160+CE160</f>
        <v>88.65000000001055</v>
      </c>
      <c r="CG160" s="1">
        <f t="shared" si="385"/>
        <v>0</v>
      </c>
      <c r="CH160" s="2">
        <f t="shared" si="346"/>
        <v>88.65000000001055</v>
      </c>
      <c r="CI160" s="1">
        <f t="shared" si="391"/>
        <v>0</v>
      </c>
      <c r="CJ160" s="2">
        <f t="shared" ref="CJ160:CJ162" si="401">CH160-CI160*100</f>
        <v>88.65000000001055</v>
      </c>
      <c r="CK160" s="2">
        <f t="shared" ref="CK160:CK162" si="402">BO160+BX160+CB160+CJ159</f>
        <v>171368.40000000002</v>
      </c>
      <c r="CL160" s="2">
        <f t="shared" si="347"/>
        <v>0</v>
      </c>
      <c r="CM160" s="2">
        <f t="shared" si="369"/>
        <v>1607.9218350000001</v>
      </c>
      <c r="CN160" s="2">
        <f t="shared" si="348"/>
        <v>169760.47816500004</v>
      </c>
      <c r="CO160" s="2">
        <f t="shared" si="370"/>
        <v>3302</v>
      </c>
      <c r="CP160" s="2">
        <f t="shared" si="349"/>
        <v>12932.616000000005</v>
      </c>
      <c r="CQ160" s="2">
        <f t="shared" si="350"/>
        <v>153525.86216500003</v>
      </c>
      <c r="CS160" s="5">
        <f t="shared" si="371"/>
        <v>1628</v>
      </c>
      <c r="CT160" s="2">
        <f t="shared" si="372"/>
        <v>162637.20000000001</v>
      </c>
      <c r="CU160" s="2">
        <f t="shared" si="373"/>
        <v>162800</v>
      </c>
      <c r="CV160" s="2">
        <f t="shared" si="374"/>
        <v>172161.00000000003</v>
      </c>
      <c r="CW160" s="8">
        <f t="shared" si="351"/>
        <v>4.9000000000000002E-2</v>
      </c>
      <c r="CX160" s="2">
        <f t="shared" si="352"/>
        <v>179190.90750000003</v>
      </c>
      <c r="CY160" s="2" t="str">
        <f t="shared" si="353"/>
        <v>nie</v>
      </c>
      <c r="CZ160" s="2">
        <f t="shared" si="375"/>
        <v>0</v>
      </c>
      <c r="DA160" s="2">
        <f t="shared" si="376"/>
        <v>14.935565330815734</v>
      </c>
      <c r="DB160" s="2">
        <f t="shared" si="377"/>
        <v>179205.84306533085</v>
      </c>
      <c r="DC160" s="2">
        <f t="shared" si="354"/>
        <v>0</v>
      </c>
      <c r="DD160" s="2">
        <f t="shared" si="378"/>
        <v>1643.2876868816702</v>
      </c>
      <c r="DE160" s="2">
        <f t="shared" si="379"/>
        <v>177562.55537844918</v>
      </c>
      <c r="DF160" s="2">
        <f t="shared" si="355"/>
        <v>4884</v>
      </c>
      <c r="DG160" s="2">
        <f t="shared" si="356"/>
        <v>14118.312425000006</v>
      </c>
      <c r="DH160" s="2">
        <f t="shared" si="380"/>
        <v>158560.24295344917</v>
      </c>
    </row>
    <row r="161" spans="2:112">
      <c r="B161" s="232"/>
      <c r="C161" s="1">
        <f t="shared" si="321"/>
        <v>124</v>
      </c>
      <c r="D161" s="2">
        <f t="shared" si="259"/>
        <v>160404.098163666</v>
      </c>
      <c r="E161" s="2">
        <f t="shared" si="260"/>
        <v>147422.61127523083</v>
      </c>
      <c r="F161" s="2">
        <f t="shared" si="261"/>
        <v>159003.07278166665</v>
      </c>
      <c r="G161" s="2">
        <f t="shared" si="262"/>
        <v>144993.59761499998</v>
      </c>
      <c r="H161" s="2">
        <f t="shared" si="263"/>
        <v>164464.15714734781</v>
      </c>
      <c r="I161" s="2">
        <f t="shared" si="264"/>
        <v>149411.82381401447</v>
      </c>
      <c r="J161" s="2">
        <f t="shared" si="322"/>
        <v>145656.23703227684</v>
      </c>
      <c r="K161" s="2">
        <f t="shared" si="323"/>
        <v>134379.11180383957</v>
      </c>
      <c r="W161" s="1">
        <f t="shared" si="357"/>
        <v>143</v>
      </c>
      <c r="X161" s="2">
        <f t="shared" si="330"/>
        <v>140592.88134553755</v>
      </c>
      <c r="Y161" s="8">
        <f t="shared" si="383"/>
        <v>4.3200000000000002E-2</v>
      </c>
      <c r="Z161" s="5">
        <f t="shared" si="358"/>
        <v>1516</v>
      </c>
      <c r="AA161" s="2">
        <f t="shared" si="359"/>
        <v>151448.4</v>
      </c>
      <c r="AB161" s="2">
        <f t="shared" si="360"/>
        <v>151600</v>
      </c>
      <c r="AC161" s="2">
        <f t="shared" si="361"/>
        <v>166820.7916</v>
      </c>
      <c r="AD161" s="8">
        <f t="shared" si="331"/>
        <v>4.9000000000000002E-2</v>
      </c>
      <c r="AE161" s="2">
        <f t="shared" si="332"/>
        <v>174313.82548936666</v>
      </c>
      <c r="AF161" s="2" t="str">
        <f t="shared" si="333"/>
        <v>nie</v>
      </c>
      <c r="AG161" s="2">
        <f t="shared" si="334"/>
        <v>1516</v>
      </c>
      <c r="AH161" s="1">
        <f t="shared" si="386"/>
        <v>1</v>
      </c>
      <c r="AI161" s="1">
        <f t="shared" si="324"/>
        <v>1</v>
      </c>
      <c r="AJ161" s="1">
        <f t="shared" si="381"/>
        <v>1</v>
      </c>
      <c r="AK161" s="1">
        <f t="shared" si="319"/>
        <v>0</v>
      </c>
      <c r="AL161" s="2">
        <f t="shared" si="392"/>
        <v>100</v>
      </c>
      <c r="AM161" s="8">
        <f t="shared" si="313"/>
        <v>4.9000000000000002E-2</v>
      </c>
      <c r="AN161" s="2">
        <f t="shared" si="393"/>
        <v>104.49166666666667</v>
      </c>
      <c r="AO161" s="2">
        <f t="shared" si="387"/>
        <v>1</v>
      </c>
      <c r="AP161" s="2">
        <f t="shared" si="272"/>
        <v>200</v>
      </c>
      <c r="AQ161" s="8">
        <f t="shared" si="325"/>
        <v>4.3200000000000002E-2</v>
      </c>
      <c r="AR161" s="2">
        <f t="shared" si="267"/>
        <v>207.92000000000002</v>
      </c>
      <c r="AS161" s="2">
        <f t="shared" si="326"/>
        <v>2</v>
      </c>
      <c r="AT161" s="2">
        <f t="shared" si="362"/>
        <v>0</v>
      </c>
      <c r="AU161" s="2">
        <f t="shared" si="394"/>
        <v>0</v>
      </c>
      <c r="AV161" s="2">
        <f t="shared" si="388"/>
        <v>32.424318079928611</v>
      </c>
      <c r="AW161" s="1">
        <f t="shared" si="384"/>
        <v>0</v>
      </c>
      <c r="AX161" s="2">
        <f t="shared" si="335"/>
        <v>32.424318079928611</v>
      </c>
      <c r="AY161" s="1">
        <f t="shared" si="389"/>
        <v>0</v>
      </c>
      <c r="AZ161" s="2">
        <f t="shared" si="363"/>
        <v>32.424318079928611</v>
      </c>
      <c r="BA161" s="2">
        <f t="shared" si="395"/>
        <v>174658.66147411327</v>
      </c>
      <c r="BB161" s="2">
        <f t="shared" si="336"/>
        <v>0</v>
      </c>
      <c r="BC161" s="2">
        <f t="shared" si="364"/>
        <v>1615.0965703319835</v>
      </c>
      <c r="BD161" s="2">
        <f t="shared" si="337"/>
        <v>173043.56490378128</v>
      </c>
      <c r="BE161" s="2">
        <f t="shared" si="365"/>
        <v>1519</v>
      </c>
      <c r="BF161" s="2">
        <f t="shared" si="338"/>
        <v>13896.535680081521</v>
      </c>
      <c r="BG161" s="2">
        <f t="shared" si="339"/>
        <v>157628.02922369976</v>
      </c>
      <c r="BI161" s="8">
        <f t="shared" si="315"/>
        <v>2.9000000000000001E-2</v>
      </c>
      <c r="BJ161" s="5">
        <f t="shared" si="366"/>
        <v>1092</v>
      </c>
      <c r="BK161" s="2">
        <f t="shared" si="367"/>
        <v>109090.8</v>
      </c>
      <c r="BL161" s="2">
        <f t="shared" si="368"/>
        <v>109200</v>
      </c>
      <c r="BM161" s="2">
        <f t="shared" si="340"/>
        <v>109200</v>
      </c>
      <c r="BN161" s="8">
        <f t="shared" si="341"/>
        <v>4.3999999999999997E-2</v>
      </c>
      <c r="BO161" s="2">
        <f t="shared" si="342"/>
        <v>113604.4</v>
      </c>
      <c r="BP161" s="2" t="str">
        <f t="shared" si="343"/>
        <v>nie</v>
      </c>
      <c r="BQ161" s="2">
        <f t="shared" si="344"/>
        <v>2184</v>
      </c>
      <c r="BR161" s="1">
        <f t="shared" si="316"/>
        <v>178</v>
      </c>
      <c r="BS161" s="1">
        <f t="shared" si="327"/>
        <v>172</v>
      </c>
      <c r="BT161" s="1">
        <f t="shared" si="382"/>
        <v>187</v>
      </c>
      <c r="BU161" s="1">
        <f t="shared" si="320"/>
        <v>22</v>
      </c>
      <c r="BV161" s="2">
        <f t="shared" si="396"/>
        <v>17800</v>
      </c>
      <c r="BW161" s="8">
        <f t="shared" si="317"/>
        <v>5.2499999999999998E-2</v>
      </c>
      <c r="BX161" s="2">
        <f t="shared" si="397"/>
        <v>18656.625</v>
      </c>
      <c r="BY161" s="2">
        <f t="shared" si="390"/>
        <v>356</v>
      </c>
      <c r="BZ161" s="2">
        <f t="shared" si="273"/>
        <v>38100</v>
      </c>
      <c r="CA161" s="8">
        <f t="shared" si="328"/>
        <v>4.3999999999999997E-2</v>
      </c>
      <c r="CB161" s="2">
        <f t="shared" si="398"/>
        <v>39636.699999999997</v>
      </c>
      <c r="CC161" s="2">
        <f t="shared" si="329"/>
        <v>762</v>
      </c>
      <c r="CD161" s="2">
        <f t="shared" si="345"/>
        <v>0</v>
      </c>
      <c r="CE161" s="2">
        <f t="shared" si="399"/>
        <v>0</v>
      </c>
      <c r="CF161" s="2">
        <f t="shared" si="400"/>
        <v>88.65000000001055</v>
      </c>
      <c r="CG161" s="1">
        <f t="shared" si="385"/>
        <v>0</v>
      </c>
      <c r="CH161" s="2">
        <f t="shared" si="346"/>
        <v>88.65000000001055</v>
      </c>
      <c r="CI161" s="1">
        <f t="shared" si="391"/>
        <v>0</v>
      </c>
      <c r="CJ161" s="2">
        <f t="shared" si="401"/>
        <v>88.65000000001055</v>
      </c>
      <c r="CK161" s="2">
        <f t="shared" si="402"/>
        <v>171986.375</v>
      </c>
      <c r="CL161" s="2">
        <f t="shared" si="347"/>
        <v>0</v>
      </c>
      <c r="CM161" s="2">
        <f t="shared" si="369"/>
        <v>1607.9218350000001</v>
      </c>
      <c r="CN161" s="2">
        <f t="shared" si="348"/>
        <v>170378.45316500001</v>
      </c>
      <c r="CO161" s="2">
        <f t="shared" si="370"/>
        <v>3302</v>
      </c>
      <c r="CP161" s="2">
        <f t="shared" si="349"/>
        <v>13050.03125</v>
      </c>
      <c r="CQ161" s="2">
        <f t="shared" si="350"/>
        <v>154026.42191500001</v>
      </c>
      <c r="CS161" s="5">
        <f t="shared" si="371"/>
        <v>1628</v>
      </c>
      <c r="CT161" s="2">
        <f t="shared" si="372"/>
        <v>162637.20000000001</v>
      </c>
      <c r="CU161" s="2">
        <f t="shared" si="373"/>
        <v>162800</v>
      </c>
      <c r="CV161" s="2">
        <f t="shared" si="374"/>
        <v>172161.00000000003</v>
      </c>
      <c r="CW161" s="8">
        <f t="shared" si="351"/>
        <v>4.9000000000000002E-2</v>
      </c>
      <c r="CX161" s="2">
        <f t="shared" si="352"/>
        <v>179893.89825000003</v>
      </c>
      <c r="CY161" s="2" t="str">
        <f t="shared" si="353"/>
        <v>nie</v>
      </c>
      <c r="CZ161" s="2">
        <f t="shared" si="375"/>
        <v>0</v>
      </c>
      <c r="DA161" s="2">
        <f t="shared" si="376"/>
        <v>14.935565330815734</v>
      </c>
      <c r="DB161" s="2">
        <f t="shared" si="377"/>
        <v>179908.83381533084</v>
      </c>
      <c r="DC161" s="2">
        <f t="shared" si="354"/>
        <v>0</v>
      </c>
      <c r="DD161" s="2">
        <f t="shared" si="378"/>
        <v>1643.2876868816702</v>
      </c>
      <c r="DE161" s="2">
        <f t="shared" si="379"/>
        <v>178265.54612844918</v>
      </c>
      <c r="DF161" s="2">
        <f t="shared" si="355"/>
        <v>4884</v>
      </c>
      <c r="DG161" s="2">
        <f t="shared" si="356"/>
        <v>14251.880667500005</v>
      </c>
      <c r="DH161" s="2">
        <f t="shared" si="380"/>
        <v>159129.66546094918</v>
      </c>
    </row>
    <row r="162" spans="2:112">
      <c r="B162" s="232"/>
      <c r="C162" s="1">
        <f t="shared" si="321"/>
        <v>125</v>
      </c>
      <c r="D162" s="2">
        <f t="shared" si="259"/>
        <v>161054.23246366601</v>
      </c>
      <c r="E162" s="2">
        <f t="shared" si="260"/>
        <v>147949.22005823083</v>
      </c>
      <c r="F162" s="2">
        <f t="shared" si="261"/>
        <v>159594.58944833334</v>
      </c>
      <c r="G162" s="2">
        <f t="shared" si="262"/>
        <v>145437.89611500001</v>
      </c>
      <c r="H162" s="2">
        <f t="shared" si="263"/>
        <v>165244.24048068112</v>
      </c>
      <c r="I162" s="2">
        <f t="shared" si="264"/>
        <v>149411.82381401447</v>
      </c>
      <c r="J162" s="2">
        <f t="shared" si="322"/>
        <v>146098.66785226238</v>
      </c>
      <c r="K162" s="2">
        <f t="shared" si="323"/>
        <v>134700.7521341723</v>
      </c>
      <c r="W162" s="1">
        <f t="shared" si="357"/>
        <v>144</v>
      </c>
      <c r="X162" s="2">
        <f t="shared" si="330"/>
        <v>140923.84924544991</v>
      </c>
      <c r="Y162" s="8">
        <f t="shared" si="383"/>
        <v>4.3200000000000002E-2</v>
      </c>
      <c r="Z162" s="5">
        <f t="shared" si="358"/>
        <v>1516</v>
      </c>
      <c r="AA162" s="2">
        <f t="shared" si="359"/>
        <v>151448.4</v>
      </c>
      <c r="AB162" s="2">
        <f t="shared" si="360"/>
        <v>151600</v>
      </c>
      <c r="AC162" s="2">
        <f t="shared" si="361"/>
        <v>166820.7916</v>
      </c>
      <c r="AD162" s="8">
        <f t="shared" si="331"/>
        <v>4.3200000000000002E-2</v>
      </c>
      <c r="AE162" s="2">
        <f t="shared" si="332"/>
        <v>174027.44979711997</v>
      </c>
      <c r="AF162" s="2" t="str">
        <f t="shared" si="333"/>
        <v>tak</v>
      </c>
      <c r="AG162" s="2">
        <f t="shared" si="334"/>
        <v>0</v>
      </c>
      <c r="AH162" s="1">
        <f t="shared" si="386"/>
        <v>1</v>
      </c>
      <c r="AI162" s="1">
        <f t="shared" si="324"/>
        <v>1</v>
      </c>
      <c r="AJ162" s="1">
        <f t="shared" si="381"/>
        <v>1</v>
      </c>
      <c r="AK162" s="1">
        <f t="shared" si="319"/>
        <v>0</v>
      </c>
      <c r="AL162" s="2">
        <f t="shared" si="392"/>
        <v>100</v>
      </c>
      <c r="AM162" s="8">
        <f t="shared" si="313"/>
        <v>4.9000000000000002E-2</v>
      </c>
      <c r="AN162" s="2">
        <f t="shared" si="393"/>
        <v>104.89999999999999</v>
      </c>
      <c r="AO162" s="2">
        <f t="shared" si="387"/>
        <v>1</v>
      </c>
      <c r="AP162" s="2">
        <f t="shared" si="272"/>
        <v>200</v>
      </c>
      <c r="AQ162" s="8">
        <f t="shared" si="325"/>
        <v>4.3200000000000002E-2</v>
      </c>
      <c r="AR162" s="2">
        <f t="shared" si="267"/>
        <v>208.64</v>
      </c>
      <c r="AS162" s="2">
        <f t="shared" si="326"/>
        <v>2</v>
      </c>
      <c r="AT162" s="6"/>
      <c r="AU162" s="6"/>
      <c r="AV162" s="6"/>
      <c r="AW162" s="1">
        <f t="shared" si="384"/>
        <v>0</v>
      </c>
      <c r="AX162" s="2">
        <f t="shared" si="335"/>
        <v>0</v>
      </c>
      <c r="AY162" s="1">
        <f t="shared" si="389"/>
        <v>0</v>
      </c>
      <c r="AZ162" s="2">
        <f t="shared" si="363"/>
        <v>0</v>
      </c>
      <c r="BA162" s="2">
        <f t="shared" si="395"/>
        <v>174373.41411519991</v>
      </c>
      <c r="BB162" s="2">
        <f t="shared" si="336"/>
        <v>174.37341411519992</v>
      </c>
      <c r="BC162" s="2">
        <f t="shared" si="364"/>
        <v>1789.4699844471834</v>
      </c>
      <c r="BD162" s="2">
        <f t="shared" si="337"/>
        <v>172583.94413075273</v>
      </c>
      <c r="BE162" s="2">
        <f t="shared" si="365"/>
        <v>3</v>
      </c>
      <c r="BF162" s="2">
        <f t="shared" si="338"/>
        <v>14130.378681887982</v>
      </c>
      <c r="BG162" s="2">
        <f t="shared" si="339"/>
        <v>158450.56544886474</v>
      </c>
      <c r="BI162" s="8">
        <f t="shared" si="315"/>
        <v>2.9000000000000001E-2</v>
      </c>
      <c r="BJ162" s="5">
        <f t="shared" si="366"/>
        <v>1092</v>
      </c>
      <c r="BK162" s="2">
        <f t="shared" si="367"/>
        <v>109090.8</v>
      </c>
      <c r="BL162" s="2">
        <f t="shared" si="368"/>
        <v>109200</v>
      </c>
      <c r="BM162" s="2">
        <f t="shared" si="340"/>
        <v>109200</v>
      </c>
      <c r="BN162" s="8">
        <f t="shared" si="341"/>
        <v>4.3999999999999997E-2</v>
      </c>
      <c r="BO162" s="2">
        <f t="shared" si="342"/>
        <v>114004.8</v>
      </c>
      <c r="BP162" s="2" t="str">
        <f t="shared" si="343"/>
        <v>tak</v>
      </c>
      <c r="BQ162" s="2">
        <f t="shared" si="344"/>
        <v>0</v>
      </c>
      <c r="BR162" s="1">
        <f t="shared" si="316"/>
        <v>178</v>
      </c>
      <c r="BS162" s="1">
        <f t="shared" si="327"/>
        <v>172</v>
      </c>
      <c r="BT162" s="1">
        <f t="shared" si="382"/>
        <v>187</v>
      </c>
      <c r="BU162" s="1">
        <f t="shared" si="320"/>
        <v>22</v>
      </c>
      <c r="BV162" s="2">
        <f t="shared" si="396"/>
        <v>17800</v>
      </c>
      <c r="BW162" s="8">
        <f t="shared" si="317"/>
        <v>5.2499999999999998E-2</v>
      </c>
      <c r="BX162" s="2">
        <f t="shared" si="397"/>
        <v>18734.5</v>
      </c>
      <c r="BY162" s="2">
        <f t="shared" si="390"/>
        <v>356</v>
      </c>
      <c r="BZ162" s="2">
        <f t="shared" si="273"/>
        <v>38100</v>
      </c>
      <c r="CA162" s="8">
        <f t="shared" si="328"/>
        <v>4.3999999999999997E-2</v>
      </c>
      <c r="CB162" s="2">
        <f t="shared" si="398"/>
        <v>39776.400000000001</v>
      </c>
      <c r="CC162" s="2">
        <f t="shared" si="329"/>
        <v>762</v>
      </c>
      <c r="CD162" s="6"/>
      <c r="CE162" s="6"/>
      <c r="CF162" s="6"/>
      <c r="CG162" s="1">
        <f t="shared" si="385"/>
        <v>0</v>
      </c>
      <c r="CH162" s="2">
        <f t="shared" si="346"/>
        <v>0</v>
      </c>
      <c r="CI162" s="1">
        <f t="shared" si="391"/>
        <v>0</v>
      </c>
      <c r="CJ162" s="2">
        <f t="shared" si="401"/>
        <v>0</v>
      </c>
      <c r="CK162" s="2">
        <f t="shared" si="402"/>
        <v>172604.35</v>
      </c>
      <c r="CL162" s="2">
        <f t="shared" si="347"/>
        <v>172.60435000000001</v>
      </c>
      <c r="CM162" s="2">
        <f t="shared" si="369"/>
        <v>1780.5261850000002</v>
      </c>
      <c r="CN162" s="2">
        <f t="shared" si="348"/>
        <v>170823.82381500001</v>
      </c>
      <c r="CO162" s="2">
        <f t="shared" si="370"/>
        <v>1118</v>
      </c>
      <c r="CP162" s="2">
        <f t="shared" si="349"/>
        <v>13582.406500000001</v>
      </c>
      <c r="CQ162" s="2">
        <f t="shared" si="350"/>
        <v>156123.417315</v>
      </c>
      <c r="CS162" s="5">
        <f t="shared" si="371"/>
        <v>1628</v>
      </c>
      <c r="CT162" s="2">
        <f t="shared" si="372"/>
        <v>162637.20000000001</v>
      </c>
      <c r="CU162" s="2">
        <f t="shared" si="373"/>
        <v>162800</v>
      </c>
      <c r="CV162" s="2">
        <f t="shared" si="374"/>
        <v>172161.00000000003</v>
      </c>
      <c r="CW162" s="8">
        <f t="shared" si="351"/>
        <v>4.9000000000000002E-2</v>
      </c>
      <c r="CX162" s="2">
        <f t="shared" si="352"/>
        <v>180596.88900000002</v>
      </c>
      <c r="CY162" s="2" t="str">
        <f t="shared" si="353"/>
        <v>nie</v>
      </c>
      <c r="CZ162" s="2">
        <f t="shared" si="375"/>
        <v>0</v>
      </c>
      <c r="DA162" s="2">
        <f t="shared" si="376"/>
        <v>14.935565330815734</v>
      </c>
      <c r="DB162" s="2">
        <f t="shared" si="377"/>
        <v>180611.82456533084</v>
      </c>
      <c r="DC162" s="2">
        <f t="shared" si="354"/>
        <v>180.61182456533083</v>
      </c>
      <c r="DD162" s="2">
        <f t="shared" si="378"/>
        <v>1823.899511447001</v>
      </c>
      <c r="DE162" s="2">
        <f t="shared" si="379"/>
        <v>178787.92505388384</v>
      </c>
      <c r="DF162" s="2">
        <f t="shared" si="355"/>
        <v>4884</v>
      </c>
      <c r="DG162" s="2">
        <f t="shared" si="356"/>
        <v>14385.448910000005</v>
      </c>
      <c r="DH162" s="2">
        <f t="shared" si="380"/>
        <v>159518.47614388383</v>
      </c>
    </row>
    <row r="163" spans="2:112">
      <c r="B163" s="232"/>
      <c r="C163" s="1">
        <f t="shared" si="321"/>
        <v>126</v>
      </c>
      <c r="D163" s="2">
        <f t="shared" si="259"/>
        <v>161704.36676366601</v>
      </c>
      <c r="E163" s="2">
        <f t="shared" si="260"/>
        <v>148475.82884123083</v>
      </c>
      <c r="F163" s="2">
        <f t="shared" si="261"/>
        <v>160186.106115</v>
      </c>
      <c r="G163" s="2">
        <f t="shared" si="262"/>
        <v>145917.024615</v>
      </c>
      <c r="H163" s="2">
        <f t="shared" si="263"/>
        <v>166024.32381401447</v>
      </c>
      <c r="I163" s="2">
        <f t="shared" si="264"/>
        <v>149411.82381401447</v>
      </c>
      <c r="J163" s="2">
        <f t="shared" si="322"/>
        <v>146542.44255586364</v>
      </c>
      <c r="K163" s="2">
        <f t="shared" si="323"/>
        <v>135022.39246450501</v>
      </c>
    </row>
    <row r="164" spans="2:112">
      <c r="B164" s="232"/>
      <c r="C164" s="1">
        <f t="shared" si="321"/>
        <v>127</v>
      </c>
      <c r="D164" s="2">
        <f t="shared" si="259"/>
        <v>162354.50106366602</v>
      </c>
      <c r="E164" s="2">
        <f t="shared" si="260"/>
        <v>149002.43762423084</v>
      </c>
      <c r="F164" s="2">
        <f t="shared" si="261"/>
        <v>160777.62278166667</v>
      </c>
      <c r="G164" s="2">
        <f t="shared" si="262"/>
        <v>146396.15311499999</v>
      </c>
      <c r="H164" s="2">
        <f t="shared" si="263"/>
        <v>166804.40714734778</v>
      </c>
      <c r="I164" s="2">
        <f t="shared" si="264"/>
        <v>149878.85631401444</v>
      </c>
      <c r="J164" s="2">
        <f t="shared" si="322"/>
        <v>146987.56522512709</v>
      </c>
      <c r="K164" s="2">
        <f t="shared" si="323"/>
        <v>135344.03279483775</v>
      </c>
    </row>
    <row r="165" spans="2:112">
      <c r="B165" s="232"/>
      <c r="C165" s="1">
        <f t="shared" si="321"/>
        <v>128</v>
      </c>
      <c r="D165" s="2">
        <f t="shared" si="259"/>
        <v>163004.63536366599</v>
      </c>
      <c r="E165" s="2">
        <f t="shared" si="260"/>
        <v>149529.04640723081</v>
      </c>
      <c r="F165" s="2">
        <f t="shared" si="261"/>
        <v>161369.13944833336</v>
      </c>
      <c r="G165" s="2">
        <f t="shared" si="262"/>
        <v>146875.28161500001</v>
      </c>
      <c r="H165" s="2">
        <f t="shared" si="263"/>
        <v>167584.49048068112</v>
      </c>
      <c r="I165" s="2">
        <f t="shared" si="264"/>
        <v>150510.72381401446</v>
      </c>
      <c r="J165" s="2">
        <f t="shared" si="322"/>
        <v>147434.03995449841</v>
      </c>
      <c r="K165" s="2">
        <f t="shared" si="323"/>
        <v>135665.67312517049</v>
      </c>
    </row>
    <row r="166" spans="2:112">
      <c r="B166" s="232"/>
      <c r="C166" s="1">
        <f t="shared" ref="C166:C181" si="403">W147</f>
        <v>129</v>
      </c>
      <c r="D166" s="2">
        <f t="shared" si="259"/>
        <v>163654.769663666</v>
      </c>
      <c r="E166" s="2">
        <f t="shared" si="260"/>
        <v>150055.65519023081</v>
      </c>
      <c r="F166" s="2">
        <f t="shared" si="261"/>
        <v>161960.65611499999</v>
      </c>
      <c r="G166" s="2">
        <f t="shared" si="262"/>
        <v>147354.41011499998</v>
      </c>
      <c r="H166" s="2">
        <f t="shared" si="263"/>
        <v>168364.57381401447</v>
      </c>
      <c r="I166" s="2">
        <f t="shared" si="264"/>
        <v>151142.59131401445</v>
      </c>
      <c r="J166" s="2">
        <f t="shared" ref="J166:J181" si="404">FV(INDEX(scenariusz_I_konto,MATCH(ROUNDUP(C166/12,0),scenariusz_I_rok,0))/12*(1-podatek_Belki),1,0,-J165,1)</f>
        <v>147881.8708508602</v>
      </c>
      <c r="K166" s="2">
        <f t="shared" ref="K166:K181" si="405">X147</f>
        <v>135987.3134555032</v>
      </c>
    </row>
    <row r="167" spans="2:112">
      <c r="B167" s="232"/>
      <c r="C167" s="1">
        <f t="shared" si="403"/>
        <v>130</v>
      </c>
      <c r="D167" s="2">
        <f t="shared" ref="D167:D181" si="406">BD148</f>
        <v>164304.903963666</v>
      </c>
      <c r="E167" s="2">
        <f t="shared" ref="E167:E181" si="407">BG148</f>
        <v>150582.26397323082</v>
      </c>
      <c r="F167" s="2">
        <f t="shared" ref="F167:F181" si="408">CN148</f>
        <v>162552.17278166665</v>
      </c>
      <c r="G167" s="2">
        <f t="shared" ref="G167:G181" si="409">CQ148</f>
        <v>147833.538615</v>
      </c>
      <c r="H167" s="2">
        <f t="shared" ref="H167:H181" si="410">DE148</f>
        <v>169144.65714734778</v>
      </c>
      <c r="I167" s="2">
        <f t="shared" ref="I167:I181" si="411">DH148</f>
        <v>151774.45881401445</v>
      </c>
      <c r="J167" s="2">
        <f t="shared" si="404"/>
        <v>148331.0620335697</v>
      </c>
      <c r="K167" s="2">
        <f t="shared" si="405"/>
        <v>136308.95378583594</v>
      </c>
    </row>
    <row r="168" spans="2:112">
      <c r="B168" s="233"/>
      <c r="C168" s="1">
        <f t="shared" si="403"/>
        <v>131</v>
      </c>
      <c r="D168" s="2">
        <f t="shared" si="406"/>
        <v>164955.03826366601</v>
      </c>
      <c r="E168" s="2">
        <f t="shared" si="407"/>
        <v>151108.87275623082</v>
      </c>
      <c r="F168" s="2">
        <f t="shared" si="408"/>
        <v>163143.68944833332</v>
      </c>
      <c r="G168" s="2">
        <f t="shared" si="409"/>
        <v>148312.66711499999</v>
      </c>
      <c r="H168" s="2">
        <f t="shared" si="410"/>
        <v>169924.74048068112</v>
      </c>
      <c r="I168" s="2">
        <f t="shared" si="411"/>
        <v>152406.32631401447</v>
      </c>
      <c r="J168" s="2">
        <f t="shared" si="404"/>
        <v>148781.61763449668</v>
      </c>
      <c r="K168" s="2">
        <f t="shared" si="405"/>
        <v>136630.59411616868</v>
      </c>
    </row>
    <row r="169" spans="2:112">
      <c r="B169" s="231">
        <f>ROUNDUP(C170/12,0)</f>
        <v>12</v>
      </c>
      <c r="C169" s="3">
        <f t="shared" si="403"/>
        <v>132</v>
      </c>
      <c r="D169" s="10">
        <f t="shared" si="406"/>
        <v>165438.11934774794</v>
      </c>
      <c r="E169" s="10">
        <f t="shared" si="407"/>
        <v>151468.42832331275</v>
      </c>
      <c r="F169" s="10">
        <f t="shared" si="408"/>
        <v>163570.028165</v>
      </c>
      <c r="G169" s="10">
        <f t="shared" si="409"/>
        <v>148626.617665</v>
      </c>
      <c r="H169" s="10">
        <f t="shared" si="410"/>
        <v>170532.64787844918</v>
      </c>
      <c r="I169" s="10">
        <f t="shared" si="411"/>
        <v>152866.01787844917</v>
      </c>
      <c r="J169" s="10">
        <f t="shared" si="404"/>
        <v>149233.54179806146</v>
      </c>
      <c r="K169" s="10">
        <f t="shared" si="405"/>
        <v>136952.23444650139</v>
      </c>
    </row>
    <row r="170" spans="2:112">
      <c r="B170" s="232"/>
      <c r="C170" s="1">
        <f t="shared" si="403"/>
        <v>133</v>
      </c>
      <c r="D170" s="2">
        <f t="shared" si="406"/>
        <v>166220.4325801146</v>
      </c>
      <c r="E170" s="2">
        <f t="shared" si="407"/>
        <v>152101.77129152976</v>
      </c>
      <c r="F170" s="2">
        <f t="shared" si="408"/>
        <v>164198.70316500004</v>
      </c>
      <c r="G170" s="2">
        <f t="shared" si="409"/>
        <v>149246.10566500004</v>
      </c>
      <c r="H170" s="2">
        <f t="shared" si="410"/>
        <v>171235.6386284492</v>
      </c>
      <c r="I170" s="2">
        <f t="shared" si="411"/>
        <v>153435.44038594919</v>
      </c>
      <c r="J170" s="2">
        <f t="shared" si="404"/>
        <v>149686.83868127308</v>
      </c>
      <c r="K170" s="2">
        <f t="shared" si="405"/>
        <v>137283.20234641377</v>
      </c>
    </row>
    <row r="171" spans="2:112">
      <c r="B171" s="232"/>
      <c r="C171" s="1">
        <f t="shared" si="403"/>
        <v>134</v>
      </c>
      <c r="D171" s="2">
        <f t="shared" si="406"/>
        <v>166902.7458124813</v>
      </c>
      <c r="E171" s="2">
        <f t="shared" si="407"/>
        <v>152654.11425974677</v>
      </c>
      <c r="F171" s="2">
        <f t="shared" si="408"/>
        <v>164816.67816500005</v>
      </c>
      <c r="G171" s="2">
        <f t="shared" si="409"/>
        <v>149683.58666500004</v>
      </c>
      <c r="H171" s="2">
        <f t="shared" si="410"/>
        <v>171938.62937844917</v>
      </c>
      <c r="I171" s="2">
        <f t="shared" si="411"/>
        <v>154004.86289344917</v>
      </c>
      <c r="J171" s="2">
        <f t="shared" si="404"/>
        <v>150141.51245376744</v>
      </c>
      <c r="K171" s="2">
        <f t="shared" si="405"/>
        <v>137614.17024632613</v>
      </c>
    </row>
    <row r="172" spans="2:112">
      <c r="B172" s="232"/>
      <c r="C172" s="1">
        <f t="shared" si="403"/>
        <v>135</v>
      </c>
      <c r="D172" s="2">
        <f t="shared" si="406"/>
        <v>167585.05904484796</v>
      </c>
      <c r="E172" s="2">
        <f t="shared" si="407"/>
        <v>153206.63947796376</v>
      </c>
      <c r="F172" s="2">
        <f t="shared" si="408"/>
        <v>165434.65316500003</v>
      </c>
      <c r="G172" s="2">
        <f t="shared" si="409"/>
        <v>150121.06766500001</v>
      </c>
      <c r="H172" s="2">
        <f t="shared" si="410"/>
        <v>172641.6201284492</v>
      </c>
      <c r="I172" s="2">
        <f t="shared" si="411"/>
        <v>154574.28540094919</v>
      </c>
      <c r="J172" s="2">
        <f t="shared" si="404"/>
        <v>150597.56729784576</v>
      </c>
      <c r="K172" s="2">
        <f t="shared" si="405"/>
        <v>137945.13814623852</v>
      </c>
    </row>
    <row r="173" spans="2:112">
      <c r="B173" s="232"/>
      <c r="C173" s="1">
        <f t="shared" si="403"/>
        <v>136</v>
      </c>
      <c r="D173" s="2">
        <f t="shared" si="406"/>
        <v>168267.3722772146</v>
      </c>
      <c r="E173" s="2">
        <f t="shared" si="407"/>
        <v>153759.31319618074</v>
      </c>
      <c r="F173" s="2">
        <f t="shared" si="408"/>
        <v>166052.62816500003</v>
      </c>
      <c r="G173" s="2">
        <f t="shared" si="409"/>
        <v>150558.54866500004</v>
      </c>
      <c r="H173" s="2">
        <f t="shared" si="410"/>
        <v>173344.61087844917</v>
      </c>
      <c r="I173" s="2">
        <f t="shared" si="411"/>
        <v>155143.70790844917</v>
      </c>
      <c r="J173" s="2">
        <f t="shared" si="404"/>
        <v>151055.00740851296</v>
      </c>
      <c r="K173" s="2">
        <f t="shared" si="405"/>
        <v>138276.1060461509</v>
      </c>
    </row>
    <row r="174" spans="2:112">
      <c r="B174" s="232"/>
      <c r="C174" s="1">
        <f t="shared" si="403"/>
        <v>137</v>
      </c>
      <c r="D174" s="2">
        <f t="shared" si="406"/>
        <v>168949.68550958129</v>
      </c>
      <c r="E174" s="2">
        <f t="shared" si="407"/>
        <v>154311.98691439777</v>
      </c>
      <c r="F174" s="2">
        <f t="shared" si="408"/>
        <v>166670.60316500004</v>
      </c>
      <c r="G174" s="2">
        <f t="shared" si="409"/>
        <v>151023.06341500004</v>
      </c>
      <c r="H174" s="2">
        <f t="shared" si="410"/>
        <v>174047.60162844919</v>
      </c>
      <c r="I174" s="2">
        <f t="shared" si="411"/>
        <v>155713.13041594918</v>
      </c>
      <c r="J174" s="2">
        <f t="shared" si="404"/>
        <v>151513.83699351634</v>
      </c>
      <c r="K174" s="2">
        <f t="shared" si="405"/>
        <v>138607.07394606329</v>
      </c>
    </row>
    <row r="175" spans="2:112">
      <c r="B175" s="232"/>
      <c r="C175" s="1">
        <f t="shared" si="403"/>
        <v>138</v>
      </c>
      <c r="D175" s="2">
        <f t="shared" si="406"/>
        <v>169631.99874194796</v>
      </c>
      <c r="E175" s="2">
        <f t="shared" si="407"/>
        <v>154864.66063261477</v>
      </c>
      <c r="F175" s="2">
        <f t="shared" si="408"/>
        <v>167288.57816500004</v>
      </c>
      <c r="G175" s="2">
        <f t="shared" si="409"/>
        <v>151523.62316500003</v>
      </c>
      <c r="H175" s="2">
        <f t="shared" si="410"/>
        <v>174750.59237844916</v>
      </c>
      <c r="I175" s="2">
        <f t="shared" si="411"/>
        <v>156282.55292344917</v>
      </c>
      <c r="J175" s="2">
        <f t="shared" si="404"/>
        <v>151974.06027338415</v>
      </c>
      <c r="K175" s="2">
        <f t="shared" si="405"/>
        <v>138938.04184597565</v>
      </c>
    </row>
    <row r="176" spans="2:112">
      <c r="B176" s="232"/>
      <c r="C176" s="1">
        <f t="shared" si="403"/>
        <v>139</v>
      </c>
      <c r="D176" s="2">
        <f t="shared" si="406"/>
        <v>170314.31197431462</v>
      </c>
      <c r="E176" s="2">
        <f t="shared" si="407"/>
        <v>155417.33435083178</v>
      </c>
      <c r="F176" s="2">
        <f t="shared" si="408"/>
        <v>167906.55316500005</v>
      </c>
      <c r="G176" s="2">
        <f t="shared" si="409"/>
        <v>152024.18291500004</v>
      </c>
      <c r="H176" s="2">
        <f t="shared" si="410"/>
        <v>175453.58312844919</v>
      </c>
      <c r="I176" s="2">
        <f t="shared" si="411"/>
        <v>156851.97543094918</v>
      </c>
      <c r="J176" s="2">
        <f t="shared" si="404"/>
        <v>152435.68148146456</v>
      </c>
      <c r="K176" s="2">
        <f t="shared" si="405"/>
        <v>139269.00974588803</v>
      </c>
    </row>
    <row r="177" spans="2:11">
      <c r="B177" s="232"/>
      <c r="C177" s="1">
        <f t="shared" si="403"/>
        <v>140</v>
      </c>
      <c r="D177" s="2">
        <f t="shared" si="406"/>
        <v>170996.62520668126</v>
      </c>
      <c r="E177" s="2">
        <f t="shared" si="407"/>
        <v>155970.00806904875</v>
      </c>
      <c r="F177" s="2">
        <f t="shared" si="408"/>
        <v>168524.52816500005</v>
      </c>
      <c r="G177" s="2">
        <f t="shared" si="409"/>
        <v>152524.74266500006</v>
      </c>
      <c r="H177" s="2">
        <f t="shared" si="410"/>
        <v>176156.57387844918</v>
      </c>
      <c r="I177" s="2">
        <f t="shared" si="411"/>
        <v>157421.39793844917</v>
      </c>
      <c r="J177" s="2">
        <f t="shared" si="404"/>
        <v>152898.70486396452</v>
      </c>
      <c r="K177" s="2">
        <f t="shared" si="405"/>
        <v>139599.97764580042</v>
      </c>
    </row>
    <row r="178" spans="2:11">
      <c r="B178" s="232"/>
      <c r="C178" s="1">
        <f t="shared" si="403"/>
        <v>141</v>
      </c>
      <c r="D178" s="2">
        <f t="shared" si="406"/>
        <v>171678.93843904795</v>
      </c>
      <c r="E178" s="2">
        <f t="shared" si="407"/>
        <v>156522.68178726576</v>
      </c>
      <c r="F178" s="2">
        <f t="shared" si="408"/>
        <v>169142.503165</v>
      </c>
      <c r="G178" s="2">
        <f t="shared" si="409"/>
        <v>153025.30241500001</v>
      </c>
      <c r="H178" s="2">
        <f t="shared" si="410"/>
        <v>176859.56462844918</v>
      </c>
      <c r="I178" s="2">
        <f t="shared" si="411"/>
        <v>157990.82044594918</v>
      </c>
      <c r="J178" s="2">
        <f t="shared" si="404"/>
        <v>153363.13467998881</v>
      </c>
      <c r="K178" s="2">
        <f t="shared" si="405"/>
        <v>139930.94554571278</v>
      </c>
    </row>
    <row r="179" spans="2:11">
      <c r="B179" s="232"/>
      <c r="C179" s="1">
        <f t="shared" si="403"/>
        <v>142</v>
      </c>
      <c r="D179" s="2">
        <f t="shared" si="406"/>
        <v>172361.25167141462</v>
      </c>
      <c r="E179" s="2">
        <f t="shared" si="407"/>
        <v>157075.35550548276</v>
      </c>
      <c r="F179" s="2">
        <f t="shared" si="408"/>
        <v>169760.47816500004</v>
      </c>
      <c r="G179" s="2">
        <f t="shared" si="409"/>
        <v>153525.86216500003</v>
      </c>
      <c r="H179" s="2">
        <f t="shared" si="410"/>
        <v>177562.55537844918</v>
      </c>
      <c r="I179" s="2">
        <f t="shared" si="411"/>
        <v>158560.24295344917</v>
      </c>
      <c r="J179" s="2">
        <f t="shared" si="404"/>
        <v>153828.97520157928</v>
      </c>
      <c r="K179" s="2">
        <f t="shared" si="405"/>
        <v>140261.91344562516</v>
      </c>
    </row>
    <row r="180" spans="2:11" s="45" customFormat="1">
      <c r="B180" s="233"/>
      <c r="C180" s="1">
        <f t="shared" si="403"/>
        <v>143</v>
      </c>
      <c r="D180" s="2">
        <f t="shared" si="406"/>
        <v>173043.56490378128</v>
      </c>
      <c r="E180" s="2">
        <f t="shared" si="407"/>
        <v>157628.02922369976</v>
      </c>
      <c r="F180" s="2">
        <f t="shared" si="408"/>
        <v>170378.45316500001</v>
      </c>
      <c r="G180" s="2">
        <f t="shared" si="409"/>
        <v>154026.42191500001</v>
      </c>
      <c r="H180" s="2">
        <f t="shared" si="410"/>
        <v>178265.54612844918</v>
      </c>
      <c r="I180" s="2">
        <f t="shared" si="411"/>
        <v>159129.66546094918</v>
      </c>
      <c r="J180" s="2">
        <f t="shared" si="404"/>
        <v>154296.23071375408</v>
      </c>
      <c r="K180" s="2">
        <f t="shared" si="405"/>
        <v>140592.88134553755</v>
      </c>
    </row>
    <row r="181" spans="2:11" s="45" customFormat="1">
      <c r="C181" s="3">
        <f t="shared" si="403"/>
        <v>144</v>
      </c>
      <c r="D181" s="10">
        <f t="shared" si="406"/>
        <v>172583.94413075273</v>
      </c>
      <c r="E181" s="10">
        <f t="shared" si="407"/>
        <v>158450.56544886474</v>
      </c>
      <c r="F181" s="10">
        <f t="shared" si="408"/>
        <v>170823.82381500001</v>
      </c>
      <c r="G181" s="10">
        <f t="shared" si="409"/>
        <v>156123.417315</v>
      </c>
      <c r="H181" s="10">
        <f t="shared" si="410"/>
        <v>178787.92505388384</v>
      </c>
      <c r="I181" s="10">
        <f t="shared" si="411"/>
        <v>159518.47614388383</v>
      </c>
      <c r="J181" s="10">
        <f t="shared" si="404"/>
        <v>154764.90551454711</v>
      </c>
      <c r="K181" s="10">
        <f t="shared" si="405"/>
        <v>140923.84924544991</v>
      </c>
    </row>
    <row r="182" spans="2:11" s="45" customFormat="1"/>
    <row r="183" spans="2:11" s="45" customFormat="1"/>
    <row r="184" spans="2:11" s="45" customFormat="1"/>
    <row r="185" spans="2:11" s="45" customFormat="1"/>
    <row r="186" spans="2:11" s="45" customFormat="1"/>
    <row r="187" spans="2:11" s="45" customFormat="1"/>
    <row r="188" spans="2:11" s="45" customFormat="1"/>
    <row r="189" spans="2:11">
      <c r="C189" s="45"/>
      <c r="D189" s="45"/>
      <c r="E189" s="45"/>
      <c r="F189" s="45"/>
      <c r="G189" s="45"/>
      <c r="H189" s="45"/>
      <c r="I189" s="45"/>
      <c r="J189" s="45"/>
      <c r="K189" s="45"/>
    </row>
    <row r="190" spans="2:11">
      <c r="C190" s="45"/>
      <c r="D190" s="45"/>
      <c r="E190" s="45"/>
      <c r="F190" s="45"/>
      <c r="G190" s="45"/>
      <c r="H190" s="45"/>
      <c r="I190" s="45"/>
      <c r="J190" s="45"/>
      <c r="K190" s="45"/>
    </row>
  </sheetData>
  <mergeCells count="14">
    <mergeCell ref="B73:B84"/>
    <mergeCell ref="B157:B168"/>
    <mergeCell ref="B169:B180"/>
    <mergeCell ref="B85:B96"/>
    <mergeCell ref="B97:B108"/>
    <mergeCell ref="B109:B120"/>
    <mergeCell ref="B121:B132"/>
    <mergeCell ref="B133:B144"/>
    <mergeCell ref="B145:B156"/>
    <mergeCell ref="M19:U19"/>
    <mergeCell ref="B37:B48"/>
    <mergeCell ref="B49:B60"/>
    <mergeCell ref="B61:B72"/>
    <mergeCell ref="C19:K19"/>
  </mergeCells>
  <dataValidations count="1">
    <dataValidation type="whole" allowBlank="1" showInputMessage="1" showErrorMessage="1" errorTitle="Uwaga" error="Wpisz liczbę z przedziału od 1 do 144. _x000a__x000a_Dziękuję :)" sqref="C17" xr:uid="{91FA14FC-ED14-4155-B1D3-8C6EA48253AA}">
      <formula1>1</formula1>
      <formula2>144</formula2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89</vt:i4>
      </vt:variant>
    </vt:vector>
  </HeadingPairs>
  <TitlesOfParts>
    <vt:vector size="92" baseType="lpstr">
      <vt:lpstr>WPISZ ZAŁOŻENIA</vt:lpstr>
      <vt:lpstr>OBLIGACJE</vt:lpstr>
      <vt:lpstr>IKE OBLIGACJE</vt:lpstr>
      <vt:lpstr>IKE_oplata_rok</vt:lpstr>
      <vt:lpstr>IKE_oplata_wskaznik</vt:lpstr>
      <vt:lpstr>IKE_wyniki_COI_I</vt:lpstr>
      <vt:lpstr>IKE_wyniki_COI_preferencje</vt:lpstr>
      <vt:lpstr>IKE_wyniki_EDO_I</vt:lpstr>
      <vt:lpstr>IKE_wyniki_EDO_preferencje</vt:lpstr>
      <vt:lpstr>IKE_wyniki_mc</vt:lpstr>
      <vt:lpstr>IKE_wyniki_skumulowana_inflacja</vt:lpstr>
      <vt:lpstr>IKE_wyniki_TOS_I</vt:lpstr>
      <vt:lpstr>IKE_wyniki_TOS_preferencje</vt:lpstr>
      <vt:lpstr>IKE_zakup_domyslny_mc</vt:lpstr>
      <vt:lpstr>kapitalizacja_odsetek_mc_EDO</vt:lpstr>
      <vt:lpstr>kapitalizacja_odsetek_mc_ROD</vt:lpstr>
      <vt:lpstr>kapitalizacja_odsetek_mc_ROS</vt:lpstr>
      <vt:lpstr>kapitalizacja_odsetek_mc_TOS</vt:lpstr>
      <vt:lpstr>koszt_wczesniejszy_wykup_COI</vt:lpstr>
      <vt:lpstr>koszt_wczesniejszy_wykup_DOR</vt:lpstr>
      <vt:lpstr>koszt_wczesniejszy_wykup_EDO</vt:lpstr>
      <vt:lpstr>koszt_wczesniejszy_wykup_ochrona_COI</vt:lpstr>
      <vt:lpstr>koszt_wczesniejszy_wykup_ochrona_DOR</vt:lpstr>
      <vt:lpstr>koszt_wczesniejszy_wykup_ochrona_ROR</vt:lpstr>
      <vt:lpstr>koszt_wczesniejszy_wykup_ochrona_TOS</vt:lpstr>
      <vt:lpstr>koszt_wczesniejszy_wykup_ROD</vt:lpstr>
      <vt:lpstr>koszt_wczesniejszy_wykup_ROR</vt:lpstr>
      <vt:lpstr>koszt_wczesniejszy_wykup_ROS</vt:lpstr>
      <vt:lpstr>koszt_wczesniejszy_wykup_TOS</vt:lpstr>
      <vt:lpstr>marza_COI</vt:lpstr>
      <vt:lpstr>marza_DOR</vt:lpstr>
      <vt:lpstr>marza_EDO</vt:lpstr>
      <vt:lpstr>marza_ROD</vt:lpstr>
      <vt:lpstr>marza_ROR</vt:lpstr>
      <vt:lpstr>marza_ROS</vt:lpstr>
      <vt:lpstr>marza_TOS</vt:lpstr>
      <vt:lpstr>podatek_Belki</vt:lpstr>
      <vt:lpstr>proc_I_okres_COI</vt:lpstr>
      <vt:lpstr>proc_I_okres_DOR</vt:lpstr>
      <vt:lpstr>proc_I_okres_EDO</vt:lpstr>
      <vt:lpstr>proc_I_okres_ROD</vt:lpstr>
      <vt:lpstr>proc_I_okres_ROR</vt:lpstr>
      <vt:lpstr>proc_I_okres_ROS</vt:lpstr>
      <vt:lpstr>proc_I_okres_TOS</vt:lpstr>
      <vt:lpstr>scenariusz_I_inflacja</vt:lpstr>
      <vt:lpstr>scenariusz_I_inflacja_skumulowana</vt:lpstr>
      <vt:lpstr>scenariusz_I_konto</vt:lpstr>
      <vt:lpstr>scenariusz_I_rok</vt:lpstr>
      <vt:lpstr>scenariusz_I_stopa_NBP</vt:lpstr>
      <vt:lpstr>scenariusz_I_WIBOR6M</vt:lpstr>
      <vt:lpstr>trigger_inflacja</vt:lpstr>
      <vt:lpstr>'IKE OBLIGACJE'!wyniki_COI_I</vt:lpstr>
      <vt:lpstr>OBLIGACJE!wyniki_COI_obl</vt:lpstr>
      <vt:lpstr>OBLIGACJE!wyniki_DOR_obl</vt:lpstr>
      <vt:lpstr>'IKE OBLIGACJE'!wyniki_EDO_I</vt:lpstr>
      <vt:lpstr>OBLIGACJE!wyniki_EDO_obl</vt:lpstr>
      <vt:lpstr>'IKE OBLIGACJE'!wyniki_mc</vt:lpstr>
      <vt:lpstr>OBLIGACJE!wyniki_mc</vt:lpstr>
      <vt:lpstr>'IKE OBLIGACJE'!wyniki_ROD_I</vt:lpstr>
      <vt:lpstr>OBLIGACJE!wyniki_ROD_obl</vt:lpstr>
      <vt:lpstr>OBLIGACJE!wyniki_ROR_obl</vt:lpstr>
      <vt:lpstr>'IKE OBLIGACJE'!wyniki_ROS_I</vt:lpstr>
      <vt:lpstr>OBLIGACJE!wyniki_ROS_obl</vt:lpstr>
      <vt:lpstr>'IKE OBLIGACJE'!wyniki_skumulowana_inflacja</vt:lpstr>
      <vt:lpstr>OBLIGACJE!wyniki_skumulowana_inflacja</vt:lpstr>
      <vt:lpstr>OBLIGACJE!wyniki_TOS_obl</vt:lpstr>
      <vt:lpstr>wyplata_odsetek_COI</vt:lpstr>
      <vt:lpstr>wyplata_odsetek_DOR</vt:lpstr>
      <vt:lpstr>wyplata_odsetek_ROR</vt:lpstr>
      <vt:lpstr>wyplata_odsetek_TOS</vt:lpstr>
      <vt:lpstr>zakup_domyslny_ilosc</vt:lpstr>
      <vt:lpstr>zakup_domyslny_mc</vt:lpstr>
      <vt:lpstr>zakup_domyslny_wartosc</vt:lpstr>
      <vt:lpstr>zamiana_COI</vt:lpstr>
      <vt:lpstr>zamiana_DOR</vt:lpstr>
      <vt:lpstr>zamiana_EDO</vt:lpstr>
      <vt:lpstr>zamiana_ROR</vt:lpstr>
      <vt:lpstr>zamiana_TOS</vt:lpstr>
      <vt:lpstr>zapadalnosc_COI</vt:lpstr>
      <vt:lpstr>zapadalnosc_DOR</vt:lpstr>
      <vt:lpstr>zapadalnosc_EDO</vt:lpstr>
      <vt:lpstr>zapadalnosc_ROD</vt:lpstr>
      <vt:lpstr>zapadalnosc_ROR</vt:lpstr>
      <vt:lpstr>zapadalnosc_ROS</vt:lpstr>
      <vt:lpstr>zapadalnosc_TOS</vt:lpstr>
      <vt:lpstr>zmiana_oprocentowania_co_ile_mc_COI</vt:lpstr>
      <vt:lpstr>zmiana_oprocentowania_co_ile_mc_DOR</vt:lpstr>
      <vt:lpstr>zmiana_oprocentowania_co_ile_mc_EDO</vt:lpstr>
      <vt:lpstr>zmiana_oprocentowania_co_ile_mc_ROD</vt:lpstr>
      <vt:lpstr>zmiana_oprocentowania_co_ile_mc_ROR</vt:lpstr>
      <vt:lpstr>zmiana_oprocentowania_co_ile_mc_ROS</vt:lpstr>
      <vt:lpstr>zmiana_oprocentowania_co_ile_mc_TOS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Kluczek</dc:creator>
  <cp:lastModifiedBy>Dawid Leszczyna</cp:lastModifiedBy>
  <dcterms:created xsi:type="dcterms:W3CDTF">2021-10-08T22:33:52Z</dcterms:created>
  <dcterms:modified xsi:type="dcterms:W3CDTF">2025-10-28T12:13:48Z</dcterms:modified>
</cp:coreProperties>
</file>