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1f5fe913bd258826/Pulpit/FBO/IKE czy IKZE/Ranking IKE IKZE 2022/"/>
    </mc:Choice>
  </mc:AlternateContent>
  <xr:revisionPtr revIDLastSave="2" documentId="13_ncr:1_{404F9E3A-7906-4FB0-A39D-3D18DA4B264B}" xr6:coauthVersionLast="47" xr6:coauthVersionMax="47" xr10:uidLastSave="{887D9E7D-EC71-452B-ADA8-91B2BA1F24BD}"/>
  <bookViews>
    <workbookView xWindow="28680" yWindow="-120" windowWidth="29040" windowHeight="15840" xr2:uid="{00000000-000D-0000-FFFF-FFFF00000000}"/>
  </bookViews>
  <sheets>
    <sheet name="Ranking 2022" sheetId="1" r:id="rId1"/>
    <sheet name="KALKULATOR mBank czy BOSSA" sheetId="2" r:id="rId2"/>
    <sheet name="IKE Obligacje vs SUPER IKE" sheetId="3" r:id="rId3"/>
    <sheet name="PROWIZJE" sheetId="5" r:id="rId4"/>
    <sheet name="Dane robocze" sheetId="4" r:id="rId5"/>
    <sheet name="Arkusz1" sheetId="7" state="hidden" r:id="rId6"/>
  </sheets>
  <externalReferences>
    <externalReference r:id="rId7"/>
  </externalReferences>
  <definedNames>
    <definedName name="dane_IKE">'[1]Ranking2021 IKE IKZE_ODPOWIEDZI'!$D$5:$D$18</definedName>
    <definedName name="dane_IKZE">'[1]Ranking2021 IKE IKZE_ODPOWIEDZI'!$E$5:$E$18</definedName>
    <definedName name="dane_instytucja">'[1]Ranking2021 IKE IKZE_ODPOWIEDZI'!$B$5:$B$18</definedName>
    <definedName name="dane_prow_akcje_min">'[1]Ranking2021 IKE IKZE_ODPOWIEDZI'!$T$5:$T$18</definedName>
    <definedName name="dane_prow_akcje_proc">'[1]Ranking2021 IKE IKZE_ODPOWIEDZI'!$S$5:$S$18</definedName>
    <definedName name="dane_prow_ETF_min">'[1]Ranking2021 IKE IKZE_ODPOWIEDZI'!$W$5:$W$18</definedName>
    <definedName name="dane_prow_ETF_proc">'[1]Ranking2021 IKE IKZE_ODPOWIEDZI'!$V$5:$V$18</definedName>
    <definedName name="dane_prow_obligacje_min">'[1]Ranking2021 IKE IKZE_ODPOWIEDZI'!$Z$5:$Z$18</definedName>
    <definedName name="dane_prow_obligacje_proc">'[1]Ranking2021 IKE IKZE_ODPOWIEDZI'!$Y$5:$Y$18</definedName>
    <definedName name="dane_prow_spread_kwotowo">'[1]Ranking2021 IKE IKZE_ODPOWIEDZI'!$AO$5:$AO$18</definedName>
    <definedName name="dane_prow_spread_proc">'[1]Ranking2021 IKE IKZE_ODPOWIEDZI'!$AN$5:$AN$18</definedName>
    <definedName name="dane_prow_zag_akcje_min">'[1]Ranking2021 IKE IKZE_ODPOWIEDZI'!$P$5:$P$18</definedName>
    <definedName name="dane_prow_zag_akcje_min_EUR">'[1]Ranking2021 IKE IKZE_ODPOWIEDZI'!$Q$5:$Q$18</definedName>
    <definedName name="dane_prow_zag_akcje_proc">'[1]Ranking2021 IKE IKZE_ODPOWIEDZI'!$O$5:$O$17</definedName>
    <definedName name="dane_prow_zag_ETF_min">'[1]Ranking2021 IKE IKZE_ODPOWIEDZI'!$L$5:$L$18</definedName>
    <definedName name="dane_prow_zag_ETF_min_EUR">'[1]Ranking2021 IKE IKZE_ODPOWIEDZI'!$M$5:$M$18</definedName>
    <definedName name="dane_prow_zag_ETF_proc">'[1]Ranking2021 IKE IKZE_ODPOWIEDZI'!$K$5:$K$18</definedName>
    <definedName name="dane_zagraniczne">'[1]Ranking2021 IKE IKZE_ODPOWIEDZI'!$F$5:$F$18</definedName>
    <definedName name="podatek_IKZE_wpłata">PROWIZJE!#REF!</definedName>
    <definedName name="podatek_IKZE_wyplata">PROWIZJE!#REF!</definedName>
    <definedName name="podatek_IKZE_wyplata_preferencja">PROWIZJE!#REF!</definedName>
    <definedName name="podatek_od_zyskow_kap">PROWIZJE!#REF!</definedName>
    <definedName name="stopa_zwrotu_akcje">PROWIZJE!#REF!</definedName>
    <definedName name="stopa_zwrotu_ETF">PROWIZJE!#REF!</definedName>
    <definedName name="stopa_zwrotu_obligacje">PROWIZJE!#REF!</definedName>
    <definedName name="stopa_zwrotu_zagr_akcje">PROWIZJE!#REF!</definedName>
    <definedName name="stopa_zwrotu_zagr_ETF">PROWIZJE!#REF!</definedName>
    <definedName name="wplaty_IKZE_reinwestycja_proc">PROWIZJE!#REF!</definedName>
    <definedName name="wplaty_ile_rocznie">PROWIZJE!#REF!</definedName>
    <definedName name="wplaty_koszty_waluta_preferowana">PROWIZJE!#REF!</definedName>
    <definedName name="wplaty_kurs_EURPLN">PROWIZJE!#REF!</definedName>
    <definedName name="wplaty_pocz_koniec">PROWIZJE!#REF!</definedName>
    <definedName name="wplaty_preferencja_IKE_ile_lat">PROWIZJE!#REF!</definedName>
    <definedName name="wplaty_preferencja_IKZE_ile_lat">PROWIZJE!#REF!</definedName>
    <definedName name="wplaty_rynki_zagraniczne">[1]liczenie!$K$5</definedName>
    <definedName name="wplaty_skladka_akcje_IKE">PROWIZJE!#REF!</definedName>
    <definedName name="wplaty_skladka_akcje_IKZE">PROWIZJE!#REF!</definedName>
    <definedName name="wplaty_skladka_ETF_IKZE">PROWIZJE!#REF!</definedName>
    <definedName name="wplaty_skladka_obligacje_IKE">PROWIZJE!#REF!</definedName>
    <definedName name="wplaty_skladka_obligacje_IKZE">PROWIZJE!#REF!</definedName>
    <definedName name="wplaty_skladka_zagr_akcje_IKE">PROWIZJE!#REF!</definedName>
    <definedName name="wplaty_skladka_zagr_akcje_IKZE">PROWIZJE!#REF!</definedName>
    <definedName name="wplaty_skladka_zagr_ETF_IKE">PROWIZJE!#REF!</definedName>
    <definedName name="wplaty_skladka_zagr_ETF_IKZE">PROWIZJE!#REF!</definedName>
    <definedName name="wplaty_skladki_suma_roczna_IKE">PROWIZJE!#REF!</definedName>
    <definedName name="wyniki_po_x_latach_1">PROWIZJE!#REF!</definedName>
    <definedName name="wyniki_po_x_latach_2">PROWIZJE!#REF!</definedName>
    <definedName name="wyniki_po_x_latach_3">PROWIZJE!#REF!</definedName>
    <definedName name="wyniki_po_x_latach_4">PROWIZJE!#REF!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C10" i="2"/>
  <c r="D23" i="2" s="1"/>
  <c r="S28" i="2"/>
  <c r="Q28" i="2"/>
  <c r="N26" i="2"/>
  <c r="L26" i="2"/>
  <c r="B10" i="5"/>
  <c r="C38" i="5"/>
  <c r="M28" i="5"/>
  <c r="N28" i="5" s="1"/>
  <c r="M27" i="5"/>
  <c r="N27" i="5" s="1"/>
  <c r="M26" i="5"/>
  <c r="N26" i="5" s="1"/>
  <c r="M25" i="5"/>
  <c r="N25" i="5" s="1"/>
  <c r="K29" i="5"/>
  <c r="K28" i="5"/>
  <c r="L28" i="5" s="1"/>
  <c r="K27" i="5"/>
  <c r="K26" i="5"/>
  <c r="L26" i="5" s="1"/>
  <c r="K25" i="5"/>
  <c r="L25" i="5" s="1"/>
  <c r="I28" i="5"/>
  <c r="I27" i="5"/>
  <c r="I26" i="5"/>
  <c r="I25" i="5"/>
  <c r="G28" i="5"/>
  <c r="G27" i="5"/>
  <c r="G26" i="5"/>
  <c r="H26" i="5" s="1"/>
  <c r="G25" i="5"/>
  <c r="E29" i="5"/>
  <c r="E28" i="5"/>
  <c r="F28" i="5" s="1"/>
  <c r="E27" i="5"/>
  <c r="F27" i="5" s="1"/>
  <c r="E26" i="5"/>
  <c r="E25" i="5"/>
  <c r="F25" i="5" s="1"/>
  <c r="C28" i="5"/>
  <c r="C27" i="5"/>
  <c r="D27" i="5" s="1"/>
  <c r="C26" i="5"/>
  <c r="D26" i="5" s="1"/>
  <c r="C25" i="5"/>
  <c r="D25" i="5" s="1"/>
  <c r="C6" i="5"/>
  <c r="D6" i="5" s="1"/>
  <c r="C17" i="5"/>
  <c r="F9" i="4"/>
  <c r="G29" i="5" s="1"/>
  <c r="H29" i="5" s="1"/>
  <c r="M7" i="5"/>
  <c r="N7" i="5" s="1"/>
  <c r="K7" i="5"/>
  <c r="L7" i="5" s="1"/>
  <c r="I7" i="5"/>
  <c r="J7" i="5" s="1"/>
  <c r="G7" i="5"/>
  <c r="H7" i="5" s="1"/>
  <c r="E7" i="5"/>
  <c r="F7" i="5" s="1"/>
  <c r="C7" i="5"/>
  <c r="D7" i="5" s="1"/>
  <c r="B7" i="5"/>
  <c r="W5" i="5"/>
  <c r="V5" i="5"/>
  <c r="U5" i="5"/>
  <c r="T5" i="5"/>
  <c r="S5" i="5"/>
  <c r="R5" i="5"/>
  <c r="M18" i="5"/>
  <c r="N18" i="5" s="1"/>
  <c r="M17" i="5"/>
  <c r="N17" i="5" s="1"/>
  <c r="M16" i="5"/>
  <c r="K18" i="5"/>
  <c r="L18" i="5" s="1"/>
  <c r="K17" i="5"/>
  <c r="L17" i="5" s="1"/>
  <c r="K16" i="5"/>
  <c r="L16" i="5" s="1"/>
  <c r="I18" i="5"/>
  <c r="J18" i="5" s="1"/>
  <c r="I17" i="5"/>
  <c r="J17" i="5" s="1"/>
  <c r="I16" i="5"/>
  <c r="J16" i="5" s="1"/>
  <c r="G18" i="5"/>
  <c r="H18" i="5" s="1"/>
  <c r="G17" i="5"/>
  <c r="H17" i="5" s="1"/>
  <c r="G16" i="5"/>
  <c r="H16" i="5" s="1"/>
  <c r="E18" i="5"/>
  <c r="F18" i="5" s="1"/>
  <c r="E17" i="5"/>
  <c r="F17" i="5" s="1"/>
  <c r="E16" i="5"/>
  <c r="F16" i="5" s="1"/>
  <c r="C18" i="5"/>
  <c r="D18" i="5" s="1"/>
  <c r="C16" i="5"/>
  <c r="M15" i="5"/>
  <c r="N15" i="5" s="1"/>
  <c r="M14" i="5"/>
  <c r="N14" i="5" s="1"/>
  <c r="K15" i="5"/>
  <c r="L15" i="5" s="1"/>
  <c r="K14" i="5"/>
  <c r="L14" i="5" s="1"/>
  <c r="I15" i="5"/>
  <c r="J15" i="5" s="1"/>
  <c r="I14" i="5"/>
  <c r="J14" i="5" s="1"/>
  <c r="G15" i="5"/>
  <c r="H15" i="5" s="1"/>
  <c r="G14" i="5"/>
  <c r="H14" i="5" s="1"/>
  <c r="E15" i="5"/>
  <c r="F15" i="5" s="1"/>
  <c r="E14" i="5"/>
  <c r="F14" i="5" s="1"/>
  <c r="C15" i="5"/>
  <c r="D15" i="5" s="1"/>
  <c r="C14" i="5"/>
  <c r="D14" i="5" s="1"/>
  <c r="C9" i="5"/>
  <c r="D9" i="5" s="1"/>
  <c r="M9" i="5"/>
  <c r="N9" i="5" s="1"/>
  <c r="K9" i="5"/>
  <c r="L9" i="5" s="1"/>
  <c r="I9" i="5"/>
  <c r="J9" i="5" s="1"/>
  <c r="G9" i="5"/>
  <c r="H9" i="5" s="1"/>
  <c r="E9" i="5"/>
  <c r="M13" i="5"/>
  <c r="N13" i="5" s="1"/>
  <c r="K13" i="5"/>
  <c r="L13" i="5" s="1"/>
  <c r="I13" i="5"/>
  <c r="J13" i="5" s="1"/>
  <c r="G13" i="5"/>
  <c r="H13" i="5" s="1"/>
  <c r="E13" i="5"/>
  <c r="F13" i="5" s="1"/>
  <c r="C13" i="5"/>
  <c r="B17" i="5"/>
  <c r="B18" i="5"/>
  <c r="B16" i="5"/>
  <c r="B15" i="5"/>
  <c r="B14" i="5"/>
  <c r="B13" i="5"/>
  <c r="B12" i="5"/>
  <c r="B11" i="5"/>
  <c r="B9" i="5"/>
  <c r="B8" i="5"/>
  <c r="B6" i="5"/>
  <c r="M12" i="5"/>
  <c r="N12" i="5" s="1"/>
  <c r="K12" i="5"/>
  <c r="L12" i="5" s="1"/>
  <c r="I12" i="5"/>
  <c r="J12" i="5" s="1"/>
  <c r="G12" i="5"/>
  <c r="H12" i="5" s="1"/>
  <c r="E12" i="5"/>
  <c r="F12" i="5" s="1"/>
  <c r="C12" i="5"/>
  <c r="D12" i="5" s="1"/>
  <c r="M11" i="5"/>
  <c r="N11" i="5" s="1"/>
  <c r="K11" i="5"/>
  <c r="L11" i="5" s="1"/>
  <c r="I11" i="5"/>
  <c r="J11" i="5" s="1"/>
  <c r="G11" i="5"/>
  <c r="H11" i="5" s="1"/>
  <c r="E11" i="5"/>
  <c r="F11" i="5" s="1"/>
  <c r="C11" i="5"/>
  <c r="D11" i="5" s="1"/>
  <c r="M10" i="5"/>
  <c r="N10" i="5" s="1"/>
  <c r="K10" i="5"/>
  <c r="L10" i="5" s="1"/>
  <c r="I10" i="5"/>
  <c r="J10" i="5" s="1"/>
  <c r="G10" i="5"/>
  <c r="H10" i="5" s="1"/>
  <c r="E10" i="5"/>
  <c r="F10" i="5" s="1"/>
  <c r="C10" i="5"/>
  <c r="D10" i="5" s="1"/>
  <c r="I8" i="5"/>
  <c r="J8" i="5" s="1"/>
  <c r="M8" i="5"/>
  <c r="N8" i="5" s="1"/>
  <c r="K8" i="5"/>
  <c r="L8" i="5" s="1"/>
  <c r="G8" i="5"/>
  <c r="H8" i="5" s="1"/>
  <c r="E8" i="5"/>
  <c r="F8" i="5" s="1"/>
  <c r="C8" i="5"/>
  <c r="D8" i="5" s="1"/>
  <c r="M6" i="5"/>
  <c r="N6" i="5" s="1"/>
  <c r="K6" i="5"/>
  <c r="L6" i="5" s="1"/>
  <c r="I6" i="5"/>
  <c r="J6" i="5" s="1"/>
  <c r="G6" i="5"/>
  <c r="H6" i="5" s="1"/>
  <c r="E6" i="5"/>
  <c r="F6" i="5" s="1"/>
  <c r="J5" i="4"/>
  <c r="I9" i="4"/>
  <c r="G5" i="4"/>
  <c r="C63" i="5"/>
  <c r="D63" i="5" s="1"/>
  <c r="C62" i="5"/>
  <c r="D62" i="5" s="1"/>
  <c r="C61" i="5"/>
  <c r="D61" i="5" s="1"/>
  <c r="C60" i="5"/>
  <c r="D60" i="5" s="1"/>
  <c r="C59" i="5"/>
  <c r="D59" i="5" s="1"/>
  <c r="C58" i="5"/>
  <c r="D58" i="5" s="1"/>
  <c r="C57" i="5"/>
  <c r="D57" i="5" s="1"/>
  <c r="C56" i="5"/>
  <c r="D56" i="5" s="1"/>
  <c r="C55" i="5"/>
  <c r="D55" i="5" s="1"/>
  <c r="C51" i="5"/>
  <c r="H38" i="5"/>
  <c r="H43" i="5" s="1"/>
  <c r="G38" i="5"/>
  <c r="G40" i="5" s="1"/>
  <c r="F38" i="5"/>
  <c r="F41" i="5" s="1"/>
  <c r="E38" i="5"/>
  <c r="E42" i="5" s="1"/>
  <c r="D38" i="5"/>
  <c r="D43" i="5" s="1"/>
  <c r="L29" i="5"/>
  <c r="F29" i="5"/>
  <c r="J28" i="5"/>
  <c r="H28" i="5"/>
  <c r="D28" i="5"/>
  <c r="L27" i="5"/>
  <c r="J27" i="5"/>
  <c r="H27" i="5"/>
  <c r="J26" i="5"/>
  <c r="F26" i="5"/>
  <c r="J25" i="5"/>
  <c r="H25" i="5"/>
  <c r="M23" i="5"/>
  <c r="I23" i="5"/>
  <c r="K23" i="5" s="1"/>
  <c r="G23" i="5"/>
  <c r="E23" i="5"/>
  <c r="N16" i="5"/>
  <c r="D16" i="5"/>
  <c r="F9" i="5"/>
  <c r="D13" i="5"/>
  <c r="F31" i="3"/>
  <c r="D31" i="3"/>
  <c r="C31" i="3"/>
  <c r="F30" i="3"/>
  <c r="D30" i="3"/>
  <c r="C30" i="3"/>
  <c r="F29" i="3"/>
  <c r="D29" i="3"/>
  <c r="C29" i="3"/>
  <c r="F28" i="3"/>
  <c r="D28" i="3"/>
  <c r="C28" i="3"/>
  <c r="F27" i="3"/>
  <c r="D27" i="3"/>
  <c r="C27" i="3"/>
  <c r="F26" i="3"/>
  <c r="D26" i="3"/>
  <c r="C26" i="3"/>
  <c r="F25" i="3"/>
  <c r="D25" i="3"/>
  <c r="C25" i="3"/>
  <c r="F24" i="3"/>
  <c r="D24" i="3"/>
  <c r="C24" i="3"/>
  <c r="F23" i="3"/>
  <c r="D23" i="3"/>
  <c r="C23" i="3"/>
  <c r="F22" i="3"/>
  <c r="D22" i="3"/>
  <c r="C22" i="3"/>
  <c r="F21" i="3"/>
  <c r="D21" i="3"/>
  <c r="C21" i="3"/>
  <c r="F20" i="3"/>
  <c r="D20" i="3"/>
  <c r="C20" i="3"/>
  <c r="F19" i="3"/>
  <c r="D19" i="3"/>
  <c r="C19" i="3"/>
  <c r="F18" i="3"/>
  <c r="D18" i="3"/>
  <c r="C18" i="3"/>
  <c r="F17" i="3"/>
  <c r="D17" i="3"/>
  <c r="C17" i="3"/>
  <c r="F16" i="3"/>
  <c r="D16" i="3"/>
  <c r="C16" i="3"/>
  <c r="F15" i="3"/>
  <c r="D15" i="3"/>
  <c r="C15" i="3"/>
  <c r="F14" i="3"/>
  <c r="D14" i="3"/>
  <c r="C14" i="3"/>
  <c r="F13" i="3"/>
  <c r="D13" i="3"/>
  <c r="C13" i="3"/>
  <c r="F12" i="3"/>
  <c r="D12" i="3"/>
  <c r="C12" i="3"/>
  <c r="F11" i="3"/>
  <c r="D11" i="3"/>
  <c r="C11" i="3"/>
  <c r="F10" i="3"/>
  <c r="D10" i="3"/>
  <c r="C10" i="3"/>
  <c r="F9" i="3"/>
  <c r="D9" i="3"/>
  <c r="C9" i="3"/>
  <c r="F8" i="3"/>
  <c r="D8" i="3"/>
  <c r="C8" i="3"/>
  <c r="F7" i="3"/>
  <c r="G7" i="3" s="1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D7" i="3"/>
  <c r="C7" i="3"/>
  <c r="C6" i="3"/>
  <c r="D42" i="5" l="1"/>
  <c r="I29" i="5"/>
  <c r="J29" i="5" s="1"/>
  <c r="E43" i="5"/>
  <c r="C29" i="5"/>
  <c r="D29" i="5" s="1"/>
  <c r="F39" i="5"/>
  <c r="M29" i="5"/>
  <c r="N29" i="5" s="1"/>
  <c r="F40" i="5"/>
  <c r="C43" i="5"/>
  <c r="F42" i="5"/>
  <c r="D39" i="5"/>
  <c r="F43" i="5"/>
  <c r="D40" i="5"/>
  <c r="D41" i="5"/>
  <c r="G42" i="5"/>
  <c r="G43" i="5"/>
  <c r="H39" i="5"/>
  <c r="G41" i="5"/>
  <c r="H40" i="5"/>
  <c r="H41" i="5"/>
  <c r="G39" i="5"/>
  <c r="H42" i="5"/>
  <c r="C39" i="5"/>
  <c r="C40" i="5"/>
  <c r="C41" i="5"/>
  <c r="E39" i="5"/>
  <c r="C42" i="5"/>
  <c r="E40" i="5"/>
  <c r="E41" i="5"/>
  <c r="W7" i="5"/>
  <c r="T7" i="5"/>
  <c r="R7" i="5"/>
  <c r="V7" i="5"/>
  <c r="U7" i="5"/>
  <c r="S7" i="5"/>
  <c r="D17" i="5"/>
  <c r="T16" i="5"/>
  <c r="V16" i="5"/>
  <c r="W16" i="5"/>
  <c r="T8" i="5"/>
  <c r="V14" i="5"/>
  <c r="V17" i="5"/>
  <c r="V15" i="5"/>
  <c r="T9" i="5"/>
  <c r="T14" i="5"/>
  <c r="R16" i="5"/>
  <c r="V18" i="5"/>
  <c r="T13" i="5"/>
  <c r="V8" i="5"/>
  <c r="V12" i="5"/>
  <c r="S8" i="5"/>
  <c r="T18" i="5"/>
  <c r="R17" i="5"/>
  <c r="R10" i="5"/>
  <c r="S6" i="5"/>
  <c r="S12" i="5"/>
  <c r="T15" i="5"/>
  <c r="U6" i="5"/>
  <c r="U12" i="5"/>
  <c r="W6" i="5"/>
  <c r="W12" i="5"/>
  <c r="S16" i="5"/>
  <c r="T11" i="5"/>
  <c r="R8" i="5"/>
  <c r="S18" i="5"/>
  <c r="S11" i="5"/>
  <c r="U18" i="5"/>
  <c r="U11" i="5"/>
  <c r="W18" i="5"/>
  <c r="W11" i="5"/>
  <c r="U16" i="5"/>
  <c r="V11" i="5"/>
  <c r="R15" i="5"/>
  <c r="S17" i="5"/>
  <c r="S10" i="5"/>
  <c r="U17" i="5"/>
  <c r="U10" i="5"/>
  <c r="V9" i="5"/>
  <c r="W17" i="5"/>
  <c r="W10" i="5"/>
  <c r="W8" i="5"/>
  <c r="V13" i="5"/>
  <c r="R9" i="5"/>
  <c r="S15" i="5"/>
  <c r="T6" i="5"/>
  <c r="T12" i="5"/>
  <c r="U15" i="5"/>
  <c r="V6" i="5"/>
  <c r="W15" i="5"/>
  <c r="W14" i="5"/>
  <c r="R14" i="5"/>
  <c r="U8" i="5"/>
  <c r="S14" i="5"/>
  <c r="R6" i="5"/>
  <c r="R12" i="5"/>
  <c r="S9" i="5"/>
  <c r="T17" i="5"/>
  <c r="T10" i="5"/>
  <c r="U9" i="5"/>
  <c r="V10" i="5"/>
  <c r="W9" i="5"/>
  <c r="R13" i="5"/>
  <c r="U14" i="5"/>
  <c r="R18" i="5"/>
  <c r="R11" i="5"/>
  <c r="S13" i="5"/>
  <c r="U13" i="5"/>
  <c r="W13" i="5"/>
  <c r="H7" i="3"/>
  <c r="G8" i="3"/>
  <c r="X7" i="5" l="1"/>
  <c r="X13" i="5"/>
  <c r="X11" i="5"/>
  <c r="X16" i="5"/>
  <c r="X15" i="5"/>
  <c r="X18" i="5"/>
  <c r="X8" i="5"/>
  <c r="X12" i="5"/>
  <c r="X6" i="5"/>
  <c r="X17" i="5"/>
  <c r="X14" i="5"/>
  <c r="X9" i="5"/>
  <c r="X10" i="5"/>
  <c r="H8" i="3"/>
  <c r="G9" i="3"/>
  <c r="H9" i="3" l="1"/>
  <c r="G10" i="3"/>
  <c r="H10" i="3" l="1"/>
  <c r="G11" i="3"/>
  <c r="G12" i="3" l="1"/>
  <c r="H11" i="3"/>
  <c r="H12" i="3" l="1"/>
  <c r="G13" i="3"/>
  <c r="H13" i="3" l="1"/>
  <c r="G14" i="3"/>
  <c r="H14" i="3" l="1"/>
  <c r="G15" i="3"/>
  <c r="G16" i="3" l="1"/>
  <c r="H15" i="3"/>
  <c r="G17" i="3" l="1"/>
  <c r="H16" i="3"/>
  <c r="H17" i="3" l="1"/>
  <c r="G18" i="3"/>
  <c r="H18" i="3" l="1"/>
  <c r="G19" i="3"/>
  <c r="G20" i="3" l="1"/>
  <c r="H19" i="3"/>
  <c r="G21" i="3" l="1"/>
  <c r="H20" i="3"/>
  <c r="H21" i="3" l="1"/>
  <c r="G22" i="3"/>
  <c r="H22" i="3" l="1"/>
  <c r="G23" i="3"/>
  <c r="G24" i="3" l="1"/>
  <c r="H23" i="3"/>
  <c r="G25" i="3" l="1"/>
  <c r="H24" i="3"/>
  <c r="H25" i="3" l="1"/>
  <c r="G26" i="3"/>
  <c r="H26" i="3" l="1"/>
  <c r="G27" i="3"/>
  <c r="G28" i="3" l="1"/>
  <c r="H27" i="3"/>
  <c r="G29" i="3" l="1"/>
  <c r="H28" i="3"/>
  <c r="H29" i="3" l="1"/>
  <c r="G30" i="3"/>
  <c r="H30" i="3" l="1"/>
  <c r="G31" i="3"/>
  <c r="H31" i="3" s="1"/>
  <c r="K40" i="2" l="1"/>
  <c r="H40" i="2"/>
  <c r="K39" i="2"/>
  <c r="H39" i="2"/>
  <c r="E27" i="2" s="1"/>
  <c r="H36" i="2"/>
  <c r="H35" i="2"/>
  <c r="L25" i="2" s="1"/>
  <c r="F28" i="2"/>
  <c r="C28" i="2"/>
  <c r="S27" i="2"/>
  <c r="F27" i="2"/>
  <c r="C27" i="2"/>
  <c r="Q26" i="2"/>
  <c r="F26" i="2"/>
  <c r="C26" i="2"/>
  <c r="S25" i="2"/>
  <c r="Q25" i="2"/>
  <c r="N25" i="2"/>
  <c r="F25" i="2"/>
  <c r="C25" i="2"/>
  <c r="S24" i="2"/>
  <c r="N24" i="2"/>
  <c r="L24" i="2"/>
  <c r="L27" i="2" s="1"/>
  <c r="F24" i="2"/>
  <c r="S23" i="2"/>
  <c r="Q23" i="2"/>
  <c r="N23" i="2"/>
  <c r="F23" i="2"/>
  <c r="C7" i="2"/>
  <c r="N27" i="2" l="1"/>
  <c r="S26" i="2"/>
  <c r="S29" i="2" s="1"/>
  <c r="Q24" i="2"/>
  <c r="Q29" i="2" s="1"/>
  <c r="D26" i="2"/>
  <c r="E23" i="2"/>
  <c r="D24" i="2"/>
  <c r="C24" i="2" s="1"/>
  <c r="E25" i="2"/>
  <c r="E24" i="2"/>
  <c r="D25" i="2"/>
  <c r="D28" i="2"/>
  <c r="E26" i="2"/>
  <c r="D27" i="2"/>
  <c r="G27" i="2" s="1"/>
  <c r="H27" i="2" s="1"/>
  <c r="E28" i="2"/>
  <c r="G26" i="2" l="1"/>
  <c r="H26" i="2" s="1"/>
  <c r="G24" i="2"/>
  <c r="H24" i="2" s="1"/>
  <c r="G25" i="2"/>
  <c r="H25" i="2" s="1"/>
  <c r="G28" i="2"/>
  <c r="H28" i="2" s="1"/>
  <c r="G23" i="2"/>
  <c r="H23" i="2" s="1"/>
</calcChain>
</file>

<file path=xl/sharedStrings.xml><?xml version="1.0" encoding="utf-8"?>
<sst xmlns="http://schemas.openxmlformats.org/spreadsheetml/2006/main" count="695" uniqueCount="343">
  <si>
    <t xml:space="preserve">PODSTAWOWE INFORMACJE O KONCIE </t>
  </si>
  <si>
    <t>OPŁATY STAŁE</t>
  </si>
  <si>
    <t>OPŁATY TRANSAKCYJNE</t>
  </si>
  <si>
    <r>
      <rPr>
        <b/>
        <sz val="14"/>
        <color theme="4" tint="-0.499984740745262"/>
        <rFont val="Calibri"/>
        <family val="2"/>
        <charset val="238"/>
        <scheme val="minor"/>
      </rPr>
      <t>PIERWSZE 12 MIESIĘCY</t>
    </r>
    <r>
      <rPr>
        <b/>
        <sz val="14"/>
        <rFont val="Calibri"/>
        <family val="2"/>
        <charset val="238"/>
        <scheme val="minor"/>
      </rPr>
      <t>: WYPŁATA/WYPŁATA TRANSFEROWA//ZWROT CAŁKOWITY I CZĘŚCIOWY</t>
    </r>
  </si>
  <si>
    <t>PO PIERWSZYCH 12 MIESIĄCACH: WYPŁATA/WYPŁATA TRANSFEROWA//ZWROT CAŁKOWITY I CZĘŚCIOWY</t>
  </si>
  <si>
    <t>WALUTY I KURSY</t>
  </si>
  <si>
    <t>INNE INFORMACJE</t>
  </si>
  <si>
    <t>Instytucja</t>
  </si>
  <si>
    <t>Dostęp do giełd zagranicznych</t>
  </si>
  <si>
    <t>Opłata za otwarcie IKE lub IKZE</t>
  </si>
  <si>
    <t xml:space="preserve">Opłata za prowadzenie IKE/IKZE </t>
  </si>
  <si>
    <t>Prowizja rynek krajowy - akcje</t>
  </si>
  <si>
    <t>Prowizja rynek krajowy - ETF</t>
  </si>
  <si>
    <t>Opłata za wypłatę transferową instrumentów finansowych w pierwszych 12 miesiącach. Dotyczy sytuacji gdy przenosimy instrumenty na inne IKE/IKZE prowadzone w formie rachunku maklerskiego</t>
  </si>
  <si>
    <t>Opłata za zwrot całkowity w pierwszych 12 miesiącach (IKE/IKZE)</t>
  </si>
  <si>
    <t>Opłata za wypłatę transferową instrumentów finansowych po 12 miesiącach (dotyczy sytuacji przeniesienia instrumentów do innej instytucji)</t>
  </si>
  <si>
    <t>Opłata za wypłatę jednorazową po 12 miesiącach  (gdy spełnimy warunki)</t>
  </si>
  <si>
    <t>Możliwość posiadania rachunku w innej walucie</t>
  </si>
  <si>
    <t>Opłata za prowadzenie konta walutowego</t>
  </si>
  <si>
    <t>Czy wolne (niezainwestowane) środki pieniężne są  oprocentowane</t>
  </si>
  <si>
    <t>Link do tabeli opłat</t>
  </si>
  <si>
    <t>link do listy ETF lub instrumentów</t>
  </si>
  <si>
    <t>Link do innych informacji</t>
  </si>
  <si>
    <t>Inne uwagi</t>
  </si>
  <si>
    <t>Opłata za przechowywanie instrumentów - rynek polski</t>
  </si>
  <si>
    <t>Opłata za przechowywanie instrumentów - rynek zagraniczny</t>
  </si>
  <si>
    <t>Rachunek maklerski Alior</t>
  </si>
  <si>
    <t>IKZE i IKE</t>
  </si>
  <si>
    <t>100 zł od każdego częściowego zwrotu</t>
  </si>
  <si>
    <t>150 zł, rynki zagraniczne nie są obsługiwane</t>
  </si>
  <si>
    <t>100 zł od każdego częsciowego zwrotu</t>
  </si>
  <si>
    <t>50 zł od każdej wypłaconej raty</t>
  </si>
  <si>
    <t>nie dotyczy</t>
  </si>
  <si>
    <t>NIE</t>
  </si>
  <si>
    <t>https://www.aliorbank.pl/dam/jcr:50fc8e98-2542-4f24-8f55-a3c7aef3bbdd</t>
  </si>
  <si>
    <t>instrumenty notowane na GPW</t>
  </si>
  <si>
    <t>nd.</t>
  </si>
  <si>
    <t xml:space="preserve">0,38%, min. 3 zł </t>
  </si>
  <si>
    <t>0,38%, min. 3 zł</t>
  </si>
  <si>
    <t>0,19%, min. 3 zł</t>
  </si>
  <si>
    <t>nd</t>
  </si>
  <si>
    <t>Przejrzysta, prosta tabela opłat.</t>
  </si>
  <si>
    <t>15 zł kwartalnie</t>
  </si>
  <si>
    <t>0,5% wartości transakcji 
lub 0,5% wartości portfela
min 150 zł</t>
  </si>
  <si>
    <t>50 zł od każdej raty</t>
  </si>
  <si>
    <t>równa opłacie KDPW</t>
  </si>
  <si>
    <t>50 zł od każdej dyspozycji</t>
  </si>
  <si>
    <t>TAK, pod warunkiem zawarcia umowy o oprocentowanie środków</t>
  </si>
  <si>
    <t>https://dmbps.pl/regulacje-i-dokumenty/regulamin-i-taryfa-oplat-i-prowizji</t>
  </si>
  <si>
    <t>https://dmbps.pl/oferta/ike-ikze/zakres-inwestycji</t>
  </si>
  <si>
    <t>https://dmbps.pl/oferta/ike-ikze</t>
  </si>
  <si>
    <t>0 zł kwartalnie</t>
  </si>
  <si>
    <t>Biuro Maklerskie Santander Bank Polska</t>
  </si>
  <si>
    <t>IKE</t>
  </si>
  <si>
    <t>TAK</t>
  </si>
  <si>
    <t>BRAK</t>
  </si>
  <si>
    <t>150 ZŁ</t>
  </si>
  <si>
    <t>50 zł od każdej dyspozycji częściowego zwrotu</t>
  </si>
  <si>
    <t>50 zł od każdej wypłacanej raty</t>
  </si>
  <si>
    <t>https://www.santander.pl/regulation_file_server/time20220401154849/download?id=163809&amp;lang=pl_PL</t>
  </si>
  <si>
    <t>SZEROKA LISTA PAPIERÓW NA GIEŁDACH ZAGRANICZNYCH, MOŻLIWOŚĆ NEGOCJACJI STAWEK PROWIZJI</t>
  </si>
  <si>
    <t xml:space="preserve">IKZE </t>
  </si>
  <si>
    <t>Brak</t>
  </si>
  <si>
    <t>Nie</t>
  </si>
  <si>
    <t>https://millenniumbm.pl/documents/20143/507089/Tabela+Op%C5%82at+i+Prowizji+dla+rachunk%C3%B3w+IKZE+-+obowi%C4%85zuje+od+30+lipca+2022+r..pdf/ebd35c5e-37f0-42c7-b937-a612a438b181</t>
  </si>
  <si>
    <t>https://millenniumbm.pl/ikze</t>
  </si>
  <si>
    <t>5% wartości aktywów zdeponowanych na 
Rachunku IKZE jednakże nie mniej niż 100 pln</t>
  </si>
  <si>
    <t>Biuro Maklerskie Banku Millenium S.A. (wcześniej Dom Maklerski Millenium S.A.)</t>
  </si>
  <si>
    <t>Dom maklerski BDM</t>
  </si>
  <si>
    <t>IKE i IKZE</t>
  </si>
  <si>
    <t>149 zł od każdej raty</t>
  </si>
  <si>
    <t>TAK, po podpisaniu stosowanego aneksu</t>
  </si>
  <si>
    <t>https://www.bdm.pl/dokumenty/tabele-oplat-i-prowizji?file=files/bdm/dokumenty/Tabela_oplat_i_prowizji/ws_tabela_oplat_i_prowizji.pdf</t>
  </si>
  <si>
    <t>wszytkie instrumenty dostępne na GPW z wyłączeniem kontraktów terminowych i opcji</t>
  </si>
  <si>
    <t>https://www.bdm.pl/dokumenty/regulaminy?file=files/bdm/dokumenty/Regulamin/regulamin_promocji_zostan_online.pdf</t>
  </si>
  <si>
    <t>Biuro Maklerskie PKO BP</t>
  </si>
  <si>
    <t>IKE (Super IKE)</t>
  </si>
  <si>
    <t>100 zł od każdej dyspozycji zwrotu</t>
  </si>
  <si>
    <t xml:space="preserve"> 0 zł * zg. z Komunikatem BM NR 14/27 pkt. 17 ; https://www.bm.pkobp.pl/o-nas/komunikaty-dyrektora/</t>
  </si>
  <si>
    <t>100,00 zł od każdej
dyspozycji częściowego
zwrotu</t>
  </si>
  <si>
    <t>https://www.bm.pkobp.pl/media_files/a72ea78f-1b94-4329-9ca3-84057fe85a7b.pdf</t>
  </si>
  <si>
    <t>tylko ETF notowane na WWA https://www.gpw.pl/etfy</t>
  </si>
  <si>
    <t>https://www.bm.pkobp.pl/oferta/klient-indywidualny/rachunki-ike/super-ike/#/szczegoly-oferty/</t>
  </si>
  <si>
    <t>To jedyne IKE, które daje równoczesną możliwość kupowania detalicznych obligacji skarbowych oraz inwestowania na GPW</t>
  </si>
  <si>
    <t>Przypadek szczególny: IKE Obligacje</t>
  </si>
  <si>
    <t>IKE-Obligacje</t>
  </si>
  <si>
    <t>https://www.obligacjeskarbowe.pl/ike/</t>
  </si>
  <si>
    <t>To jedyne IKE, które daje możliwość kupowania detalicznych obligacji skarbowych</t>
  </si>
  <si>
    <t>BOSSA S.A.</t>
  </si>
  <si>
    <t>https://bossa.pl/oferta/oplaty-i-prowizje</t>
  </si>
  <si>
    <t>https://bossa.pl/oferta/rynek-zagraniczny/kid</t>
  </si>
  <si>
    <t>https://bossa.pl/oferta/IKE-i-IKZE</t>
  </si>
  <si>
    <t>-</t>
  </si>
  <si>
    <t>Noble Securities</t>
  </si>
  <si>
    <t>0 zł rachunek IKE Premium, 0 zł rachunek IKZE Premium</t>
  </si>
  <si>
    <t>0,50 % wartości przenoszonych instrumentów (o tym samym kodzie ISIN), ale nie mniej niż 100 zł oraz nie więcej niż 10 000 zł za dany instrument finansowy</t>
  </si>
  <si>
    <t>0,50 % wartości przenoszonych instrumentów, ale nie mniej niż 100 zł oraz nie więcej niż 10 000 zł za dany nstrument finansowy</t>
  </si>
  <si>
    <t>https://noblesecurities.pl/o-nas/regulacje/rachunek-maklerski#t_o</t>
  </si>
  <si>
    <t>wszytkie instrumenty dostępne na GPW z wyłączeniem instrumentów kontraktów terminowych i opcji</t>
  </si>
  <si>
    <t>https://noblesecurities.pl/dom-maklerski/ike-i-ikze</t>
  </si>
  <si>
    <t>mBank emakler</t>
  </si>
  <si>
    <t>brak konta walutowego</t>
  </si>
  <si>
    <t>https://www.mdm.pl/ui-pub/site/oferta_indywidualna/rynki_zagraniczne/lista_dostepnych_akcji_etf_i_adrgdr</t>
  </si>
  <si>
    <t>Biuro Maklerskie mBank</t>
  </si>
  <si>
    <t>https://www.mdm.pl/ui-pub/site/oferta_indywidualna/rynki_zagraniczne</t>
  </si>
  <si>
    <t>A</t>
  </si>
  <si>
    <t>B</t>
  </si>
  <si>
    <t>C</t>
  </si>
  <si>
    <t>= A +B+ C</t>
  </si>
  <si>
    <t>D</t>
  </si>
  <si>
    <t>E</t>
  </si>
  <si>
    <t>Średnia wartość transakcji</t>
  </si>
  <si>
    <t xml:space="preserve"> = D/E</t>
  </si>
  <si>
    <t>Czy konto założyłeś przed 1 lipca 2022?</t>
  </si>
  <si>
    <t>Czy masz konto dłużej niż 12 miesiecy</t>
  </si>
  <si>
    <t>Kurs Eur</t>
  </si>
  <si>
    <t>WYNIKI</t>
  </si>
  <si>
    <t>KOSZTY TRANSFERU IKE/IKZE - PRZENIESIENIE PAPIERÓW WARTOŚCIOWYCH</t>
  </si>
  <si>
    <t>KOSZTY TRANSFERU IKE/IKZE - SPIENIĘŻENIE AKTYWÓW I PRZENIESIENIE PIENIĘDZY i PONOWNY ZAKUP TAKICH SAMYCH  INSTRUMENTÓW W NOWYM IKE</t>
  </si>
  <si>
    <t>Opłata za przechowywanie instrumentów</t>
  </si>
  <si>
    <t>Koszty transakcji</t>
  </si>
  <si>
    <t>Przewalutowanie</t>
  </si>
  <si>
    <t xml:space="preserve">Opłata za prowadzenie konta </t>
  </si>
  <si>
    <t>Razem koszty w roku</t>
  </si>
  <si>
    <t>Koszty jako % portfela</t>
  </si>
  <si>
    <r>
      <rPr>
        <b/>
        <sz val="14"/>
        <color rgb="FFFF5050"/>
        <rFont val="Open Sans"/>
        <family val="2"/>
        <charset val="238"/>
      </rPr>
      <t xml:space="preserve">eMakler mBank </t>
    </r>
    <r>
      <rPr>
        <b/>
        <sz val="14"/>
        <color theme="1"/>
        <rFont val="Open Sans"/>
        <family val="2"/>
        <charset val="238"/>
      </rPr>
      <t>PO ZMIANIE</t>
    </r>
  </si>
  <si>
    <t>opłata pobrana przez instytucję przekazującą (mBank)</t>
  </si>
  <si>
    <t>opłata pobrana przez instytucję przekazującą BOSSA)</t>
  </si>
  <si>
    <t>prowizja za sprzedaż instrumentów (mBank)</t>
  </si>
  <si>
    <t>prowizja za sprzedaż instrumentów (BOSSA)</t>
  </si>
  <si>
    <r>
      <rPr>
        <b/>
        <sz val="14"/>
        <color rgb="FFFF5050"/>
        <rFont val="Open Sans"/>
        <family val="2"/>
        <charset val="238"/>
      </rPr>
      <t>BM mBank</t>
    </r>
    <r>
      <rPr>
        <b/>
        <sz val="14"/>
        <color theme="1"/>
        <rFont val="Open Sans"/>
        <family val="2"/>
        <charset val="238"/>
      </rPr>
      <t xml:space="preserve"> PO ZMIANIE</t>
    </r>
  </si>
  <si>
    <t>opłata pobrana przez instytucję przyjmującą (BOSSA)</t>
  </si>
  <si>
    <t>opłata pobrana przez instytucję przyjmującą (mBank)</t>
  </si>
  <si>
    <t>koszty przewalutowania (mBank)</t>
  </si>
  <si>
    <t>koszty przewalutowania (BOSSA)</t>
  </si>
  <si>
    <t>koszty przewalutowania jeśli masz walutę na rachunku</t>
  </si>
  <si>
    <t>prowizja za zakup instrumentów w BOSSA</t>
  </si>
  <si>
    <t>prowizja za zakup instrumentów (mBank)</t>
  </si>
  <si>
    <t>RAZEM KOSZTY</t>
  </si>
  <si>
    <t>RAZEM KOSZT</t>
  </si>
  <si>
    <r>
      <rPr>
        <b/>
        <sz val="14"/>
        <color rgb="FFFF5050"/>
        <rFont val="Open Sans"/>
        <family val="2"/>
        <charset val="238"/>
      </rPr>
      <t>eMakler mBank</t>
    </r>
    <r>
      <rPr>
        <b/>
        <sz val="14"/>
        <color theme="1"/>
        <rFont val="Open Sans"/>
        <family val="2"/>
        <charset val="238"/>
      </rPr>
      <t xml:space="preserve"> PRZED ZMIANĄ</t>
    </r>
  </si>
  <si>
    <t>koszty transferu jeśli masz konto krócej niż 12 miesięcy</t>
  </si>
  <si>
    <r>
      <rPr>
        <b/>
        <sz val="14"/>
        <color rgb="FFFF5050"/>
        <rFont val="Open Sans"/>
        <family val="2"/>
        <charset val="238"/>
      </rPr>
      <t>BM mBank</t>
    </r>
    <r>
      <rPr>
        <b/>
        <sz val="14"/>
        <color theme="1"/>
        <rFont val="Open Sans"/>
        <family val="2"/>
        <charset val="238"/>
      </rPr>
      <t xml:space="preserve"> PRZED ZMIANĄ</t>
    </r>
  </si>
  <si>
    <t>TABELA INFORMACYJNA - nic w niej nie zmieniaj, chyba, że zmianie ulegną opłaty pobierane przez instytucje</t>
  </si>
  <si>
    <t>TRANSFER DO</t>
  </si>
  <si>
    <t>TRANSFER POZA - PO 12 miesiącach</t>
  </si>
  <si>
    <t>TRANSFER POZA - PRZED 12 MIESIĘCY</t>
  </si>
  <si>
    <t>INSTYTUCJA</t>
  </si>
  <si>
    <t>Prowizja od zakupu/sprzedaży zagranicznych ETF</t>
  </si>
  <si>
    <t>PRZECHOWYWANIE (DEPOZYT) ZAGRANICZNYCH  INSTRUMENTÓW</t>
  </si>
  <si>
    <t>Opłata za prowadzenie konta (za cały rok</t>
  </si>
  <si>
    <t>Koszty przewalutowania (od każdego EUR)</t>
  </si>
  <si>
    <t>Opłata za przyjęcie instrumentów OD innej instytucji (cena za każdy instrument)</t>
  </si>
  <si>
    <t>opłata za transfer DO innej instytucji (dla uproszczenia zakladam, że instrumenty są w EUR)</t>
  </si>
  <si>
    <t>koszt jako % transakcji</t>
  </si>
  <si>
    <t>nie mniej niż</t>
  </si>
  <si>
    <t xml:space="preserve">roczny koszt jako % portfela </t>
  </si>
  <si>
    <t>opłata pobierana gdy wartość instrumentów jest większa niż</t>
  </si>
  <si>
    <t>cena za każdy instrument</t>
  </si>
  <si>
    <t>nie mniej niż % wartości portfela</t>
  </si>
  <si>
    <t>lub ustalone kwotowo jako kwota od całosci portfela</t>
  </si>
  <si>
    <r>
      <rPr>
        <b/>
        <sz val="12"/>
        <color rgb="FFFF5050"/>
        <rFont val="Open Sans"/>
        <family val="2"/>
        <charset val="238"/>
      </rPr>
      <t xml:space="preserve">eMakler mBank </t>
    </r>
    <r>
      <rPr>
        <b/>
        <sz val="12"/>
        <color theme="1"/>
        <rFont val="Open Sans"/>
        <family val="2"/>
        <charset val="238"/>
      </rPr>
      <t>PO ZMIANIE</t>
    </r>
  </si>
  <si>
    <r>
      <rPr>
        <b/>
        <sz val="12"/>
        <color rgb="FFFF5050"/>
        <rFont val="Open Sans"/>
        <family val="2"/>
        <charset val="238"/>
      </rPr>
      <t>BM mBank</t>
    </r>
    <r>
      <rPr>
        <b/>
        <sz val="12"/>
        <color theme="1"/>
        <rFont val="Open Sans"/>
        <family val="2"/>
        <charset val="238"/>
      </rPr>
      <t xml:space="preserve"> PO ZMIANIE</t>
    </r>
  </si>
  <si>
    <r>
      <rPr>
        <b/>
        <sz val="12"/>
        <color rgb="FFFF5050"/>
        <rFont val="Open Sans"/>
        <family val="2"/>
        <charset val="238"/>
      </rPr>
      <t>eMakler mBank</t>
    </r>
    <r>
      <rPr>
        <b/>
        <sz val="12"/>
        <color theme="1"/>
        <rFont val="Open Sans"/>
        <family val="2"/>
        <charset val="238"/>
      </rPr>
      <t xml:space="preserve"> PRZED ZMIANĄ</t>
    </r>
  </si>
  <si>
    <r>
      <rPr>
        <b/>
        <sz val="12"/>
        <color rgb="FFFF5050"/>
        <rFont val="Open Sans"/>
        <family val="2"/>
        <charset val="238"/>
      </rPr>
      <t>BM mBank</t>
    </r>
    <r>
      <rPr>
        <b/>
        <sz val="12"/>
        <color theme="1"/>
        <rFont val="Open Sans"/>
        <family val="2"/>
        <charset val="238"/>
      </rPr>
      <t xml:space="preserve"> PRZED ZMIANĄ</t>
    </r>
  </si>
  <si>
    <t xml:space="preserve">zakladam, że prowizje pobieranie są w zł </t>
  </si>
  <si>
    <t>opłata w BM mBank za prowadzenie konta nie jest pobierana dla klientów, którzy założyli konto przed 1 lipca 2022</t>
  </si>
  <si>
    <t xml:space="preserve">Wpisz kwotę, o którą zwiększa się co roku wartość obligacji na koncie </t>
  </si>
  <si>
    <t>ROK</t>
  </si>
  <si>
    <t>Wartość obligacji na końcu każdego roku</t>
  </si>
  <si>
    <t>IKE OBLIGACJE opłata za dany rok, pobierana w kolejnym roku</t>
  </si>
  <si>
    <t>Opłata w IKE OBLIGACJE - narastająco</t>
  </si>
  <si>
    <t>SUPER IKE Opłata za dany rok, pobierana w kolejnym roku</t>
  </si>
  <si>
    <t>Opłata w SUPER IKE -  narastajaco</t>
  </si>
  <si>
    <t>Różnica narastająco (Super IKE minus IKE Obligacje)</t>
  </si>
  <si>
    <t>ZAGRANICZNE ETF</t>
  </si>
  <si>
    <t>ZAGRANICZNE AKCJE</t>
  </si>
  <si>
    <t>AKCJE Z GPW</t>
  </si>
  <si>
    <t>OBLIGACJE Z GPW</t>
  </si>
  <si>
    <t>GIEŁDY ZAGRANICZNE</t>
  </si>
  <si>
    <t>mBank eMakler</t>
  </si>
  <si>
    <t>mBank Biuro Maklerskie (MDM)</t>
  </si>
  <si>
    <t>BOSSA w promocji</t>
  </si>
  <si>
    <t>BOSSA bez promocji</t>
  </si>
  <si>
    <t>BM Santander</t>
  </si>
  <si>
    <t>Noble Securities w promocji</t>
  </si>
  <si>
    <t>Noble Securities bez promocji</t>
  </si>
  <si>
    <t>Dom Maklerski BDM</t>
  </si>
  <si>
    <t>IKE OBLIGACJE opłaty</t>
  </si>
  <si>
    <t>SUPER IKE Opłaty</t>
  </si>
  <si>
    <t>LATA KALENDARZOWE</t>
  </si>
  <si>
    <t>WSKAŹNIK DO WYLICZENIA OPŁATY</t>
  </si>
  <si>
    <t>max</t>
  </si>
  <si>
    <t>Opłata stała</t>
  </si>
  <si>
    <t>Opłata zmienna</t>
  </si>
  <si>
    <t>POLSKA:</t>
  </si>
  <si>
    <t>JEDNORAZOWE WPŁATY--&gt;&gt;&gt;</t>
  </si>
  <si>
    <t>Transakcja:</t>
  </si>
  <si>
    <t xml:space="preserve">&lt;-- tu możesz wpisać inne kwoty wpłat </t>
  </si>
  <si>
    <t>Prowizja</t>
  </si>
  <si>
    <t>Prowizja jako % transakcji</t>
  </si>
  <si>
    <t>ZAGRANICA:</t>
  </si>
  <si>
    <t xml:space="preserve">Zakup ZAGRANICZNYCH ETF </t>
  </si>
  <si>
    <t xml:space="preserve">mBank eMakler </t>
  </si>
  <si>
    <t>rocznie:</t>
  </si>
  <si>
    <t>&lt;-- możesz wpisać inne kwoty</t>
  </si>
  <si>
    <t>co miesiąc 1/12 kwoty</t>
  </si>
  <si>
    <t>co kwartał 1/4 kwoty</t>
  </si>
  <si>
    <t>jednorazowo</t>
  </si>
  <si>
    <t>liczba transakcji w roku</t>
  </si>
  <si>
    <t>kwota każdej transakcji</t>
  </si>
  <si>
    <t>PROWIZJA JAKO % TRANSAKCJI:</t>
  </si>
  <si>
    <t>Prowizja od transakcji w %</t>
  </si>
  <si>
    <t>&lt;-- tu wpisz wysokość prowizji w %</t>
  </si>
  <si>
    <t>min prowizja [zł]</t>
  </si>
  <si>
    <t>&lt;-- tu wpisz minimalną kwotę prowizji</t>
  </si>
  <si>
    <t>minimalna transakcja bez podwyższonej prowizji</t>
  </si>
  <si>
    <t>TRANSAKCJA</t>
  </si>
  <si>
    <t>Prowizja jako % wpłaty</t>
  </si>
  <si>
    <t>Biuro maklerskie Millenium</t>
  </si>
  <si>
    <t>kurs EUR, dla przeliczenia tych opłat, w których minimum określone jest w EUR</t>
  </si>
  <si>
    <t>Zakup AKCJI notowanych na GPW w Warszawie</t>
  </si>
  <si>
    <t>Biuro Maklerskie Alior Bank</t>
  </si>
  <si>
    <t>mBank Biuro Maklerskie</t>
  </si>
  <si>
    <r>
      <t>Prowizja w całym roku za zakupy</t>
    </r>
    <r>
      <rPr>
        <b/>
        <sz val="14"/>
        <color rgb="FFC00000"/>
        <rFont val="Open Sans"/>
        <family val="2"/>
        <charset val="238"/>
      </rPr>
      <t xml:space="preserve"> ETF spoza GPW </t>
    </r>
    <r>
      <rPr>
        <b/>
        <sz val="14"/>
        <color theme="1"/>
        <rFont val="Open Sans"/>
        <family val="2"/>
        <charset val="238"/>
      </rPr>
      <t>za kwotę:</t>
    </r>
  </si>
  <si>
    <t>JEDNORAZOWE WPŁATY-&gt;</t>
  </si>
  <si>
    <t>Średnia</t>
  </si>
  <si>
    <t>Dom Maklerski BPS rachunek podstawowy</t>
  </si>
  <si>
    <t>Ranking gdzie najtaniej przy danej kwocie transakcji (1- najtaniej, 11- najwyżej)</t>
  </si>
  <si>
    <t>Dom Maklerski BPS rachunek ekonomiczny</t>
  </si>
  <si>
    <t>Dom Maklerski Banku BPS
rachunek podstawowy</t>
  </si>
  <si>
    <t>Dom Maklerski Banku BPS
rachunek ekonomiczny</t>
  </si>
  <si>
    <r>
      <rPr>
        <b/>
        <sz val="14"/>
        <color theme="1"/>
        <rFont val="Calibri"/>
        <family val="2"/>
        <charset val="238"/>
        <scheme val="minor"/>
      </rPr>
      <t>50 zł rocznie (25 zł co pół roku)</t>
    </r>
    <r>
      <rPr>
        <sz val="14"/>
        <color theme="1"/>
        <rFont val="Calibri"/>
        <family val="2"/>
        <charset val="238"/>
        <scheme val="minor"/>
      </rPr>
      <t>, dla klientów którzy otworzą rachunek od 1 lipca 2022.</t>
    </r>
  </si>
  <si>
    <r>
      <t>Rynki zagraniczne:</t>
    </r>
    <r>
      <rPr>
        <b/>
        <sz val="14"/>
        <color theme="1"/>
        <rFont val="Calibri"/>
        <family val="2"/>
        <charset val="238"/>
        <scheme val="minor"/>
      </rPr>
      <t xml:space="preserve"> 0,15%</t>
    </r>
    <r>
      <rPr>
        <sz val="14"/>
        <color theme="1"/>
        <rFont val="Calibri"/>
        <family val="2"/>
        <charset val="238"/>
        <scheme val="minor"/>
      </rPr>
      <t xml:space="preserve"> wartości instrumentów zagranicznych rocznie, (jednak nie mniej niż koszty pobeirane przez Depozytariusza). Opłata pobierana jest jeśi wartość zagranicznych papierów </t>
    </r>
    <r>
      <rPr>
        <b/>
        <sz val="14"/>
        <color theme="1"/>
        <rFont val="Calibri"/>
        <family val="2"/>
        <charset val="238"/>
        <scheme val="minor"/>
      </rPr>
      <t>przekracza 10 tys. zł</t>
    </r>
    <r>
      <rPr>
        <sz val="14"/>
        <color theme="1"/>
        <rFont val="Calibri"/>
        <family val="2"/>
        <charset val="238"/>
        <scheme val="minor"/>
      </rPr>
      <t xml:space="preserve">. </t>
    </r>
  </si>
  <si>
    <t>0,29%, min. 19 zł/5 EUR/USD/GBP</t>
  </si>
  <si>
    <t xml:space="preserve">0,29%, min. 19 zł/5 EUR/USD/GBP </t>
  </si>
  <si>
    <t xml:space="preserve">0,39%, min. 5 zł </t>
  </si>
  <si>
    <t xml:space="preserve">0,19%, min. 5 zł </t>
  </si>
  <si>
    <r>
      <t xml:space="preserve">Kurs średni midReuters </t>
    </r>
    <r>
      <rPr>
        <b/>
        <sz val="14"/>
        <color theme="1"/>
        <rFont val="Calibri"/>
        <family val="2"/>
        <charset val="238"/>
        <scheme val="minor"/>
      </rPr>
      <t>+/- 0,1%</t>
    </r>
    <r>
      <rPr>
        <sz val="14"/>
        <color theme="1"/>
        <rFont val="Calibri"/>
        <family val="2"/>
        <charset val="238"/>
        <scheme val="minor"/>
      </rPr>
      <t xml:space="preserve">, przy oczekującym zleceniu blokowane </t>
    </r>
    <r>
      <rPr>
        <b/>
        <sz val="14"/>
        <color theme="1"/>
        <rFont val="Calibri"/>
        <family val="2"/>
        <charset val="238"/>
        <scheme val="minor"/>
      </rPr>
      <t>2% więcej</t>
    </r>
    <r>
      <rPr>
        <sz val="14"/>
        <color theme="1"/>
        <rFont val="Calibri"/>
        <family val="2"/>
        <charset val="238"/>
        <scheme val="minor"/>
      </rPr>
      <t xml:space="preserve"> na ewentualne zmiany kursu walutowego po kursie NBP(odblokowane po transakcji). </t>
    </r>
  </si>
  <si>
    <r>
      <t xml:space="preserve">Wplata tylko w PLN, każde rozliczenie transakcji (kupno, sprzedaż) albo w walucie (wówczas na koncie zostaje waluta np. EUR) lub w PLN według wyboru (kurs midreuters
 </t>
    </r>
    <r>
      <rPr>
        <b/>
        <sz val="14"/>
        <color theme="1"/>
        <rFont val="Calibri"/>
        <family val="2"/>
        <charset val="238"/>
        <scheme val="minor"/>
      </rPr>
      <t>+/- 0,1%</t>
    </r>
    <r>
      <rPr>
        <sz val="14"/>
        <color theme="1"/>
        <rFont val="Calibri"/>
        <family val="2"/>
        <charset val="238"/>
        <scheme val="minor"/>
      </rPr>
      <t xml:space="preserve">). </t>
    </r>
  </si>
  <si>
    <t>Brak dodatkowego konta walutowego.</t>
  </si>
  <si>
    <t>Transfer pomiedzy rachunkami ike eMakler - IKE mBM oraz IKZE eMakler i IKZE mBM bezpłatnie.</t>
  </si>
  <si>
    <r>
      <t xml:space="preserve">Przyjęcie polskich instrumentów jest bezpłatne. Zagraniczne instrumenty </t>
    </r>
    <r>
      <rPr>
        <b/>
        <sz val="14"/>
        <color theme="1"/>
        <rFont val="Calibri"/>
        <family val="2"/>
        <charset val="238"/>
        <scheme val="minor"/>
      </rPr>
      <t>20 EUR</t>
    </r>
    <r>
      <rPr>
        <sz val="14"/>
        <color theme="1"/>
        <rFont val="Calibri"/>
        <family val="2"/>
        <charset val="238"/>
        <scheme val="minor"/>
      </rPr>
      <t xml:space="preserve"> za każdy instrument.</t>
    </r>
  </si>
  <si>
    <r>
      <t>PROMOCJA do 31 grudnia 2022: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b/>
        <sz val="14"/>
        <color theme="4"/>
        <rFont val="Calibri"/>
        <family val="2"/>
        <charset val="238"/>
        <scheme val="minor"/>
      </rPr>
      <t>0,29%, min. 19 PLN/5 EUR/5 USD/5 GBP.</t>
    </r>
    <r>
      <rPr>
        <sz val="14"/>
        <color theme="1"/>
        <rFont val="Calibri"/>
        <family val="2"/>
        <charset val="238"/>
        <scheme val="minor"/>
      </rPr>
      <t xml:space="preserve">
Poza promocją: </t>
    </r>
    <r>
      <rPr>
        <b/>
        <sz val="14"/>
        <color theme="4"/>
        <rFont val="Calibri"/>
        <family val="2"/>
        <charset val="238"/>
        <scheme val="minor"/>
      </rPr>
      <t>0,29%, min. 29 PLN/7 EUR/7,50 USD/6 GBP.</t>
    </r>
    <r>
      <rPr>
        <sz val="14"/>
        <color theme="1"/>
        <rFont val="Calibri"/>
        <family val="2"/>
        <charset val="238"/>
        <scheme val="minor"/>
      </rPr>
      <t xml:space="preserve"> 
</t>
    </r>
    <r>
      <rPr>
        <b/>
        <sz val="14"/>
        <color theme="1"/>
        <rFont val="Calibri"/>
        <family val="2"/>
        <charset val="238"/>
        <scheme val="minor"/>
      </rPr>
      <t>Uwaga od BOSSA:</t>
    </r>
    <r>
      <rPr>
        <sz val="14"/>
        <color theme="1"/>
        <rFont val="Calibri"/>
        <family val="2"/>
        <charset val="238"/>
        <scheme val="minor"/>
      </rPr>
      <t xml:space="preserve"> "Przed zakończeniem trwania promocji warunki promocyjne zostaną wprowadzone jako standardowe do  Tabeli opłat i prowizji lub promocja zostanie wydłużona do czasu zmiany w Tabeli".</t>
    </r>
  </si>
  <si>
    <r>
      <t xml:space="preserve">PROMOCJA do 31 grudnia 2022:
</t>
    </r>
    <r>
      <rPr>
        <b/>
        <sz val="14"/>
        <color theme="4"/>
        <rFont val="Calibri"/>
        <family val="2"/>
        <charset val="238"/>
        <scheme val="minor"/>
      </rPr>
      <t>0,29%, min. 19 PLN/5 EUR/5 USD/5 GBP.</t>
    </r>
    <r>
      <rPr>
        <sz val="14"/>
        <color theme="1"/>
        <rFont val="Calibri"/>
        <family val="2"/>
        <charset val="238"/>
        <scheme val="minor"/>
      </rPr>
      <t xml:space="preserve">
Poza promocją: </t>
    </r>
    <r>
      <rPr>
        <b/>
        <sz val="14"/>
        <color theme="4"/>
        <rFont val="Calibri"/>
        <family val="2"/>
        <charset val="238"/>
        <scheme val="minor"/>
      </rPr>
      <t>0,29%, min. 29 PLN/7 EUR/7,50 USD/6 GBP.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b/>
        <sz val="14"/>
        <color theme="1"/>
        <rFont val="Calibri"/>
        <family val="2"/>
        <charset val="238"/>
        <scheme val="minor"/>
      </rPr>
      <t>Uwaga od BOSSA:</t>
    </r>
    <r>
      <rPr>
        <sz val="14"/>
        <color theme="1"/>
        <rFont val="Calibri"/>
        <family val="2"/>
        <charset val="238"/>
        <scheme val="minor"/>
      </rPr>
      <t xml:space="preserve"> "Przed zakończeniem trwania promocji warunki promocyjne zostaną wprowadzone jako standardowe do  Tabeli opłat i prowizji lub promocja zostanie wydłużona do czasu zmiany w Tabeli".</t>
    </r>
  </si>
  <si>
    <t>0,38%, min. 5 zł</t>
  </si>
  <si>
    <t>0,19%, min. 5 zł</t>
  </si>
  <si>
    <t>Za przelew do mbanku 5 zł, poza mbank 10 zł.</t>
  </si>
  <si>
    <r>
      <t xml:space="preserve">Kurs średni midReuters powiększony/pomniejszony o połowę spreadu stosowanego przez brokera zagranicznego. Wielkość spreadu stosowanego przez brokera zagranicznego (w pojedynczej transakcji nalicza się połowę spreadu):
USD/PLN ok. </t>
    </r>
    <r>
      <rPr>
        <b/>
        <sz val="14"/>
        <color theme="1"/>
        <rFont val="Calibri"/>
        <family val="2"/>
        <charset val="238"/>
        <scheme val="minor"/>
      </rPr>
      <t>1,35 gr</t>
    </r>
    <r>
      <rPr>
        <sz val="14"/>
        <color theme="1"/>
        <rFont val="Calibri"/>
        <family val="2"/>
        <charset val="238"/>
        <scheme val="minor"/>
      </rPr>
      <t xml:space="preserve">
EUR/PLN ok. </t>
    </r>
    <r>
      <rPr>
        <b/>
        <sz val="14"/>
        <color theme="1"/>
        <rFont val="Calibri"/>
        <family val="2"/>
        <charset val="238"/>
        <scheme val="minor"/>
      </rPr>
      <t>1,6 gr</t>
    </r>
    <r>
      <rPr>
        <sz val="14"/>
        <color theme="1"/>
        <rFont val="Calibri"/>
        <family val="2"/>
        <charset val="238"/>
        <scheme val="minor"/>
      </rPr>
      <t xml:space="preserve">
GBP/PLN ok. </t>
    </r>
    <r>
      <rPr>
        <b/>
        <sz val="14"/>
        <color theme="1"/>
        <rFont val="Calibri"/>
        <family val="2"/>
        <charset val="238"/>
        <scheme val="minor"/>
      </rPr>
      <t>1,88 gr</t>
    </r>
  </si>
  <si>
    <t>Subkonta prowadzona w EUR, USD, GBP
Wpłata na konto IKE/IKZE wyłącznie w PLN.</t>
  </si>
  <si>
    <r>
      <rPr>
        <b/>
        <sz val="14"/>
        <color theme="1"/>
        <rFont val="Calibri"/>
        <family val="2"/>
        <charset val="238"/>
        <scheme val="minor"/>
      </rPr>
      <t>65 zł</t>
    </r>
    <r>
      <rPr>
        <sz val="14"/>
        <color theme="1"/>
        <rFont val="Calibri"/>
        <family val="2"/>
        <charset val="238"/>
        <scheme val="minor"/>
      </rPr>
      <t xml:space="preserve"> za każdy instrument z oddzielnym ISIN. Opłata pobierana wyłacznie od zagranicznych instrumentów.</t>
    </r>
  </si>
  <si>
    <r>
      <t xml:space="preserve">Rynek krajowy: opłata nie jest pobierana jeśli wartość papierów </t>
    </r>
    <r>
      <rPr>
        <b/>
        <sz val="14"/>
        <color theme="1"/>
        <rFont val="Calibri"/>
        <family val="2"/>
        <charset val="238"/>
        <scheme val="minor"/>
      </rPr>
      <t>nie przekracza 500 tys. zł</t>
    </r>
    <r>
      <rPr>
        <sz val="14"/>
        <color theme="1"/>
        <rFont val="Calibri"/>
        <family val="2"/>
        <charset val="238"/>
        <scheme val="minor"/>
      </rPr>
      <t xml:space="preserve">. Po przekroczeniu limitu opłata wynosi dwukrotność opłaty ponoszonej przez biuro maklerskie na rzecz KDPW. </t>
    </r>
  </si>
  <si>
    <r>
      <t xml:space="preserve">Rynek krajowy: opłata nie jest pobierana jeśli wartość papierów </t>
    </r>
    <r>
      <rPr>
        <b/>
        <sz val="14"/>
        <color theme="1"/>
        <rFont val="Calibri"/>
        <family val="2"/>
        <charset val="238"/>
        <scheme val="minor"/>
      </rPr>
      <t>nie przekracza 500 tys. zł.</t>
    </r>
    <r>
      <rPr>
        <sz val="14"/>
        <color theme="1"/>
        <rFont val="Calibri"/>
        <family val="2"/>
        <charset val="238"/>
        <scheme val="minor"/>
      </rPr>
      <t xml:space="preserve"> Po przekroczeniu limitu opłata wynosi dwukrotność opłaty ponoszonej przez biuro maklerskie na rzecz KDPW. </t>
    </r>
  </si>
  <si>
    <r>
      <t xml:space="preserve">Rynki zagraniczne: </t>
    </r>
    <r>
      <rPr>
        <b/>
        <sz val="14"/>
        <color theme="1"/>
        <rFont val="Calibri"/>
        <family val="2"/>
        <charset val="238"/>
        <scheme val="minor"/>
      </rPr>
      <t>0,15%</t>
    </r>
    <r>
      <rPr>
        <sz val="14"/>
        <color theme="1"/>
        <rFont val="Calibri"/>
        <family val="2"/>
        <charset val="238"/>
        <scheme val="minor"/>
      </rPr>
      <t xml:space="preserve"> wartości instrumentów zagranicznych rocznie, (jednak nie mniej niż koszty pobeirane przez Depozytariusza). Opłata pobierana jest jeśi wartość zagranicznych papierów </t>
    </r>
    <r>
      <rPr>
        <b/>
        <sz val="14"/>
        <color theme="1"/>
        <rFont val="Calibri"/>
        <family val="2"/>
        <charset val="238"/>
        <scheme val="minor"/>
      </rPr>
      <t>przekracza 10 tys. zł.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</si>
  <si>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Prowizja rynki zagraniczne - ETF</t>
  </si>
  <si>
    <t>Prowizja rynki zagraniczne - akcje</t>
  </si>
  <si>
    <t xml:space="preserve"> 0,29%, min. 19 zł</t>
  </si>
  <si>
    <t>Za przelew do mbanku 0 zł, poza mbank 10 zł.</t>
  </si>
  <si>
    <r>
      <t xml:space="preserve">Automaczyne przewalutowanie po kursie średnim midReuters </t>
    </r>
    <r>
      <rPr>
        <b/>
        <sz val="14"/>
        <color theme="1"/>
        <rFont val="Calibri"/>
        <family val="2"/>
        <charset val="238"/>
        <scheme val="minor"/>
      </rPr>
      <t>+/- 0,1%.</t>
    </r>
    <r>
      <rPr>
        <sz val="14"/>
        <color theme="1"/>
        <rFont val="Calibri"/>
        <family val="2"/>
        <charset val="238"/>
        <scheme val="minor"/>
      </rPr>
      <t xml:space="preserve"> Przy oczekujacym zleceniu blokowane jest </t>
    </r>
    <r>
      <rPr>
        <b/>
        <sz val="14"/>
        <color theme="1"/>
        <rFont val="Calibri"/>
        <family val="2"/>
        <charset val="238"/>
        <scheme val="minor"/>
      </rPr>
      <t>2% więcej</t>
    </r>
    <r>
      <rPr>
        <sz val="14"/>
        <color theme="1"/>
        <rFont val="Calibri"/>
        <family val="2"/>
        <charset val="238"/>
        <scheme val="minor"/>
      </rPr>
      <t xml:space="preserve"> na ewentualne zmiany kursu walutowego po kursie NBP (odblokowane po transakcji).</t>
    </r>
  </si>
  <si>
    <r>
      <t xml:space="preserve">Wpłata tylko w PLN, każde rozliczenie transakcji (kupno, sprzedaż) odbywa sę po kursie midreuters </t>
    </r>
    <r>
      <rPr>
        <b/>
        <sz val="14"/>
        <color theme="1"/>
        <rFont val="Calibri"/>
        <family val="2"/>
        <charset val="238"/>
        <scheme val="minor"/>
      </rPr>
      <t>+/-0,1%</t>
    </r>
    <r>
      <rPr>
        <sz val="14"/>
        <color theme="1"/>
        <rFont val="Calibri"/>
        <family val="2"/>
        <charset val="238"/>
        <scheme val="minor"/>
      </rPr>
      <t>, nie ma możliwości przechowywania środków pochodzących ze sprzedaży instrumentów (np. sprzedaż ETF i wpływ w EUR) w walucie innej niż PLN.</t>
    </r>
  </si>
  <si>
    <t>https://www.mbank.pl/indywidualny/inwestycje/gielda/ikze-emakler/
https://www.mbank.pl/indywidualny/inwestycje/gielda/ike-emakler/</t>
  </si>
  <si>
    <r>
      <rPr>
        <b/>
        <sz val="14"/>
        <color theme="1"/>
        <rFont val="Calibri"/>
        <family val="2"/>
        <charset val="238"/>
        <scheme val="minor"/>
      </rPr>
      <t>PROMOCJA do 31 grudnia 2022</t>
    </r>
    <r>
      <rPr>
        <sz val="14"/>
        <color theme="1"/>
        <rFont val="Calibri"/>
        <family val="2"/>
        <charset val="238"/>
        <scheme val="minor"/>
      </rPr>
      <t xml:space="preserve"> - bezpłatnie.
</t>
    </r>
    <r>
      <rPr>
        <b/>
        <sz val="14"/>
        <color theme="1"/>
        <rFont val="Calibri"/>
        <family val="2"/>
        <charset val="238"/>
        <scheme val="minor"/>
      </rPr>
      <t>Uwaga od BOSSA S.A.:</t>
    </r>
    <r>
      <rPr>
        <sz val="14"/>
        <color theme="1"/>
        <rFont val="Calibri"/>
        <family val="2"/>
        <charset val="238"/>
        <scheme val="minor"/>
      </rPr>
      <t xml:space="preserve"> "Po zakończeniu trwania promocji dla portfela o wartości </t>
    </r>
    <r>
      <rPr>
        <b/>
        <sz val="14"/>
        <color theme="1"/>
        <rFont val="Calibri"/>
        <family val="2"/>
        <charset val="238"/>
        <scheme val="minor"/>
      </rPr>
      <t>do 1 000 000 PLN</t>
    </r>
    <r>
      <rPr>
        <sz val="14"/>
        <color theme="1"/>
        <rFont val="Calibri"/>
        <family val="2"/>
        <charset val="238"/>
        <scheme val="minor"/>
      </rPr>
      <t xml:space="preserve"> - bezpłatnie.
Dla portfela o wartości </t>
    </r>
    <r>
      <rPr>
        <b/>
        <sz val="14"/>
        <color theme="1"/>
        <rFont val="Calibri"/>
        <family val="2"/>
        <charset val="238"/>
        <scheme val="minor"/>
      </rPr>
      <t>powyżej 1 000 000 PLN</t>
    </r>
    <r>
      <rPr>
        <sz val="14"/>
        <color theme="1"/>
        <rFont val="Calibri"/>
        <family val="2"/>
        <charset val="238"/>
        <scheme val="minor"/>
      </rPr>
      <t xml:space="preserve"> 
dla papierów na rynkach</t>
    </r>
    <r>
      <rPr>
        <b/>
        <sz val="14"/>
        <color theme="1"/>
        <rFont val="Calibri"/>
        <family val="2"/>
        <charset val="238"/>
        <scheme val="minor"/>
      </rPr>
      <t xml:space="preserve"> 0,04 %</t>
    </r>
    <r>
      <rPr>
        <sz val="14"/>
        <color theme="1"/>
        <rFont val="Calibri"/>
        <family val="2"/>
        <charset val="238"/>
        <scheme val="minor"/>
      </rPr>
      <t xml:space="preserve"> lub </t>
    </r>
    <r>
      <rPr>
        <b/>
        <sz val="14"/>
        <color theme="1"/>
        <rFont val="Calibri"/>
        <family val="2"/>
        <charset val="238"/>
        <scheme val="minor"/>
      </rPr>
      <t>0,06%</t>
    </r>
    <r>
      <rPr>
        <sz val="14"/>
        <color theme="1"/>
        <rFont val="Calibri"/>
        <family val="2"/>
        <charset val="238"/>
        <scheme val="minor"/>
      </rPr>
      <t xml:space="preserve"> (opłata w skali roku)".</t>
    </r>
  </si>
  <si>
    <r>
      <t xml:space="preserve">Dla portfela o wartości </t>
    </r>
    <r>
      <rPr>
        <b/>
        <sz val="14"/>
        <color theme="1"/>
        <rFont val="Calibri"/>
        <family val="2"/>
        <charset val="238"/>
        <scheme val="minor"/>
      </rPr>
      <t>do 1 000 000 PLN</t>
    </r>
    <r>
      <rPr>
        <sz val="14"/>
        <color theme="1"/>
        <rFont val="Calibri"/>
        <family val="2"/>
        <charset val="238"/>
        <scheme val="minor"/>
      </rPr>
      <t xml:space="preserve"> - bezpłatnie.
Dla portfela o wartości </t>
    </r>
    <r>
      <rPr>
        <b/>
        <sz val="14"/>
        <color theme="1"/>
        <rFont val="Calibri"/>
        <family val="2"/>
        <charset val="238"/>
        <scheme val="minor"/>
      </rPr>
      <t>powyżej
1 000 000 PLN</t>
    </r>
    <r>
      <rPr>
        <sz val="14"/>
        <color theme="1"/>
        <rFont val="Calibri"/>
        <family val="2"/>
        <charset val="238"/>
        <scheme val="minor"/>
      </rPr>
      <t xml:space="preserve"> (opłaty nie pobiera
się od Inwestorów, którzy w
danym kwartale zawarli transakcje
o wartości nie mniejszej
niż 50% wartości portfela) - 
</t>
    </r>
    <r>
      <rPr>
        <b/>
        <sz val="14"/>
        <color theme="1"/>
        <rFont val="Calibri"/>
        <family val="2"/>
        <charset val="238"/>
        <scheme val="minor"/>
      </rPr>
      <t>150%</t>
    </r>
    <r>
      <rPr>
        <sz val="14"/>
        <color theme="1"/>
        <rFont val="Calibri"/>
        <family val="2"/>
        <charset val="238"/>
        <scheme val="minor"/>
      </rPr>
      <t xml:space="preserve"> opłaty pobieranej przez KDPW, tj. </t>
    </r>
    <r>
      <rPr>
        <b/>
        <sz val="14"/>
        <color theme="1"/>
        <rFont val="Calibri"/>
        <family val="2"/>
        <charset val="238"/>
        <scheme val="minor"/>
      </rPr>
      <t>0,00186%</t>
    </r>
    <r>
      <rPr>
        <sz val="14"/>
        <color theme="1"/>
        <rFont val="Calibri"/>
        <family val="2"/>
        <charset val="238"/>
        <scheme val="minor"/>
      </rPr>
      <t xml:space="preserve">
opłata pobierana kwartalnie</t>
    </r>
  </si>
  <si>
    <r>
      <t xml:space="preserve">0 zł jeżeli wartość portfela instrumentów finansowych na rachunku klienta jest </t>
    </r>
    <r>
      <rPr>
        <b/>
        <sz val="14"/>
        <color theme="1"/>
        <rFont val="Calibri"/>
        <family val="2"/>
        <charset val="238"/>
        <scheme val="minor"/>
      </rPr>
      <t>niższa niż 500 000 zł.</t>
    </r>
  </si>
  <si>
    <r>
      <t xml:space="preserve">a) jeżeli miesięczna wartość obrotu liczona dla danej waluty osiągnie </t>
    </r>
    <r>
      <rPr>
        <b/>
        <sz val="14"/>
        <color theme="1"/>
        <rFont val="Calibri"/>
        <family val="2"/>
        <charset val="238"/>
        <scheme val="minor"/>
      </rPr>
      <t>co najmniej 20%</t>
    </r>
    <r>
      <rPr>
        <sz val="14"/>
        <color theme="1"/>
        <rFont val="Calibri"/>
        <family val="2"/>
        <charset val="238"/>
        <scheme val="minor"/>
      </rPr>
      <t xml:space="preserve"> wartości instrumentów finansowych kwotowanych w danej walucie - bezpłatnie,
b)w przeciwnym przypadku dla instrumentów finansowych notowanych w USD: </t>
    </r>
    <r>
      <rPr>
        <b/>
        <sz val="14"/>
        <color theme="1"/>
        <rFont val="Calibri"/>
        <family val="2"/>
        <charset val="238"/>
        <scheme val="minor"/>
      </rPr>
      <t>0,01% + VAT</t>
    </r>
    <r>
      <rPr>
        <sz val="14"/>
        <color theme="1"/>
        <rFont val="Calibri"/>
        <family val="2"/>
        <charset val="238"/>
        <scheme val="minor"/>
      </rPr>
      <t xml:space="preserve">; dla instrumentów finansowych notowanych w EUR/CHF/GBP: </t>
    </r>
    <r>
      <rPr>
        <b/>
        <sz val="14"/>
        <color theme="1"/>
        <rFont val="Calibri"/>
        <family val="2"/>
        <charset val="238"/>
        <scheme val="minor"/>
      </rPr>
      <t xml:space="preserve">0,02% + VAT.
</t>
    </r>
    <r>
      <rPr>
        <sz val="14"/>
        <color theme="1"/>
        <rFont val="Calibri"/>
        <family val="2"/>
        <charset val="238"/>
        <scheme val="minor"/>
      </rPr>
      <t>Jest to opłata miesieczna.</t>
    </r>
  </si>
  <si>
    <r>
      <t xml:space="preserve">Giełdy europejskie: </t>
    </r>
    <r>
      <rPr>
        <b/>
        <sz val="14"/>
        <color theme="4"/>
        <rFont val="Calibri"/>
        <family val="2"/>
        <charset val="238"/>
        <scheme val="minor"/>
      </rPr>
      <t>0,39%, min. 12 EUR/USD/CHF/GBP</t>
    </r>
    <r>
      <rPr>
        <sz val="14"/>
        <color theme="1"/>
        <rFont val="Calibri"/>
        <family val="2"/>
        <charset val="238"/>
        <scheme val="minor"/>
      </rPr>
      <t xml:space="preserve">; giełdy amerykańskie: </t>
    </r>
    <r>
      <rPr>
        <b/>
        <sz val="14"/>
        <color theme="4"/>
        <rFont val="Calibri"/>
        <family val="2"/>
        <charset val="238"/>
        <scheme val="minor"/>
      </rPr>
      <t>0,02 USD od sztuki, nie mniej niż 12 USD</t>
    </r>
    <r>
      <rPr>
        <sz val="14"/>
        <color theme="1"/>
        <rFont val="Calibri"/>
        <family val="2"/>
        <charset val="238"/>
        <scheme val="minor"/>
      </rPr>
      <t>.</t>
    </r>
  </si>
  <si>
    <t>0,39%, min. 5 zł</t>
  </si>
  <si>
    <t>0,19%, nie mniej 5 zł</t>
  </si>
  <si>
    <t>150 zŁ dla papierów krajowych, opłata za czynność bez względu na ilość i wartość transferowanych ISIN, dla zagranicznych instrumentów finansowych transferowanych do innej instytucji finansowej (opłata za czynność pobierana za każdy instrument finansowy niezależnie od ilości) 25 EUR/USD/GBP/CHF lub równowartość w PLN</t>
  </si>
  <si>
    <t>Brak opłaty za czynność, może być opłata za przelew do zew. Instytucji.</t>
  </si>
  <si>
    <t>Równowartość opłaty pobieranej przez KDPW dla papierów z polskiego rynku. Dla instrumentów zagranicznych o transferowanych do innej instytucji finansowej (opłata za czynność pobierana za każdy instrument finansowy niezależnie od ilości) 25 EUR/USD/GBP/CHF lub równowartość w PLN</t>
  </si>
  <si>
    <t>50 zł od każdej dyspozycji zwrotu.</t>
  </si>
  <si>
    <t>50 zł od każdej wypłaconej raty.</t>
  </si>
  <si>
    <t xml:space="preserve">Wpłata na konto IKE może nastąpić wyłącznie w zł. Przewalutowania można dokonać korzystając z usługi automatycznego przewalutowania według obowiązującego w danym dniu transakcji, kursie. Kurs ogłaszany jest w SPECJALNEJ TABELI KURSOWEJ tabeli każdego dnia i przykładowo dla daty 9 listopada 2022r wynosi: 4,6836 zł/EUR dla kupna i 4,7159zł/EUR dla sprzedaży. Zasady przewalutowań opisane są tutaj: https://www.santander.pl/klient-indywidualny/oszczednosci-i-inwestycje/rachunki-dla-gield-zagranicznych/automatyczne-przewalutowanie. W przypadku braku środków w obcej walucie na pokrycie zlecenia kupna, na rachunku zostanie zablokowana odpowiednia kwota w złotych. Automatyczne przewalutowanie nastąpi podczas rozliczenia transakcji. Natomiast przy zleceniu sprzedaży instrumentu można samemu zdecydować, czy środki mają trafić na rachunek w obcej walucie czy w złotych. W usłudze automatycznego przewalutowania kurs walut prezentowany w specjalnej tabeli kursowej obowiązuje dla dnia rozliczenia transakcji, a nie złożenia zlecenia. Kurs obowiązujący dla danego dnia jest aktualizowany codziennie w dni robocze do godziny 14:00. Alternatywą jest skorzystanie z opcji wymiany waluty, dostępnej w opcji Portfel serwisu Inwestor online. Kursy wymiany w ramach automatycznego przewalutowania są jednak najczęściej korzystniejsze od wymiany samodzielnej. Aby inwestować na rynkach zagranicznych potrzebny jest rachunek w walucie danego instrumentu finansowego. Podczas rozszerzania umowy maklerskiej o rynki zagraniczne, następuje otwarcie rachunku w dwóch najbardziej popularnych walutach - EUR i USD - bez dodatkowych opłat. Za dodatkową opłatą (jednorazową) można otworzyć rachunki walutowe w GBP i CHF (30 zł za rachunek walutowy). Tabele kursowe dostępne są pod linkiem: https://centruminformacji.santander.pl/rynek/komentarze/k-wykaz-tabel </t>
  </si>
  <si>
    <t>Należy wybrać tabelę Lista dostępnych zagranicznych ETF za pośrednictwem Santander Biuro Maklerskie:  https://centruminformacji.santander.pl/rynek/komentarze/k-wykaz-tabel</t>
  </si>
  <si>
    <r>
      <t xml:space="preserve">Zagraniczne instrumenty: </t>
    </r>
    <r>
      <rPr>
        <b/>
        <sz val="14"/>
        <color theme="1"/>
        <rFont val="Calibri"/>
        <family val="2"/>
        <charset val="238"/>
        <scheme val="minor"/>
      </rPr>
      <t>0,2% nie mniej niż 20 EUR</t>
    </r>
    <r>
      <rPr>
        <sz val="14"/>
        <color theme="1"/>
        <rFont val="Calibri"/>
        <family val="2"/>
        <charset val="238"/>
        <scheme val="minor"/>
      </rPr>
      <t>.</t>
    </r>
  </si>
  <si>
    <r>
      <t>Opłata miesięczna:</t>
    </r>
    <r>
      <rPr>
        <b/>
        <sz val="14"/>
        <color theme="1"/>
        <rFont val="Calibri"/>
        <family val="2"/>
        <charset val="238"/>
        <scheme val="minor"/>
      </rPr>
      <t xml:space="preserve"> 0,00040%</t>
    </r>
    <r>
      <rPr>
        <sz val="14"/>
        <color theme="1"/>
        <rFont val="Calibri"/>
        <family val="2"/>
        <charset val="238"/>
        <scheme val="minor"/>
      </rPr>
      <t xml:space="preserve"> wartości instrumentów finansowych zarejestrowanych na rachunku wg. stanu na ostatni dzień miesiąca kalendarzowego, od wartości </t>
    </r>
    <r>
      <rPr>
        <b/>
        <sz val="14"/>
        <color theme="1"/>
        <rFont val="Calibri"/>
        <family val="2"/>
        <charset val="238"/>
        <scheme val="minor"/>
      </rPr>
      <t>powyżej 1 000 000 zł.</t>
    </r>
  </si>
  <si>
    <t>W wysokości
równej opłacie pobranej od Biura Maklerskiego przez Krajowy Depozyt Papierów Wartościowych S.A.</t>
  </si>
  <si>
    <t>https://www.aliorbank.pl/dam/jcr:726116b4-5e1a-4ef3-aef5-b00d1843c5cb/taryfa-oplat-i-prowizji-biura-maklerskiego-alior-bank.pdf</t>
  </si>
  <si>
    <r>
      <rPr>
        <b/>
        <sz val="14"/>
        <color theme="1"/>
        <rFont val="Calibri"/>
        <family val="2"/>
        <charset val="238"/>
        <scheme val="minor"/>
      </rPr>
      <t>Do 500 000 zł</t>
    </r>
    <r>
      <rPr>
        <sz val="14"/>
        <color theme="1"/>
        <rFont val="Calibri"/>
        <family val="2"/>
        <charset val="238"/>
        <scheme val="minor"/>
      </rPr>
      <t xml:space="preserve"> wartości papierów: bezpłatnie;
powyżej: równa 2-krotności opłaty właściwego Depozytu.</t>
    </r>
  </si>
  <si>
    <t>internetowe:
0,16%, min. 3 zł</t>
  </si>
  <si>
    <t>internetowe:
0,13%, min. 3 zł</t>
  </si>
  <si>
    <t>0,5% wartości transakcji 
lub 0,5% wartości portfela
min. 150 zł</t>
  </si>
  <si>
    <t>0,5% wartości zwrotu 
min. 150 zł</t>
  </si>
  <si>
    <t>0,5% wartości wypłaty 
min. 150 zł</t>
  </si>
  <si>
    <t>internetowe:
0,24%, min. 3 zł</t>
  </si>
  <si>
    <t>internetowe:
0,15%, min. 3 zł</t>
  </si>
  <si>
    <t>Komunikat określający wysokość minimalnej wpłaty jednorazowej na rachunek IKZE: https://millenniumbm.pl/documents/20143/507089/Minimalna+kwota+wp%C5%82aty+na+konto+IKZE+-+komunikat+z+30+lipca+2022%C2%A0r..pdf/0176d209-69ff-daf8-4989-a28821c43613</t>
  </si>
  <si>
    <r>
      <t xml:space="preserve">Kwartalnie: </t>
    </r>
    <r>
      <rPr>
        <b/>
        <sz val="14"/>
        <color theme="1"/>
        <rFont val="Calibri"/>
        <family val="2"/>
        <charset val="238"/>
        <scheme val="minor"/>
      </rPr>
      <t>0,001%</t>
    </r>
    <r>
      <rPr>
        <sz val="14"/>
        <color theme="1"/>
        <rFont val="Calibri"/>
        <family val="2"/>
        <charset val="238"/>
        <scheme val="minor"/>
      </rPr>
      <t xml:space="preserve"> od obligacji lub </t>
    </r>
    <r>
      <rPr>
        <b/>
        <sz val="14"/>
        <color theme="1"/>
        <rFont val="Calibri"/>
        <family val="2"/>
        <charset val="238"/>
        <scheme val="minor"/>
      </rPr>
      <t>0,0016%</t>
    </r>
    <r>
      <rPr>
        <sz val="14"/>
        <color theme="1"/>
        <rFont val="Calibri"/>
        <family val="2"/>
        <charset val="238"/>
        <scheme val="minor"/>
      </rPr>
      <t xml:space="preserve"> (inne papiery wartościowe, dla których KDPW jest jedyną instytucją depozytową) lub </t>
    </r>
    <r>
      <rPr>
        <b/>
        <sz val="14"/>
        <color theme="1"/>
        <rFont val="Calibri"/>
        <family val="2"/>
        <charset val="238"/>
        <scheme val="minor"/>
      </rPr>
      <t>0,0022%</t>
    </r>
    <r>
      <rPr>
        <sz val="14"/>
        <color theme="1"/>
        <rFont val="Calibri"/>
        <family val="2"/>
        <charset val="238"/>
        <scheme val="minor"/>
      </rPr>
      <t xml:space="preserve"> od pozostałych instrumentów. Opłata nie jest pobierana jeśli łączna jej wysokość jest </t>
    </r>
    <r>
      <rPr>
        <b/>
        <sz val="14"/>
        <color theme="1"/>
        <rFont val="Calibri"/>
        <family val="2"/>
        <charset val="238"/>
        <scheme val="minor"/>
      </rPr>
      <t>niższa niż 5 zł + podatek VAT.</t>
    </r>
  </si>
  <si>
    <t>0,38%, min. 4,9 zł</t>
  </si>
  <si>
    <t>0,20%, min. 4,9 zł</t>
  </si>
  <si>
    <t>Opłata pobierana w wysokości opłaty pobieranej przez Krajowy Depozyt Papierów Wartosciowych SA.</t>
  </si>
  <si>
    <t>Bezpłatny dostęp do notowań onLine,
doradztwo inwestycyjne:
https://www.bdm.pl/oferta-indywidualna/doradztwo-inwestycyjne,
promocja "Zostań online":
https://www.bdm.pl/oferta-indywidualna/rachunek-inwestycyjny/promocja,
promocja „IKE/IKZE oraz rachunek inwestycyjny bezpłatnie”:
https://www.bdm.pl/dokumenty/regulaminy?file=files/bdm/dokumenty/Regulamin/regulamin_promocji_ike_ikze.pdf</t>
  </si>
  <si>
    <r>
      <rPr>
        <b/>
        <sz val="14"/>
        <color theme="1"/>
        <rFont val="Calibri"/>
        <family val="2"/>
        <charset val="238"/>
        <scheme val="minor"/>
      </rPr>
      <t>Do 500 000 zł</t>
    </r>
    <r>
      <rPr>
        <sz val="14"/>
        <color theme="1"/>
        <rFont val="Calibri"/>
        <family val="2"/>
        <charset val="238"/>
        <scheme val="minor"/>
      </rPr>
      <t xml:space="preserve"> bezpłatnie</t>
    </r>
  </si>
  <si>
    <t>0,28%, min. 5,95 zł</t>
  </si>
  <si>
    <t>0,18%, min. 5,95 zł</t>
  </si>
  <si>
    <t xml:space="preserve"> 0,95% wartości instrumentów, min. 99 zł od całego transferowanego portfela</t>
  </si>
  <si>
    <r>
      <rPr>
        <b/>
        <sz val="14"/>
        <color theme="1"/>
        <rFont val="Calibri"/>
        <family val="2"/>
        <charset val="238"/>
        <scheme val="minor"/>
      </rPr>
      <t>0,39%, min. 5,00 zł</t>
    </r>
    <r>
      <rPr>
        <sz val="14"/>
        <color theme="1"/>
        <rFont val="Calibri"/>
        <family val="2"/>
        <charset val="238"/>
        <scheme val="minor"/>
      </rPr>
      <t xml:space="preserve"> (dotyczy zleceń złożonych za pośrednictwem Aplikacji internetowych)</t>
    </r>
  </si>
  <si>
    <r>
      <rPr>
        <b/>
        <sz val="14"/>
        <color theme="1"/>
        <rFont val="Calibri"/>
        <family val="2"/>
        <charset val="238"/>
        <scheme val="minor"/>
      </rPr>
      <t xml:space="preserve">0,2%, min. 5,00 zł </t>
    </r>
    <r>
      <rPr>
        <sz val="14"/>
        <color theme="1"/>
        <rFont val="Calibri"/>
        <family val="2"/>
        <charset val="238"/>
        <scheme val="minor"/>
      </rPr>
      <t xml:space="preserve"> dotyczy zleceń złożonych za pośrednictwem Aplikacji internetowych.  Detaliczne obligacje skarbowe (rynek pierwotny) - bez prowizji.</t>
    </r>
  </si>
  <si>
    <r>
      <t xml:space="preserve">Bezpłatnie </t>
    </r>
    <r>
      <rPr>
        <b/>
        <sz val="14"/>
        <color theme="1"/>
        <rFont val="Calibri"/>
        <family val="2"/>
        <charset val="238"/>
        <scheme val="minor"/>
      </rPr>
      <t>do 1 000 000 zł</t>
    </r>
  </si>
  <si>
    <r>
      <t xml:space="preserve">Promocja do 31 grudnia 2022 z opcją przedłużenia na kolejny rok: </t>
    </r>
    <r>
      <rPr>
        <b/>
        <sz val="14"/>
        <color theme="1"/>
        <rFont val="Calibri"/>
        <family val="2"/>
        <charset val="238"/>
        <scheme val="minor"/>
      </rPr>
      <t>0,19%, min. 5 zł</t>
    </r>
    <r>
      <rPr>
        <sz val="14"/>
        <color theme="1"/>
        <rFont val="Calibri"/>
        <family val="2"/>
        <charset val="238"/>
        <scheme val="minor"/>
      </rPr>
      <t xml:space="preserve">; poza promocją:  </t>
    </r>
    <r>
      <rPr>
        <b/>
        <sz val="14"/>
        <color theme="1"/>
        <rFont val="Calibri"/>
        <family val="2"/>
        <charset val="238"/>
        <scheme val="minor"/>
      </rPr>
      <t>0,38%, min. 10 zł</t>
    </r>
  </si>
  <si>
    <t xml:space="preserve">  0,38%, min. 10 zł</t>
  </si>
  <si>
    <r>
      <t xml:space="preserve">PROMOCJA do 31 grudnia 2022:
</t>
    </r>
    <r>
      <rPr>
        <b/>
        <sz val="14"/>
        <color theme="1"/>
        <rFont val="Calibri"/>
        <family val="2"/>
        <charset val="238"/>
        <scheme val="minor"/>
      </rPr>
      <t>0,25%, min. 5 zł.</t>
    </r>
    <r>
      <rPr>
        <sz val="14"/>
        <color theme="1"/>
        <rFont val="Calibri"/>
        <family val="2"/>
        <charset val="238"/>
        <scheme val="minor"/>
      </rPr>
      <t xml:space="preserve">
Dla BETA ETF sWIG80TR: </t>
    </r>
    <r>
      <rPr>
        <b/>
        <sz val="14"/>
        <color theme="1"/>
        <rFont val="Calibri"/>
        <family val="2"/>
        <charset val="238"/>
        <scheme val="minor"/>
      </rPr>
      <t>0,10%, min. 5 zł.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b/>
        <sz val="14"/>
        <color theme="1"/>
        <rFont val="Calibri"/>
        <family val="2"/>
        <charset val="238"/>
        <scheme val="minor"/>
      </rPr>
      <t>Uwaga od BOSSA:</t>
    </r>
    <r>
      <rPr>
        <sz val="14"/>
        <color theme="1"/>
        <rFont val="Calibri"/>
        <family val="2"/>
        <charset val="238"/>
        <scheme val="minor"/>
      </rPr>
      <t xml:space="preserve"> "Intencją DM BOŚ jest przedłużenie obowiązującej promocji na kolejny okres."</t>
    </r>
  </si>
  <si>
    <r>
      <t xml:space="preserve">Promocja do 31 grudnia 2022 z opcja przedłużenia na kolejny rok: </t>
    </r>
    <r>
      <rPr>
        <b/>
        <sz val="14"/>
        <color theme="1"/>
        <rFont val="Calibri"/>
        <family val="2"/>
        <charset val="238"/>
        <scheme val="minor"/>
      </rPr>
      <t>0,15%, min. 5 zł</t>
    </r>
    <r>
      <rPr>
        <sz val="14"/>
        <color theme="1"/>
        <rFont val="Calibri"/>
        <family val="2"/>
        <charset val="238"/>
        <scheme val="minor"/>
      </rPr>
      <t xml:space="preserve">; 
poza promocją: </t>
    </r>
    <r>
      <rPr>
        <b/>
        <sz val="14"/>
        <color theme="1"/>
        <rFont val="Calibri"/>
        <family val="2"/>
        <charset val="238"/>
        <scheme val="minor"/>
      </rPr>
      <t>0,2%, min. 5 zł</t>
    </r>
  </si>
  <si>
    <t>rok1 : brak opłaty
rok 2.: 0,16%
rok 3.: 0,15%
rok 4.: 0,14%
rok 5.: 0,13%
rok 6.: 0,12%
rok 7.: 0,11%
rok 8 i kolejne lata: 0,1% wartości nominalnej obligacji zapisanych na koncie IKE Obligacje w ostatnim dniu roku kalendarzowego, nie więcej niż 200,00 zł</t>
  </si>
  <si>
    <t>https://www.mdm.pl/bm/g/vwmbKDa6HkWFFWt9hz7iTA</t>
  </si>
  <si>
    <t>poza podium</t>
  </si>
  <si>
    <r>
      <t xml:space="preserve">MIEJSCE W RANKINGU - RACHUNKI IKE/IKZE Z DOSTĘPEM DO GIEŁD </t>
    </r>
    <r>
      <rPr>
        <b/>
        <sz val="28"/>
        <color theme="7" tint="0.79998168889431442"/>
        <rFont val="Calibri"/>
        <family val="2"/>
        <charset val="238"/>
        <scheme val="minor"/>
      </rPr>
      <t>POLSKICH</t>
    </r>
  </si>
  <si>
    <r>
      <t xml:space="preserve">MIEJSCE W RANKINGU - RACHUNKI IKE/IKZE Z DOSTĘPEM DO GIEŁD </t>
    </r>
    <r>
      <rPr>
        <b/>
        <sz val="26"/>
        <color theme="7" tint="0.79998168889431442"/>
        <rFont val="Calibri"/>
        <family val="2"/>
        <charset val="238"/>
        <scheme val="minor"/>
      </rPr>
      <t>ZAGRANICZNYCH</t>
    </r>
  </si>
  <si>
    <t>Kurs w przypadku inwestowania na rynkach zagranicznych</t>
  </si>
  <si>
    <t>Opłata za przyjęcie instrumentów (zagranica)</t>
  </si>
  <si>
    <t>Opłata za częściowy zwrot
z IKE po 12 miesiącach</t>
  </si>
  <si>
    <t>Opłata za wypłatę transferową środków pieniężnych po 12 miesiącach (dotyczy sytuacji gdy przenosimy środki pieniężne)</t>
  </si>
  <si>
    <t>IKZE
lub
IKE</t>
  </si>
  <si>
    <t>Prowizja rynek krajowy - obligacje</t>
  </si>
  <si>
    <t>Opłata za wypłatę transferową środków pieniężnych w pierwszych 12 miesiącach (dotyczy sytuacji gdy przenosimy środki pieniężne)</t>
  </si>
  <si>
    <t>Opłata za częściowy zwrot
z IKE w pierwszych 12 miesiącach</t>
  </si>
  <si>
    <t xml:space="preserve">Opłata za wypłatę jednorazową
w pierwszych 12 miesiącach </t>
  </si>
  <si>
    <t>Opłata za wypłatę w ratach
w pierwszych 12 miesiącach (gdy spełnimy warunki)</t>
  </si>
  <si>
    <t>Opłata za zwrot całkowity
z IKE/IKZE po 12 miesiącach</t>
  </si>
  <si>
    <t>Opata za wypłatę w ratach po 12 miesiącach (gdy spełnimy warunki)</t>
  </si>
  <si>
    <t>Ile instrumentów posiadasz na swoim IKE lub IKZE?</t>
  </si>
  <si>
    <t>Jeśli na Twoim IKE lub IKZE jest waluta - wpisz jej równowartość w zł</t>
  </si>
  <si>
    <t>Razem wartość konta IKE lub IKZE</t>
  </si>
  <si>
    <t>Ile wpłacasz na konto IKE lub IKZE rocznie</t>
  </si>
  <si>
    <r>
      <t xml:space="preserve">z </t>
    </r>
    <r>
      <rPr>
        <b/>
        <sz val="14"/>
        <color rgb="FFFF5050"/>
        <rFont val="Open Sans"/>
        <family val="2"/>
        <charset val="238"/>
      </rPr>
      <t>mBanku</t>
    </r>
    <r>
      <rPr>
        <b/>
        <sz val="14"/>
        <color theme="1"/>
        <rFont val="Open Sans"/>
        <family val="2"/>
        <charset val="238"/>
      </rPr>
      <t xml:space="preserve"> do </t>
    </r>
    <r>
      <rPr>
        <b/>
        <sz val="14"/>
        <color rgb="FF00B050"/>
        <rFont val="Open Sans"/>
        <family val="2"/>
        <charset val="238"/>
      </rPr>
      <t>BOSSA</t>
    </r>
  </si>
  <si>
    <r>
      <t xml:space="preserve"> z </t>
    </r>
    <r>
      <rPr>
        <b/>
        <sz val="14"/>
        <color rgb="FF00B050"/>
        <rFont val="Open Sans"/>
        <family val="2"/>
        <charset val="238"/>
      </rPr>
      <t>BOSSA</t>
    </r>
    <r>
      <rPr>
        <b/>
        <sz val="14"/>
        <color theme="1"/>
        <rFont val="Open Sans"/>
        <family val="2"/>
        <charset val="238"/>
      </rPr>
      <t xml:space="preserve"> do</t>
    </r>
    <r>
      <rPr>
        <b/>
        <sz val="14"/>
        <color rgb="FFFF5050"/>
        <rFont val="Open Sans"/>
        <family val="2"/>
        <charset val="238"/>
      </rPr>
      <t xml:space="preserve"> mBanku</t>
    </r>
  </si>
  <si>
    <r>
      <rPr>
        <b/>
        <sz val="12"/>
        <color rgb="FF00B050"/>
        <rFont val="Open Sans"/>
        <family val="2"/>
        <charset val="238"/>
      </rPr>
      <t>BOSSA</t>
    </r>
    <r>
      <rPr>
        <b/>
        <sz val="12"/>
        <color rgb="FF003399"/>
        <rFont val="Open Sans"/>
        <family val="2"/>
        <charset val="238"/>
      </rPr>
      <t xml:space="preserve"> </t>
    </r>
    <r>
      <rPr>
        <b/>
        <sz val="12"/>
        <color theme="1"/>
        <rFont val="Open Sans"/>
        <family val="2"/>
        <charset val="238"/>
      </rPr>
      <t>w promocji</t>
    </r>
  </si>
  <si>
    <r>
      <rPr>
        <b/>
        <sz val="12"/>
        <color rgb="FF00B050"/>
        <rFont val="Open Sans"/>
        <family val="2"/>
        <charset val="238"/>
      </rPr>
      <t>BOSSA</t>
    </r>
    <r>
      <rPr>
        <b/>
        <sz val="12"/>
        <color theme="1"/>
        <rFont val="Open Sans"/>
        <family val="2"/>
        <charset val="238"/>
      </rPr>
      <t xml:space="preserve"> bez promocji</t>
    </r>
  </si>
  <si>
    <r>
      <rPr>
        <b/>
        <sz val="14"/>
        <color rgb="FF00B050"/>
        <rFont val="Open Sans"/>
        <family val="2"/>
        <charset val="238"/>
      </rPr>
      <t>BOSSA</t>
    </r>
    <r>
      <rPr>
        <b/>
        <sz val="14"/>
        <color rgb="FF003399"/>
        <rFont val="Open Sans"/>
        <family val="2"/>
        <charset val="238"/>
      </rPr>
      <t xml:space="preserve"> </t>
    </r>
    <r>
      <rPr>
        <b/>
        <sz val="14"/>
        <color theme="1"/>
        <rFont val="Open Sans"/>
        <family val="2"/>
        <charset val="238"/>
      </rPr>
      <t>w promocji</t>
    </r>
  </si>
  <si>
    <r>
      <rPr>
        <b/>
        <sz val="14"/>
        <color rgb="FF00B050"/>
        <rFont val="Open Sans"/>
        <family val="2"/>
        <charset val="238"/>
      </rPr>
      <t>BOSSA</t>
    </r>
    <r>
      <rPr>
        <b/>
        <sz val="14"/>
        <color theme="1"/>
        <rFont val="Open Sans"/>
        <family val="2"/>
        <charset val="238"/>
      </rPr>
      <t xml:space="preserve"> bez promocji</t>
    </r>
  </si>
  <si>
    <t>Ile gotówki w zł posiadasz na swoim koncie IKE lub KZE?</t>
  </si>
  <si>
    <t>PODSTAWOWE DANE - UZUPEŁNIJ DANE W POLACH ZAZNACZONYCH ŻÓŁTYM KOLOREM 
(LICZ ODDZIELNIE DLA IKE I ODDZIELNIE DLA IKZE)</t>
  </si>
  <si>
    <t>opłaty w IKE i Super IKE pobierane są od wartości nominalnej obligacji zapisanych na koncie na 31 grudnia danego roku</t>
  </si>
  <si>
    <t>Inne koszty przeniesienia aktywów (np. notarialne). Wpisz wartość w zł, jeśli takie koszty Cię dotyczą.</t>
  </si>
  <si>
    <t>inne koszty przeniesienia aktywów np. notarialne</t>
  </si>
  <si>
    <t>Ilu transakcji dokonujesz w roku?</t>
  </si>
  <si>
    <t>Wartość instrumentów (średnia z każdego dnia) w Twoim portfelu IKE lub IKZE w mBank lub DM BOŚ</t>
  </si>
  <si>
    <t>ROCZNE KOSZTY PROWADZENIA IKE/IKZE Z ZAGRANICZNYMI ETF</t>
  </si>
  <si>
    <t>min [EUR]</t>
  </si>
  <si>
    <t>%</t>
  </si>
  <si>
    <t>IKZE</t>
  </si>
  <si>
    <t>min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</si>
</sst>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#,##0\ &quot;zł&quot;;\-#,##0\ &quot;zł&quot;"/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"/>
    <numFmt numFmtId="165" formatCode="_-* #,##0\ &quot;zł&quot;_-;\-* #,##0\ &quot;zł&quot;_-;_-* &quot;-&quot;??\ &quot;zł&quot;_-;_-@_-"/>
    <numFmt numFmtId="166" formatCode="_-* #,##0.0000\ &quot;zł&quot;_-;\-* #,##0.0000\ &quot;zł&quot;_-;_-* &quot;-&quot;????\ &quot;zł&quot;_-;_-@_-"/>
    <numFmt numFmtId="167" formatCode="_-* #,##0.0000\ &quot;zł&quot;_-;\-* #,##0.0000\ &quot;zł&quot;_-;_-* &quot;-&quot;??\ &quot;zł&quot;_-;_-@_-"/>
    <numFmt numFmtId="168" formatCode="_-[$€-2]\ * #,##0.00_-;\-[$€-2]\ * #,##0.00_-;_-[$€-2]\ * &quot;-&quot;??_-;_-@_-"/>
    <numFmt numFmtId="169" formatCode="_-* #,##0.000\ &quot;zł&quot;_-;\-* #,##0.000\ &quot;zł&quot;_-;_-* &quot;-&quot;??\ &quot;zł&quot;_-;_-@_-"/>
    <numFmt numFmtId="170" formatCode="_-* #,##0_-;\-* #,##0_-;_-* &quot;-&quot;??_-;_-@_-"/>
    <numFmt numFmtId="171" formatCode="#,##0.00\ &quot;zł&quot;"/>
    <numFmt numFmtId="172" formatCode="#,##0.00\ [$EUR]"/>
    <numFmt numFmtId="173" formatCode="#,##0.0000\ &quot;zł&quot;"/>
    <numFmt numFmtId="174" formatCode="#,##0.000\ [$EUR]"/>
    <numFmt numFmtId="175" formatCode="#,##0.0\ &quot;zł&quot;"/>
    <numFmt numFmtId="176" formatCode="0.0%"/>
  </numFmts>
  <fonts count="54" x14ac:knownFonts="1">
    <font>
      <sz val="11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6"/>
      <color theme="1"/>
      <name val="Open Sans"/>
      <family val="2"/>
      <charset val="238"/>
    </font>
    <font>
      <sz val="11"/>
      <color theme="1"/>
      <name val="Open Sans"/>
      <family val="2"/>
      <charset val="238"/>
    </font>
    <font>
      <sz val="12"/>
      <color theme="1"/>
      <name val="Open Sans"/>
      <family val="2"/>
      <charset val="238"/>
    </font>
    <font>
      <b/>
      <sz val="12"/>
      <color theme="1"/>
      <name val="Open Sans"/>
      <family val="2"/>
      <charset val="238"/>
    </font>
    <font>
      <b/>
      <sz val="14"/>
      <color theme="1"/>
      <name val="Open Sans"/>
      <family val="2"/>
      <charset val="238"/>
    </font>
    <font>
      <b/>
      <sz val="14"/>
      <color theme="0"/>
      <name val="Open Sans"/>
      <family val="2"/>
      <charset val="238"/>
    </font>
    <font>
      <b/>
      <i/>
      <sz val="14"/>
      <color theme="1"/>
      <name val="Open Sans"/>
      <family val="2"/>
      <charset val="238"/>
    </font>
    <font>
      <b/>
      <sz val="14"/>
      <name val="Open Sans"/>
      <family val="2"/>
      <charset val="238"/>
    </font>
    <font>
      <b/>
      <sz val="14"/>
      <color rgb="FFFF5050"/>
      <name val="Open Sans"/>
      <family val="2"/>
      <charset val="238"/>
    </font>
    <font>
      <b/>
      <sz val="14"/>
      <color rgb="FF003399"/>
      <name val="Open Sans"/>
      <family val="2"/>
      <charset val="238"/>
    </font>
    <font>
      <sz val="14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b/>
      <sz val="11"/>
      <color theme="1"/>
      <name val="Open Sans"/>
      <family val="2"/>
    </font>
    <font>
      <b/>
      <sz val="12"/>
      <color theme="0"/>
      <name val="Open Sans"/>
      <family val="2"/>
      <charset val="238"/>
    </font>
    <font>
      <b/>
      <sz val="11"/>
      <name val="Open Sans"/>
      <family val="2"/>
      <charset val="238"/>
    </font>
    <font>
      <b/>
      <sz val="12"/>
      <color rgb="FFFF5050"/>
      <name val="Open Sans"/>
      <family val="2"/>
      <charset val="238"/>
    </font>
    <font>
      <b/>
      <sz val="12"/>
      <color rgb="FF003399"/>
      <name val="Open Sans"/>
      <family val="2"/>
      <charset val="238"/>
    </font>
    <font>
      <b/>
      <sz val="12"/>
      <name val="Open Sans"/>
      <family val="2"/>
      <charset val="238"/>
    </font>
    <font>
      <b/>
      <i/>
      <sz val="12"/>
      <color theme="1"/>
      <name val="Open Sans"/>
      <family val="2"/>
      <charset val="238"/>
    </font>
    <font>
      <sz val="12"/>
      <name val="Open Sans"/>
      <family val="2"/>
      <charset val="238"/>
    </font>
    <font>
      <b/>
      <sz val="20"/>
      <color rgb="FFC00000"/>
      <name val="Open Sans"/>
      <family val="2"/>
      <charset val="238"/>
    </font>
    <font>
      <sz val="11"/>
      <name val="Open Sans"/>
      <family val="2"/>
      <charset val="238"/>
    </font>
    <font>
      <b/>
      <sz val="12"/>
      <color theme="8" tint="-0.499984740745262"/>
      <name val="Open Sans"/>
      <family val="2"/>
      <charset val="238"/>
    </font>
    <font>
      <b/>
      <sz val="14"/>
      <color rgb="FFC00000"/>
      <name val="Open Sans"/>
      <family val="2"/>
      <charset val="238"/>
    </font>
    <font>
      <i/>
      <sz val="12"/>
      <name val="Open Sans"/>
      <family val="2"/>
      <charset val="238"/>
    </font>
    <font>
      <i/>
      <sz val="11"/>
      <color theme="1"/>
      <name val="Open Sans"/>
      <family val="2"/>
      <charset val="238"/>
    </font>
    <font>
      <i/>
      <sz val="12"/>
      <color theme="1"/>
      <name val="Open Sans"/>
      <family val="2"/>
      <charset val="238"/>
    </font>
    <font>
      <sz val="12"/>
      <color theme="0"/>
      <name val="Open Sans"/>
      <family val="2"/>
      <charset val="238"/>
    </font>
    <font>
      <b/>
      <sz val="14"/>
      <color theme="8" tint="-0.249977111117893"/>
      <name val="Open Sans"/>
      <family val="2"/>
      <charset val="238"/>
    </font>
    <font>
      <sz val="14"/>
      <name val="Open Sans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20"/>
      <color theme="0" tint="-4.9989318521683403E-2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8"/>
      <color theme="7" tint="0.79998168889431442"/>
      <name val="Calibri"/>
      <family val="2"/>
      <charset val="238"/>
      <scheme val="minor"/>
    </font>
    <font>
      <b/>
      <sz val="26"/>
      <color theme="7" tint="0.79998168889431442"/>
      <name val="Calibri"/>
      <family val="2"/>
      <charset val="238"/>
      <scheme val="minor"/>
    </font>
    <font>
      <b/>
      <sz val="14"/>
      <color rgb="FF00B050"/>
      <name val="Open Sans"/>
      <family val="2"/>
      <charset val="238"/>
    </font>
    <font>
      <b/>
      <sz val="12"/>
      <color rgb="FF00B050"/>
      <name val="Open Sans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8A6B9"/>
        <bgColor indexed="64"/>
      </patternFill>
    </fill>
    <fill>
      <patternFill patternType="solid">
        <fgColor rgb="FFD354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24460"/>
        <bgColor indexed="64"/>
      </patternFill>
    </fill>
    <fill>
      <patternFill patternType="solid">
        <fgColor rgb="FFED6862"/>
        <bgColor indexed="64"/>
      </patternFill>
    </fill>
    <fill>
      <patternFill patternType="solid">
        <fgColor rgb="FF9BD5DF"/>
        <bgColor indexed="64"/>
      </patternFill>
    </fill>
    <fill>
      <patternFill patternType="solid">
        <fgColor rgb="FF99B4BF"/>
        <bgColor indexed="64"/>
      </patternFill>
    </fill>
    <fill>
      <patternFill patternType="solid">
        <fgColor rgb="FFFDEFE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7C2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54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/>
    <xf numFmtId="0" fontId="3" fillId="4" borderId="2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5" fillId="2" borderId="0" xfId="0" applyFont="1" applyFill="1" applyAlignment="1">
      <alignment horizontal="left"/>
    </xf>
    <xf numFmtId="0" fontId="10" fillId="0" borderId="0" xfId="0" applyFont="1"/>
    <xf numFmtId="0" fontId="15" fillId="2" borderId="0" xfId="0" applyFont="1" applyFill="1"/>
    <xf numFmtId="0" fontId="16" fillId="11" borderId="9" xfId="0" applyFont="1" applyFill="1" applyBorder="1" applyAlignment="1">
      <alignment vertical="center" wrapText="1"/>
    </xf>
    <xf numFmtId="165" fontId="17" fillId="12" borderId="9" xfId="5" applyNumberFormat="1" applyFont="1" applyFill="1" applyBorder="1" applyAlignment="1">
      <alignment horizontal="right" vertical="center"/>
    </xf>
    <xf numFmtId="0" fontId="16" fillId="11" borderId="9" xfId="0" applyFont="1" applyFill="1" applyBorder="1" applyAlignment="1">
      <alignment horizontal="center" vertical="center" wrapText="1"/>
    </xf>
    <xf numFmtId="165" fontId="15" fillId="2" borderId="0" xfId="0" applyNumberFormat="1" applyFont="1" applyFill="1"/>
    <xf numFmtId="0" fontId="17" fillId="12" borderId="9" xfId="0" applyFont="1" applyFill="1" applyBorder="1" applyAlignment="1">
      <alignment horizontal="right" vertical="center"/>
    </xf>
    <xf numFmtId="165" fontId="17" fillId="11" borderId="9" xfId="5" applyNumberFormat="1" applyFont="1" applyFill="1" applyBorder="1" applyAlignment="1">
      <alignment vertical="center" wrapText="1"/>
    </xf>
    <xf numFmtId="10" fontId="15" fillId="2" borderId="0" xfId="0" applyNumberFormat="1" applyFont="1" applyFill="1"/>
    <xf numFmtId="166" fontId="15" fillId="2" borderId="0" xfId="0" applyNumberFormat="1" applyFont="1" applyFill="1"/>
    <xf numFmtId="44" fontId="17" fillId="12" borderId="9" xfId="5" applyFont="1" applyFill="1" applyBorder="1" applyAlignment="1">
      <alignment horizontal="right" vertical="center"/>
    </xf>
    <xf numFmtId="9" fontId="15" fillId="2" borderId="0" xfId="6" applyFont="1" applyFill="1"/>
    <xf numFmtId="0" fontId="14" fillId="2" borderId="0" xfId="0" applyFont="1" applyFill="1"/>
    <xf numFmtId="0" fontId="18" fillId="2" borderId="0" xfId="0" applyFont="1" applyFill="1"/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/>
    </xf>
    <xf numFmtId="0" fontId="19" fillId="13" borderId="9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0" fontId="21" fillId="17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24" fillId="2" borderId="0" xfId="0" applyFont="1" applyFill="1" applyAlignment="1">
      <alignment horizontal="center" wrapText="1"/>
    </xf>
    <xf numFmtId="0" fontId="18" fillId="2" borderId="9" xfId="0" applyFont="1" applyFill="1" applyBorder="1"/>
    <xf numFmtId="165" fontId="15" fillId="2" borderId="9" xfId="5" applyNumberFormat="1" applyFont="1" applyFill="1" applyBorder="1"/>
    <xf numFmtId="165" fontId="17" fillId="2" borderId="9" xfId="5" applyNumberFormat="1" applyFont="1" applyFill="1" applyBorder="1"/>
    <xf numFmtId="0" fontId="15" fillId="3" borderId="9" xfId="0" applyFont="1" applyFill="1" applyBorder="1" applyAlignment="1">
      <alignment wrapText="1"/>
    </xf>
    <xf numFmtId="165" fontId="15" fillId="11" borderId="9" xfId="5" applyNumberFormat="1" applyFont="1" applyFill="1" applyBorder="1"/>
    <xf numFmtId="0" fontId="18" fillId="3" borderId="9" xfId="0" applyFont="1" applyFill="1" applyBorder="1"/>
    <xf numFmtId="165" fontId="17" fillId="11" borderId="9" xfId="5" applyNumberFormat="1" applyFont="1" applyFill="1" applyBorder="1"/>
    <xf numFmtId="165" fontId="25" fillId="2" borderId="0" xfId="0" applyNumberFormat="1" applyFont="1" applyFill="1"/>
    <xf numFmtId="0" fontId="17" fillId="3" borderId="9" xfId="0" applyFont="1" applyFill="1" applyBorder="1"/>
    <xf numFmtId="0" fontId="18" fillId="3" borderId="9" xfId="0" applyFont="1" applyFill="1" applyBorder="1" applyAlignment="1">
      <alignment wrapText="1"/>
    </xf>
    <xf numFmtId="165" fontId="15" fillId="2" borderId="0" xfId="5" applyNumberFormat="1" applyFont="1" applyFill="1" applyBorder="1" applyAlignment="1">
      <alignment wrapText="1"/>
    </xf>
    <xf numFmtId="0" fontId="14" fillId="2" borderId="12" xfId="0" applyFont="1" applyFill="1" applyBorder="1" applyAlignment="1">
      <alignment horizontal="left" vertical="top"/>
    </xf>
    <xf numFmtId="0" fontId="15" fillId="2" borderId="12" xfId="0" applyFont="1" applyFill="1" applyBorder="1"/>
    <xf numFmtId="0" fontId="25" fillId="2" borderId="12" xfId="0" applyFont="1" applyFill="1" applyBorder="1"/>
    <xf numFmtId="0" fontId="26" fillId="2" borderId="12" xfId="0" applyFont="1" applyFill="1" applyBorder="1"/>
    <xf numFmtId="0" fontId="28" fillId="5" borderId="21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17" fillId="3" borderId="24" xfId="0" applyFont="1" applyFill="1" applyBorder="1"/>
    <xf numFmtId="10" fontId="15" fillId="2" borderId="25" xfId="0" applyNumberFormat="1" applyFont="1" applyFill="1" applyBorder="1" applyAlignment="1">
      <alignment wrapText="1"/>
    </xf>
    <xf numFmtId="165" fontId="15" fillId="11" borderId="22" xfId="5" applyNumberFormat="1" applyFont="1" applyFill="1" applyBorder="1"/>
    <xf numFmtId="165" fontId="15" fillId="2" borderId="26" xfId="5" applyNumberFormat="1" applyFont="1" applyFill="1" applyBorder="1" applyAlignment="1">
      <alignment wrapText="1"/>
    </xf>
    <xf numFmtId="167" fontId="15" fillId="2" borderId="26" xfId="5" applyNumberFormat="1" applyFont="1" applyFill="1" applyBorder="1" applyAlignment="1">
      <alignment wrapText="1"/>
    </xf>
    <xf numFmtId="168" fontId="15" fillId="2" borderId="24" xfId="5" applyNumberFormat="1" applyFont="1" applyFill="1" applyBorder="1" applyAlignment="1">
      <alignment wrapText="1"/>
    </xf>
    <xf numFmtId="165" fontId="15" fillId="2" borderId="21" xfId="5" applyNumberFormat="1" applyFont="1" applyFill="1" applyBorder="1" applyAlignment="1">
      <alignment wrapText="1"/>
    </xf>
    <xf numFmtId="44" fontId="15" fillId="2" borderId="22" xfId="0" applyNumberFormat="1" applyFont="1" applyFill="1" applyBorder="1" applyAlignment="1">
      <alignment wrapText="1"/>
    </xf>
    <xf numFmtId="44" fontId="15" fillId="2" borderId="9" xfId="0" applyNumberFormat="1" applyFont="1" applyFill="1" applyBorder="1" applyAlignment="1">
      <alignment wrapText="1"/>
    </xf>
    <xf numFmtId="0" fontId="15" fillId="2" borderId="27" xfId="0" applyFont="1" applyFill="1" applyBorder="1" applyAlignment="1">
      <alignment wrapText="1"/>
    </xf>
    <xf numFmtId="165" fontId="15" fillId="2" borderId="24" xfId="5" applyNumberFormat="1" applyFont="1" applyFill="1" applyBorder="1" applyAlignment="1">
      <alignment wrapText="1"/>
    </xf>
    <xf numFmtId="165" fontId="15" fillId="10" borderId="22" xfId="5" applyNumberFormat="1" applyFont="1" applyFill="1" applyBorder="1" applyAlignment="1">
      <alignment wrapText="1"/>
    </xf>
    <xf numFmtId="0" fontId="17" fillId="3" borderId="28" xfId="0" applyFont="1" applyFill="1" applyBorder="1"/>
    <xf numFmtId="10" fontId="15" fillId="2" borderId="29" xfId="0" applyNumberFormat="1" applyFont="1" applyFill="1" applyBorder="1" applyAlignment="1">
      <alignment wrapText="1"/>
    </xf>
    <xf numFmtId="165" fontId="15" fillId="11" borderId="30" xfId="5" applyNumberFormat="1" applyFont="1" applyFill="1" applyBorder="1"/>
    <xf numFmtId="10" fontId="15" fillId="0" borderId="29" xfId="0" applyNumberFormat="1" applyFont="1" applyBorder="1" applyAlignment="1">
      <alignment wrapText="1"/>
    </xf>
    <xf numFmtId="165" fontId="15" fillId="0" borderId="31" xfId="5" applyNumberFormat="1" applyFont="1" applyFill="1" applyBorder="1" applyAlignment="1">
      <alignment wrapText="1"/>
    </xf>
    <xf numFmtId="165" fontId="15" fillId="2" borderId="32" xfId="5" applyNumberFormat="1" applyFont="1" applyFill="1" applyBorder="1" applyAlignment="1">
      <alignment wrapText="1"/>
    </xf>
    <xf numFmtId="167" fontId="15" fillId="2" borderId="32" xfId="5" applyNumberFormat="1" applyFont="1" applyFill="1" applyBorder="1" applyAlignment="1">
      <alignment wrapText="1"/>
    </xf>
    <xf numFmtId="0" fontId="17" fillId="3" borderId="16" xfId="0" applyFont="1" applyFill="1" applyBorder="1" applyAlignment="1">
      <alignment wrapText="1"/>
    </xf>
    <xf numFmtId="10" fontId="15" fillId="2" borderId="33" xfId="0" applyNumberFormat="1" applyFont="1" applyFill="1" applyBorder="1" applyAlignment="1">
      <alignment wrapText="1"/>
    </xf>
    <xf numFmtId="165" fontId="15" fillId="11" borderId="18" xfId="5" applyNumberFormat="1" applyFont="1" applyFill="1" applyBorder="1"/>
    <xf numFmtId="6" fontId="16" fillId="11" borderId="34" xfId="0" applyNumberFormat="1" applyFont="1" applyFill="1" applyBorder="1" applyAlignment="1">
      <alignment vertical="center" wrapText="1"/>
    </xf>
    <xf numFmtId="165" fontId="15" fillId="2" borderId="35" xfId="5" applyNumberFormat="1" applyFont="1" applyFill="1" applyBorder="1" applyAlignment="1">
      <alignment wrapText="1"/>
    </xf>
    <xf numFmtId="167" fontId="15" fillId="2" borderId="35" xfId="5" applyNumberFormat="1" applyFont="1" applyFill="1" applyBorder="1" applyAlignment="1">
      <alignment wrapText="1"/>
    </xf>
    <xf numFmtId="0" fontId="17" fillId="3" borderId="28" xfId="0" applyFont="1" applyFill="1" applyBorder="1" applyAlignment="1">
      <alignment wrapText="1"/>
    </xf>
    <xf numFmtId="6" fontId="16" fillId="11" borderId="31" xfId="0" applyNumberFormat="1" applyFont="1" applyFill="1" applyBorder="1" applyAlignment="1">
      <alignment vertical="center" wrapText="1"/>
    </xf>
    <xf numFmtId="168" fontId="15" fillId="2" borderId="28" xfId="5" applyNumberFormat="1" applyFont="1" applyFill="1" applyBorder="1" applyAlignment="1">
      <alignment wrapText="1"/>
    </xf>
    <xf numFmtId="165" fontId="15" fillId="2" borderId="36" xfId="5" applyNumberFormat="1" applyFont="1" applyFill="1" applyBorder="1" applyAlignment="1">
      <alignment wrapText="1"/>
    </xf>
    <xf numFmtId="44" fontId="15" fillId="2" borderId="30" xfId="0" applyNumberFormat="1" applyFont="1" applyFill="1" applyBorder="1" applyAlignment="1">
      <alignment wrapText="1"/>
    </xf>
    <xf numFmtId="44" fontId="15" fillId="2" borderId="37" xfId="0" applyNumberFormat="1" applyFont="1" applyFill="1" applyBorder="1" applyAlignment="1">
      <alignment wrapText="1"/>
    </xf>
    <xf numFmtId="0" fontId="15" fillId="2" borderId="38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10" fontId="15" fillId="2" borderId="0" xfId="0" applyNumberFormat="1" applyFont="1" applyFill="1" applyAlignment="1">
      <alignment wrapText="1"/>
    </xf>
    <xf numFmtId="165" fontId="15" fillId="2" borderId="0" xfId="5" applyNumberFormat="1" applyFont="1" applyFill="1" applyBorder="1"/>
    <xf numFmtId="6" fontId="16" fillId="2" borderId="0" xfId="0" applyNumberFormat="1" applyFont="1" applyFill="1" applyAlignment="1">
      <alignment vertical="center" wrapText="1"/>
    </xf>
    <xf numFmtId="169" fontId="15" fillId="2" borderId="0" xfId="5" applyNumberFormat="1" applyFont="1" applyFill="1" applyBorder="1" applyAlignment="1">
      <alignment wrapText="1"/>
    </xf>
    <xf numFmtId="168" fontId="15" fillId="2" borderId="0" xfId="0" applyNumberFormat="1" applyFont="1" applyFill="1" applyAlignment="1">
      <alignment wrapText="1"/>
    </xf>
    <xf numFmtId="44" fontId="15" fillId="2" borderId="0" xfId="0" applyNumberFormat="1" applyFont="1" applyFill="1" applyAlignment="1">
      <alignment wrapText="1"/>
    </xf>
    <xf numFmtId="0" fontId="25" fillId="2" borderId="0" xfId="0" applyFont="1" applyFill="1"/>
    <xf numFmtId="165" fontId="17" fillId="12" borderId="11" xfId="5" applyNumberFormat="1" applyFont="1" applyFill="1" applyBorder="1" applyAlignment="1">
      <alignment horizontal="right" vertical="center"/>
    </xf>
    <xf numFmtId="165" fontId="18" fillId="2" borderId="42" xfId="5" applyNumberFormat="1" applyFont="1" applyFill="1" applyBorder="1"/>
    <xf numFmtId="0" fontId="17" fillId="3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0" fontId="32" fillId="15" borderId="9" xfId="0" applyFont="1" applyFill="1" applyBorder="1" applyAlignment="1">
      <alignment horizontal="center" vertical="center" wrapText="1"/>
    </xf>
    <xf numFmtId="0" fontId="32" fillId="16" borderId="9" xfId="0" applyFont="1" applyFill="1" applyBorder="1" applyAlignment="1">
      <alignment horizontal="center" vertical="center" wrapText="1"/>
    </xf>
    <xf numFmtId="0" fontId="17" fillId="16" borderId="0" xfId="0" applyFont="1" applyFill="1" applyAlignment="1">
      <alignment horizontal="center" vertical="center" wrapText="1"/>
    </xf>
    <xf numFmtId="0" fontId="25" fillId="11" borderId="9" xfId="0" applyFont="1" applyFill="1" applyBorder="1" applyAlignment="1">
      <alignment vertical="center" wrapText="1"/>
    </xf>
    <xf numFmtId="164" fontId="15" fillId="11" borderId="9" xfId="0" applyNumberFormat="1" applyFont="1" applyFill="1" applyBorder="1" applyAlignment="1">
      <alignment vertical="center"/>
    </xf>
    <xf numFmtId="170" fontId="15" fillId="11" borderId="10" xfId="4" applyNumberFormat="1" applyFont="1" applyFill="1" applyBorder="1" applyAlignment="1">
      <alignment vertical="center"/>
    </xf>
    <xf numFmtId="6" fontId="15" fillId="11" borderId="9" xfId="0" applyNumberFormat="1" applyFont="1" applyFill="1" applyBorder="1"/>
    <xf numFmtId="6" fontId="25" fillId="11" borderId="9" xfId="0" applyNumberFormat="1" applyFont="1" applyFill="1" applyBorder="1"/>
    <xf numFmtId="0" fontId="15" fillId="2" borderId="43" xfId="0" applyFont="1" applyFill="1" applyBorder="1"/>
    <xf numFmtId="44" fontId="15" fillId="2" borderId="0" xfId="5" applyFont="1" applyFill="1"/>
    <xf numFmtId="0" fontId="32" fillId="16" borderId="21" xfId="0" applyFont="1" applyFill="1" applyBorder="1" applyAlignment="1">
      <alignment horizontal="center" vertical="center" wrapText="1"/>
    </xf>
    <xf numFmtId="0" fontId="32" fillId="16" borderId="22" xfId="0" applyFont="1" applyFill="1" applyBorder="1" applyAlignment="1">
      <alignment horizontal="center" vertical="center" wrapText="1"/>
    </xf>
    <xf numFmtId="0" fontId="32" fillId="15" borderId="21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0" fontId="27" fillId="20" borderId="1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31" fillId="2" borderId="21" xfId="0" applyFont="1" applyFill="1" applyBorder="1" applyAlignment="1">
      <alignment horizontal="left" vertical="center" wrapText="1"/>
    </xf>
    <xf numFmtId="0" fontId="33" fillId="2" borderId="9" xfId="0" applyFont="1" applyFill="1" applyBorder="1" applyAlignment="1">
      <alignment horizontal="left" vertical="center" wrapText="1"/>
    </xf>
    <xf numFmtId="0" fontId="33" fillId="2" borderId="22" xfId="0" applyFont="1" applyFill="1" applyBorder="1" applyAlignment="1">
      <alignment horizontal="left" vertical="center" wrapText="1"/>
    </xf>
    <xf numFmtId="10" fontId="15" fillId="2" borderId="21" xfId="0" applyNumberFormat="1" applyFont="1" applyFill="1" applyBorder="1"/>
    <xf numFmtId="171" fontId="15" fillId="2" borderId="9" xfId="0" applyNumberFormat="1" applyFont="1" applyFill="1" applyBorder="1"/>
    <xf numFmtId="172" fontId="15" fillId="2" borderId="22" xfId="0" applyNumberFormat="1" applyFont="1" applyFill="1" applyBorder="1"/>
    <xf numFmtId="10" fontId="15" fillId="2" borderId="22" xfId="0" applyNumberFormat="1" applyFont="1" applyFill="1" applyBorder="1"/>
    <xf numFmtId="171" fontId="15" fillId="2" borderId="21" xfId="0" applyNumberFormat="1" applyFont="1" applyFill="1" applyBorder="1"/>
    <xf numFmtId="10" fontId="15" fillId="2" borderId="9" xfId="0" applyNumberFormat="1" applyFont="1" applyFill="1" applyBorder="1"/>
    <xf numFmtId="172" fontId="15" fillId="2" borderId="21" xfId="0" applyNumberFormat="1" applyFont="1" applyFill="1" applyBorder="1"/>
    <xf numFmtId="172" fontId="15" fillId="2" borderId="9" xfId="0" applyNumberFormat="1" applyFont="1" applyFill="1" applyBorder="1"/>
    <xf numFmtId="0" fontId="31" fillId="2" borderId="36" xfId="0" applyFont="1" applyFill="1" applyBorder="1" applyAlignment="1">
      <alignment horizontal="left" vertical="center" wrapText="1"/>
    </xf>
    <xf numFmtId="0" fontId="33" fillId="2" borderId="37" xfId="0" applyFont="1" applyFill="1" applyBorder="1" applyAlignment="1">
      <alignment horizontal="left" vertical="center" wrapText="1"/>
    </xf>
    <xf numFmtId="0" fontId="33" fillId="2" borderId="30" xfId="0" applyFont="1" applyFill="1" applyBorder="1" applyAlignment="1">
      <alignment horizontal="left" vertical="center" wrapText="1"/>
    </xf>
    <xf numFmtId="10" fontId="15" fillId="2" borderId="36" xfId="0" applyNumberFormat="1" applyFont="1" applyFill="1" applyBorder="1"/>
    <xf numFmtId="171" fontId="15" fillId="2" borderId="37" xfId="0" applyNumberFormat="1" applyFont="1" applyFill="1" applyBorder="1"/>
    <xf numFmtId="172" fontId="15" fillId="2" borderId="30" xfId="0" applyNumberFormat="1" applyFont="1" applyFill="1" applyBorder="1"/>
    <xf numFmtId="172" fontId="15" fillId="2" borderId="36" xfId="0" applyNumberFormat="1" applyFont="1" applyFill="1" applyBorder="1"/>
    <xf numFmtId="172" fontId="15" fillId="2" borderId="37" xfId="0" applyNumberFormat="1" applyFont="1" applyFill="1" applyBorder="1"/>
    <xf numFmtId="171" fontId="15" fillId="2" borderId="36" xfId="0" applyNumberFormat="1" applyFont="1" applyFill="1" applyBorder="1"/>
    <xf numFmtId="173" fontId="15" fillId="2" borderId="0" xfId="0" applyNumberFormat="1" applyFont="1" applyFill="1"/>
    <xf numFmtId="0" fontId="15" fillId="22" borderId="0" xfId="0" applyFont="1" applyFill="1"/>
    <xf numFmtId="0" fontId="16" fillId="2" borderId="0" xfId="0" applyFont="1" applyFill="1"/>
    <xf numFmtId="0" fontId="27" fillId="13" borderId="17" xfId="0" applyFont="1" applyFill="1" applyBorder="1" applyAlignment="1">
      <alignment horizontal="center" vertical="center" wrapText="1"/>
    </xf>
    <xf numFmtId="0" fontId="27" fillId="14" borderId="21" xfId="0" applyFont="1" applyFill="1" applyBorder="1" applyAlignment="1">
      <alignment horizontal="center" vertical="center" wrapText="1"/>
    </xf>
    <xf numFmtId="0" fontId="27" fillId="14" borderId="9" xfId="0" applyFont="1" applyFill="1" applyBorder="1" applyAlignment="1">
      <alignment horizontal="center" vertical="center" wrapText="1"/>
    </xf>
    <xf numFmtId="0" fontId="27" fillId="14" borderId="22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10" fontId="15" fillId="2" borderId="9" xfId="0" applyNumberFormat="1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/>
    </xf>
    <xf numFmtId="0" fontId="25" fillId="2" borderId="21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10" fontId="15" fillId="2" borderId="21" xfId="0" applyNumberFormat="1" applyFont="1" applyFill="1" applyBorder="1" applyAlignment="1">
      <alignment horizontal="center"/>
    </xf>
    <xf numFmtId="165" fontId="15" fillId="2" borderId="22" xfId="5" applyNumberFormat="1" applyFont="1" applyFill="1" applyBorder="1" applyAlignment="1">
      <alignment horizontal="center"/>
    </xf>
    <xf numFmtId="10" fontId="15" fillId="2" borderId="36" xfId="0" applyNumberFormat="1" applyFont="1" applyFill="1" applyBorder="1" applyAlignment="1">
      <alignment horizontal="center"/>
    </xf>
    <xf numFmtId="165" fontId="15" fillId="2" borderId="30" xfId="5" applyNumberFormat="1" applyFont="1" applyFill="1" applyBorder="1" applyAlignment="1">
      <alignment horizontal="center"/>
    </xf>
    <xf numFmtId="165" fontId="15" fillId="2" borderId="21" xfId="5" applyNumberFormat="1" applyFont="1" applyFill="1" applyBorder="1" applyAlignment="1">
      <alignment horizontal="center"/>
    </xf>
    <xf numFmtId="165" fontId="15" fillId="2" borderId="36" xfId="5" applyNumberFormat="1" applyFont="1" applyFill="1" applyBorder="1" applyAlignment="1">
      <alignment horizontal="center"/>
    </xf>
    <xf numFmtId="10" fontId="15" fillId="2" borderId="37" xfId="0" applyNumberFormat="1" applyFont="1" applyFill="1" applyBorder="1" applyAlignment="1">
      <alignment horizontal="center"/>
    </xf>
    <xf numFmtId="0" fontId="34" fillId="2" borderId="0" xfId="0" applyFont="1" applyFill="1"/>
    <xf numFmtId="0" fontId="15" fillId="2" borderId="45" xfId="0" applyFont="1" applyFill="1" applyBorder="1"/>
    <xf numFmtId="5" fontId="18" fillId="2" borderId="46" xfId="5" applyNumberFormat="1" applyFont="1" applyFill="1" applyBorder="1" applyAlignment="1"/>
    <xf numFmtId="0" fontId="33" fillId="2" borderId="48" xfId="0" applyFont="1" applyFill="1" applyBorder="1" applyAlignment="1">
      <alignment horizontal="left" vertical="center" wrapText="1"/>
    </xf>
    <xf numFmtId="0" fontId="35" fillId="2" borderId="49" xfId="0" applyFont="1" applyFill="1" applyBorder="1" applyAlignment="1">
      <alignment horizontal="left" vertical="center" wrapText="1"/>
    </xf>
    <xf numFmtId="0" fontId="36" fillId="2" borderId="5" xfId="0" applyFont="1" applyFill="1" applyBorder="1" applyAlignment="1">
      <alignment horizontal="left" vertical="center" wrapText="1"/>
    </xf>
    <xf numFmtId="5" fontId="15" fillId="2" borderId="0" xfId="0" applyNumberFormat="1" applyFont="1" applyFill="1"/>
    <xf numFmtId="0" fontId="15" fillId="0" borderId="0" xfId="0" applyFont="1"/>
    <xf numFmtId="0" fontId="15" fillId="9" borderId="0" xfId="0" applyFont="1" applyFill="1"/>
    <xf numFmtId="171" fontId="25" fillId="0" borderId="48" xfId="0" applyNumberFormat="1" applyFont="1" applyBorder="1"/>
    <xf numFmtId="9" fontId="25" fillId="0" borderId="49" xfId="6" applyFont="1" applyBorder="1"/>
    <xf numFmtId="10" fontId="25" fillId="0" borderId="49" xfId="6" applyNumberFormat="1" applyFont="1" applyBorder="1"/>
    <xf numFmtId="0" fontId="18" fillId="2" borderId="0" xfId="0" applyFont="1" applyFill="1" applyAlignment="1">
      <alignment vertical="center"/>
    </xf>
    <xf numFmtId="0" fontId="18" fillId="2" borderId="50" xfId="0" applyFont="1" applyFill="1" applyBorder="1" applyAlignment="1">
      <alignment horizontal="right" vertical="center"/>
    </xf>
    <xf numFmtId="5" fontId="18" fillId="2" borderId="51" xfId="5" applyNumberFormat="1" applyFont="1" applyFill="1" applyBorder="1" applyAlignment="1">
      <alignment horizontal="left"/>
    </xf>
    <xf numFmtId="0" fontId="15" fillId="2" borderId="46" xfId="0" applyFont="1" applyFill="1" applyBorder="1"/>
    <xf numFmtId="0" fontId="18" fillId="2" borderId="50" xfId="0" applyFont="1" applyFill="1" applyBorder="1" applyAlignment="1">
      <alignment vertical="center"/>
    </xf>
    <xf numFmtId="5" fontId="18" fillId="2" borderId="0" xfId="5" applyNumberFormat="1" applyFont="1" applyFill="1" applyBorder="1" applyAlignment="1">
      <alignment horizontal="left"/>
    </xf>
    <xf numFmtId="0" fontId="15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8" fillId="2" borderId="44" xfId="0" applyFont="1" applyFill="1" applyBorder="1" applyAlignment="1">
      <alignment horizontal="left" vertical="top" wrapText="1"/>
    </xf>
    <xf numFmtId="0" fontId="38" fillId="2" borderId="48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39" fillId="2" borderId="49" xfId="0" applyFont="1" applyFill="1" applyBorder="1" applyAlignment="1">
      <alignment wrapText="1"/>
    </xf>
    <xf numFmtId="0" fontId="38" fillId="2" borderId="0" xfId="0" applyFont="1" applyFill="1" applyAlignment="1">
      <alignment horizontal="left" vertical="center" wrapText="1"/>
    </xf>
    <xf numFmtId="0" fontId="39" fillId="2" borderId="0" xfId="0" applyFont="1" applyFill="1" applyAlignment="1">
      <alignment wrapText="1"/>
    </xf>
    <xf numFmtId="0" fontId="33" fillId="2" borderId="0" xfId="0" applyFont="1" applyFill="1" applyAlignment="1">
      <alignment horizontal="left" vertical="center" wrapText="1"/>
    </xf>
    <xf numFmtId="44" fontId="33" fillId="2" borderId="0" xfId="5" applyFont="1" applyFill="1" applyBorder="1" applyAlignment="1">
      <alignment horizontal="left" vertical="center" wrapText="1"/>
    </xf>
    <xf numFmtId="0" fontId="40" fillId="2" borderId="44" xfId="0" applyFont="1" applyFill="1" applyBorder="1" applyAlignment="1">
      <alignment horizontal="left" vertical="top" wrapText="1"/>
    </xf>
    <xf numFmtId="0" fontId="39" fillId="2" borderId="48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49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5" fontId="16" fillId="2" borderId="53" xfId="5" applyNumberFormat="1" applyFont="1" applyFill="1" applyBorder="1" applyAlignment="1"/>
    <xf numFmtId="5" fontId="16" fillId="2" borderId="7" xfId="5" applyNumberFormat="1" applyFont="1" applyFill="1" applyBorder="1" applyAlignment="1"/>
    <xf numFmtId="5" fontId="16" fillId="2" borderId="54" xfId="5" applyNumberFormat="1" applyFont="1" applyFill="1" applyBorder="1" applyAlignment="1"/>
    <xf numFmtId="5" fontId="16" fillId="2" borderId="0" xfId="5" applyNumberFormat="1" applyFont="1" applyFill="1" applyBorder="1" applyAlignment="1"/>
    <xf numFmtId="171" fontId="15" fillId="0" borderId="48" xfId="0" applyNumberFormat="1" applyFont="1" applyBorder="1"/>
    <xf numFmtId="171" fontId="15" fillId="2" borderId="0" xfId="0" applyNumberFormat="1" applyFont="1" applyFill="1"/>
    <xf numFmtId="10" fontId="15" fillId="2" borderId="0" xfId="6" applyNumberFormat="1" applyFont="1" applyFill="1" applyBorder="1"/>
    <xf numFmtId="0" fontId="41" fillId="2" borderId="0" xfId="0" applyFont="1" applyFill="1" applyAlignment="1">
      <alignment horizontal="left" vertical="center" wrapText="1"/>
    </xf>
    <xf numFmtId="174" fontId="15" fillId="2" borderId="0" xfId="0" applyNumberFormat="1" applyFont="1" applyFill="1"/>
    <xf numFmtId="8" fontId="15" fillId="2" borderId="0" xfId="0" applyNumberFormat="1" applyFont="1" applyFill="1"/>
    <xf numFmtId="1" fontId="15" fillId="2" borderId="0" xfId="0" applyNumberFormat="1" applyFont="1" applyFill="1"/>
    <xf numFmtId="0" fontId="15" fillId="0" borderId="4" xfId="0" applyFont="1" applyBorder="1"/>
    <xf numFmtId="10" fontId="15" fillId="9" borderId="4" xfId="0" applyNumberFormat="1" applyFont="1" applyFill="1" applyBorder="1"/>
    <xf numFmtId="0" fontId="15" fillId="2" borderId="0" xfId="0" quotePrefix="1" applyFont="1" applyFill="1"/>
    <xf numFmtId="8" fontId="15" fillId="9" borderId="4" xfId="0" applyNumberFormat="1" applyFont="1" applyFill="1" applyBorder="1"/>
    <xf numFmtId="0" fontId="15" fillId="0" borderId="4" xfId="0" applyFont="1" applyBorder="1" applyAlignment="1">
      <alignment wrapText="1"/>
    </xf>
    <xf numFmtId="8" fontId="15" fillId="21" borderId="4" xfId="0" applyNumberFormat="1" applyFont="1" applyFill="1" applyBorder="1"/>
    <xf numFmtId="0" fontId="41" fillId="8" borderId="4" xfId="0" applyFont="1" applyFill="1" applyBorder="1" applyAlignment="1">
      <alignment horizontal="left" vertical="center" wrapText="1"/>
    </xf>
    <xf numFmtId="6" fontId="15" fillId="0" borderId="4" xfId="0" applyNumberFormat="1" applyFont="1" applyBorder="1"/>
    <xf numFmtId="8" fontId="15" fillId="0" borderId="4" xfId="0" applyNumberFormat="1" applyFont="1" applyBorder="1"/>
    <xf numFmtId="10" fontId="15" fillId="2" borderId="4" xfId="6" applyNumberFormat="1" applyFont="1" applyFill="1" applyBorder="1"/>
    <xf numFmtId="0" fontId="36" fillId="2" borderId="10" xfId="0" applyFont="1" applyFill="1" applyBorder="1" applyAlignment="1">
      <alignment horizontal="left" vertical="center" wrapText="1"/>
    </xf>
    <xf numFmtId="175" fontId="15" fillId="0" borderId="21" xfId="0" applyNumberFormat="1" applyFont="1" applyBorder="1"/>
    <xf numFmtId="175" fontId="15" fillId="0" borderId="36" xfId="0" applyNumberFormat="1" applyFont="1" applyBorder="1"/>
    <xf numFmtId="176" fontId="15" fillId="0" borderId="30" xfId="6" applyNumberFormat="1" applyFont="1" applyBorder="1"/>
    <xf numFmtId="5" fontId="42" fillId="2" borderId="18" xfId="5" applyNumberFormat="1" applyFont="1" applyFill="1" applyBorder="1" applyAlignment="1"/>
    <xf numFmtId="175" fontId="15" fillId="0" borderId="64" xfId="0" applyNumberFormat="1" applyFont="1" applyBorder="1"/>
    <xf numFmtId="0" fontId="24" fillId="2" borderId="17" xfId="0" applyFont="1" applyFill="1" applyBorder="1"/>
    <xf numFmtId="0" fontId="43" fillId="2" borderId="36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center"/>
    </xf>
    <xf numFmtId="175" fontId="15" fillId="0" borderId="22" xfId="0" applyNumberFormat="1" applyFont="1" applyBorder="1"/>
    <xf numFmtId="0" fontId="15" fillId="2" borderId="36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175" fontId="15" fillId="0" borderId="30" xfId="0" applyNumberFormat="1" applyFont="1" applyBorder="1"/>
    <xf numFmtId="5" fontId="25" fillId="2" borderId="21" xfId="0" applyNumberFormat="1" applyFont="1" applyFill="1" applyBorder="1" applyAlignment="1">
      <alignment vertical="center"/>
    </xf>
    <xf numFmtId="5" fontId="25" fillId="2" borderId="9" xfId="0" applyNumberFormat="1" applyFont="1" applyFill="1" applyBorder="1" applyAlignment="1">
      <alignment vertical="center"/>
    </xf>
    <xf numFmtId="10" fontId="15" fillId="0" borderId="65" xfId="6" applyNumberFormat="1" applyFont="1" applyBorder="1"/>
    <xf numFmtId="10" fontId="15" fillId="0" borderId="22" xfId="6" applyNumberFormat="1" applyFont="1" applyBorder="1"/>
    <xf numFmtId="10" fontId="15" fillId="0" borderId="30" xfId="6" applyNumberFormat="1" applyFont="1" applyBorder="1"/>
    <xf numFmtId="0" fontId="11" fillId="2" borderId="4" xfId="3" applyFill="1" applyBorder="1" applyAlignment="1">
      <alignment horizontal="center" vertical="center" wrapText="1"/>
    </xf>
    <xf numFmtId="164" fontId="11" fillId="2" borderId="4" xfId="3" applyNumberFormat="1" applyFill="1" applyBorder="1" applyAlignment="1">
      <alignment horizontal="center" vertical="center" wrapText="1"/>
    </xf>
    <xf numFmtId="1" fontId="1" fillId="2" borderId="0" xfId="0" applyNumberFormat="1" applyFont="1" applyFill="1"/>
    <xf numFmtId="1" fontId="2" fillId="3" borderId="2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/>
    <xf numFmtId="0" fontId="6" fillId="7" borderId="49" xfId="0" applyFont="1" applyFill="1" applyBorder="1" applyAlignment="1">
      <alignment horizontal="center" vertical="center" wrapText="1"/>
    </xf>
    <xf numFmtId="43" fontId="6" fillId="7" borderId="49" xfId="1" applyFont="1" applyFill="1" applyBorder="1" applyAlignment="1">
      <alignment horizontal="center" vertical="center" wrapText="1"/>
    </xf>
    <xf numFmtId="43" fontId="6" fillId="7" borderId="70" xfId="1" applyFont="1" applyFill="1" applyBorder="1" applyAlignment="1">
      <alignment horizontal="center" vertical="center" wrapText="1"/>
    </xf>
    <xf numFmtId="164" fontId="44" fillId="2" borderId="4" xfId="0" applyNumberFormat="1" applyFont="1" applyFill="1" applyBorder="1" applyAlignment="1">
      <alignment horizontal="center" vertical="center" wrapText="1"/>
    </xf>
    <xf numFmtId="164" fontId="45" fillId="2" borderId="4" xfId="0" applyNumberFormat="1" applyFont="1" applyFill="1" applyBorder="1" applyAlignment="1">
      <alignment horizontal="center" vertical="center" wrapText="1"/>
    </xf>
    <xf numFmtId="164" fontId="45" fillId="2" borderId="69" xfId="0" applyNumberFormat="1" applyFont="1" applyFill="1" applyBorder="1" applyAlignment="1">
      <alignment horizontal="center" vertical="center" wrapText="1"/>
    </xf>
    <xf numFmtId="164" fontId="46" fillId="2" borderId="4" xfId="3" applyNumberFormat="1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6" fontId="45" fillId="2" borderId="4" xfId="0" applyNumberFormat="1" applyFont="1" applyFill="1" applyBorder="1" applyAlignment="1">
      <alignment horizontal="center" vertical="center" wrapText="1"/>
    </xf>
    <xf numFmtId="164" fontId="45" fillId="2" borderId="71" xfId="0" applyNumberFormat="1" applyFont="1" applyFill="1" applyBorder="1" applyAlignment="1">
      <alignment horizontal="center" vertical="center" wrapText="1"/>
    </xf>
    <xf numFmtId="164" fontId="45" fillId="2" borderId="6" xfId="0" applyNumberFormat="1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164" fontId="45" fillId="2" borderId="8" xfId="0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1" fontId="45" fillId="2" borderId="0" xfId="0" applyNumberFormat="1" applyFont="1" applyFill="1" applyAlignment="1">
      <alignment horizontal="center" vertical="center"/>
    </xf>
    <xf numFmtId="0" fontId="6" fillId="7" borderId="54" xfId="0" applyFont="1" applyFill="1" applyBorder="1" applyAlignment="1">
      <alignment horizontal="center" vertical="center" wrapText="1"/>
    </xf>
    <xf numFmtId="164" fontId="45" fillId="2" borderId="72" xfId="0" applyNumberFormat="1" applyFont="1" applyFill="1" applyBorder="1" applyAlignment="1">
      <alignment horizontal="center" vertical="center" wrapText="1"/>
    </xf>
    <xf numFmtId="164" fontId="45" fillId="2" borderId="7" xfId="0" applyNumberFormat="1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7" fillId="8" borderId="73" xfId="0" applyFont="1" applyFill="1" applyBorder="1" applyAlignment="1">
      <alignment horizontal="center" vertical="center" wrapText="1"/>
    </xf>
    <xf numFmtId="0" fontId="47" fillId="8" borderId="74" xfId="0" applyFont="1" applyFill="1" applyBorder="1" applyAlignment="1">
      <alignment horizontal="center" vertical="center" wrapText="1"/>
    </xf>
    <xf numFmtId="0" fontId="47" fillId="8" borderId="68" xfId="0" applyFont="1" applyFill="1" applyBorder="1" applyAlignment="1">
      <alignment horizontal="center" vertical="center" wrapText="1"/>
    </xf>
    <xf numFmtId="1" fontId="47" fillId="8" borderId="68" xfId="0" applyNumberFormat="1" applyFont="1" applyFill="1" applyBorder="1" applyAlignment="1">
      <alignment horizontal="center" vertical="center" wrapText="1"/>
    </xf>
    <xf numFmtId="164" fontId="48" fillId="2" borderId="7" xfId="0" applyNumberFormat="1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7" fillId="7" borderId="49" xfId="0" applyFont="1" applyFill="1" applyBorder="1" applyAlignment="1">
      <alignment horizontal="center" vertical="center" wrapText="1"/>
    </xf>
    <xf numFmtId="0" fontId="11" fillId="2" borderId="7" xfId="3" applyFill="1" applyBorder="1" applyAlignment="1">
      <alignment horizontal="center" vertical="center" wrapText="1"/>
    </xf>
    <xf numFmtId="164" fontId="11" fillId="2" borderId="7" xfId="3" applyNumberFormat="1" applyFill="1" applyBorder="1" applyAlignment="1">
      <alignment horizontal="center" vertical="center" wrapText="1"/>
    </xf>
    <xf numFmtId="164" fontId="48" fillId="2" borderId="4" xfId="0" applyNumberFormat="1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11" fillId="2" borderId="6" xfId="3" applyFill="1" applyBorder="1" applyAlignment="1">
      <alignment horizontal="center" vertical="center" wrapText="1"/>
    </xf>
    <xf numFmtId="10" fontId="16" fillId="2" borderId="0" xfId="6" applyNumberFormat="1" applyFont="1" applyFill="1" applyBorder="1"/>
    <xf numFmtId="0" fontId="19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17" fillId="3" borderId="16" xfId="0" applyFont="1" applyFill="1" applyBorder="1"/>
    <xf numFmtId="0" fontId="19" fillId="13" borderId="10" xfId="0" applyFont="1" applyFill="1" applyBorder="1" applyAlignment="1">
      <alignment horizontal="center" vertical="center" wrapText="1"/>
    </xf>
    <xf numFmtId="10" fontId="16" fillId="2" borderId="10" xfId="6" applyNumberFormat="1" applyFont="1" applyFill="1" applyBorder="1"/>
    <xf numFmtId="10" fontId="16" fillId="11" borderId="10" xfId="6" applyNumberFormat="1" applyFont="1" applyFill="1" applyBorder="1"/>
    <xf numFmtId="9" fontId="15" fillId="2" borderId="0" xfId="6" applyFont="1" applyFill="1" applyBorder="1"/>
    <xf numFmtId="167" fontId="15" fillId="2" borderId="0" xfId="5" applyNumberFormat="1" applyFont="1" applyFill="1" applyBorder="1" applyAlignment="1">
      <alignment wrapText="1"/>
    </xf>
    <xf numFmtId="10" fontId="15" fillId="2" borderId="30" xfId="0" applyNumberFormat="1" applyFont="1" applyFill="1" applyBorder="1"/>
    <xf numFmtId="1" fontId="45" fillId="2" borderId="7" xfId="0" applyNumberFormat="1" applyFont="1" applyFill="1" applyBorder="1" applyAlignment="1">
      <alignment horizontal="center" vertical="center" wrapText="1"/>
    </xf>
    <xf numFmtId="1" fontId="49" fillId="2" borderId="4" xfId="0" applyNumberFormat="1" applyFont="1" applyFill="1" applyBorder="1" applyAlignment="1">
      <alignment horizontal="center" vertical="center" wrapText="1"/>
    </xf>
    <xf numFmtId="1" fontId="49" fillId="2" borderId="7" xfId="0" applyNumberFormat="1" applyFont="1" applyFill="1" applyBorder="1" applyAlignment="1">
      <alignment horizontal="center" vertical="center" wrapText="1"/>
    </xf>
    <xf numFmtId="1" fontId="45" fillId="2" borderId="4" xfId="0" applyNumberFormat="1" applyFont="1" applyFill="1" applyBorder="1" applyAlignment="1">
      <alignment horizontal="center" vertical="center" wrapText="1"/>
    </xf>
    <xf numFmtId="0" fontId="16" fillId="11" borderId="9" xfId="0" quotePrefix="1" applyFont="1" applyFill="1" applyBorder="1" applyAlignment="1">
      <alignment horizontal="center" vertical="center" wrapText="1"/>
    </xf>
    <xf numFmtId="164" fontId="45" fillId="2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7" fillId="13" borderId="13" xfId="0" applyFont="1" applyFill="1" applyBorder="1" applyAlignment="1">
      <alignment horizontal="center" vertical="center" wrapText="1"/>
    </xf>
    <xf numFmtId="0" fontId="27" fillId="13" borderId="20" xfId="0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center" vertical="center" wrapText="1"/>
    </xf>
    <xf numFmtId="0" fontId="28" fillId="17" borderId="23" xfId="0" applyFont="1" applyFill="1" applyBorder="1" applyAlignment="1">
      <alignment horizontal="center" vertical="center" wrapText="1"/>
    </xf>
    <xf numFmtId="0" fontId="28" fillId="16" borderId="13" xfId="0" applyFont="1" applyFill="1" applyBorder="1" applyAlignment="1">
      <alignment horizontal="center" vertical="center" wrapText="1"/>
    </xf>
    <xf numFmtId="0" fontId="28" fillId="16" borderId="23" xfId="0" applyFont="1" applyFill="1" applyBorder="1" applyAlignment="1">
      <alignment horizontal="center" vertical="center" wrapText="1"/>
    </xf>
    <xf numFmtId="0" fontId="28" fillId="17" borderId="16" xfId="0" applyFont="1" applyFill="1" applyBorder="1" applyAlignment="1">
      <alignment horizontal="center" vertical="center" wrapText="1"/>
    </xf>
    <xf numFmtId="0" fontId="28" fillId="17" borderId="24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1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11" borderId="39" xfId="0" applyFont="1" applyFill="1" applyBorder="1" applyAlignment="1">
      <alignment horizontal="left" vertical="center" wrapText="1"/>
    </xf>
    <xf numFmtId="0" fontId="17" fillId="11" borderId="40" xfId="0" applyFont="1" applyFill="1" applyBorder="1" applyAlignment="1">
      <alignment horizontal="left" vertical="center" wrapText="1"/>
    </xf>
    <xf numFmtId="0" fontId="17" fillId="11" borderId="41" xfId="0" applyFont="1" applyFill="1" applyBorder="1" applyAlignment="1">
      <alignment horizontal="left" vertical="center" wrapText="1"/>
    </xf>
    <xf numFmtId="0" fontId="24" fillId="9" borderId="52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 wrapText="1"/>
    </xf>
    <xf numFmtId="0" fontId="25" fillId="2" borderId="56" xfId="0" applyFont="1" applyFill="1" applyBorder="1" applyAlignment="1">
      <alignment horizontal="center" wrapText="1"/>
    </xf>
    <xf numFmtId="0" fontId="25" fillId="2" borderId="66" xfId="0" applyFont="1" applyFill="1" applyBorder="1" applyAlignment="1">
      <alignment horizontal="center" vertical="center"/>
    </xf>
    <xf numFmtId="0" fontId="25" fillId="2" borderId="67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left" vertical="top" wrapText="1"/>
    </xf>
    <xf numFmtId="0" fontId="18" fillId="2" borderId="47" xfId="0" applyFont="1" applyFill="1" applyBorder="1" applyAlignment="1">
      <alignment horizontal="left" vertical="top" wrapText="1"/>
    </xf>
    <xf numFmtId="0" fontId="15" fillId="2" borderId="55" xfId="0" applyFont="1" applyFill="1" applyBorder="1" applyAlignment="1">
      <alignment horizontal="center" wrapText="1"/>
    </xf>
    <xf numFmtId="0" fontId="15" fillId="2" borderId="57" xfId="0" applyFont="1" applyFill="1" applyBorder="1" applyAlignment="1">
      <alignment horizontal="center" wrapText="1"/>
    </xf>
    <xf numFmtId="0" fontId="31" fillId="3" borderId="55" xfId="0" applyFont="1" applyFill="1" applyBorder="1" applyAlignment="1">
      <alignment horizontal="center" vertical="center"/>
    </xf>
    <xf numFmtId="0" fontId="31" fillId="3" borderId="57" xfId="0" applyFont="1" applyFill="1" applyBorder="1" applyAlignment="1">
      <alignment horizontal="center" vertical="center"/>
    </xf>
    <xf numFmtId="0" fontId="27" fillId="14" borderId="55" xfId="0" applyFont="1" applyFill="1" applyBorder="1" applyAlignment="1">
      <alignment horizontal="center" vertical="center" wrapText="1"/>
    </xf>
    <xf numFmtId="0" fontId="27" fillId="14" borderId="56" xfId="0" applyFont="1" applyFill="1" applyBorder="1" applyAlignment="1">
      <alignment horizontal="center" vertical="center" wrapText="1"/>
    </xf>
    <xf numFmtId="0" fontId="27" fillId="14" borderId="57" xfId="0" applyFont="1" applyFill="1" applyBorder="1" applyAlignment="1">
      <alignment horizontal="center" vertical="center" wrapText="1"/>
    </xf>
    <xf numFmtId="0" fontId="17" fillId="16" borderId="55" xfId="0" applyFont="1" applyFill="1" applyBorder="1" applyAlignment="1">
      <alignment horizontal="center" vertical="center" wrapText="1"/>
    </xf>
    <xf numFmtId="0" fontId="17" fillId="16" borderId="56" xfId="0" applyFont="1" applyFill="1" applyBorder="1" applyAlignment="1">
      <alignment horizontal="center" vertical="center" wrapText="1"/>
    </xf>
    <xf numFmtId="0" fontId="17" fillId="16" borderId="57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wrapText="1"/>
    </xf>
    <xf numFmtId="0" fontId="15" fillId="2" borderId="59" xfId="0" applyFont="1" applyFill="1" applyBorder="1" applyAlignment="1">
      <alignment horizontal="center" wrapText="1"/>
    </xf>
    <xf numFmtId="0" fontId="15" fillId="2" borderId="60" xfId="0" applyFont="1" applyFill="1" applyBorder="1" applyAlignment="1">
      <alignment horizontal="center" wrapText="1"/>
    </xf>
    <xf numFmtId="0" fontId="17" fillId="15" borderId="55" xfId="0" applyFont="1" applyFill="1" applyBorder="1" applyAlignment="1">
      <alignment horizontal="center" vertical="center" wrapText="1"/>
    </xf>
    <xf numFmtId="0" fontId="17" fillId="15" borderId="56" xfId="0" applyFont="1" applyFill="1" applyBorder="1" applyAlignment="1">
      <alignment horizontal="center" vertical="center" wrapText="1"/>
    </xf>
  </cellXfs>
  <cellStyles count="11">
    <cellStyle name="Dziesiętny" xfId="4" builtinId="3"/>
    <cellStyle name="Dziesiętny 2" xfId="1" xr:uid="{8DD33550-6115-457F-8C7D-2E723755B916}"/>
    <cellStyle name="Dziesiętny 2 2" xfId="7" xr:uid="{560538CF-83A7-4A6C-8313-694CAFED4A77}"/>
    <cellStyle name="Dziesiętny 3" xfId="9" xr:uid="{74DC172D-E207-462B-859E-A963C0767961}"/>
    <cellStyle name="Hiperłącze" xfId="3" builtinId="8"/>
    <cellStyle name="Normalny" xfId="0" builtinId="0"/>
    <cellStyle name="Procentowy" xfId="6" builtinId="5"/>
    <cellStyle name="Walutowy" xfId="5" builtinId="4"/>
    <cellStyle name="Walutowy 2" xfId="2" xr:uid="{D6E61F51-F7CC-414E-877E-DD6AC452B892}"/>
    <cellStyle name="Walutowy 2 2" xfId="8" xr:uid="{14264FDF-4049-4C89-B80C-B8A1D20E38F7}"/>
    <cellStyle name="Walutowy 3" xfId="10" xr:uid="{4A5C169F-7076-43FE-B59E-01043938575F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AU" b="1">
                <a:solidFill>
                  <a:schemeClr val="tx1">
                    <a:lumMod val="95000"/>
                    <a:lumOff val="5000"/>
                  </a:schemeClr>
                </a:solidFill>
              </a:rPr>
              <a:t>ROCZNE KOSZTY IKE/IKZE Z ZAGRANICZNYMI ETF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85001357588923E-2"/>
          <c:y val="0.16061766661741636"/>
          <c:w val="0.87070586274549933"/>
          <c:h val="0.419537638804226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'KALKULATOR mBank czy BOSSA'!$C$22</c:f>
              <c:strCache>
                <c:ptCount val="1"/>
                <c:pt idx="0">
                  <c:v>Opłata za przechowywanie instrumentów</c:v>
                </c:pt>
              </c:strCache>
            </c:strRef>
          </c:tx>
          <c:spPr>
            <a:solidFill>
              <a:srgbClr val="ED6862"/>
            </a:solidFill>
            <a:ln>
              <a:noFill/>
            </a:ln>
            <a:effectLst/>
          </c:spPr>
          <c:invertIfNegative val="0"/>
          <c:cat>
            <c:strRef>
              <c:f>'KALKULATOR mBank czy BOSSA'!$B$23:$B$28</c:f>
              <c:strCache>
                <c:ptCount val="6"/>
                <c:pt idx="0">
                  <c:v>eMakler mBank PO ZMIANIE</c:v>
                </c:pt>
                <c:pt idx="1">
                  <c:v>BM mBank PO ZMIANIE</c:v>
                </c:pt>
                <c:pt idx="2">
                  <c:v>BOSSA w promocji</c:v>
                </c:pt>
                <c:pt idx="3">
                  <c:v>BOSSA bez promocji</c:v>
                </c:pt>
                <c:pt idx="4">
                  <c:v>eMakler mBank PRZED ZMIANĄ</c:v>
                </c:pt>
                <c:pt idx="5">
                  <c:v>BM mBank PRZED ZMIANĄ</c:v>
                </c:pt>
              </c:strCache>
            </c:strRef>
          </c:cat>
          <c:val>
            <c:numRef>
              <c:f>'KALKULATOR mBank czy BOSSA'!$C$23:$C$28</c:f>
              <c:numCache>
                <c:formatCode>_-* #\ ##0\ "zł"_-;\-* #\ ##0\ "zł"_-;_-* "-"??\ "zł"_-;_-@_-</c:formatCode>
                <c:ptCount val="6"/>
                <c:pt idx="0">
                  <c:v>458.985255</c:v>
                </c:pt>
                <c:pt idx="1">
                  <c:v>458.985255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7-465B-B2F1-1F4CB84D49F9}"/>
            </c:ext>
          </c:extLst>
        </c:ser>
        <c:ser>
          <c:idx val="1"/>
          <c:order val="1"/>
          <c:tx>
            <c:strRef>
              <c:f>'KALKULATOR mBank czy BOSSA'!$D$22</c:f>
              <c:strCache>
                <c:ptCount val="1"/>
                <c:pt idx="0">
                  <c:v>Koszty transakcji</c:v>
                </c:pt>
              </c:strCache>
            </c:strRef>
          </c:tx>
          <c:spPr>
            <a:solidFill>
              <a:srgbClr val="00A5BB"/>
            </a:solidFill>
            <a:ln>
              <a:noFill/>
            </a:ln>
            <a:effectLst/>
          </c:spPr>
          <c:invertIfNegative val="0"/>
          <c:cat>
            <c:strRef>
              <c:f>'KALKULATOR mBank czy BOSSA'!$B$23:$B$28</c:f>
              <c:strCache>
                <c:ptCount val="6"/>
                <c:pt idx="0">
                  <c:v>eMakler mBank PO ZMIANIE</c:v>
                </c:pt>
                <c:pt idx="1">
                  <c:v>BM mBank PO ZMIANIE</c:v>
                </c:pt>
                <c:pt idx="2">
                  <c:v>BOSSA w promocji</c:v>
                </c:pt>
                <c:pt idx="3">
                  <c:v>BOSSA bez promocji</c:v>
                </c:pt>
                <c:pt idx="4">
                  <c:v>eMakler mBank PRZED ZMIANĄ</c:v>
                </c:pt>
                <c:pt idx="5">
                  <c:v>BM mBank PRZED ZMIANĄ</c:v>
                </c:pt>
              </c:strCache>
            </c:strRef>
          </c:cat>
          <c:val>
            <c:numRef>
              <c:f>'KALKULATOR mBank czy BOSSA'!$D$23:$D$28</c:f>
              <c:numCache>
                <c:formatCode>_-* #\ ##0\ "zł"_-;\-* #\ ##0\ "zł"_-;_-* "-"??\ "zł"_-;_-@_-</c:formatCode>
                <c:ptCount val="6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116</c:v>
                </c:pt>
                <c:pt idx="4">
                  <c:v>76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7-465B-B2F1-1F4CB84D49F9}"/>
            </c:ext>
          </c:extLst>
        </c:ser>
        <c:ser>
          <c:idx val="2"/>
          <c:order val="2"/>
          <c:tx>
            <c:strRef>
              <c:f>'KALKULATOR mBank czy BOSSA'!$E$22</c:f>
              <c:strCache>
                <c:ptCount val="1"/>
                <c:pt idx="0">
                  <c:v>Przewalutowanie</c:v>
                </c:pt>
              </c:strCache>
            </c:strRef>
          </c:tx>
          <c:spPr>
            <a:solidFill>
              <a:srgbClr val="99B4BF"/>
            </a:solidFill>
            <a:ln>
              <a:noFill/>
            </a:ln>
            <a:effectLst/>
          </c:spPr>
          <c:invertIfNegative val="0"/>
          <c:cat>
            <c:strRef>
              <c:f>'KALKULATOR mBank czy BOSSA'!$B$23:$B$28</c:f>
              <c:strCache>
                <c:ptCount val="6"/>
                <c:pt idx="0">
                  <c:v>eMakler mBank PO ZMIANIE</c:v>
                </c:pt>
                <c:pt idx="1">
                  <c:v>BM mBank PO ZMIANIE</c:v>
                </c:pt>
                <c:pt idx="2">
                  <c:v>BOSSA w promocji</c:v>
                </c:pt>
                <c:pt idx="3">
                  <c:v>BOSSA bez promocji</c:v>
                </c:pt>
                <c:pt idx="4">
                  <c:v>eMakler mBank PRZED ZMIANĄ</c:v>
                </c:pt>
                <c:pt idx="5">
                  <c:v>BM mBank PRZED ZMIANĄ</c:v>
                </c:pt>
              </c:strCache>
            </c:strRef>
          </c:cat>
          <c:val>
            <c:numRef>
              <c:f>'KALKULATOR mBank czy BOSSA'!$E$23:$E$28</c:f>
              <c:numCache>
                <c:formatCode>_-* #\ ##0\ "zł"_-;\-* #\ ##0\ "zł"_-;_-* "-"??\ "zł"_-;_-@_-</c:formatCode>
                <c:ptCount val="6"/>
                <c:pt idx="0">
                  <c:v>17.766000000000002</c:v>
                </c:pt>
                <c:pt idx="1">
                  <c:v>17.766000000000002</c:v>
                </c:pt>
                <c:pt idx="2">
                  <c:v>30.240000000000002</c:v>
                </c:pt>
                <c:pt idx="3">
                  <c:v>30.240000000000002</c:v>
                </c:pt>
                <c:pt idx="4">
                  <c:v>17.766000000000002</c:v>
                </c:pt>
                <c:pt idx="5">
                  <c:v>17.766000000000002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7-465B-B2F1-1F4CB84D49F9}"/>
            </c:ext>
          </c:extLst>
        </c:ser>
        <c:ser>
          <c:idx val="3"/>
          <c:order val="3"/>
          <c:tx>
            <c:strRef>
              <c:f>'KALKULATOR mBank czy BOSSA'!$F$22</c:f>
              <c:strCache>
                <c:ptCount val="1"/>
                <c:pt idx="0">
                  <c:v>Opłata za prowadzenie konta </c:v>
                </c:pt>
              </c:strCache>
            </c:strRef>
          </c:tx>
          <c:spPr>
            <a:solidFill>
              <a:srgbClr val="FDEFEF"/>
            </a:solidFill>
            <a:ln>
              <a:noFill/>
            </a:ln>
            <a:effectLst/>
          </c:spPr>
          <c:invertIfNegative val="0"/>
          <c:cat>
            <c:strRef>
              <c:f>'KALKULATOR mBank czy BOSSA'!$B$23:$B$28</c:f>
              <c:strCache>
                <c:ptCount val="6"/>
                <c:pt idx="0">
                  <c:v>eMakler mBank PO ZMIANIE</c:v>
                </c:pt>
                <c:pt idx="1">
                  <c:v>BM mBank PO ZMIANIE</c:v>
                </c:pt>
                <c:pt idx="2">
                  <c:v>BOSSA w promocji</c:v>
                </c:pt>
                <c:pt idx="3">
                  <c:v>BOSSA bez promocji</c:v>
                </c:pt>
                <c:pt idx="4">
                  <c:v>eMakler mBank PRZED ZMIANĄ</c:v>
                </c:pt>
                <c:pt idx="5">
                  <c:v>BM mBank PRZED ZMIANĄ</c:v>
                </c:pt>
              </c:strCache>
            </c:strRef>
          </c:cat>
          <c:val>
            <c:numRef>
              <c:f>'KALKULATOR mBank czy BOSSA'!$F$23:$F$28</c:f>
              <c:numCache>
                <c:formatCode>_-* #\ ##0\ "zł"_-;\-* #\ ##0\ "zł"_-;_-* "-"??\ "zł"_-;_-@_-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7-465B-B2F1-1F4CB84D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73551"/>
        <c:axId val="38385615"/>
      </c:barChart>
      <c:catAx>
        <c:axId val="3837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8385615"/>
        <c:crosses val="autoZero"/>
        <c:auto val="1"/>
        <c:lblAlgn val="ctr"/>
        <c:lblOffset val="100"/>
        <c:noMultiLvlLbl val="0"/>
      </c:catAx>
      <c:valAx>
        <c:axId val="38385615"/>
        <c:scaling>
          <c:orientation val="minMax"/>
        </c:scaling>
        <c:delete val="0"/>
        <c:axPos val="l"/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8373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118818536969491E-2"/>
          <c:y val="0.85443054141082553"/>
          <c:w val="0.94388118146303046"/>
          <c:h val="0.140337281772908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chemeClr val="tx1">
              <a:lumMod val="95000"/>
              <a:lumOff val="5000"/>
            </a:schemeClr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l-PL" b="1"/>
              <a:t>Opłaty w IKE OBLIGACJE i SUPER IKE narastająco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21201460158883E-2"/>
          <c:y val="0.16270351793277615"/>
          <c:w val="0.88544891212381516"/>
          <c:h val="0.57347509466336721"/>
        </c:manualLayout>
      </c:layout>
      <c:lineChart>
        <c:grouping val="standard"/>
        <c:varyColors val="0"/>
        <c:ser>
          <c:idx val="4"/>
          <c:order val="4"/>
          <c:tx>
            <c:strRef>
              <c:f>'IKE Obligacje vs SUPER IKE'!$E$5</c:f>
              <c:strCache>
                <c:ptCount val="1"/>
                <c:pt idx="0">
                  <c:v>Opłata w IKE OBLIGACJE - narastająco</c:v>
                </c:pt>
              </c:strCache>
            </c:strRef>
          </c:tx>
          <c:spPr>
            <a:ln w="38100" cap="rnd">
              <a:solidFill>
                <a:srgbClr val="0099CC"/>
              </a:solidFill>
              <a:round/>
            </a:ln>
            <a:effectLst/>
          </c:spPr>
          <c:marker>
            <c:symbol val="none"/>
          </c:marker>
          <c:val>
            <c:numRef>
              <c:f>'IKE Obligacje vs SUPER IKE'!$E$6:$E$31</c:f>
              <c:numCache>
                <c:formatCode>#\ ##0\ "zł"</c:formatCode>
                <c:ptCount val="25"/>
                <c:pt idx="0">
                  <c:v>0</c:v>
                </c:pt>
                <c:pt idx="1">
                  <c:v>56.851200000000006</c:v>
                </c:pt>
                <c:pt idx="2">
                  <c:v>136.79820000000001</c:v>
                </c:pt>
                <c:pt idx="3">
                  <c:v>236.2878</c:v>
                </c:pt>
                <c:pt idx="4">
                  <c:v>351.76679999999999</c:v>
                </c:pt>
                <c:pt idx="5">
                  <c:v>479.68199999999996</c:v>
                </c:pt>
                <c:pt idx="6">
                  <c:v>616.48019999999997</c:v>
                </c:pt>
                <c:pt idx="7">
                  <c:v>758.60820000000001</c:v>
                </c:pt>
                <c:pt idx="8">
                  <c:v>918.50220000000002</c:v>
                </c:pt>
                <c:pt idx="9">
                  <c:v>1096.1622</c:v>
                </c:pt>
                <c:pt idx="10">
                  <c:v>1291.5881999999999</c:v>
                </c:pt>
                <c:pt idx="11">
                  <c:v>1491.5881999999999</c:v>
                </c:pt>
                <c:pt idx="12">
                  <c:v>1691.5881999999999</c:v>
                </c:pt>
                <c:pt idx="13">
                  <c:v>1891.5881999999999</c:v>
                </c:pt>
                <c:pt idx="14">
                  <c:v>2091.5882000000001</c:v>
                </c:pt>
                <c:pt idx="15">
                  <c:v>2291.5882000000001</c:v>
                </c:pt>
                <c:pt idx="16">
                  <c:v>2491.5882000000001</c:v>
                </c:pt>
                <c:pt idx="17">
                  <c:v>2691.5882000000001</c:v>
                </c:pt>
                <c:pt idx="18">
                  <c:v>2891.5882000000001</c:v>
                </c:pt>
                <c:pt idx="19">
                  <c:v>3091.5882000000001</c:v>
                </c:pt>
                <c:pt idx="20">
                  <c:v>3291.5882000000001</c:v>
                </c:pt>
                <c:pt idx="21">
                  <c:v>3491.5882000000001</c:v>
                </c:pt>
                <c:pt idx="22">
                  <c:v>3691.5882000000001</c:v>
                </c:pt>
                <c:pt idx="23">
                  <c:v>3891.5882000000001</c:v>
                </c:pt>
                <c:pt idx="24">
                  <c:v>4091.5882000000001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4-4606-9FB8-840565174A47}"/>
            </c:ext>
          </c:extLst>
        </c:ser>
        <c:ser>
          <c:idx val="5"/>
          <c:order val="5"/>
          <c:tx>
            <c:strRef>
              <c:f>'IKE Obligacje vs SUPER IKE'!$G$5</c:f>
              <c:strCache>
                <c:ptCount val="1"/>
                <c:pt idx="0">
                  <c:v>Opłata w SUPER IKE -  narastajaco</c:v>
                </c:pt>
              </c:strCache>
            </c:strRef>
          </c:tx>
          <c:spPr>
            <a:ln w="34925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7FB4-4606-9FB8-840565174A47}"/>
              </c:ext>
            </c:extLst>
          </c:dPt>
          <c:val>
            <c:numRef>
              <c:f>'IKE Obligacje vs SUPER IKE'!$G$6:$G$31</c:f>
              <c:numCache>
                <c:formatCode>_-* #\ ##0_-;\-* #\ ##0_-;_-* "-"??_-;_-@_-</c:formatCode>
                <c:ptCount val="25"/>
                <c:pt idx="0">
                  <c:v>77.766000000000005</c:v>
                </c:pt>
                <c:pt idx="1">
                  <c:v>173.298</c:v>
                </c:pt>
                <c:pt idx="2">
                  <c:v>286.596</c:v>
                </c:pt>
                <c:pt idx="3">
                  <c:v>417.66</c:v>
                </c:pt>
                <c:pt idx="4">
                  <c:v>566.49</c:v>
                </c:pt>
                <c:pt idx="5">
                  <c:v>733.08600000000001</c:v>
                </c:pt>
                <c:pt idx="6">
                  <c:v>917.44800000000009</c:v>
                </c:pt>
                <c:pt idx="7">
                  <c:v>1119.576</c:v>
                </c:pt>
                <c:pt idx="8">
                  <c:v>1339.47</c:v>
                </c:pt>
                <c:pt idx="9">
                  <c:v>1577.13</c:v>
                </c:pt>
                <c:pt idx="10">
                  <c:v>1832.556</c:v>
                </c:pt>
                <c:pt idx="11">
                  <c:v>2092.556</c:v>
                </c:pt>
                <c:pt idx="12">
                  <c:v>2352.556</c:v>
                </c:pt>
                <c:pt idx="13">
                  <c:v>2612.556</c:v>
                </c:pt>
                <c:pt idx="14">
                  <c:v>2872.556</c:v>
                </c:pt>
                <c:pt idx="15">
                  <c:v>3132.556</c:v>
                </c:pt>
                <c:pt idx="16">
                  <c:v>3392.556</c:v>
                </c:pt>
                <c:pt idx="17">
                  <c:v>3652.556</c:v>
                </c:pt>
                <c:pt idx="18">
                  <c:v>3912.556</c:v>
                </c:pt>
                <c:pt idx="19">
                  <c:v>4172.5560000000005</c:v>
                </c:pt>
                <c:pt idx="20">
                  <c:v>4432.5560000000005</c:v>
                </c:pt>
                <c:pt idx="21">
                  <c:v>4692.5560000000005</c:v>
                </c:pt>
                <c:pt idx="22">
                  <c:v>4952.5560000000005</c:v>
                </c:pt>
                <c:pt idx="23">
                  <c:v>5212.5560000000005</c:v>
                </c:pt>
                <c:pt idx="24">
                  <c:v>5472.5560000000005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4-4606-9FB8-840565174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9963328"/>
        <c:axId val="9199400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'IKE Obligacje vs SUPER IKE'!$B$5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'IKE Obligacje vs SUPER IKE'!$B$6:$B$31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FB4-4606-9FB8-840565174A4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IKE'!$C$5</c15:sqref>
                        </c15:formulaRef>
                      </c:ext>
                    </c:extLst>
                    <c:strCache>
                      <c:ptCount val="1"/>
                      <c:pt idx="0">
                        <c:v>Wartość obligacji na końcu każdego roku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IKE'!$C$6:$C$31</c15:sqref>
                        </c15:formulaRef>
                      </c:ext>
                    </c:extLst>
                    <c:numCache>
                      <c:formatCode>#\ ##0\ "zł"</c:formatCode>
                      <c:ptCount val="25"/>
                      <c:pt idx="0">
                        <c:v>17766</c:v>
                      </c:pt>
                      <c:pt idx="1">
                        <c:v>35532</c:v>
                      </c:pt>
                      <c:pt idx="2">
                        <c:v>53298</c:v>
                      </c:pt>
                      <c:pt idx="3">
                        <c:v>71064</c:v>
                      </c:pt>
                      <c:pt idx="4">
                        <c:v>88830</c:v>
                      </c:pt>
                      <c:pt idx="5">
                        <c:v>106596</c:v>
                      </c:pt>
                      <c:pt idx="6">
                        <c:v>124362</c:v>
                      </c:pt>
                      <c:pt idx="7">
                        <c:v>142128</c:v>
                      </c:pt>
                      <c:pt idx="8">
                        <c:v>159894</c:v>
                      </c:pt>
                      <c:pt idx="9">
                        <c:v>177660</c:v>
                      </c:pt>
                      <c:pt idx="10">
                        <c:v>195426</c:v>
                      </c:pt>
                      <c:pt idx="11">
                        <c:v>213192</c:v>
                      </c:pt>
                      <c:pt idx="12">
                        <c:v>230958</c:v>
                      </c:pt>
                      <c:pt idx="13">
                        <c:v>248724</c:v>
                      </c:pt>
                      <c:pt idx="14">
                        <c:v>266490</c:v>
                      </c:pt>
                      <c:pt idx="15">
                        <c:v>284256</c:v>
                      </c:pt>
                      <c:pt idx="16">
                        <c:v>302022</c:v>
                      </c:pt>
                      <c:pt idx="17">
                        <c:v>319788</c:v>
                      </c:pt>
                      <c:pt idx="18">
                        <c:v>337554</c:v>
                      </c:pt>
                      <c:pt idx="19">
                        <c:v>355320</c:v>
                      </c:pt>
                      <c:pt idx="20">
                        <c:v>373086</c:v>
                      </c:pt>
                      <c:pt idx="21">
                        <c:v>390852</c:v>
                      </c:pt>
                      <c:pt idx="22">
                        <c:v>408618</c:v>
                      </c:pt>
                      <c:pt idx="23">
                        <c:v>426384</c:v>
                      </c:pt>
                      <c:pt idx="24">
                        <c:v>444150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FB4-4606-9FB8-840565174A4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IKE'!$D$5</c15:sqref>
                        </c15:formulaRef>
                      </c:ext>
                    </c:extLst>
                    <c:strCache>
                      <c:ptCount val="1"/>
                      <c:pt idx="0">
                        <c:v>IKE OBLIGACJE opłata za dany rok, pobierana w kolejnym roku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IKE'!$D$6:$D$31</c15:sqref>
                        </c15:formulaRef>
                      </c:ext>
                    </c:extLst>
                    <c:numCache>
                      <c:formatCode>#\ ##0\ "zł"</c:formatCode>
                      <c:ptCount val="25"/>
                      <c:pt idx="0">
                        <c:v>0</c:v>
                      </c:pt>
                      <c:pt idx="1">
                        <c:v>56.851200000000006</c:v>
                      </c:pt>
                      <c:pt idx="2">
                        <c:v>79.947000000000003</c:v>
                      </c:pt>
                      <c:pt idx="3">
                        <c:v>99.489599999999996</c:v>
                      </c:pt>
                      <c:pt idx="4">
                        <c:v>115.479</c:v>
                      </c:pt>
                      <c:pt idx="5">
                        <c:v>127.91519999999998</c:v>
                      </c:pt>
                      <c:pt idx="6">
                        <c:v>136.79820000000001</c:v>
                      </c:pt>
                      <c:pt idx="7">
                        <c:v>142.12800000000001</c:v>
                      </c:pt>
                      <c:pt idx="8">
                        <c:v>159.89400000000001</c:v>
                      </c:pt>
                      <c:pt idx="9">
                        <c:v>177.66</c:v>
                      </c:pt>
                      <c:pt idx="10">
                        <c:v>195.42600000000002</c:v>
                      </c:pt>
                      <c:pt idx="11">
                        <c:v>200</c:v>
                      </c:pt>
                      <c:pt idx="12">
                        <c:v>200</c:v>
                      </c:pt>
                      <c:pt idx="13">
                        <c:v>200</c:v>
                      </c:pt>
                      <c:pt idx="14">
                        <c:v>200</c:v>
                      </c:pt>
                      <c:pt idx="15">
                        <c:v>200</c:v>
                      </c:pt>
                      <c:pt idx="16">
                        <c:v>200</c:v>
                      </c:pt>
                      <c:pt idx="17">
                        <c:v>200</c:v>
                      </c:pt>
                      <c:pt idx="18">
                        <c:v>200</c:v>
                      </c:pt>
                      <c:pt idx="19">
                        <c:v>200</c:v>
                      </c:pt>
                      <c:pt idx="20">
                        <c:v>200</c:v>
                      </c:pt>
                      <c:pt idx="21">
                        <c:v>200</c:v>
                      </c:pt>
                      <c:pt idx="22">
                        <c:v>200</c:v>
                      </c:pt>
                      <c:pt idx="23">
                        <c:v>200</c:v>
                      </c:pt>
                      <c:pt idx="24">
                        <c:v>200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FB4-4606-9FB8-840565174A4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IKE'!$F$5</c15:sqref>
                        </c15:formulaRef>
                      </c:ext>
                    </c:extLst>
                    <c:strCache>
                      <c:ptCount val="1"/>
                      <c:pt idx="0">
                        <c:v>SUPER IKE Opłata za dany rok, pobierana w kolejnym roku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IKE'!$F$6:$F$31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25"/>
                      <c:pt idx="0">
                        <c:v>77.766000000000005</c:v>
                      </c:pt>
                      <c:pt idx="1">
                        <c:v>95.532000000000011</c:v>
                      </c:pt>
                      <c:pt idx="2">
                        <c:v>113.298</c:v>
                      </c:pt>
                      <c:pt idx="3">
                        <c:v>131.06400000000002</c:v>
                      </c:pt>
                      <c:pt idx="4">
                        <c:v>148.82999999999998</c:v>
                      </c:pt>
                      <c:pt idx="5">
                        <c:v>166.596</c:v>
                      </c:pt>
                      <c:pt idx="6">
                        <c:v>184.36200000000002</c:v>
                      </c:pt>
                      <c:pt idx="7">
                        <c:v>202.12800000000001</c:v>
                      </c:pt>
                      <c:pt idx="8">
                        <c:v>219.89400000000001</c:v>
                      </c:pt>
                      <c:pt idx="9">
                        <c:v>237.66</c:v>
                      </c:pt>
                      <c:pt idx="10">
                        <c:v>255.42600000000002</c:v>
                      </c:pt>
                      <c:pt idx="11">
                        <c:v>260</c:v>
                      </c:pt>
                      <c:pt idx="12">
                        <c:v>260</c:v>
                      </c:pt>
                      <c:pt idx="13">
                        <c:v>260</c:v>
                      </c:pt>
                      <c:pt idx="14">
                        <c:v>260</c:v>
                      </c:pt>
                      <c:pt idx="15">
                        <c:v>260</c:v>
                      </c:pt>
                      <c:pt idx="16">
                        <c:v>260</c:v>
                      </c:pt>
                      <c:pt idx="17">
                        <c:v>260</c:v>
                      </c:pt>
                      <c:pt idx="18">
                        <c:v>260</c:v>
                      </c:pt>
                      <c:pt idx="19">
                        <c:v>260</c:v>
                      </c:pt>
                      <c:pt idx="20">
                        <c:v>260</c:v>
                      </c:pt>
                      <c:pt idx="21">
                        <c:v>260</c:v>
                      </c:pt>
                      <c:pt idx="22">
                        <c:v>260</c:v>
                      </c:pt>
                      <c:pt idx="23">
                        <c:v>260</c:v>
                      </c:pt>
                      <c:pt idx="24">
                        <c:v>260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FB4-4606-9FB8-840565174A47}"/>
                  </c:ext>
                </c:extLst>
              </c15:ser>
            </c15:filteredLineSeries>
          </c:ext>
        </c:extLst>
      </c:lineChart>
      <c:catAx>
        <c:axId val="919963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pl-PL"/>
                  <a:t>rok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19940032"/>
        <c:crosses val="autoZero"/>
        <c:auto val="1"/>
        <c:lblAlgn val="ctr"/>
        <c:lblOffset val="100"/>
        <c:noMultiLvlLbl val="0"/>
      </c:catAx>
      <c:valAx>
        <c:axId val="91994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zł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1996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6351</xdr:colOff>
      <xdr:row>2</xdr:row>
      <xdr:rowOff>13608</xdr:rowOff>
    </xdr:from>
    <xdr:to>
      <xdr:col>12</xdr:col>
      <xdr:colOff>1401536</xdr:colOff>
      <xdr:row>17</xdr:row>
      <xdr:rowOff>133350</xdr:rowOff>
    </xdr:to>
    <xdr:graphicFrame macro="">
      <xdr:nvGraphicFramePr>
        <xdr:cNvPr id="3" name="Wykres 1">
          <a:extLst>
            <a:ext uri="{FF2B5EF4-FFF2-40B4-BE49-F238E27FC236}">
              <a16:creationId xmlns:a16="http://schemas.microsoft.com/office/drawing/2014/main" id="{FF511BA7-BE13-4B3D-AE6F-058E46C63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465364</xdr:colOff>
      <xdr:row>3</xdr:row>
      <xdr:rowOff>237214</xdr:rowOff>
    </xdr:from>
    <xdr:to>
      <xdr:col>18</xdr:col>
      <xdr:colOff>179614</xdr:colOff>
      <xdr:row>15</xdr:row>
      <xdr:rowOff>149678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7F4AD963-3AC7-4755-8E61-5523542B5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127000</xdr:colOff>
      <xdr:row>2</xdr:row>
      <xdr:rowOff>85511</xdr:rowOff>
    </xdr:from>
    <xdr:to>
      <xdr:col>13</xdr:col>
      <xdr:colOff>581480</xdr:colOff>
      <xdr:row>2</xdr:row>
      <xdr:rowOff>426751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A131415-F2AC-4973-BE91-38322CDFC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5714" y="666082"/>
          <a:ext cx="1422400" cy="347590"/>
        </a:xfrm>
        <a:prstGeom prst="rect">
          <a:avLst/>
        </a:prstGeom>
      </xdr:spPr>
    </xdr:pic>
    <xdr:clientData/>
  </xdr:twoCellAnchor>
  <xdr:oneCellAnchor>
    <xdr:from>
      <xdr:col>10</xdr:col>
      <xdr:colOff>424815</xdr:colOff>
      <xdr:row>34</xdr:row>
      <xdr:rowOff>78951</xdr:rowOff>
    </xdr:from>
    <xdr:ext cx="1644650" cy="400571"/>
    <xdr:pic>
      <xdr:nvPicPr>
        <xdr:cNvPr id="3" name="Obraz 2">
          <a:extLst>
            <a:ext uri="{FF2B5EF4-FFF2-40B4-BE49-F238E27FC236}">
              <a16:creationId xmlns:a16="http://schemas.microsoft.com/office/drawing/2014/main" id="{3B643F37-7F99-4457-A385-64BE67BD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6065" y="13043534"/>
          <a:ext cx="1644650" cy="400571"/>
        </a:xfrm>
        <a:prstGeom prst="rect">
          <a:avLst/>
        </a:prstGeom>
      </xdr:spPr>
    </xdr:pic>
    <xdr:clientData/>
  </xdr:oneCellAnchor>
  <xdr:oneCellAnchor>
    <xdr:from>
      <xdr:col>11</xdr:col>
      <xdr:colOff>419100</xdr:colOff>
      <xdr:row>21</xdr:row>
      <xdr:rowOff>57150</xdr:rowOff>
    </xdr:from>
    <xdr:ext cx="1644650" cy="400571"/>
    <xdr:pic>
      <xdr:nvPicPr>
        <xdr:cNvPr id="4" name="Obraz 3">
          <a:extLst>
            <a:ext uri="{FF2B5EF4-FFF2-40B4-BE49-F238E27FC236}">
              <a16:creationId xmlns:a16="http://schemas.microsoft.com/office/drawing/2014/main" id="{1FC3CB4F-5A0D-4E8E-A6C3-699D97F58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5314950"/>
          <a:ext cx="1644650" cy="4005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f5fe913bd258826/Pulpit/Obligacje%202021/MK%20IKE%20i%20IKZE%20Domy%20Maklersk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2021 IKE IKZE_ODPOWIEDZI"/>
      <sheetName val="liczenie"/>
      <sheetName val="Ranking_robocze 2021"/>
      <sheetName val="2020 IKZE Rachunki maklerskie"/>
    </sheetNames>
    <sheetDataSet>
      <sheetData sheetId="0" refreshError="1">
        <row r="5">
          <cell r="B5" t="str">
            <v>Instytucja</v>
          </cell>
          <cell r="D5" t="str">
            <v>IKE</v>
          </cell>
          <cell r="E5" t="str">
            <v>IKZE</v>
          </cell>
          <cell r="F5" t="str">
            <v>Dostęp do giełd zagranicznych</v>
          </cell>
          <cell r="K5" t="str">
            <v>%</v>
          </cell>
          <cell r="L5" t="str">
            <v>min [zł]</v>
          </cell>
          <cell r="M5" t="str">
            <v>min [EUR]</v>
          </cell>
          <cell r="O5" t="str">
            <v>%</v>
          </cell>
          <cell r="P5" t="str">
            <v>min [zł]</v>
          </cell>
          <cell r="Q5" t="str">
            <v>min [EUR]</v>
          </cell>
          <cell r="S5" t="str">
            <v>%</v>
          </cell>
          <cell r="T5" t="str">
            <v>min [zł]</v>
          </cell>
          <cell r="V5" t="str">
            <v>%</v>
          </cell>
          <cell r="W5" t="str">
            <v>min [zł]</v>
          </cell>
          <cell r="Y5" t="str">
            <v>%</v>
          </cell>
          <cell r="Z5" t="str">
            <v>min [zł]</v>
          </cell>
          <cell r="AN5" t="str">
            <v>spread EUR %</v>
          </cell>
          <cell r="AO5" t="str">
            <v>spread EUR zł</v>
          </cell>
        </row>
        <row r="6">
          <cell r="B6"/>
          <cell r="D6"/>
          <cell r="E6"/>
          <cell r="F6"/>
          <cell r="K6"/>
          <cell r="L6"/>
          <cell r="M6"/>
          <cell r="O6"/>
          <cell r="P6"/>
          <cell r="Q6"/>
          <cell r="S6"/>
          <cell r="T6"/>
          <cell r="V6"/>
          <cell r="W6"/>
          <cell r="Y6"/>
          <cell r="Z6"/>
          <cell r="AN6"/>
          <cell r="AO6"/>
        </row>
        <row r="7">
          <cell r="B7" t="str">
            <v>MBank emakler</v>
          </cell>
          <cell r="D7" t="str">
            <v>TAK</v>
          </cell>
          <cell r="E7" t="str">
            <v>TAK</v>
          </cell>
          <cell r="F7" t="str">
            <v>TAK</v>
          </cell>
          <cell r="K7">
            <v>2.8999999999999998E-3</v>
          </cell>
          <cell r="L7">
            <v>19</v>
          </cell>
          <cell r="M7"/>
          <cell r="O7">
            <v>2.8999999999999998E-3</v>
          </cell>
          <cell r="P7">
            <v>19</v>
          </cell>
          <cell r="Q7"/>
          <cell r="S7">
            <v>3.8999999999999998E-3</v>
          </cell>
          <cell r="T7">
            <v>5</v>
          </cell>
          <cell r="V7">
            <v>3.8999999999999998E-3</v>
          </cell>
          <cell r="W7">
            <v>5</v>
          </cell>
          <cell r="Y7">
            <v>1.9E-3</v>
          </cell>
          <cell r="Z7">
            <v>5</v>
          </cell>
          <cell r="AN7">
            <v>2E-3</v>
          </cell>
          <cell r="AO7"/>
        </row>
        <row r="8">
          <cell r="B8" t="str">
            <v>Biuro Maklerskie MBank</v>
          </cell>
          <cell r="D8" t="str">
            <v>TAK</v>
          </cell>
          <cell r="E8" t="str">
            <v>TAK</v>
          </cell>
          <cell r="F8" t="str">
            <v>TAK</v>
          </cell>
          <cell r="K8">
            <v>2.8999999999999998E-3</v>
          </cell>
          <cell r="L8">
            <v>19</v>
          </cell>
          <cell r="M8">
            <v>5</v>
          </cell>
          <cell r="O8">
            <v>2.8999999999999998E-3</v>
          </cell>
          <cell r="P8">
            <v>19</v>
          </cell>
          <cell r="Q8">
            <v>5</v>
          </cell>
          <cell r="S8">
            <v>3.8999999999999998E-3</v>
          </cell>
          <cell r="T8">
            <v>5</v>
          </cell>
          <cell r="V8">
            <v>3.8999999999999998E-3</v>
          </cell>
          <cell r="W8">
            <v>5</v>
          </cell>
          <cell r="Y8">
            <v>1.9E-3</v>
          </cell>
          <cell r="Z8">
            <v>5</v>
          </cell>
          <cell r="AN8">
            <v>2E-3</v>
          </cell>
          <cell r="AO8"/>
        </row>
        <row r="9">
          <cell r="B9" t="str">
            <v>Dom maklerski BDM</v>
          </cell>
          <cell r="D9" t="str">
            <v>TAK</v>
          </cell>
          <cell r="E9" t="str">
            <v>TAK</v>
          </cell>
          <cell r="F9" t="str">
            <v>NIE</v>
          </cell>
          <cell r="K9"/>
          <cell r="L9"/>
          <cell r="M9"/>
          <cell r="O9"/>
          <cell r="P9"/>
          <cell r="Q9"/>
          <cell r="S9">
            <v>2.8E-3</v>
          </cell>
          <cell r="T9">
            <v>5.95</v>
          </cell>
          <cell r="V9">
            <v>2.8E-3</v>
          </cell>
          <cell r="W9">
            <v>5.95</v>
          </cell>
          <cell r="Y9">
            <v>1.8E-3</v>
          </cell>
          <cell r="Z9">
            <v>5.95</v>
          </cell>
          <cell r="AN9"/>
          <cell r="AO9"/>
        </row>
        <row r="10">
          <cell r="B10" t="str">
            <v>BOSSA S.A. - promocja</v>
          </cell>
          <cell r="D10" t="str">
            <v>TAK</v>
          </cell>
          <cell r="E10" t="str">
            <v>TAK</v>
          </cell>
          <cell r="F10" t="str">
            <v>TAK</v>
          </cell>
          <cell r="K10">
            <v>2.8999999999999998E-3</v>
          </cell>
          <cell r="L10">
            <v>19</v>
          </cell>
          <cell r="M10">
            <v>5</v>
          </cell>
          <cell r="O10">
            <v>2.8999999999999998E-3</v>
          </cell>
          <cell r="P10">
            <v>19</v>
          </cell>
          <cell r="Q10">
            <v>5</v>
          </cell>
          <cell r="S10">
            <v>3.8E-3</v>
          </cell>
          <cell r="T10">
            <v>5</v>
          </cell>
          <cell r="V10">
            <v>2.5000000000000001E-3</v>
          </cell>
          <cell r="W10">
            <v>5</v>
          </cell>
          <cell r="Y10">
            <v>1.9E-3</v>
          </cell>
          <cell r="Z10">
            <v>5</v>
          </cell>
          <cell r="AN10"/>
          <cell r="AO10">
            <v>0.02</v>
          </cell>
        </row>
        <row r="11">
          <cell r="B11" t="str">
            <v>BOSSA S.A. - bez promocji</v>
          </cell>
          <cell r="D11" t="str">
            <v>TAK</v>
          </cell>
          <cell r="E11" t="str">
            <v>TAK</v>
          </cell>
          <cell r="F11" t="str">
            <v>TAK</v>
          </cell>
          <cell r="K11">
            <v>2.8999999999999998E-3</v>
          </cell>
          <cell r="L11">
            <v>29</v>
          </cell>
          <cell r="M11">
            <v>7</v>
          </cell>
          <cell r="O11">
            <v>2.8999999999999998E-3</v>
          </cell>
          <cell r="P11">
            <v>29</v>
          </cell>
          <cell r="Q11">
            <v>7</v>
          </cell>
          <cell r="S11">
            <v>3.8E-3</v>
          </cell>
          <cell r="T11">
            <v>5</v>
          </cell>
          <cell r="V11">
            <v>3.8E-3</v>
          </cell>
          <cell r="W11">
            <v>5</v>
          </cell>
          <cell r="Y11">
            <v>1.9E-3</v>
          </cell>
          <cell r="Z11">
            <v>5</v>
          </cell>
          <cell r="AN11"/>
          <cell r="AO11">
            <v>0.02</v>
          </cell>
        </row>
        <row r="12">
          <cell r="B12" t="str">
            <v>Millenium Dom Maklerski</v>
          </cell>
          <cell r="D12" t="str">
            <v>NIE</v>
          </cell>
          <cell r="E12" t="str">
            <v>TAK</v>
          </cell>
          <cell r="F12" t="str">
            <v>NIE</v>
          </cell>
          <cell r="K12"/>
          <cell r="L12"/>
          <cell r="M12"/>
          <cell r="O12"/>
          <cell r="P12"/>
          <cell r="Q12"/>
          <cell r="S12">
            <v>3.8E-3</v>
          </cell>
          <cell r="T12">
            <v>4.9000000000000004</v>
          </cell>
          <cell r="V12">
            <v>3.8E-3</v>
          </cell>
          <cell r="W12">
            <v>4.9000000000000004</v>
          </cell>
          <cell r="Y12">
            <v>2E-3</v>
          </cell>
          <cell r="Z12">
            <v>4.9000000000000004</v>
          </cell>
          <cell r="AN12"/>
          <cell r="AO12"/>
        </row>
        <row r="13">
          <cell r="B13" t="str">
            <v>Biuro Maklerskie PKO BP</v>
          </cell>
          <cell r="D13" t="str">
            <v>TAK</v>
          </cell>
          <cell r="E13" t="str">
            <v>NIE</v>
          </cell>
          <cell r="F13" t="str">
            <v>NIE</v>
          </cell>
          <cell r="K13"/>
          <cell r="L13"/>
          <cell r="M13"/>
          <cell r="O13"/>
          <cell r="P13"/>
          <cell r="Q13"/>
          <cell r="S13">
            <v>3.8999999999999998E-3</v>
          </cell>
          <cell r="T13">
            <v>5</v>
          </cell>
          <cell r="V13">
            <v>3.8999999999999998E-3</v>
          </cell>
          <cell r="W13">
            <v>5</v>
          </cell>
          <cell r="Y13">
            <v>2E-3</v>
          </cell>
          <cell r="Z13">
            <v>5</v>
          </cell>
          <cell r="AN13"/>
          <cell r="AO13"/>
        </row>
        <row r="14">
          <cell r="B14" t="str">
            <v>nobble</v>
          </cell>
          <cell r="D14"/>
          <cell r="E14"/>
          <cell r="F14"/>
          <cell r="K14"/>
          <cell r="L14"/>
          <cell r="M14"/>
          <cell r="O14"/>
          <cell r="P14"/>
          <cell r="Q14"/>
          <cell r="S14"/>
          <cell r="T14"/>
          <cell r="V14"/>
          <cell r="W14"/>
          <cell r="Y14"/>
          <cell r="Z14"/>
          <cell r="AN14"/>
          <cell r="AO14"/>
        </row>
        <row r="15">
          <cell r="B15" t="str">
            <v>pko</v>
          </cell>
          <cell r="D15"/>
          <cell r="E15"/>
          <cell r="F15"/>
          <cell r="K15"/>
          <cell r="L15"/>
          <cell r="M15"/>
          <cell r="O15"/>
          <cell r="P15"/>
          <cell r="Q15"/>
          <cell r="S15"/>
          <cell r="T15"/>
          <cell r="V15"/>
          <cell r="W15"/>
          <cell r="Y15"/>
          <cell r="Z15"/>
          <cell r="AN15"/>
          <cell r="AO15"/>
        </row>
        <row r="16">
          <cell r="B16" t="str">
            <v>pbs</v>
          </cell>
          <cell r="D16"/>
          <cell r="E16"/>
          <cell r="F16"/>
          <cell r="K16"/>
          <cell r="L16"/>
          <cell r="M16"/>
          <cell r="O16"/>
          <cell r="P16"/>
          <cell r="Q16"/>
          <cell r="S16"/>
          <cell r="T16"/>
          <cell r="V16"/>
          <cell r="W16"/>
          <cell r="Y16"/>
          <cell r="Z16"/>
          <cell r="AN16"/>
          <cell r="AO16"/>
        </row>
        <row r="17">
          <cell r="B17"/>
          <cell r="D17"/>
          <cell r="E17"/>
          <cell r="F17"/>
          <cell r="K17"/>
          <cell r="L17"/>
          <cell r="M17"/>
          <cell r="O17"/>
          <cell r="P17"/>
          <cell r="Q17"/>
          <cell r="S17"/>
          <cell r="T17"/>
          <cell r="V17"/>
          <cell r="W17"/>
          <cell r="Y17"/>
          <cell r="Z17"/>
          <cell r="AN17"/>
          <cell r="AO17"/>
        </row>
        <row r="18">
          <cell r="B18"/>
          <cell r="D18"/>
          <cell r="E18"/>
          <cell r="F18"/>
          <cell r="K18"/>
          <cell r="L18"/>
          <cell r="M18"/>
          <cell r="P18"/>
          <cell r="Q18"/>
          <cell r="S18"/>
          <cell r="T18"/>
          <cell r="V18"/>
          <cell r="W18"/>
          <cell r="Y18"/>
          <cell r="Z18"/>
          <cell r="AN18"/>
          <cell r="AO18"/>
        </row>
      </sheetData>
      <sheetData sheetId="1" refreshError="1">
        <row r="5">
          <cell r="K5" t="str">
            <v>NIE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https://noblesecurities.pl/o-nas/regulacje/rachunek-maklerski" TargetMode="External"/><Relationship Id="rId18" Type="http://schemas.openxmlformats.org/officeDocument/2006/relationships/hyperlink" Target="https://bossa.pl/oferta/oplaty-i-prowizje" TargetMode="External"/><Relationship Id="rId26" Type="http://schemas.openxmlformats.org/officeDocument/2006/relationships/hyperlink" Target="https://www.bm.pkobp.pl/media_files/a72ea78f-1b94-4329-9ca3-84057fe85a7b.pdf" TargetMode="External"/><Relationship Id="rId3" Type="http://schemas.openxmlformats.org/officeDocument/2006/relationships/hyperlink" Target="https://dmbps.pl/oferta/ike-ikze" TargetMode="External"/><Relationship Id="rId21" Type="http://schemas.openxmlformats.org/officeDocument/2006/relationships/hyperlink" Target="https://www.mdm.pl/ui-pub/site/oferta_indywidualna/rynki_zagraniczne/lista_dostepnych_akcji_etf_i_adrgdr" TargetMode="External"/><Relationship Id="rId7" Type="http://schemas.openxmlformats.org/officeDocument/2006/relationships/hyperlink" Target="https://www.santander.pl/regulation_file_server/time20220401154849/download?id=163809&amp;lang=pl_PL" TargetMode="External"/><Relationship Id="rId12" Type="http://schemas.openxmlformats.org/officeDocument/2006/relationships/hyperlink" Target="https://www.aliorbank.pl/dam/jcr:726116b4-5e1a-4ef3-aef5-b00d1843c5cb/taryfa-oplat-i-prowizji-biura-maklerskiego-alior-bank.pdf" TargetMode="External"/><Relationship Id="rId17" Type="http://schemas.openxmlformats.org/officeDocument/2006/relationships/hyperlink" Target="https://bossa.pl/oferta/IKE-i-IKZE" TargetMode="External"/><Relationship Id="rId25" Type="http://schemas.openxmlformats.org/officeDocument/2006/relationships/hyperlink" Target="https://www.bm.pkobp.pl/oferta/klient-indywidualny/rachunki-ike/super-ike/" TargetMode="External"/><Relationship Id="rId2" Type="http://schemas.openxmlformats.org/officeDocument/2006/relationships/hyperlink" Target="https://dmbps.pl/regulacje-i-dokumenty/regulamin-i-taryfa-oplat-i-prowizji" TargetMode="External"/><Relationship Id="rId16" Type="http://schemas.openxmlformats.org/officeDocument/2006/relationships/hyperlink" Target="https://www.mbank.pl/indywidualny/inwestycje/gielda/ikze-emakler/" TargetMode="External"/><Relationship Id="rId20" Type="http://schemas.openxmlformats.org/officeDocument/2006/relationships/hyperlink" Target="https://www.mdm.pl/ui-pub/site/oferta_indywidualna/rynki_zagraniczne/lista_dostepnych_akcji_etf_i_adrgdr" TargetMode="External"/><Relationship Id="rId29" Type="http://schemas.openxmlformats.org/officeDocument/2006/relationships/hyperlink" Target="https://www.mdm.pl/bm/g/vwmbKDa6HkWFFWt9hz7iTA" TargetMode="External"/><Relationship Id="rId1" Type="http://schemas.openxmlformats.org/officeDocument/2006/relationships/hyperlink" Target="https://dmbps.pl/regulacje-i-dokumenty/regulamin-i-taryfa-oplat-i-prowizji" TargetMode="External"/><Relationship Id="rId6" Type="http://schemas.openxmlformats.org/officeDocument/2006/relationships/hyperlink" Target="https://dmbps.pl/oferta/ike-ikze/zakres-inwestycji" TargetMode="External"/><Relationship Id="rId11" Type="http://schemas.openxmlformats.org/officeDocument/2006/relationships/hyperlink" Target="https://www.aliorbank.pl/dam/jcr:50fc8e98-2542-4f24-8f55-a3c7aef3bbdd" TargetMode="External"/><Relationship Id="rId24" Type="http://schemas.openxmlformats.org/officeDocument/2006/relationships/hyperlink" Target="https://www.bm.pkobp.pl/media_files/a72ea78f-1b94-4329-9ca3-84057fe85a7b.pdf" TargetMode="External"/><Relationship Id="rId5" Type="http://schemas.openxmlformats.org/officeDocument/2006/relationships/hyperlink" Target="https://dmbps.pl/oferta/ike-ikze/zakres-inwestycji" TargetMode="External"/><Relationship Id="rId15" Type="http://schemas.openxmlformats.org/officeDocument/2006/relationships/hyperlink" Target="https://www.mdm.pl/ui-pub/site/oferta_indywidualna/rynki_zagraniczne" TargetMode="External"/><Relationship Id="rId23" Type="http://schemas.openxmlformats.org/officeDocument/2006/relationships/hyperlink" Target="https://www.bdm.pl/dokumenty/regulaminy?file=files/bdm/dokumenty/Regulamin/regulamin_promocji_zostan_online.pdf" TargetMode="External"/><Relationship Id="rId28" Type="http://schemas.openxmlformats.org/officeDocument/2006/relationships/hyperlink" Target="https://www.mdm.pl/bm/g/vwmbKDa6HkWFFWt9hz7iTA" TargetMode="External"/><Relationship Id="rId10" Type="http://schemas.openxmlformats.org/officeDocument/2006/relationships/hyperlink" Target="https://millenniumbm.pl/documents/20143/507089/Tabela+Op%C5%82at+i+Prowizji+dla+rachunk%C3%B3w+IKZE+-+obowi%C4%85zuje+od+30+lipca+2022+r..pdf/ebd35c5e-37f0-42c7-b937-a612a438b181" TargetMode="External"/><Relationship Id="rId19" Type="http://schemas.openxmlformats.org/officeDocument/2006/relationships/hyperlink" Target="https://bossa.pl/oferta/rynek-zagraniczny/kid" TargetMode="External"/><Relationship Id="rId4" Type="http://schemas.openxmlformats.org/officeDocument/2006/relationships/hyperlink" Target="https://dmbps.pl/oferta/ike-ikze" TargetMode="External"/><Relationship Id="rId9" Type="http://schemas.openxmlformats.org/officeDocument/2006/relationships/hyperlink" Target="https://millenniumbm.pl/ikze" TargetMode="External"/><Relationship Id="rId14" Type="http://schemas.openxmlformats.org/officeDocument/2006/relationships/hyperlink" Target="https://noblesecurities.pl/dom-maklerski/ike-i-ikze" TargetMode="External"/><Relationship Id="rId22" Type="http://schemas.openxmlformats.org/officeDocument/2006/relationships/hyperlink" Target="https://www.bdm.pl/dokumenty/tabele-oplat-i-prowizji?file=files/bdm/dokumenty/Tabela_oplat_i_prowizji/ws_tabela_oplat_i_prowizji.pdf" TargetMode="External"/><Relationship Id="rId27" Type="http://schemas.openxmlformats.org/officeDocument/2006/relationships/hyperlink" Target="https://www.obligacjeskarbowe.pl/ike/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309"/>
  <sheetViews>
    <sheetView tabSelected="1" zoomScale="70" zoomScaleNormal="70" workbookViewId="0">
      <pane xSplit="2" ySplit="3" topLeftCell="AC12" activePane="bottomRight" state="frozen"/>
      <selection pane="topRight" activeCell="C1" sqref="C1"/>
      <selection pane="bottomLeft" activeCell="A6" sqref="A6"/>
      <selection pane="bottomRight" activeCell="AF12" sqref="AF12"/>
    </sheetView>
  </sheetViews>
  <sheetFormatPr defaultColWidth="8.81640625" defaultRowHeight="18.5" x14ac:dyDescent="0.45"/>
  <cols>
    <col min="1" max="1" width="4.453125" style="2" customWidth="1"/>
    <col min="2" max="2" width="35.54296875" style="1" customWidth="1"/>
    <col min="3" max="3" width="15.54296875" style="2" customWidth="1"/>
    <col min="4" max="4" width="23.81640625" style="2" customWidth="1"/>
    <col min="5" max="5" width="41.54296875" style="235" customWidth="1"/>
    <col min="6" max="6" width="29.54296875" style="235" customWidth="1"/>
    <col min="7" max="7" width="19.54296875" style="2" customWidth="1"/>
    <col min="8" max="8" width="24.453125" style="2" customWidth="1"/>
    <col min="9" max="9" width="48.1796875" style="2" customWidth="1"/>
    <col min="10" max="10" width="43.453125" style="2" customWidth="1"/>
    <col min="11" max="11" width="31.453125" style="2" customWidth="1"/>
    <col min="12" max="12" width="29.453125" style="2" customWidth="1"/>
    <col min="13" max="13" width="26.1796875" style="2" customWidth="1"/>
    <col min="14" max="14" width="28.54296875" style="2" customWidth="1"/>
    <col min="15" max="15" width="24.453125" style="2" customWidth="1"/>
    <col min="16" max="16" width="34.54296875" style="2" customWidth="1"/>
    <col min="17" max="17" width="45.54296875" style="2" customWidth="1"/>
    <col min="18" max="18" width="31.81640625" style="2" customWidth="1"/>
    <col min="19" max="19" width="30.453125" style="2" customWidth="1"/>
    <col min="20" max="20" width="28" style="2" customWidth="1"/>
    <col min="21" max="21" width="31.54296875" customWidth="1"/>
    <col min="22" max="22" width="36.54296875" style="2" customWidth="1"/>
    <col min="23" max="23" width="42.1796875" style="2" customWidth="1"/>
    <col min="24" max="24" width="31.1796875" customWidth="1"/>
    <col min="25" max="25" width="31.81640625" style="2" bestFit="1" customWidth="1"/>
    <col min="26" max="26" width="30.54296875" style="2" customWidth="1"/>
    <col min="27" max="27" width="31.81640625" customWidth="1"/>
    <col min="28" max="28" width="67.81640625" style="3" customWidth="1"/>
    <col min="29" max="29" width="31.54296875" style="3" customWidth="1"/>
    <col min="30" max="30" width="37" style="2" customWidth="1"/>
    <col min="31" max="31" width="34.453125" style="2" customWidth="1"/>
    <col min="32" max="32" width="28.453125" style="2" customWidth="1"/>
    <col min="33" max="33" width="38" style="2" bestFit="1" customWidth="1"/>
    <col min="34" max="34" width="20.453125" style="2" customWidth="1"/>
    <col min="35" max="35" width="40.453125" style="2" customWidth="1"/>
    <col min="36" max="36" width="30.54296875" customWidth="1"/>
    <col min="37" max="37" width="8.81640625" customWidth="1"/>
    <col min="38" max="38" width="19.453125" style="2" customWidth="1"/>
    <col min="39" max="16384" width="8.81640625" style="2"/>
  </cols>
  <sheetData>
    <row r="1" spans="2:39" ht="46" customHeight="1" thickBot="1" x14ac:dyDescent="0.8">
      <c r="B1" s="14"/>
      <c r="AJ1" s="4"/>
      <c r="AK1" s="4"/>
    </row>
    <row r="2" spans="2:39" ht="21.5" thickBot="1" x14ac:dyDescent="0.5">
      <c r="B2" s="288" t="s">
        <v>0</v>
      </c>
      <c r="C2" s="289"/>
      <c r="D2" s="290"/>
      <c r="E2" s="236"/>
      <c r="F2" s="236"/>
      <c r="G2" s="285" t="s">
        <v>1</v>
      </c>
      <c r="H2" s="286"/>
      <c r="I2" s="287"/>
      <c r="J2" s="5"/>
      <c r="K2" s="291" t="s">
        <v>2</v>
      </c>
      <c r="L2" s="292"/>
      <c r="M2" s="292"/>
      <c r="N2" s="292"/>
      <c r="O2" s="293"/>
      <c r="P2" s="294" t="s">
        <v>3</v>
      </c>
      <c r="Q2" s="295"/>
      <c r="R2" s="295"/>
      <c r="S2" s="295"/>
      <c r="T2" s="295"/>
      <c r="U2" s="296"/>
      <c r="V2" s="297" t="s">
        <v>4</v>
      </c>
      <c r="W2" s="298"/>
      <c r="X2" s="298"/>
      <c r="Y2" s="298"/>
      <c r="Z2" s="298"/>
      <c r="AA2" s="299"/>
      <c r="AB2" s="300" t="s">
        <v>5</v>
      </c>
      <c r="AC2" s="301"/>
      <c r="AD2" s="302"/>
      <c r="AE2" s="285" t="s">
        <v>6</v>
      </c>
      <c r="AF2" s="286"/>
      <c r="AG2" s="286"/>
      <c r="AH2" s="286"/>
      <c r="AI2" s="287"/>
      <c r="AJ2" s="4"/>
      <c r="AK2" s="4"/>
    </row>
    <row r="3" spans="2:39" s="8" customFormat="1" ht="256.5" customHeight="1" thickBot="1" x14ac:dyDescent="0.65">
      <c r="B3" s="257" t="s">
        <v>7</v>
      </c>
      <c r="C3" s="258" t="s">
        <v>313</v>
      </c>
      <c r="D3" s="259" t="s">
        <v>8</v>
      </c>
      <c r="E3" s="260" t="s">
        <v>308</v>
      </c>
      <c r="F3" s="260" t="s">
        <v>307</v>
      </c>
      <c r="G3" s="259" t="s">
        <v>9</v>
      </c>
      <c r="H3" s="259" t="s">
        <v>10</v>
      </c>
      <c r="I3" s="259" t="s">
        <v>24</v>
      </c>
      <c r="J3" s="259" t="s">
        <v>25</v>
      </c>
      <c r="K3" s="259" t="s">
        <v>254</v>
      </c>
      <c r="L3" s="259" t="s">
        <v>255</v>
      </c>
      <c r="M3" s="259" t="s">
        <v>11</v>
      </c>
      <c r="N3" s="259" t="s">
        <v>12</v>
      </c>
      <c r="O3" s="259" t="s">
        <v>314</v>
      </c>
      <c r="P3" s="259" t="s">
        <v>315</v>
      </c>
      <c r="Q3" s="259" t="s">
        <v>13</v>
      </c>
      <c r="R3" s="259" t="s">
        <v>14</v>
      </c>
      <c r="S3" s="259" t="s">
        <v>316</v>
      </c>
      <c r="T3" s="259" t="s">
        <v>317</v>
      </c>
      <c r="U3" s="259" t="s">
        <v>318</v>
      </c>
      <c r="V3" s="259" t="s">
        <v>312</v>
      </c>
      <c r="W3" s="259" t="s">
        <v>15</v>
      </c>
      <c r="X3" s="259" t="s">
        <v>319</v>
      </c>
      <c r="Y3" s="259" t="s">
        <v>311</v>
      </c>
      <c r="Z3" s="259" t="s">
        <v>16</v>
      </c>
      <c r="AA3" s="259" t="s">
        <v>320</v>
      </c>
      <c r="AB3" s="259" t="s">
        <v>309</v>
      </c>
      <c r="AC3" s="259" t="s">
        <v>17</v>
      </c>
      <c r="AD3" s="259" t="s">
        <v>18</v>
      </c>
      <c r="AE3" s="259" t="s">
        <v>19</v>
      </c>
      <c r="AF3" s="259" t="s">
        <v>20</v>
      </c>
      <c r="AG3" s="259" t="s">
        <v>21</v>
      </c>
      <c r="AH3" s="259" t="s">
        <v>22</v>
      </c>
      <c r="AI3" s="259" t="s">
        <v>23</v>
      </c>
      <c r="AJ3" s="259" t="s">
        <v>310</v>
      </c>
    </row>
    <row r="4" spans="2:39" s="7" customFormat="1" ht="333" x14ac:dyDescent="0.35">
      <c r="B4" s="238" t="s">
        <v>88</v>
      </c>
      <c r="C4" s="243" t="s">
        <v>27</v>
      </c>
      <c r="D4" s="242" t="s">
        <v>54</v>
      </c>
      <c r="E4" s="280">
        <v>1</v>
      </c>
      <c r="F4" s="280">
        <v>3</v>
      </c>
      <c r="G4" s="242">
        <v>0</v>
      </c>
      <c r="H4" s="242">
        <v>0</v>
      </c>
      <c r="I4" s="242" t="s">
        <v>262</v>
      </c>
      <c r="J4" s="242" t="s">
        <v>261</v>
      </c>
      <c r="K4" s="242" t="s">
        <v>243</v>
      </c>
      <c r="L4" s="242" t="s">
        <v>244</v>
      </c>
      <c r="M4" s="241" t="s">
        <v>245</v>
      </c>
      <c r="N4" s="242" t="s">
        <v>302</v>
      </c>
      <c r="O4" s="241" t="s">
        <v>246</v>
      </c>
      <c r="P4" s="242">
        <v>150</v>
      </c>
      <c r="Q4" s="242">
        <v>150</v>
      </c>
      <c r="R4" s="242">
        <v>150</v>
      </c>
      <c r="S4" s="242">
        <v>0</v>
      </c>
      <c r="T4" s="242">
        <v>150</v>
      </c>
      <c r="U4" s="242">
        <v>0</v>
      </c>
      <c r="V4" s="242">
        <v>0</v>
      </c>
      <c r="W4" s="242">
        <v>0</v>
      </c>
      <c r="X4" s="242">
        <v>0</v>
      </c>
      <c r="Y4" s="242">
        <v>0</v>
      </c>
      <c r="Z4" s="242">
        <v>0</v>
      </c>
      <c r="AA4" s="242">
        <v>0</v>
      </c>
      <c r="AB4" s="242" t="s">
        <v>248</v>
      </c>
      <c r="AC4" s="242" t="s">
        <v>249</v>
      </c>
      <c r="AD4" s="242">
        <v>0</v>
      </c>
      <c r="AE4" s="242" t="s">
        <v>33</v>
      </c>
      <c r="AF4" s="234" t="s">
        <v>89</v>
      </c>
      <c r="AG4" s="234" t="s">
        <v>90</v>
      </c>
      <c r="AH4" s="234" t="s">
        <v>91</v>
      </c>
      <c r="AI4" s="242" t="s">
        <v>92</v>
      </c>
      <c r="AJ4" s="242" t="s">
        <v>250</v>
      </c>
    </row>
    <row r="5" spans="2:39" s="7" customFormat="1" ht="164.25" customHeight="1" x14ac:dyDescent="0.35">
      <c r="B5" s="253" t="s">
        <v>103</v>
      </c>
      <c r="C5" s="254" t="s">
        <v>27</v>
      </c>
      <c r="D5" s="255" t="s">
        <v>54</v>
      </c>
      <c r="E5" s="281">
        <v>2</v>
      </c>
      <c r="F5" s="279" t="s">
        <v>306</v>
      </c>
      <c r="G5" s="255">
        <v>0</v>
      </c>
      <c r="H5" s="255" t="s">
        <v>232</v>
      </c>
      <c r="I5" s="256" t="s">
        <v>251</v>
      </c>
      <c r="J5" s="255" t="s">
        <v>233</v>
      </c>
      <c r="K5" s="261" t="s">
        <v>234</v>
      </c>
      <c r="L5" s="261" t="s">
        <v>235</v>
      </c>
      <c r="M5" s="262" t="s">
        <v>236</v>
      </c>
      <c r="N5" s="262" t="s">
        <v>236</v>
      </c>
      <c r="O5" s="262" t="s">
        <v>237</v>
      </c>
      <c r="P5" s="255">
        <v>0</v>
      </c>
      <c r="Q5" s="255">
        <v>0</v>
      </c>
      <c r="R5" s="255" t="s">
        <v>247</v>
      </c>
      <c r="S5" s="255" t="s">
        <v>247</v>
      </c>
      <c r="T5" s="255" t="s">
        <v>247</v>
      </c>
      <c r="U5" s="255" t="s">
        <v>247</v>
      </c>
      <c r="V5" s="255">
        <v>0</v>
      </c>
      <c r="W5" s="255">
        <v>0</v>
      </c>
      <c r="X5" s="255" t="s">
        <v>247</v>
      </c>
      <c r="Y5" s="255" t="s">
        <v>247</v>
      </c>
      <c r="Z5" s="255" t="s">
        <v>247</v>
      </c>
      <c r="AA5" s="255" t="s">
        <v>247</v>
      </c>
      <c r="AB5" s="256" t="s">
        <v>238</v>
      </c>
      <c r="AC5" s="256" t="s">
        <v>239</v>
      </c>
      <c r="AD5" s="255" t="s">
        <v>240</v>
      </c>
      <c r="AE5" s="256" t="s">
        <v>33</v>
      </c>
      <c r="AF5" s="264" t="s">
        <v>305</v>
      </c>
      <c r="AG5" s="265" t="s">
        <v>102</v>
      </c>
      <c r="AH5" s="265" t="s">
        <v>104</v>
      </c>
      <c r="AI5" s="255" t="s">
        <v>241</v>
      </c>
      <c r="AJ5" s="256" t="s">
        <v>242</v>
      </c>
    </row>
    <row r="6" spans="2:39" s="11" customFormat="1" ht="185" x14ac:dyDescent="0.35">
      <c r="B6" s="238" t="s">
        <v>100</v>
      </c>
      <c r="C6" s="243" t="s">
        <v>27</v>
      </c>
      <c r="D6" s="242" t="s">
        <v>54</v>
      </c>
      <c r="E6" s="280">
        <v>3</v>
      </c>
      <c r="F6" s="279" t="s">
        <v>306</v>
      </c>
      <c r="G6" s="242">
        <v>0</v>
      </c>
      <c r="H6" s="242">
        <v>0</v>
      </c>
      <c r="I6" s="245" t="s">
        <v>252</v>
      </c>
      <c r="J6" s="242" t="s">
        <v>253</v>
      </c>
      <c r="K6" s="266" t="s">
        <v>256</v>
      </c>
      <c r="L6" s="266" t="s">
        <v>256</v>
      </c>
      <c r="M6" s="267" t="s">
        <v>236</v>
      </c>
      <c r="N6" s="267" t="s">
        <v>236</v>
      </c>
      <c r="O6" s="267" t="s">
        <v>237</v>
      </c>
      <c r="P6" s="242">
        <v>0</v>
      </c>
      <c r="Q6" s="242">
        <v>0</v>
      </c>
      <c r="R6" s="242" t="s">
        <v>257</v>
      </c>
      <c r="S6" s="242" t="s">
        <v>257</v>
      </c>
      <c r="T6" s="242" t="s">
        <v>257</v>
      </c>
      <c r="U6" s="242" t="s">
        <v>257</v>
      </c>
      <c r="V6" s="242">
        <v>0</v>
      </c>
      <c r="W6" s="242">
        <v>0</v>
      </c>
      <c r="X6" s="242" t="s">
        <v>257</v>
      </c>
      <c r="Y6" s="242" t="s">
        <v>257</v>
      </c>
      <c r="Z6" s="242" t="s">
        <v>257</v>
      </c>
      <c r="AA6" s="242" t="s">
        <v>257</v>
      </c>
      <c r="AB6" s="245" t="s">
        <v>258</v>
      </c>
      <c r="AC6" s="245" t="s">
        <v>259</v>
      </c>
      <c r="AD6" s="242" t="s">
        <v>101</v>
      </c>
      <c r="AE6" s="245" t="s">
        <v>33</v>
      </c>
      <c r="AF6" s="264" t="s">
        <v>305</v>
      </c>
      <c r="AG6" s="234" t="s">
        <v>102</v>
      </c>
      <c r="AH6" s="244" t="s">
        <v>260</v>
      </c>
      <c r="AI6" s="242" t="s">
        <v>241</v>
      </c>
      <c r="AJ6" s="245" t="s">
        <v>242</v>
      </c>
      <c r="AL6" s="7"/>
      <c r="AM6" s="7"/>
    </row>
    <row r="7" spans="2:39" s="7" customFormat="1" ht="243.75" customHeight="1" x14ac:dyDescent="0.35">
      <c r="B7" s="238" t="s">
        <v>52</v>
      </c>
      <c r="C7" s="243" t="s">
        <v>53</v>
      </c>
      <c r="D7" s="242" t="s">
        <v>54</v>
      </c>
      <c r="E7" s="280">
        <v>4</v>
      </c>
      <c r="F7" s="279" t="s">
        <v>306</v>
      </c>
      <c r="G7" s="242">
        <v>0</v>
      </c>
      <c r="H7" s="242">
        <v>0</v>
      </c>
      <c r="I7" s="242" t="s">
        <v>263</v>
      </c>
      <c r="J7" s="242" t="s">
        <v>264</v>
      </c>
      <c r="K7" s="242" t="s">
        <v>265</v>
      </c>
      <c r="L7" s="242" t="s">
        <v>265</v>
      </c>
      <c r="M7" s="241" t="s">
        <v>266</v>
      </c>
      <c r="N7" s="241" t="s">
        <v>266</v>
      </c>
      <c r="O7" s="241" t="s">
        <v>267</v>
      </c>
      <c r="P7" s="242" t="s">
        <v>56</v>
      </c>
      <c r="Q7" s="242" t="s">
        <v>268</v>
      </c>
      <c r="R7" s="242" t="s">
        <v>56</v>
      </c>
      <c r="S7" s="242" t="s">
        <v>57</v>
      </c>
      <c r="T7" s="242" t="s">
        <v>269</v>
      </c>
      <c r="U7" s="242" t="s">
        <v>58</v>
      </c>
      <c r="V7" s="242" t="s">
        <v>269</v>
      </c>
      <c r="W7" s="242" t="s">
        <v>270</v>
      </c>
      <c r="X7" s="242" t="s">
        <v>269</v>
      </c>
      <c r="Y7" s="242" t="s">
        <v>271</v>
      </c>
      <c r="Z7" s="242" t="s">
        <v>269</v>
      </c>
      <c r="AA7" s="242" t="s">
        <v>272</v>
      </c>
      <c r="AB7" s="242" t="s">
        <v>273</v>
      </c>
      <c r="AC7" s="242" t="s">
        <v>54</v>
      </c>
      <c r="AD7" s="242" t="s">
        <v>55</v>
      </c>
      <c r="AE7" s="242" t="s">
        <v>33</v>
      </c>
      <c r="AF7" s="234" t="s">
        <v>59</v>
      </c>
      <c r="AG7" s="244" t="s">
        <v>274</v>
      </c>
      <c r="AH7" s="242" t="s">
        <v>92</v>
      </c>
      <c r="AI7" s="242" t="s">
        <v>60</v>
      </c>
      <c r="AJ7" s="242" t="s">
        <v>275</v>
      </c>
    </row>
    <row r="8" spans="2:39" s="7" customFormat="1" ht="116.25" customHeight="1" x14ac:dyDescent="0.35">
      <c r="B8" s="263" t="s">
        <v>26</v>
      </c>
      <c r="C8" s="243" t="s">
        <v>27</v>
      </c>
      <c r="D8" s="242" t="s">
        <v>33</v>
      </c>
      <c r="E8" s="242" t="s">
        <v>36</v>
      </c>
      <c r="F8" s="280">
        <v>2</v>
      </c>
      <c r="G8" s="242">
        <v>0</v>
      </c>
      <c r="H8" s="242">
        <v>0</v>
      </c>
      <c r="I8" s="242" t="s">
        <v>276</v>
      </c>
      <c r="J8" s="242" t="s">
        <v>36</v>
      </c>
      <c r="K8" s="242" t="s">
        <v>36</v>
      </c>
      <c r="L8" s="242" t="s">
        <v>36</v>
      </c>
      <c r="M8" s="241" t="s">
        <v>37</v>
      </c>
      <c r="N8" s="241" t="s">
        <v>38</v>
      </c>
      <c r="O8" s="241" t="s">
        <v>39</v>
      </c>
      <c r="P8" s="242">
        <v>150</v>
      </c>
      <c r="Q8" s="242" t="s">
        <v>29</v>
      </c>
      <c r="R8" s="242">
        <v>150</v>
      </c>
      <c r="S8" s="242" t="s">
        <v>28</v>
      </c>
      <c r="T8" s="242">
        <v>0</v>
      </c>
      <c r="U8" s="242" t="s">
        <v>31</v>
      </c>
      <c r="V8" s="242" t="s">
        <v>277</v>
      </c>
      <c r="W8" s="242" t="s">
        <v>277</v>
      </c>
      <c r="X8" s="242">
        <v>100</v>
      </c>
      <c r="Y8" s="242" t="s">
        <v>30</v>
      </c>
      <c r="Z8" s="242">
        <v>0</v>
      </c>
      <c r="AA8" s="242" t="s">
        <v>31</v>
      </c>
      <c r="AB8" s="242" t="s">
        <v>32</v>
      </c>
      <c r="AC8" s="242" t="s">
        <v>32</v>
      </c>
      <c r="AD8" s="242" t="s">
        <v>32</v>
      </c>
      <c r="AE8" s="242" t="s">
        <v>33</v>
      </c>
      <c r="AF8" s="234" t="s">
        <v>278</v>
      </c>
      <c r="AG8" s="242" t="s">
        <v>35</v>
      </c>
      <c r="AH8" s="234" t="s">
        <v>34</v>
      </c>
      <c r="AI8" s="242" t="s">
        <v>92</v>
      </c>
      <c r="AJ8" s="242" t="s">
        <v>40</v>
      </c>
    </row>
    <row r="9" spans="2:39" s="7" customFormat="1" ht="124.5" customHeight="1" x14ac:dyDescent="0.35">
      <c r="B9" s="238" t="s">
        <v>230</v>
      </c>
      <c r="C9" s="243" t="s">
        <v>27</v>
      </c>
      <c r="D9" s="242" t="s">
        <v>33</v>
      </c>
      <c r="E9" s="242" t="s">
        <v>36</v>
      </c>
      <c r="F9" s="280">
        <v>1</v>
      </c>
      <c r="G9" s="242">
        <v>0</v>
      </c>
      <c r="H9" s="241" t="s">
        <v>42</v>
      </c>
      <c r="I9" s="242" t="s">
        <v>279</v>
      </c>
      <c r="J9" s="242" t="s">
        <v>32</v>
      </c>
      <c r="K9" s="242" t="s">
        <v>32</v>
      </c>
      <c r="L9" s="242" t="s">
        <v>32</v>
      </c>
      <c r="M9" s="241" t="s">
        <v>280</v>
      </c>
      <c r="N9" s="241" t="s">
        <v>280</v>
      </c>
      <c r="O9" s="241" t="s">
        <v>281</v>
      </c>
      <c r="P9" s="284" t="s">
        <v>282</v>
      </c>
      <c r="Q9" s="284"/>
      <c r="R9" s="242" t="s">
        <v>283</v>
      </c>
      <c r="S9" s="242" t="s">
        <v>283</v>
      </c>
      <c r="T9" s="242" t="s">
        <v>284</v>
      </c>
      <c r="U9" s="242" t="s">
        <v>44</v>
      </c>
      <c r="V9" s="242">
        <v>5</v>
      </c>
      <c r="W9" s="242" t="s">
        <v>45</v>
      </c>
      <c r="X9" s="242">
        <v>0</v>
      </c>
      <c r="Y9" s="242" t="s">
        <v>46</v>
      </c>
      <c r="Z9" s="242">
        <v>0</v>
      </c>
      <c r="AA9" s="242" t="s">
        <v>44</v>
      </c>
      <c r="AB9" s="242" t="s">
        <v>32</v>
      </c>
      <c r="AC9" s="242" t="s">
        <v>33</v>
      </c>
      <c r="AD9" s="242" t="s">
        <v>32</v>
      </c>
      <c r="AE9" s="242" t="s">
        <v>47</v>
      </c>
      <c r="AF9" s="234" t="s">
        <v>48</v>
      </c>
      <c r="AG9" s="234" t="s">
        <v>49</v>
      </c>
      <c r="AH9" s="234" t="s">
        <v>50</v>
      </c>
      <c r="AI9" s="242" t="s">
        <v>41</v>
      </c>
      <c r="AJ9" s="242" t="s">
        <v>40</v>
      </c>
    </row>
    <row r="10" spans="2:39" s="7" customFormat="1" ht="122.25" customHeight="1" x14ac:dyDescent="0.35">
      <c r="B10" s="238" t="s">
        <v>231</v>
      </c>
      <c r="C10" s="243" t="s">
        <v>27</v>
      </c>
      <c r="D10" s="242" t="s">
        <v>33</v>
      </c>
      <c r="E10" s="242" t="s">
        <v>36</v>
      </c>
      <c r="F10" s="280">
        <v>1</v>
      </c>
      <c r="G10" s="242">
        <v>0</v>
      </c>
      <c r="H10" s="242" t="s">
        <v>51</v>
      </c>
      <c r="I10" s="242" t="s">
        <v>279</v>
      </c>
      <c r="J10" s="242" t="s">
        <v>32</v>
      </c>
      <c r="K10" s="242" t="s">
        <v>32</v>
      </c>
      <c r="L10" s="242" t="s">
        <v>32</v>
      </c>
      <c r="M10" s="241" t="s">
        <v>285</v>
      </c>
      <c r="N10" s="241" t="s">
        <v>285</v>
      </c>
      <c r="O10" s="241" t="s">
        <v>286</v>
      </c>
      <c r="P10" s="284" t="s">
        <v>43</v>
      </c>
      <c r="Q10" s="284"/>
      <c r="R10" s="242" t="s">
        <v>283</v>
      </c>
      <c r="S10" s="242" t="s">
        <v>283</v>
      </c>
      <c r="T10" s="242" t="s">
        <v>284</v>
      </c>
      <c r="U10" s="242" t="s">
        <v>44</v>
      </c>
      <c r="V10" s="242">
        <v>5</v>
      </c>
      <c r="W10" s="242" t="s">
        <v>45</v>
      </c>
      <c r="X10" s="242">
        <v>0</v>
      </c>
      <c r="Y10" s="242" t="s">
        <v>46</v>
      </c>
      <c r="Z10" s="242">
        <v>0</v>
      </c>
      <c r="AA10" s="242" t="s">
        <v>44</v>
      </c>
      <c r="AB10" s="242" t="s">
        <v>32</v>
      </c>
      <c r="AC10" s="242" t="s">
        <v>33</v>
      </c>
      <c r="AD10" s="242" t="s">
        <v>32</v>
      </c>
      <c r="AE10" s="242" t="s">
        <v>47</v>
      </c>
      <c r="AF10" s="234" t="s">
        <v>48</v>
      </c>
      <c r="AG10" s="234" t="s">
        <v>49</v>
      </c>
      <c r="AH10" s="234" t="s">
        <v>50</v>
      </c>
      <c r="AI10" s="242" t="s">
        <v>41</v>
      </c>
      <c r="AJ10" s="242" t="s">
        <v>40</v>
      </c>
    </row>
    <row r="11" spans="2:39" s="7" customFormat="1" ht="166.5" x14ac:dyDescent="0.35">
      <c r="B11" s="238" t="s">
        <v>67</v>
      </c>
      <c r="C11" s="243" t="s">
        <v>61</v>
      </c>
      <c r="D11" s="242" t="s">
        <v>33</v>
      </c>
      <c r="E11" s="242" t="s">
        <v>36</v>
      </c>
      <c r="F11" s="279" t="s">
        <v>306</v>
      </c>
      <c r="G11" s="242">
        <v>0</v>
      </c>
      <c r="H11" s="242">
        <v>0</v>
      </c>
      <c r="I11" s="242" t="s">
        <v>288</v>
      </c>
      <c r="J11" s="242" t="s">
        <v>36</v>
      </c>
      <c r="K11" s="242" t="s">
        <v>36</v>
      </c>
      <c r="L11" s="242" t="s">
        <v>36</v>
      </c>
      <c r="M11" s="241" t="s">
        <v>289</v>
      </c>
      <c r="N11" s="241" t="s">
        <v>289</v>
      </c>
      <c r="O11" s="241" t="s">
        <v>290</v>
      </c>
      <c r="P11" s="242" t="s">
        <v>66</v>
      </c>
      <c r="Q11" s="242" t="s">
        <v>66</v>
      </c>
      <c r="R11" s="242" t="s">
        <v>66</v>
      </c>
      <c r="S11" s="242" t="s">
        <v>36</v>
      </c>
      <c r="T11" s="242" t="s">
        <v>66</v>
      </c>
      <c r="U11" s="242" t="s">
        <v>62</v>
      </c>
      <c r="V11" s="242" t="s">
        <v>62</v>
      </c>
      <c r="W11" s="242" t="s">
        <v>291</v>
      </c>
      <c r="X11" s="242" t="s">
        <v>62</v>
      </c>
      <c r="Y11" s="242" t="s">
        <v>40</v>
      </c>
      <c r="Z11" s="242" t="s">
        <v>62</v>
      </c>
      <c r="AA11" s="242" t="s">
        <v>62</v>
      </c>
      <c r="AB11" s="242" t="s">
        <v>36</v>
      </c>
      <c r="AC11" s="242" t="s">
        <v>36</v>
      </c>
      <c r="AD11" s="242" t="s">
        <v>36</v>
      </c>
      <c r="AE11" s="242" t="s">
        <v>63</v>
      </c>
      <c r="AF11" s="234" t="s">
        <v>64</v>
      </c>
      <c r="AG11" s="242" t="s">
        <v>62</v>
      </c>
      <c r="AH11" s="234" t="s">
        <v>65</v>
      </c>
      <c r="AI11" s="242" t="s">
        <v>287</v>
      </c>
      <c r="AJ11" s="242" t="s">
        <v>40</v>
      </c>
    </row>
    <row r="12" spans="2:39" s="7" customFormat="1" ht="214.5" customHeight="1" x14ac:dyDescent="0.35">
      <c r="B12" s="238" t="s">
        <v>68</v>
      </c>
      <c r="C12" s="243" t="s">
        <v>69</v>
      </c>
      <c r="D12" s="242" t="s">
        <v>33</v>
      </c>
      <c r="E12" s="242" t="s">
        <v>36</v>
      </c>
      <c r="F12" s="279" t="s">
        <v>306</v>
      </c>
      <c r="G12" s="242">
        <v>0</v>
      </c>
      <c r="H12" s="242">
        <v>0</v>
      </c>
      <c r="I12" s="242" t="s">
        <v>293</v>
      </c>
      <c r="J12" s="242" t="s">
        <v>36</v>
      </c>
      <c r="K12" s="242" t="s">
        <v>36</v>
      </c>
      <c r="L12" s="242" t="s">
        <v>36</v>
      </c>
      <c r="M12" s="267" t="s">
        <v>294</v>
      </c>
      <c r="N12" s="267" t="s">
        <v>294</v>
      </c>
      <c r="O12" s="241" t="s">
        <v>295</v>
      </c>
      <c r="P12" s="242">
        <v>149</v>
      </c>
      <c r="Q12" s="242" t="s">
        <v>296</v>
      </c>
      <c r="R12" s="242">
        <v>149</v>
      </c>
      <c r="S12" s="242">
        <v>49</v>
      </c>
      <c r="T12" s="242">
        <v>149</v>
      </c>
      <c r="U12" s="242" t="s">
        <v>70</v>
      </c>
      <c r="V12" s="242">
        <v>0</v>
      </c>
      <c r="W12" s="242">
        <v>0</v>
      </c>
      <c r="X12" s="242">
        <v>0</v>
      </c>
      <c r="Y12" s="242">
        <v>49</v>
      </c>
      <c r="Z12" s="242">
        <v>0</v>
      </c>
      <c r="AA12" s="242">
        <v>0</v>
      </c>
      <c r="AB12" s="242" t="s">
        <v>36</v>
      </c>
      <c r="AC12" s="242" t="s">
        <v>36</v>
      </c>
      <c r="AD12" s="242" t="s">
        <v>36</v>
      </c>
      <c r="AE12" s="242" t="s">
        <v>71</v>
      </c>
      <c r="AF12" s="234" t="s">
        <v>72</v>
      </c>
      <c r="AG12" s="242" t="s">
        <v>73</v>
      </c>
      <c r="AH12" s="234" t="s">
        <v>74</v>
      </c>
      <c r="AI12" s="242" t="s">
        <v>292</v>
      </c>
      <c r="AJ12" s="242" t="s">
        <v>40</v>
      </c>
    </row>
    <row r="13" spans="2:39" s="4" customFormat="1" ht="200.25" customHeight="1" x14ac:dyDescent="0.35">
      <c r="B13" s="239" t="s">
        <v>75</v>
      </c>
      <c r="C13" s="243" t="s">
        <v>76</v>
      </c>
      <c r="D13" s="242" t="s">
        <v>33</v>
      </c>
      <c r="E13" s="242" t="s">
        <v>36</v>
      </c>
      <c r="F13" s="279" t="s">
        <v>306</v>
      </c>
      <c r="G13" s="246">
        <v>0</v>
      </c>
      <c r="H13" s="246">
        <v>0</v>
      </c>
      <c r="I13" s="242">
        <v>0</v>
      </c>
      <c r="J13" s="242" t="s">
        <v>36</v>
      </c>
      <c r="K13" s="242" t="s">
        <v>36</v>
      </c>
      <c r="L13" s="242" t="s">
        <v>36</v>
      </c>
      <c r="M13" s="242" t="s">
        <v>297</v>
      </c>
      <c r="N13" s="242" t="s">
        <v>297</v>
      </c>
      <c r="O13" s="242" t="s">
        <v>298</v>
      </c>
      <c r="P13" s="242">
        <v>150</v>
      </c>
      <c r="Q13" s="242">
        <v>150</v>
      </c>
      <c r="R13" s="242">
        <v>150</v>
      </c>
      <c r="S13" s="242" t="s">
        <v>77</v>
      </c>
      <c r="T13" s="242">
        <v>150</v>
      </c>
      <c r="U13" s="242">
        <v>0</v>
      </c>
      <c r="V13" s="242">
        <v>0</v>
      </c>
      <c r="W13" s="242">
        <v>0</v>
      </c>
      <c r="X13" s="245" t="s">
        <v>78</v>
      </c>
      <c r="Y13" s="242" t="s">
        <v>79</v>
      </c>
      <c r="Z13" s="242">
        <v>0</v>
      </c>
      <c r="AA13" s="242" t="s">
        <v>78</v>
      </c>
      <c r="AB13" s="242" t="s">
        <v>36</v>
      </c>
      <c r="AC13" s="242" t="s">
        <v>36</v>
      </c>
      <c r="AD13" s="242" t="s">
        <v>36</v>
      </c>
      <c r="AE13" s="242" t="s">
        <v>33</v>
      </c>
      <c r="AF13" s="233" t="s">
        <v>80</v>
      </c>
      <c r="AG13" s="245" t="s">
        <v>81</v>
      </c>
      <c r="AH13" s="233" t="s">
        <v>82</v>
      </c>
      <c r="AI13" s="242" t="s">
        <v>83</v>
      </c>
      <c r="AJ13" s="242" t="s">
        <v>40</v>
      </c>
      <c r="AK13" s="7"/>
      <c r="AL13" s="7"/>
      <c r="AM13" s="7"/>
    </row>
    <row r="14" spans="2:39" s="4" customFormat="1" ht="159.75" customHeight="1" x14ac:dyDescent="0.35">
      <c r="B14" s="238" t="s">
        <v>93</v>
      </c>
      <c r="C14" s="243" t="s">
        <v>69</v>
      </c>
      <c r="D14" s="242" t="s">
        <v>33</v>
      </c>
      <c r="E14" s="242" t="s">
        <v>36</v>
      </c>
      <c r="F14" s="279" t="s">
        <v>306</v>
      </c>
      <c r="G14" s="242" t="s">
        <v>94</v>
      </c>
      <c r="H14" s="242" t="s">
        <v>94</v>
      </c>
      <c r="I14" s="242" t="s">
        <v>299</v>
      </c>
      <c r="J14" s="242" t="s">
        <v>36</v>
      </c>
      <c r="K14" s="242" t="s">
        <v>36</v>
      </c>
      <c r="L14" s="242" t="s">
        <v>36</v>
      </c>
      <c r="M14" s="245" t="s">
        <v>300</v>
      </c>
      <c r="N14" s="267" t="s">
        <v>301</v>
      </c>
      <c r="O14" s="242" t="s">
        <v>303</v>
      </c>
      <c r="P14" s="242">
        <v>0</v>
      </c>
      <c r="Q14" s="242" t="s">
        <v>95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 t="s">
        <v>96</v>
      </c>
      <c r="X14" s="242">
        <v>0</v>
      </c>
      <c r="Y14" s="242">
        <v>0</v>
      </c>
      <c r="Z14" s="242">
        <v>0</v>
      </c>
      <c r="AA14" s="242">
        <v>0</v>
      </c>
      <c r="AB14" s="242" t="s">
        <v>36</v>
      </c>
      <c r="AC14" s="242" t="s">
        <v>36</v>
      </c>
      <c r="AD14" s="242" t="s">
        <v>36</v>
      </c>
      <c r="AE14" s="242" t="s">
        <v>33</v>
      </c>
      <c r="AF14" s="233" t="s">
        <v>97</v>
      </c>
      <c r="AG14" s="242" t="s">
        <v>98</v>
      </c>
      <c r="AH14" s="234" t="s">
        <v>99</v>
      </c>
      <c r="AI14" s="242" t="s">
        <v>92</v>
      </c>
      <c r="AJ14" s="242" t="s">
        <v>40</v>
      </c>
      <c r="AK14" s="7"/>
      <c r="AL14" s="7"/>
      <c r="AM14" s="7"/>
    </row>
    <row r="15" spans="2:39" s="4" customFormat="1" ht="26" x14ac:dyDescent="0.6">
      <c r="B15" s="9"/>
      <c r="C15" s="251"/>
      <c r="D15" s="251"/>
      <c r="E15" s="252"/>
      <c r="F15" s="252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7"/>
      <c r="AL15" s="7"/>
      <c r="AM15" s="7"/>
    </row>
    <row r="16" spans="2:39" s="4" customFormat="1" ht="78" x14ac:dyDescent="0.6">
      <c r="B16" s="10" t="s">
        <v>84</v>
      </c>
      <c r="C16" s="251"/>
      <c r="D16" s="251"/>
      <c r="E16" s="252"/>
      <c r="F16" s="252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7"/>
      <c r="AL16" s="7"/>
      <c r="AM16" s="7"/>
    </row>
    <row r="17" spans="2:37" s="4" customFormat="1" ht="225" customHeight="1" x14ac:dyDescent="0.35">
      <c r="B17" s="240" t="s">
        <v>75</v>
      </c>
      <c r="C17" s="247" t="s">
        <v>85</v>
      </c>
      <c r="D17" s="242" t="s">
        <v>36</v>
      </c>
      <c r="E17" s="242" t="s">
        <v>36</v>
      </c>
      <c r="F17" s="282" t="s">
        <v>32</v>
      </c>
      <c r="G17" s="242" t="s">
        <v>36</v>
      </c>
      <c r="H17" s="249" t="s">
        <v>304</v>
      </c>
      <c r="I17" s="242" t="s">
        <v>36</v>
      </c>
      <c r="J17" s="242" t="s">
        <v>36</v>
      </c>
      <c r="K17" s="242" t="s">
        <v>36</v>
      </c>
      <c r="L17" s="242" t="s">
        <v>36</v>
      </c>
      <c r="M17" s="242" t="s">
        <v>36</v>
      </c>
      <c r="N17" s="242" t="s">
        <v>36</v>
      </c>
      <c r="O17" s="242" t="s">
        <v>36</v>
      </c>
      <c r="P17" s="248">
        <v>150</v>
      </c>
      <c r="Q17" s="248">
        <v>150</v>
      </c>
      <c r="R17" s="248">
        <v>150</v>
      </c>
      <c r="S17" s="248" t="s">
        <v>77</v>
      </c>
      <c r="T17" s="248">
        <v>150</v>
      </c>
      <c r="U17" s="248">
        <v>0</v>
      </c>
      <c r="V17" s="248">
        <v>0</v>
      </c>
      <c r="W17" s="248">
        <v>0</v>
      </c>
      <c r="X17" s="249" t="s">
        <v>78</v>
      </c>
      <c r="Y17" s="248" t="s">
        <v>79</v>
      </c>
      <c r="Z17" s="248">
        <v>0</v>
      </c>
      <c r="AA17" s="248" t="s">
        <v>78</v>
      </c>
      <c r="AB17" s="242" t="s">
        <v>36</v>
      </c>
      <c r="AC17" s="242" t="s">
        <v>36</v>
      </c>
      <c r="AD17" s="242" t="s">
        <v>36</v>
      </c>
      <c r="AE17" s="248" t="s">
        <v>33</v>
      </c>
      <c r="AF17" s="268" t="s">
        <v>80</v>
      </c>
      <c r="AG17" s="242" t="s">
        <v>36</v>
      </c>
      <c r="AH17" s="268" t="s">
        <v>86</v>
      </c>
      <c r="AI17" s="250" t="s">
        <v>87</v>
      </c>
      <c r="AJ17" s="242" t="s">
        <v>92</v>
      </c>
      <c r="AK17"/>
    </row>
    <row r="18" spans="2:37" s="7" customFormat="1" ht="15.5" x14ac:dyDescent="0.35">
      <c r="B18" s="6"/>
      <c r="E18" s="237"/>
      <c r="F18" s="237"/>
      <c r="X18" s="12"/>
      <c r="AB18" s="13"/>
      <c r="AC18" s="13"/>
    </row>
    <row r="19" spans="2:37" s="7" customFormat="1" ht="15.5" x14ac:dyDescent="0.35">
      <c r="B19" s="6"/>
      <c r="E19" s="237"/>
      <c r="F19" s="237"/>
      <c r="X19" s="12"/>
      <c r="AB19" s="13"/>
      <c r="AC19" s="13"/>
    </row>
    <row r="20" spans="2:37" x14ac:dyDescent="0.45">
      <c r="U20" s="4"/>
      <c r="X20" s="4"/>
      <c r="AA20" s="4"/>
      <c r="AJ20" s="4"/>
      <c r="AK20" s="4"/>
    </row>
    <row r="21" spans="2:37" x14ac:dyDescent="0.45">
      <c r="U21" s="4"/>
      <c r="X21" s="4"/>
      <c r="AA21" s="4"/>
      <c r="AJ21" s="4"/>
      <c r="AK21" s="4"/>
    </row>
    <row r="22" spans="2:37" x14ac:dyDescent="0.45">
      <c r="U22" s="4"/>
      <c r="X22" s="4"/>
      <c r="AA22" s="4"/>
      <c r="AJ22" s="4"/>
      <c r="AK22" s="4"/>
    </row>
    <row r="23" spans="2:37" x14ac:dyDescent="0.45">
      <c r="U23" s="4"/>
      <c r="X23" s="4"/>
      <c r="AA23" s="4"/>
      <c r="AJ23" s="4"/>
      <c r="AK23" s="4"/>
    </row>
    <row r="24" spans="2:37" x14ac:dyDescent="0.45">
      <c r="U24" s="4"/>
      <c r="X24" s="4"/>
      <c r="AA24" s="4"/>
      <c r="AJ24" s="4"/>
      <c r="AK24" s="4"/>
    </row>
    <row r="25" spans="2:37" x14ac:dyDescent="0.45">
      <c r="U25" s="4"/>
      <c r="X25" s="4"/>
      <c r="AA25" s="4"/>
      <c r="AJ25" s="4"/>
      <c r="AK25" s="4"/>
    </row>
    <row r="26" spans="2:37" x14ac:dyDescent="0.45">
      <c r="U26" s="4"/>
      <c r="X26" s="4"/>
      <c r="AA26" s="4"/>
      <c r="AJ26" s="4"/>
      <c r="AK26" s="4"/>
    </row>
    <row r="27" spans="2:37" x14ac:dyDescent="0.45">
      <c r="U27" s="4"/>
      <c r="X27" s="4"/>
      <c r="AA27" s="4"/>
      <c r="AJ27" s="4"/>
      <c r="AK27" s="4"/>
    </row>
    <row r="28" spans="2:37" x14ac:dyDescent="0.45">
      <c r="U28" s="4"/>
      <c r="X28" s="4"/>
      <c r="AA28" s="4"/>
      <c r="AJ28" s="4"/>
      <c r="AK28" s="4"/>
    </row>
    <row r="29" spans="2:37" x14ac:dyDescent="0.45">
      <c r="U29" s="4"/>
      <c r="X29" s="4"/>
      <c r="AA29" s="4"/>
      <c r="AJ29" s="4"/>
      <c r="AK29" s="4"/>
    </row>
    <row r="30" spans="2:37" x14ac:dyDescent="0.45">
      <c r="U30" s="4"/>
      <c r="X30" s="4"/>
      <c r="AA30" s="4"/>
      <c r="AJ30" s="4"/>
      <c r="AK30" s="4"/>
    </row>
    <row r="31" spans="2:37" x14ac:dyDescent="0.45">
      <c r="U31" s="4"/>
      <c r="X31" s="4"/>
      <c r="AA31" s="4"/>
      <c r="AJ31" s="4"/>
      <c r="AK31" s="4"/>
    </row>
    <row r="32" spans="2:37" x14ac:dyDescent="0.45">
      <c r="U32" s="4"/>
      <c r="X32" s="4"/>
      <c r="AA32" s="4"/>
      <c r="AJ32" s="4"/>
      <c r="AK32" s="4"/>
    </row>
    <row r="33" spans="21:37" x14ac:dyDescent="0.45">
      <c r="U33" s="4"/>
      <c r="X33" s="4"/>
      <c r="AA33" s="4"/>
      <c r="AJ33" s="4"/>
      <c r="AK33" s="4"/>
    </row>
    <row r="34" spans="21:37" x14ac:dyDescent="0.45">
      <c r="U34" s="4"/>
      <c r="X34" s="4"/>
      <c r="AA34" s="4"/>
      <c r="AJ34" s="4"/>
      <c r="AK34" s="4"/>
    </row>
    <row r="35" spans="21:37" x14ac:dyDescent="0.45">
      <c r="U35" s="4"/>
      <c r="X35" s="4"/>
      <c r="AA35" s="4"/>
      <c r="AJ35" s="4"/>
      <c r="AK35" s="4"/>
    </row>
    <row r="36" spans="21:37" x14ac:dyDescent="0.45">
      <c r="U36" s="4"/>
      <c r="X36" s="4"/>
      <c r="AA36" s="4"/>
      <c r="AJ36" s="4"/>
      <c r="AK36" s="4"/>
    </row>
    <row r="37" spans="21:37" x14ac:dyDescent="0.45">
      <c r="U37" s="4"/>
      <c r="X37" s="4"/>
      <c r="AA37" s="4"/>
      <c r="AJ37" s="4"/>
      <c r="AK37" s="4"/>
    </row>
    <row r="38" spans="21:37" x14ac:dyDescent="0.45">
      <c r="U38" s="4"/>
      <c r="X38" s="4"/>
      <c r="AA38" s="4"/>
      <c r="AJ38" s="4"/>
      <c r="AK38" s="4"/>
    </row>
    <row r="39" spans="21:37" x14ac:dyDescent="0.45">
      <c r="U39" s="4"/>
      <c r="X39" s="4"/>
      <c r="AA39" s="4"/>
      <c r="AJ39" s="4"/>
      <c r="AK39" s="4"/>
    </row>
    <row r="40" spans="21:37" x14ac:dyDescent="0.45">
      <c r="U40" s="4"/>
      <c r="X40" s="4"/>
      <c r="AA40" s="4"/>
      <c r="AJ40" s="4"/>
      <c r="AK40" s="4"/>
    </row>
    <row r="41" spans="21:37" x14ac:dyDescent="0.45">
      <c r="U41" s="4"/>
      <c r="X41" s="4"/>
      <c r="AA41" s="4"/>
      <c r="AJ41" s="4"/>
      <c r="AK41" s="4"/>
    </row>
    <row r="42" spans="21:37" x14ac:dyDescent="0.45">
      <c r="U42" s="4"/>
      <c r="X42" s="4"/>
      <c r="AA42" s="4"/>
      <c r="AJ42" s="4"/>
      <c r="AK42" s="4"/>
    </row>
    <row r="43" spans="21:37" x14ac:dyDescent="0.45">
      <c r="U43" s="4"/>
      <c r="X43" s="4"/>
      <c r="AA43" s="4"/>
      <c r="AJ43" s="4"/>
      <c r="AK43" s="4"/>
    </row>
    <row r="44" spans="21:37" x14ac:dyDescent="0.45">
      <c r="U44" s="4"/>
      <c r="X44" s="4"/>
      <c r="AA44" s="4"/>
      <c r="AJ44" s="4"/>
      <c r="AK44" s="4"/>
    </row>
    <row r="45" spans="21:37" x14ac:dyDescent="0.45">
      <c r="U45" s="4"/>
      <c r="X45" s="4"/>
      <c r="AA45" s="4"/>
      <c r="AJ45" s="4"/>
      <c r="AK45" s="4"/>
    </row>
    <row r="46" spans="21:37" x14ac:dyDescent="0.45">
      <c r="U46" s="4"/>
      <c r="X46" s="4"/>
      <c r="AA46" s="4"/>
      <c r="AJ46" s="4"/>
      <c r="AK46" s="4"/>
    </row>
    <row r="47" spans="21:37" x14ac:dyDescent="0.45">
      <c r="U47" s="4"/>
      <c r="X47" s="4"/>
      <c r="AA47" s="4"/>
      <c r="AJ47" s="4"/>
      <c r="AK47" s="4"/>
    </row>
    <row r="48" spans="21:37" x14ac:dyDescent="0.45">
      <c r="U48" s="4"/>
      <c r="X48" s="4"/>
      <c r="AA48" s="4"/>
      <c r="AJ48" s="4"/>
      <c r="AK48" s="4"/>
    </row>
    <row r="49" spans="21:37" x14ac:dyDescent="0.45">
      <c r="U49" s="4"/>
      <c r="X49" s="4"/>
      <c r="AA49" s="4"/>
      <c r="AJ49" s="4"/>
      <c r="AK49" s="4"/>
    </row>
    <row r="50" spans="21:37" x14ac:dyDescent="0.45">
      <c r="U50" s="4"/>
      <c r="X50" s="4"/>
      <c r="AA50" s="4"/>
      <c r="AJ50" s="4"/>
      <c r="AK50" s="4"/>
    </row>
    <row r="51" spans="21:37" x14ac:dyDescent="0.45">
      <c r="U51" s="4"/>
      <c r="X51" s="4"/>
      <c r="AA51" s="4"/>
      <c r="AJ51" s="4"/>
      <c r="AK51" s="4"/>
    </row>
    <row r="52" spans="21:37" x14ac:dyDescent="0.45">
      <c r="U52" s="4"/>
      <c r="X52" s="4"/>
      <c r="AA52" s="4"/>
      <c r="AJ52" s="4"/>
      <c r="AK52" s="4"/>
    </row>
    <row r="53" spans="21:37" x14ac:dyDescent="0.45">
      <c r="U53" s="4"/>
      <c r="X53" s="4"/>
      <c r="AA53" s="4"/>
      <c r="AJ53" s="4"/>
      <c r="AK53" s="4"/>
    </row>
    <row r="54" spans="21:37" x14ac:dyDescent="0.45">
      <c r="U54" s="4"/>
      <c r="X54" s="4"/>
      <c r="AA54" s="4"/>
      <c r="AJ54" s="4"/>
      <c r="AK54" s="4"/>
    </row>
    <row r="55" spans="21:37" x14ac:dyDescent="0.45">
      <c r="U55" s="4"/>
      <c r="X55" s="4"/>
      <c r="AA55" s="4"/>
      <c r="AJ55" s="4"/>
      <c r="AK55" s="4"/>
    </row>
    <row r="56" spans="21:37" x14ac:dyDescent="0.45">
      <c r="U56" s="4"/>
      <c r="X56" s="4"/>
      <c r="AA56" s="4"/>
      <c r="AJ56" s="4"/>
      <c r="AK56" s="4"/>
    </row>
    <row r="57" spans="21:37" x14ac:dyDescent="0.45">
      <c r="U57" s="4"/>
      <c r="X57" s="4"/>
      <c r="AA57" s="4"/>
      <c r="AJ57" s="4"/>
      <c r="AK57" s="4"/>
    </row>
    <row r="58" spans="21:37" x14ac:dyDescent="0.45">
      <c r="U58" s="4"/>
      <c r="X58" s="4"/>
      <c r="AA58" s="4"/>
      <c r="AJ58" s="4"/>
      <c r="AK58" s="4"/>
    </row>
    <row r="59" spans="21:37" x14ac:dyDescent="0.45">
      <c r="U59" s="4"/>
      <c r="X59" s="4"/>
      <c r="AA59" s="4"/>
      <c r="AJ59" s="4"/>
      <c r="AK59" s="4"/>
    </row>
    <row r="60" spans="21:37" x14ac:dyDescent="0.45">
      <c r="U60" s="4"/>
      <c r="X60" s="4"/>
      <c r="AA60" s="4"/>
      <c r="AJ60" s="4"/>
      <c r="AK60" s="4"/>
    </row>
    <row r="61" spans="21:37" x14ac:dyDescent="0.45">
      <c r="U61" s="4"/>
      <c r="X61" s="4"/>
      <c r="AA61" s="4"/>
      <c r="AJ61" s="4"/>
      <c r="AK61" s="4"/>
    </row>
    <row r="62" spans="21:37" x14ac:dyDescent="0.45">
      <c r="U62" s="4"/>
      <c r="X62" s="4"/>
      <c r="AA62" s="4"/>
      <c r="AJ62" s="4"/>
      <c r="AK62" s="4"/>
    </row>
    <row r="63" spans="21:37" x14ac:dyDescent="0.45">
      <c r="U63" s="4"/>
      <c r="X63" s="4"/>
      <c r="AA63" s="4"/>
      <c r="AJ63" s="4"/>
      <c r="AK63" s="4"/>
    </row>
    <row r="64" spans="21:37" x14ac:dyDescent="0.45">
      <c r="U64" s="4"/>
      <c r="X64" s="4"/>
      <c r="AA64" s="4"/>
      <c r="AJ64" s="4"/>
      <c r="AK64" s="4"/>
    </row>
    <row r="65" spans="21:37" x14ac:dyDescent="0.45">
      <c r="U65" s="4"/>
      <c r="X65" s="4"/>
      <c r="AA65" s="4"/>
      <c r="AJ65" s="4"/>
      <c r="AK65" s="4"/>
    </row>
    <row r="66" spans="21:37" x14ac:dyDescent="0.45">
      <c r="U66" s="4"/>
      <c r="X66" s="4"/>
      <c r="AA66" s="4"/>
      <c r="AJ66" s="4"/>
      <c r="AK66" s="4"/>
    </row>
    <row r="67" spans="21:37" x14ac:dyDescent="0.45">
      <c r="U67" s="4"/>
      <c r="X67" s="4"/>
      <c r="AA67" s="4"/>
      <c r="AJ67" s="4"/>
      <c r="AK67" s="4"/>
    </row>
    <row r="68" spans="21:37" x14ac:dyDescent="0.45">
      <c r="U68" s="4"/>
      <c r="X68" s="4"/>
      <c r="AA68" s="4"/>
      <c r="AJ68" s="4"/>
      <c r="AK68" s="4"/>
    </row>
    <row r="69" spans="21:37" x14ac:dyDescent="0.45">
      <c r="U69" s="4"/>
      <c r="X69" s="4"/>
      <c r="AA69" s="4"/>
      <c r="AJ69" s="4"/>
      <c r="AK69" s="4"/>
    </row>
    <row r="70" spans="21:37" x14ac:dyDescent="0.45">
      <c r="U70" s="4"/>
      <c r="X70" s="4"/>
      <c r="AA70" s="4"/>
      <c r="AJ70" s="4"/>
      <c r="AK70" s="4"/>
    </row>
    <row r="71" spans="21:37" x14ac:dyDescent="0.45">
      <c r="U71" s="4"/>
      <c r="X71" s="4"/>
      <c r="AA71" s="4"/>
      <c r="AJ71" s="4"/>
      <c r="AK71" s="4"/>
    </row>
    <row r="72" spans="21:37" x14ac:dyDescent="0.45">
      <c r="U72" s="4"/>
      <c r="X72" s="4"/>
      <c r="AA72" s="4"/>
      <c r="AJ72" s="4"/>
      <c r="AK72" s="4"/>
    </row>
    <row r="73" spans="21:37" x14ac:dyDescent="0.45">
      <c r="U73" s="4"/>
      <c r="X73" s="4"/>
      <c r="AA73" s="4"/>
      <c r="AJ73" s="4"/>
      <c r="AK73" s="4"/>
    </row>
    <row r="74" spans="21:37" x14ac:dyDescent="0.45">
      <c r="U74" s="4"/>
      <c r="X74" s="4"/>
      <c r="AA74" s="4"/>
      <c r="AJ74" s="4"/>
      <c r="AK74" s="4"/>
    </row>
    <row r="75" spans="21:37" x14ac:dyDescent="0.45">
      <c r="U75" s="4"/>
      <c r="X75" s="4"/>
      <c r="AA75" s="4"/>
      <c r="AJ75" s="4"/>
      <c r="AK75" s="4"/>
    </row>
    <row r="76" spans="21:37" x14ac:dyDescent="0.45">
      <c r="U76" s="4"/>
      <c r="X76" s="4"/>
      <c r="AA76" s="4"/>
      <c r="AJ76" s="4"/>
      <c r="AK76" s="4"/>
    </row>
    <row r="77" spans="21:37" x14ac:dyDescent="0.45">
      <c r="U77" s="4"/>
      <c r="X77" s="4"/>
      <c r="AA77" s="4"/>
      <c r="AJ77" s="4"/>
      <c r="AK77" s="4"/>
    </row>
    <row r="78" spans="21:37" x14ac:dyDescent="0.45">
      <c r="U78" s="4"/>
      <c r="X78" s="4"/>
      <c r="AA78" s="4"/>
      <c r="AJ78" s="4"/>
      <c r="AK78" s="4"/>
    </row>
    <row r="79" spans="21:37" x14ac:dyDescent="0.45">
      <c r="U79" s="4"/>
      <c r="X79" s="4"/>
      <c r="AA79" s="4"/>
      <c r="AJ79" s="4"/>
      <c r="AK79" s="4"/>
    </row>
    <row r="80" spans="21:37" x14ac:dyDescent="0.45">
      <c r="U80" s="4"/>
      <c r="X80" s="4"/>
      <c r="AA80" s="4"/>
      <c r="AJ80" s="4"/>
      <c r="AK80" s="4"/>
    </row>
    <row r="81" spans="21:37" x14ac:dyDescent="0.45">
      <c r="U81" s="4"/>
      <c r="X81" s="4"/>
      <c r="AA81" s="4"/>
      <c r="AJ81" s="4"/>
      <c r="AK81" s="4"/>
    </row>
    <row r="82" spans="21:37" x14ac:dyDescent="0.45">
      <c r="U82" s="4"/>
      <c r="X82" s="4"/>
      <c r="AA82" s="4"/>
      <c r="AJ82" s="4"/>
      <c r="AK82" s="4"/>
    </row>
    <row r="83" spans="21:37" x14ac:dyDescent="0.45">
      <c r="U83" s="4"/>
      <c r="X83" s="4"/>
      <c r="AA83" s="4"/>
      <c r="AJ83" s="4"/>
      <c r="AK83" s="4"/>
    </row>
    <row r="84" spans="21:37" x14ac:dyDescent="0.45">
      <c r="U84" s="4"/>
      <c r="X84" s="4"/>
      <c r="AA84" s="4"/>
      <c r="AJ84" s="4"/>
      <c r="AK84" s="4"/>
    </row>
    <row r="85" spans="21:37" x14ac:dyDescent="0.45">
      <c r="U85" s="4"/>
      <c r="X85" s="4"/>
      <c r="AA85" s="4"/>
      <c r="AJ85" s="4"/>
      <c r="AK85" s="4"/>
    </row>
    <row r="86" spans="21:37" x14ac:dyDescent="0.45">
      <c r="U86" s="4"/>
      <c r="X86" s="4"/>
      <c r="AA86" s="4"/>
      <c r="AJ86" s="4"/>
      <c r="AK86" s="4"/>
    </row>
    <row r="87" spans="21:37" x14ac:dyDescent="0.45">
      <c r="U87" s="4"/>
      <c r="X87" s="4"/>
      <c r="AA87" s="4"/>
      <c r="AJ87" s="4"/>
      <c r="AK87" s="4"/>
    </row>
    <row r="88" spans="21:37" x14ac:dyDescent="0.45">
      <c r="U88" s="4"/>
      <c r="X88" s="4"/>
      <c r="AA88" s="4"/>
      <c r="AJ88" s="4"/>
      <c r="AK88" s="4"/>
    </row>
    <row r="89" spans="21:37" x14ac:dyDescent="0.45">
      <c r="U89" s="4"/>
      <c r="X89" s="4"/>
      <c r="AA89" s="4"/>
      <c r="AJ89" s="4"/>
      <c r="AK89" s="4"/>
    </row>
    <row r="90" spans="21:37" x14ac:dyDescent="0.45">
      <c r="U90" s="4"/>
      <c r="X90" s="4"/>
      <c r="AA90" s="4"/>
      <c r="AJ90" s="4"/>
      <c r="AK90" s="4"/>
    </row>
    <row r="91" spans="21:37" x14ac:dyDescent="0.45">
      <c r="U91" s="4"/>
      <c r="X91" s="4"/>
      <c r="AA91" s="4"/>
      <c r="AJ91" s="4"/>
      <c r="AK91" s="4"/>
    </row>
    <row r="92" spans="21:37" x14ac:dyDescent="0.45">
      <c r="U92" s="4"/>
      <c r="X92" s="4"/>
      <c r="AA92" s="4"/>
      <c r="AJ92" s="4"/>
      <c r="AK92" s="4"/>
    </row>
    <row r="93" spans="21:37" x14ac:dyDescent="0.45">
      <c r="U93" s="4"/>
      <c r="X93" s="4"/>
      <c r="AA93" s="4"/>
      <c r="AJ93" s="4"/>
      <c r="AK93" s="4"/>
    </row>
    <row r="94" spans="21:37" x14ac:dyDescent="0.45">
      <c r="U94" s="4"/>
      <c r="X94" s="4"/>
      <c r="AA94" s="4"/>
      <c r="AJ94" s="4"/>
      <c r="AK94" s="4"/>
    </row>
    <row r="95" spans="21:37" x14ac:dyDescent="0.45">
      <c r="U95" s="4"/>
      <c r="X95" s="4"/>
      <c r="AA95" s="4"/>
      <c r="AJ95" s="4"/>
      <c r="AK95" s="4"/>
    </row>
    <row r="96" spans="21:37" x14ac:dyDescent="0.45">
      <c r="U96" s="4"/>
      <c r="X96" s="4"/>
      <c r="AA96" s="4"/>
      <c r="AJ96" s="4"/>
      <c r="AK96" s="4"/>
    </row>
    <row r="97" spans="21:37" x14ac:dyDescent="0.45">
      <c r="U97" s="4"/>
      <c r="X97" s="4"/>
      <c r="AA97" s="4"/>
      <c r="AJ97" s="4"/>
      <c r="AK97" s="4"/>
    </row>
    <row r="98" spans="21:37" x14ac:dyDescent="0.45">
      <c r="U98" s="4"/>
      <c r="X98" s="4"/>
      <c r="AA98" s="4"/>
      <c r="AJ98" s="4"/>
      <c r="AK98" s="4"/>
    </row>
    <row r="99" spans="21:37" x14ac:dyDescent="0.45">
      <c r="U99" s="4"/>
      <c r="X99" s="4"/>
      <c r="AA99" s="4"/>
      <c r="AJ99" s="4"/>
      <c r="AK99" s="4"/>
    </row>
    <row r="100" spans="21:37" x14ac:dyDescent="0.45">
      <c r="U100" s="4"/>
      <c r="X100" s="4"/>
      <c r="AA100" s="4"/>
      <c r="AJ100" s="4"/>
      <c r="AK100" s="4"/>
    </row>
    <row r="101" spans="21:37" x14ac:dyDescent="0.45">
      <c r="U101" s="4"/>
      <c r="X101" s="4"/>
      <c r="AA101" s="4"/>
      <c r="AJ101" s="4"/>
      <c r="AK101" s="4"/>
    </row>
    <row r="102" spans="21:37" x14ac:dyDescent="0.45">
      <c r="U102" s="4"/>
      <c r="X102" s="4"/>
      <c r="AA102" s="4"/>
      <c r="AJ102" s="4"/>
      <c r="AK102" s="4"/>
    </row>
    <row r="103" spans="21:37" x14ac:dyDescent="0.45">
      <c r="U103" s="4"/>
      <c r="X103" s="4"/>
      <c r="AA103" s="4"/>
      <c r="AJ103" s="4"/>
      <c r="AK103" s="4"/>
    </row>
    <row r="104" spans="21:37" x14ac:dyDescent="0.45">
      <c r="U104" s="4"/>
      <c r="X104" s="4"/>
      <c r="AA104" s="4"/>
      <c r="AJ104" s="4"/>
      <c r="AK104" s="4"/>
    </row>
    <row r="105" spans="21:37" x14ac:dyDescent="0.45">
      <c r="U105" s="4"/>
      <c r="X105" s="4"/>
      <c r="AA105" s="4"/>
      <c r="AJ105" s="4"/>
      <c r="AK105" s="4"/>
    </row>
    <row r="106" spans="21:37" x14ac:dyDescent="0.45">
      <c r="U106" s="4"/>
      <c r="X106" s="4"/>
      <c r="AA106" s="4"/>
      <c r="AJ106" s="4"/>
      <c r="AK106" s="4"/>
    </row>
    <row r="107" spans="21:37" x14ac:dyDescent="0.45">
      <c r="U107" s="4"/>
      <c r="X107" s="4"/>
      <c r="AA107" s="4"/>
      <c r="AJ107" s="4"/>
      <c r="AK107" s="4"/>
    </row>
    <row r="108" spans="21:37" x14ac:dyDescent="0.45">
      <c r="U108" s="4"/>
      <c r="X108" s="4"/>
      <c r="AA108" s="4"/>
      <c r="AJ108" s="4"/>
      <c r="AK108" s="4"/>
    </row>
    <row r="109" spans="21:37" x14ac:dyDescent="0.45">
      <c r="U109" s="4"/>
      <c r="X109" s="4"/>
      <c r="AA109" s="4"/>
      <c r="AJ109" s="4"/>
      <c r="AK109" s="4"/>
    </row>
    <row r="110" spans="21:37" x14ac:dyDescent="0.45">
      <c r="U110" s="4"/>
      <c r="X110" s="4"/>
      <c r="AA110" s="4"/>
      <c r="AJ110" s="4"/>
      <c r="AK110" s="4"/>
    </row>
    <row r="111" spans="21:37" x14ac:dyDescent="0.45">
      <c r="U111" s="4"/>
      <c r="X111" s="4"/>
      <c r="AA111" s="4"/>
      <c r="AJ111" s="4"/>
      <c r="AK111" s="4"/>
    </row>
    <row r="112" spans="21:37" x14ac:dyDescent="0.45">
      <c r="U112" s="4"/>
      <c r="X112" s="4"/>
      <c r="AA112" s="4"/>
      <c r="AJ112" s="4"/>
      <c r="AK112" s="4"/>
    </row>
    <row r="113" spans="21:37" x14ac:dyDescent="0.45">
      <c r="U113" s="4"/>
      <c r="X113" s="4"/>
      <c r="AA113" s="4"/>
      <c r="AJ113" s="4"/>
      <c r="AK113" s="4"/>
    </row>
    <row r="114" spans="21:37" x14ac:dyDescent="0.45">
      <c r="U114" s="4"/>
      <c r="X114" s="4"/>
      <c r="AA114" s="4"/>
      <c r="AJ114" s="4"/>
      <c r="AK114" s="4"/>
    </row>
    <row r="115" spans="21:37" x14ac:dyDescent="0.45">
      <c r="U115" s="4"/>
      <c r="X115" s="4"/>
      <c r="AA115" s="4"/>
      <c r="AJ115" s="4"/>
      <c r="AK115" s="4"/>
    </row>
    <row r="116" spans="21:37" x14ac:dyDescent="0.45">
      <c r="U116" s="4"/>
      <c r="X116" s="4"/>
      <c r="AA116" s="4"/>
      <c r="AJ116" s="4"/>
      <c r="AK116" s="4"/>
    </row>
    <row r="117" spans="21:37" x14ac:dyDescent="0.45">
      <c r="U117" s="4"/>
      <c r="X117" s="4"/>
      <c r="AA117" s="4"/>
      <c r="AJ117" s="4"/>
      <c r="AK117" s="4"/>
    </row>
    <row r="118" spans="21:37" x14ac:dyDescent="0.45">
      <c r="U118" s="4"/>
      <c r="X118" s="4"/>
      <c r="AA118" s="4"/>
      <c r="AJ118" s="4"/>
      <c r="AK118" s="4"/>
    </row>
    <row r="119" spans="21:37" x14ac:dyDescent="0.45">
      <c r="U119" s="4"/>
      <c r="X119" s="4"/>
      <c r="AA119" s="4"/>
      <c r="AJ119" s="4"/>
      <c r="AK119" s="4"/>
    </row>
    <row r="120" spans="21:37" x14ac:dyDescent="0.45">
      <c r="U120" s="4"/>
      <c r="X120" s="4"/>
      <c r="AA120" s="4"/>
      <c r="AJ120" s="4"/>
      <c r="AK120" s="4"/>
    </row>
    <row r="121" spans="21:37" x14ac:dyDescent="0.45">
      <c r="U121" s="4"/>
      <c r="X121" s="4"/>
      <c r="AA121" s="4"/>
      <c r="AJ121" s="4"/>
      <c r="AK121" s="4"/>
    </row>
    <row r="122" spans="21:37" x14ac:dyDescent="0.45">
      <c r="U122" s="4"/>
      <c r="X122" s="4"/>
      <c r="AA122" s="4"/>
      <c r="AJ122" s="4"/>
      <c r="AK122" s="4"/>
    </row>
    <row r="123" spans="21:37" x14ac:dyDescent="0.45">
      <c r="U123" s="4"/>
      <c r="X123" s="4"/>
      <c r="AA123" s="4"/>
      <c r="AJ123" s="4"/>
      <c r="AK123" s="4"/>
    </row>
    <row r="124" spans="21:37" x14ac:dyDescent="0.45">
      <c r="U124" s="4"/>
      <c r="X124" s="4"/>
      <c r="AA124" s="4"/>
      <c r="AJ124" s="4"/>
      <c r="AK124" s="4"/>
    </row>
    <row r="125" spans="21:37" x14ac:dyDescent="0.45">
      <c r="U125" s="4"/>
      <c r="X125" s="4"/>
      <c r="AA125" s="4"/>
      <c r="AJ125" s="4"/>
      <c r="AK125" s="4"/>
    </row>
    <row r="126" spans="21:37" x14ac:dyDescent="0.45">
      <c r="U126" s="4"/>
      <c r="X126" s="4"/>
      <c r="AA126" s="4"/>
      <c r="AJ126" s="4"/>
      <c r="AK126" s="4"/>
    </row>
    <row r="127" spans="21:37" x14ac:dyDescent="0.45">
      <c r="U127" s="4"/>
      <c r="X127" s="4"/>
      <c r="AA127" s="4"/>
      <c r="AJ127" s="4"/>
      <c r="AK127" s="4"/>
    </row>
    <row r="128" spans="21:37" x14ac:dyDescent="0.45">
      <c r="U128" s="4"/>
      <c r="X128" s="4"/>
      <c r="AA128" s="4"/>
      <c r="AJ128" s="4"/>
      <c r="AK128" s="4"/>
    </row>
    <row r="129" spans="21:37" x14ac:dyDescent="0.45">
      <c r="U129" s="4"/>
      <c r="X129" s="4"/>
      <c r="AA129" s="4"/>
      <c r="AJ129" s="4"/>
      <c r="AK129" s="4"/>
    </row>
    <row r="130" spans="21:37" x14ac:dyDescent="0.45">
      <c r="U130" s="4"/>
      <c r="X130" s="4"/>
      <c r="AA130" s="4"/>
      <c r="AJ130" s="4"/>
      <c r="AK130" s="4"/>
    </row>
    <row r="131" spans="21:37" x14ac:dyDescent="0.45">
      <c r="U131" s="4"/>
      <c r="X131" s="4"/>
      <c r="AA131" s="4"/>
      <c r="AJ131" s="4"/>
      <c r="AK131" s="4"/>
    </row>
    <row r="132" spans="21:37" x14ac:dyDescent="0.45">
      <c r="U132" s="4"/>
      <c r="X132" s="4"/>
      <c r="AA132" s="4"/>
      <c r="AJ132" s="4"/>
      <c r="AK132" s="4"/>
    </row>
    <row r="133" spans="21:37" x14ac:dyDescent="0.45">
      <c r="U133" s="4"/>
      <c r="X133" s="4"/>
      <c r="AA133" s="4"/>
      <c r="AJ133" s="4"/>
      <c r="AK133" s="4"/>
    </row>
    <row r="134" spans="21:37" x14ac:dyDescent="0.45">
      <c r="U134" s="4"/>
      <c r="X134" s="4"/>
      <c r="AA134" s="4"/>
      <c r="AJ134" s="4"/>
      <c r="AK134" s="4"/>
    </row>
    <row r="135" spans="21:37" x14ac:dyDescent="0.45">
      <c r="U135" s="4"/>
      <c r="X135" s="4"/>
      <c r="AA135" s="4"/>
      <c r="AJ135" s="4"/>
      <c r="AK135" s="4"/>
    </row>
    <row r="136" spans="21:37" x14ac:dyDescent="0.45">
      <c r="U136" s="4"/>
      <c r="X136" s="4"/>
      <c r="AA136" s="4"/>
      <c r="AJ136" s="4"/>
      <c r="AK136" s="4"/>
    </row>
    <row r="137" spans="21:37" x14ac:dyDescent="0.45">
      <c r="U137" s="4"/>
      <c r="X137" s="4"/>
      <c r="AA137" s="4"/>
      <c r="AJ137" s="4"/>
      <c r="AK137" s="4"/>
    </row>
    <row r="138" spans="21:37" x14ac:dyDescent="0.45">
      <c r="U138" s="4"/>
      <c r="X138" s="4"/>
      <c r="AA138" s="4"/>
      <c r="AJ138" s="4"/>
      <c r="AK138" s="4"/>
    </row>
    <row r="139" spans="21:37" x14ac:dyDescent="0.45">
      <c r="U139" s="4"/>
      <c r="X139" s="4"/>
      <c r="AA139" s="4"/>
      <c r="AJ139" s="4"/>
      <c r="AK139" s="4"/>
    </row>
    <row r="140" spans="21:37" x14ac:dyDescent="0.45">
      <c r="U140" s="4"/>
      <c r="X140" s="4"/>
      <c r="AA140" s="4"/>
      <c r="AJ140" s="4"/>
      <c r="AK140" s="4"/>
    </row>
    <row r="141" spans="21:37" x14ac:dyDescent="0.45">
      <c r="U141" s="4"/>
      <c r="X141" s="4"/>
      <c r="AA141" s="4"/>
      <c r="AJ141" s="4"/>
      <c r="AK141" s="4"/>
    </row>
    <row r="142" spans="21:37" x14ac:dyDescent="0.45">
      <c r="U142" s="4"/>
      <c r="X142" s="4"/>
      <c r="AA142" s="4"/>
      <c r="AJ142" s="4"/>
      <c r="AK142" s="4"/>
    </row>
    <row r="143" spans="21:37" x14ac:dyDescent="0.45">
      <c r="U143" s="4"/>
      <c r="X143" s="4"/>
      <c r="AA143" s="4"/>
      <c r="AJ143" s="4"/>
      <c r="AK143" s="4"/>
    </row>
    <row r="144" spans="21:37" x14ac:dyDescent="0.45">
      <c r="U144" s="4"/>
      <c r="X144" s="4"/>
      <c r="AA144" s="4"/>
      <c r="AJ144" s="4"/>
      <c r="AK144" s="4"/>
    </row>
    <row r="145" spans="21:37" x14ac:dyDescent="0.45">
      <c r="U145" s="4"/>
      <c r="X145" s="4"/>
      <c r="AA145" s="4"/>
      <c r="AJ145" s="4"/>
      <c r="AK145" s="4"/>
    </row>
    <row r="146" spans="21:37" x14ac:dyDescent="0.45">
      <c r="U146" s="4"/>
      <c r="X146" s="4"/>
      <c r="AA146" s="4"/>
      <c r="AJ146" s="4"/>
      <c r="AK146" s="4"/>
    </row>
    <row r="147" spans="21:37" x14ac:dyDescent="0.45">
      <c r="U147" s="4"/>
      <c r="X147" s="4"/>
      <c r="AA147" s="4"/>
      <c r="AJ147" s="4"/>
      <c r="AK147" s="4"/>
    </row>
    <row r="148" spans="21:37" x14ac:dyDescent="0.45">
      <c r="U148" s="4"/>
      <c r="X148" s="4"/>
      <c r="AA148" s="4"/>
      <c r="AJ148" s="4"/>
      <c r="AK148" s="4"/>
    </row>
    <row r="149" spans="21:37" x14ac:dyDescent="0.45">
      <c r="U149" s="4"/>
      <c r="X149" s="4"/>
      <c r="AA149" s="4"/>
      <c r="AJ149" s="4"/>
      <c r="AK149" s="4"/>
    </row>
    <row r="150" spans="21:37" x14ac:dyDescent="0.45">
      <c r="U150" s="4"/>
      <c r="X150" s="4"/>
      <c r="AA150" s="4"/>
      <c r="AJ150" s="4"/>
      <c r="AK150" s="4"/>
    </row>
    <row r="151" spans="21:37" x14ac:dyDescent="0.45">
      <c r="U151" s="4"/>
      <c r="X151" s="4"/>
      <c r="AA151" s="4"/>
      <c r="AJ151" s="4"/>
      <c r="AK151" s="4"/>
    </row>
    <row r="152" spans="21:37" x14ac:dyDescent="0.45">
      <c r="U152" s="4"/>
      <c r="X152" s="4"/>
      <c r="AA152" s="4"/>
      <c r="AJ152" s="4"/>
      <c r="AK152" s="4"/>
    </row>
    <row r="153" spans="21:37" x14ac:dyDescent="0.45">
      <c r="U153" s="4"/>
      <c r="X153" s="4"/>
      <c r="AA153" s="4"/>
      <c r="AJ153" s="4"/>
      <c r="AK153" s="4"/>
    </row>
    <row r="154" spans="21:37" x14ac:dyDescent="0.45">
      <c r="U154" s="4"/>
      <c r="X154" s="4"/>
      <c r="AA154" s="4"/>
      <c r="AJ154" s="4"/>
      <c r="AK154" s="4"/>
    </row>
    <row r="155" spans="21:37" x14ac:dyDescent="0.45">
      <c r="U155" s="4"/>
      <c r="X155" s="4"/>
      <c r="AA155" s="4"/>
      <c r="AJ155" s="4"/>
      <c r="AK155" s="4"/>
    </row>
    <row r="156" spans="21:37" x14ac:dyDescent="0.45">
      <c r="U156" s="4"/>
      <c r="X156" s="4"/>
      <c r="AA156" s="4"/>
      <c r="AJ156" s="4"/>
      <c r="AK156" s="4"/>
    </row>
    <row r="157" spans="21:37" x14ac:dyDescent="0.45">
      <c r="U157" s="4"/>
      <c r="X157" s="4"/>
      <c r="AA157" s="4"/>
      <c r="AJ157" s="4"/>
      <c r="AK157" s="4"/>
    </row>
    <row r="158" spans="21:37" x14ac:dyDescent="0.45">
      <c r="U158" s="4"/>
      <c r="X158" s="4"/>
      <c r="AA158" s="4"/>
      <c r="AJ158" s="4"/>
      <c r="AK158" s="4"/>
    </row>
    <row r="159" spans="21:37" x14ac:dyDescent="0.45">
      <c r="U159" s="4"/>
      <c r="X159" s="4"/>
      <c r="AA159" s="4"/>
      <c r="AJ159" s="4"/>
      <c r="AK159" s="4"/>
    </row>
    <row r="160" spans="21:37" x14ac:dyDescent="0.45">
      <c r="U160" s="4"/>
      <c r="X160" s="4"/>
      <c r="AA160" s="4"/>
      <c r="AJ160" s="4"/>
      <c r="AK160" s="4"/>
    </row>
    <row r="161" spans="21:37" x14ac:dyDescent="0.45">
      <c r="U161" s="4"/>
      <c r="X161" s="4"/>
      <c r="AA161" s="4"/>
      <c r="AJ161" s="4"/>
      <c r="AK161" s="4"/>
    </row>
    <row r="162" spans="21:37" x14ac:dyDescent="0.45">
      <c r="U162" s="4"/>
      <c r="X162" s="4"/>
      <c r="AA162" s="4"/>
      <c r="AJ162" s="4"/>
      <c r="AK162" s="4"/>
    </row>
    <row r="163" spans="21:37" x14ac:dyDescent="0.45">
      <c r="U163" s="4"/>
      <c r="X163" s="4"/>
      <c r="AA163" s="4"/>
      <c r="AJ163" s="4"/>
      <c r="AK163" s="4"/>
    </row>
    <row r="164" spans="21:37" x14ac:dyDescent="0.45">
      <c r="U164" s="4"/>
      <c r="X164" s="4"/>
      <c r="AA164" s="4"/>
      <c r="AJ164" s="4"/>
      <c r="AK164" s="4"/>
    </row>
    <row r="165" spans="21:37" x14ac:dyDescent="0.45">
      <c r="U165" s="4"/>
      <c r="X165" s="4"/>
      <c r="AA165" s="4"/>
      <c r="AJ165" s="4"/>
      <c r="AK165" s="4"/>
    </row>
    <row r="166" spans="21:37" x14ac:dyDescent="0.45">
      <c r="U166" s="4"/>
      <c r="X166" s="4"/>
      <c r="AA166" s="4"/>
      <c r="AJ166" s="4"/>
      <c r="AK166" s="4"/>
    </row>
    <row r="167" spans="21:37" x14ac:dyDescent="0.45">
      <c r="U167" s="4"/>
      <c r="X167" s="4"/>
      <c r="AA167" s="4"/>
      <c r="AJ167" s="4"/>
      <c r="AK167" s="4"/>
    </row>
    <row r="168" spans="21:37" x14ac:dyDescent="0.45">
      <c r="U168" s="4"/>
      <c r="X168" s="4"/>
      <c r="AA168" s="4"/>
      <c r="AJ168" s="4"/>
      <c r="AK168" s="4"/>
    </row>
    <row r="169" spans="21:37" x14ac:dyDescent="0.45">
      <c r="U169" s="4"/>
      <c r="X169" s="4"/>
      <c r="AA169" s="4"/>
      <c r="AJ169" s="4"/>
      <c r="AK169" s="4"/>
    </row>
    <row r="170" spans="21:37" x14ac:dyDescent="0.45">
      <c r="U170" s="4"/>
      <c r="X170" s="4"/>
      <c r="AA170" s="4"/>
      <c r="AJ170" s="4"/>
      <c r="AK170" s="4"/>
    </row>
    <row r="171" spans="21:37" x14ac:dyDescent="0.45">
      <c r="U171" s="4"/>
      <c r="X171" s="4"/>
      <c r="AA171" s="4"/>
      <c r="AJ171" s="4"/>
      <c r="AK171" s="4"/>
    </row>
    <row r="172" spans="21:37" x14ac:dyDescent="0.45">
      <c r="U172" s="4"/>
      <c r="X172" s="4"/>
      <c r="AA172" s="4"/>
      <c r="AJ172" s="4"/>
      <c r="AK172" s="4"/>
    </row>
    <row r="173" spans="21:37" x14ac:dyDescent="0.45">
      <c r="U173" s="4"/>
      <c r="X173" s="4"/>
      <c r="AA173" s="4"/>
      <c r="AJ173" s="4"/>
      <c r="AK173" s="4"/>
    </row>
    <row r="174" spans="21:37" x14ac:dyDescent="0.45">
      <c r="U174" s="4"/>
      <c r="X174" s="4"/>
      <c r="AA174" s="4"/>
      <c r="AJ174" s="4"/>
      <c r="AK174" s="4"/>
    </row>
    <row r="175" spans="21:37" x14ac:dyDescent="0.45">
      <c r="U175" s="4"/>
      <c r="X175" s="4"/>
      <c r="AA175" s="4"/>
      <c r="AJ175" s="4"/>
      <c r="AK175" s="4"/>
    </row>
    <row r="176" spans="21:37" x14ac:dyDescent="0.45">
      <c r="U176" s="4"/>
      <c r="X176" s="4"/>
      <c r="AA176" s="4"/>
      <c r="AJ176" s="4"/>
      <c r="AK176" s="4"/>
    </row>
    <row r="177" spans="21:37" x14ac:dyDescent="0.45">
      <c r="U177" s="4"/>
      <c r="X177" s="4"/>
      <c r="AA177" s="4"/>
      <c r="AJ177" s="4"/>
      <c r="AK177" s="4"/>
    </row>
    <row r="178" spans="21:37" x14ac:dyDescent="0.45">
      <c r="U178" s="4"/>
      <c r="X178" s="4"/>
      <c r="AA178" s="4"/>
      <c r="AJ178" s="4"/>
      <c r="AK178" s="4"/>
    </row>
    <row r="179" spans="21:37" x14ac:dyDescent="0.45">
      <c r="U179" s="4"/>
      <c r="X179" s="4"/>
      <c r="AA179" s="4"/>
      <c r="AJ179" s="4"/>
      <c r="AK179" s="4"/>
    </row>
    <row r="180" spans="21:37" x14ac:dyDescent="0.45">
      <c r="U180" s="4"/>
      <c r="X180" s="4"/>
      <c r="AA180" s="4"/>
      <c r="AJ180" s="4"/>
      <c r="AK180" s="4"/>
    </row>
    <row r="181" spans="21:37" x14ac:dyDescent="0.45">
      <c r="U181" s="4"/>
      <c r="X181" s="4"/>
      <c r="AA181" s="4"/>
      <c r="AJ181" s="4"/>
      <c r="AK181" s="4"/>
    </row>
    <row r="182" spans="21:37" x14ac:dyDescent="0.45">
      <c r="U182" s="4"/>
      <c r="X182" s="4"/>
      <c r="AA182" s="4"/>
      <c r="AJ182" s="4"/>
      <c r="AK182" s="4"/>
    </row>
    <row r="183" spans="21:37" x14ac:dyDescent="0.45">
      <c r="U183" s="4"/>
      <c r="X183" s="4"/>
      <c r="AA183" s="4"/>
      <c r="AJ183" s="4"/>
      <c r="AK183" s="4"/>
    </row>
    <row r="184" spans="21:37" x14ac:dyDescent="0.45">
      <c r="U184" s="4"/>
      <c r="X184" s="4"/>
      <c r="AA184" s="4"/>
      <c r="AJ184" s="4"/>
      <c r="AK184" s="4"/>
    </row>
    <row r="185" spans="21:37" x14ac:dyDescent="0.45">
      <c r="U185" s="4"/>
      <c r="X185" s="4"/>
      <c r="AA185" s="4"/>
      <c r="AJ185" s="4"/>
      <c r="AK185" s="4"/>
    </row>
    <row r="186" spans="21:37" x14ac:dyDescent="0.45">
      <c r="U186" s="4"/>
      <c r="X186" s="4"/>
      <c r="AA186" s="4"/>
      <c r="AJ186" s="4"/>
      <c r="AK186" s="4"/>
    </row>
    <row r="187" spans="21:37" x14ac:dyDescent="0.45">
      <c r="U187" s="4"/>
      <c r="X187" s="4"/>
      <c r="AA187" s="4"/>
      <c r="AJ187" s="4"/>
      <c r="AK187" s="4"/>
    </row>
    <row r="188" spans="21:37" x14ac:dyDescent="0.45">
      <c r="U188" s="4"/>
      <c r="X188" s="4"/>
      <c r="AA188" s="4"/>
      <c r="AJ188" s="4"/>
      <c r="AK188" s="4"/>
    </row>
    <row r="189" spans="21:37" x14ac:dyDescent="0.45">
      <c r="U189" s="4"/>
      <c r="X189" s="4"/>
      <c r="AA189" s="4"/>
      <c r="AJ189" s="4"/>
      <c r="AK189" s="4"/>
    </row>
    <row r="190" spans="21:37" x14ac:dyDescent="0.45">
      <c r="U190" s="4"/>
      <c r="X190" s="4"/>
      <c r="AA190" s="4"/>
      <c r="AJ190" s="4"/>
      <c r="AK190" s="4"/>
    </row>
    <row r="191" spans="21:37" x14ac:dyDescent="0.45">
      <c r="U191" s="4"/>
      <c r="X191" s="4"/>
      <c r="AA191" s="4"/>
      <c r="AJ191" s="4"/>
      <c r="AK191" s="4"/>
    </row>
    <row r="192" spans="21:37" x14ac:dyDescent="0.45">
      <c r="U192" s="4"/>
      <c r="X192" s="4"/>
      <c r="AA192" s="4"/>
      <c r="AJ192" s="4"/>
      <c r="AK192" s="4"/>
    </row>
    <row r="193" spans="21:37" x14ac:dyDescent="0.45">
      <c r="U193" s="4"/>
      <c r="X193" s="4"/>
      <c r="AA193" s="4"/>
      <c r="AJ193" s="4"/>
      <c r="AK193" s="4"/>
    </row>
    <row r="194" spans="21:37" x14ac:dyDescent="0.45">
      <c r="U194" s="4"/>
      <c r="X194" s="4"/>
      <c r="AA194" s="4"/>
      <c r="AJ194" s="4"/>
      <c r="AK194" s="4"/>
    </row>
    <row r="195" spans="21:37" x14ac:dyDescent="0.45">
      <c r="U195" s="4"/>
      <c r="X195" s="4"/>
      <c r="AA195" s="4"/>
      <c r="AJ195" s="4"/>
      <c r="AK195" s="4"/>
    </row>
    <row r="196" spans="21:37" x14ac:dyDescent="0.45">
      <c r="U196" s="4"/>
      <c r="X196" s="4"/>
      <c r="AA196" s="4"/>
      <c r="AJ196" s="4"/>
      <c r="AK196" s="4"/>
    </row>
    <row r="197" spans="21:37" x14ac:dyDescent="0.45">
      <c r="U197" s="4"/>
      <c r="X197" s="4"/>
      <c r="AA197" s="4"/>
      <c r="AJ197" s="4"/>
      <c r="AK197" s="4"/>
    </row>
    <row r="198" spans="21:37" x14ac:dyDescent="0.45">
      <c r="U198" s="4"/>
      <c r="X198" s="4"/>
      <c r="AA198" s="4"/>
      <c r="AJ198" s="4"/>
      <c r="AK198" s="4"/>
    </row>
    <row r="199" spans="21:37" x14ac:dyDescent="0.45">
      <c r="U199" s="4"/>
      <c r="X199" s="4"/>
      <c r="AA199" s="4"/>
      <c r="AJ199" s="4"/>
      <c r="AK199" s="4"/>
    </row>
    <row r="200" spans="21:37" x14ac:dyDescent="0.45">
      <c r="U200" s="4"/>
      <c r="X200" s="4"/>
      <c r="AA200" s="4"/>
      <c r="AJ200" s="4"/>
      <c r="AK200" s="4"/>
    </row>
    <row r="201" spans="21:37" x14ac:dyDescent="0.45">
      <c r="U201" s="4"/>
      <c r="X201" s="4"/>
      <c r="AA201" s="4"/>
      <c r="AJ201" s="4"/>
      <c r="AK201" s="4"/>
    </row>
    <row r="202" spans="21:37" x14ac:dyDescent="0.45">
      <c r="U202" s="4"/>
      <c r="X202" s="4"/>
      <c r="AA202" s="4"/>
      <c r="AJ202" s="4"/>
      <c r="AK202" s="4"/>
    </row>
    <row r="203" spans="21:37" x14ac:dyDescent="0.45">
      <c r="U203" s="4"/>
      <c r="X203" s="4"/>
      <c r="AA203" s="4"/>
      <c r="AJ203" s="4"/>
      <c r="AK203" s="4"/>
    </row>
    <row r="204" spans="21:37" x14ac:dyDescent="0.45">
      <c r="U204" s="4"/>
      <c r="X204" s="4"/>
      <c r="AA204" s="4"/>
      <c r="AJ204" s="4"/>
      <c r="AK204" s="4"/>
    </row>
    <row r="205" spans="21:37" x14ac:dyDescent="0.45">
      <c r="U205" s="4"/>
      <c r="X205" s="4"/>
      <c r="AA205" s="4"/>
      <c r="AJ205" s="4"/>
      <c r="AK205" s="4"/>
    </row>
    <row r="206" spans="21:37" x14ac:dyDescent="0.45">
      <c r="U206" s="4"/>
      <c r="X206" s="4"/>
      <c r="AA206" s="4"/>
      <c r="AJ206" s="4"/>
      <c r="AK206" s="4"/>
    </row>
    <row r="207" spans="21:37" x14ac:dyDescent="0.45">
      <c r="U207" s="4"/>
      <c r="X207" s="4"/>
      <c r="AA207" s="4"/>
      <c r="AJ207" s="4"/>
      <c r="AK207" s="4"/>
    </row>
    <row r="208" spans="21:37" x14ac:dyDescent="0.45">
      <c r="U208" s="4"/>
      <c r="X208" s="4"/>
      <c r="AA208" s="4"/>
      <c r="AJ208" s="4"/>
      <c r="AK208" s="4"/>
    </row>
    <row r="209" spans="21:37" x14ac:dyDescent="0.45">
      <c r="U209" s="4"/>
      <c r="X209" s="4"/>
      <c r="AA209" s="4"/>
      <c r="AJ209" s="4"/>
      <c r="AK209" s="4"/>
    </row>
    <row r="210" spans="21:37" x14ac:dyDescent="0.45">
      <c r="U210" s="4"/>
      <c r="X210" s="4"/>
      <c r="AA210" s="4"/>
      <c r="AJ210" s="4"/>
      <c r="AK210" s="4"/>
    </row>
    <row r="211" spans="21:37" x14ac:dyDescent="0.45">
      <c r="U211" s="4"/>
      <c r="X211" s="4"/>
      <c r="AA211" s="4"/>
      <c r="AJ211" s="4"/>
      <c r="AK211" s="4"/>
    </row>
    <row r="212" spans="21:37" x14ac:dyDescent="0.45">
      <c r="U212" s="4"/>
      <c r="X212" s="4"/>
      <c r="AA212" s="4"/>
      <c r="AJ212" s="4"/>
      <c r="AK212" s="4"/>
    </row>
    <row r="213" spans="21:37" x14ac:dyDescent="0.45">
      <c r="U213" s="4"/>
      <c r="X213" s="4"/>
      <c r="AA213" s="4"/>
      <c r="AJ213" s="4"/>
      <c r="AK213" s="4"/>
    </row>
    <row r="214" spans="21:37" x14ac:dyDescent="0.45">
      <c r="U214" s="4"/>
      <c r="X214" s="4"/>
      <c r="AA214" s="4"/>
      <c r="AJ214" s="4"/>
      <c r="AK214" s="4"/>
    </row>
    <row r="215" spans="21:37" x14ac:dyDescent="0.45">
      <c r="U215" s="4"/>
      <c r="X215" s="4"/>
      <c r="AA215" s="4"/>
      <c r="AJ215" s="4"/>
      <c r="AK215" s="4"/>
    </row>
    <row r="216" spans="21:37" x14ac:dyDescent="0.45">
      <c r="U216" s="4"/>
      <c r="X216" s="4"/>
      <c r="AA216" s="4"/>
      <c r="AJ216" s="4"/>
      <c r="AK216" s="4"/>
    </row>
    <row r="217" spans="21:37" x14ac:dyDescent="0.45">
      <c r="U217" s="4"/>
      <c r="X217" s="4"/>
      <c r="AA217" s="4"/>
      <c r="AJ217" s="4"/>
      <c r="AK217" s="4"/>
    </row>
    <row r="218" spans="21:37" x14ac:dyDescent="0.45">
      <c r="U218" s="4"/>
      <c r="X218" s="4"/>
      <c r="AA218" s="4"/>
      <c r="AJ218" s="4"/>
      <c r="AK218" s="4"/>
    </row>
    <row r="219" spans="21:37" x14ac:dyDescent="0.45">
      <c r="U219" s="4"/>
      <c r="X219" s="4"/>
      <c r="AA219" s="4"/>
      <c r="AJ219" s="4"/>
      <c r="AK219" s="4"/>
    </row>
    <row r="220" spans="21:37" x14ac:dyDescent="0.45">
      <c r="U220" s="4"/>
      <c r="X220" s="4"/>
      <c r="AA220" s="4"/>
      <c r="AJ220" s="4"/>
      <c r="AK220" s="4"/>
    </row>
    <row r="221" spans="21:37" x14ac:dyDescent="0.45">
      <c r="U221" s="4"/>
      <c r="X221" s="4"/>
      <c r="AA221" s="4"/>
      <c r="AJ221" s="4"/>
      <c r="AK221" s="4"/>
    </row>
    <row r="222" spans="21:37" x14ac:dyDescent="0.45">
      <c r="U222" s="4"/>
      <c r="X222" s="4"/>
      <c r="AA222" s="4"/>
      <c r="AJ222" s="4"/>
      <c r="AK222" s="4"/>
    </row>
    <row r="223" spans="21:37" x14ac:dyDescent="0.45">
      <c r="U223" s="4"/>
      <c r="X223" s="4"/>
      <c r="AA223" s="4"/>
      <c r="AJ223" s="4"/>
      <c r="AK223" s="4"/>
    </row>
    <row r="224" spans="21:37" x14ac:dyDescent="0.45">
      <c r="U224" s="4"/>
      <c r="X224" s="4"/>
      <c r="AA224" s="4"/>
      <c r="AJ224" s="4"/>
      <c r="AK224" s="4"/>
    </row>
    <row r="225" spans="21:37" x14ac:dyDescent="0.45">
      <c r="U225" s="4"/>
      <c r="X225" s="4"/>
      <c r="AA225" s="4"/>
      <c r="AJ225" s="4"/>
      <c r="AK225" s="4"/>
    </row>
    <row r="226" spans="21:37" x14ac:dyDescent="0.45">
      <c r="U226" s="4"/>
      <c r="X226" s="4"/>
      <c r="AA226" s="4"/>
      <c r="AJ226" s="4"/>
      <c r="AK226" s="4"/>
    </row>
    <row r="227" spans="21:37" x14ac:dyDescent="0.45">
      <c r="U227" s="4"/>
      <c r="X227" s="4"/>
      <c r="AA227" s="4"/>
      <c r="AJ227" s="4"/>
      <c r="AK227" s="4"/>
    </row>
    <row r="228" spans="21:37" x14ac:dyDescent="0.45">
      <c r="U228" s="4"/>
      <c r="X228" s="4"/>
      <c r="AA228" s="4"/>
      <c r="AJ228" s="4"/>
      <c r="AK228" s="4"/>
    </row>
    <row r="229" spans="21:37" x14ac:dyDescent="0.45">
      <c r="U229" s="4"/>
      <c r="X229" s="4"/>
      <c r="AA229" s="4"/>
      <c r="AJ229" s="4"/>
      <c r="AK229" s="4"/>
    </row>
    <row r="230" spans="21:37" x14ac:dyDescent="0.45">
      <c r="U230" s="4"/>
      <c r="X230" s="4"/>
      <c r="AA230" s="4"/>
      <c r="AJ230" s="4"/>
      <c r="AK230" s="4"/>
    </row>
    <row r="231" spans="21:37" x14ac:dyDescent="0.45">
      <c r="U231" s="4"/>
      <c r="X231" s="4"/>
      <c r="AA231" s="4"/>
      <c r="AJ231" s="4"/>
      <c r="AK231" s="4"/>
    </row>
    <row r="232" spans="21:37" x14ac:dyDescent="0.45">
      <c r="U232" s="4"/>
      <c r="X232" s="4"/>
      <c r="AA232" s="4"/>
      <c r="AJ232" s="4"/>
      <c r="AK232" s="4"/>
    </row>
    <row r="233" spans="21:37" x14ac:dyDescent="0.45">
      <c r="U233" s="4"/>
      <c r="X233" s="4"/>
      <c r="AA233" s="4"/>
      <c r="AJ233" s="4"/>
      <c r="AK233" s="4"/>
    </row>
    <row r="234" spans="21:37" x14ac:dyDescent="0.45">
      <c r="U234" s="4"/>
      <c r="X234" s="4"/>
      <c r="AA234" s="4"/>
      <c r="AJ234" s="4"/>
      <c r="AK234" s="4"/>
    </row>
    <row r="235" spans="21:37" x14ac:dyDescent="0.45">
      <c r="U235" s="4"/>
      <c r="X235" s="4"/>
      <c r="AA235" s="4"/>
      <c r="AJ235" s="4"/>
      <c r="AK235" s="4"/>
    </row>
    <row r="236" spans="21:37" x14ac:dyDescent="0.45">
      <c r="U236" s="4"/>
      <c r="X236" s="4"/>
      <c r="AA236" s="4"/>
      <c r="AJ236" s="4"/>
      <c r="AK236" s="4"/>
    </row>
    <row r="237" spans="21:37" x14ac:dyDescent="0.45">
      <c r="U237" s="4"/>
      <c r="X237" s="4"/>
      <c r="AA237" s="4"/>
      <c r="AJ237" s="4"/>
      <c r="AK237" s="4"/>
    </row>
    <row r="238" spans="21:37" x14ac:dyDescent="0.45">
      <c r="U238" s="4"/>
      <c r="X238" s="4"/>
      <c r="AA238" s="4"/>
      <c r="AJ238" s="4"/>
      <c r="AK238" s="4"/>
    </row>
    <row r="239" spans="21:37" x14ac:dyDescent="0.45">
      <c r="U239" s="4"/>
      <c r="X239" s="4"/>
      <c r="AA239" s="4"/>
      <c r="AJ239" s="4"/>
      <c r="AK239" s="4"/>
    </row>
    <row r="240" spans="21:37" x14ac:dyDescent="0.45">
      <c r="U240" s="4"/>
      <c r="X240" s="4"/>
      <c r="AA240" s="4"/>
      <c r="AJ240" s="4"/>
      <c r="AK240" s="4"/>
    </row>
    <row r="241" spans="21:37" x14ac:dyDescent="0.45">
      <c r="U241" s="4"/>
      <c r="X241" s="4"/>
      <c r="AA241" s="4"/>
      <c r="AJ241" s="4"/>
      <c r="AK241" s="4"/>
    </row>
    <row r="242" spans="21:37" x14ac:dyDescent="0.45">
      <c r="U242" s="4"/>
      <c r="X242" s="4"/>
      <c r="AA242" s="4"/>
      <c r="AJ242" s="4"/>
      <c r="AK242" s="4"/>
    </row>
    <row r="243" spans="21:37" x14ac:dyDescent="0.45">
      <c r="U243" s="4"/>
      <c r="X243" s="4"/>
      <c r="AA243" s="4"/>
      <c r="AJ243" s="4"/>
      <c r="AK243" s="4"/>
    </row>
    <row r="244" spans="21:37" x14ac:dyDescent="0.45">
      <c r="U244" s="4"/>
      <c r="X244" s="4"/>
      <c r="AA244" s="4"/>
      <c r="AJ244" s="4"/>
      <c r="AK244" s="4"/>
    </row>
    <row r="245" spans="21:37" x14ac:dyDescent="0.45">
      <c r="U245" s="4"/>
      <c r="X245" s="4"/>
      <c r="AA245" s="4"/>
      <c r="AJ245" s="4"/>
      <c r="AK245" s="4"/>
    </row>
    <row r="246" spans="21:37" x14ac:dyDescent="0.45">
      <c r="U246" s="4"/>
      <c r="X246" s="4"/>
      <c r="AA246" s="4"/>
      <c r="AJ246" s="4"/>
      <c r="AK246" s="4"/>
    </row>
    <row r="247" spans="21:37" x14ac:dyDescent="0.45">
      <c r="U247" s="4"/>
      <c r="X247" s="4"/>
      <c r="AA247" s="4"/>
      <c r="AJ247" s="4"/>
      <c r="AK247" s="4"/>
    </row>
    <row r="248" spans="21:37" x14ac:dyDescent="0.45">
      <c r="U248" s="4"/>
      <c r="X248" s="4"/>
      <c r="AA248" s="4"/>
      <c r="AJ248" s="4"/>
      <c r="AK248" s="4"/>
    </row>
    <row r="249" spans="21:37" x14ac:dyDescent="0.45">
      <c r="U249" s="4"/>
      <c r="X249" s="4"/>
      <c r="AA249" s="4"/>
      <c r="AJ249" s="4"/>
      <c r="AK249" s="4"/>
    </row>
    <row r="250" spans="21:37" x14ac:dyDescent="0.45">
      <c r="U250" s="4"/>
      <c r="X250" s="4"/>
      <c r="AA250" s="4"/>
      <c r="AJ250" s="4"/>
      <c r="AK250" s="4"/>
    </row>
    <row r="251" spans="21:37" x14ac:dyDescent="0.45">
      <c r="U251" s="4"/>
      <c r="X251" s="4"/>
      <c r="AA251" s="4"/>
      <c r="AJ251" s="4"/>
      <c r="AK251" s="4"/>
    </row>
    <row r="252" spans="21:37" x14ac:dyDescent="0.45">
      <c r="U252" s="4"/>
      <c r="X252" s="4"/>
      <c r="AA252" s="4"/>
      <c r="AJ252" s="4"/>
      <c r="AK252" s="4"/>
    </row>
    <row r="253" spans="21:37" x14ac:dyDescent="0.45">
      <c r="U253" s="4"/>
      <c r="X253" s="4"/>
      <c r="AA253" s="4"/>
      <c r="AJ253" s="4"/>
      <c r="AK253" s="4"/>
    </row>
    <row r="254" spans="21:37" x14ac:dyDescent="0.45">
      <c r="U254" s="4"/>
      <c r="X254" s="4"/>
      <c r="AA254" s="4"/>
      <c r="AJ254" s="4"/>
      <c r="AK254" s="4"/>
    </row>
    <row r="255" spans="21:37" x14ac:dyDescent="0.45">
      <c r="U255" s="4"/>
      <c r="X255" s="4"/>
      <c r="AA255" s="4"/>
      <c r="AJ255" s="4"/>
      <c r="AK255" s="4"/>
    </row>
    <row r="256" spans="21:37" x14ac:dyDescent="0.45">
      <c r="U256" s="4"/>
      <c r="X256" s="4"/>
      <c r="AA256" s="4"/>
      <c r="AJ256" s="4"/>
      <c r="AK256" s="4"/>
    </row>
    <row r="257" spans="21:37" x14ac:dyDescent="0.45">
      <c r="U257" s="4"/>
      <c r="X257" s="4"/>
      <c r="AA257" s="4"/>
      <c r="AJ257" s="4"/>
      <c r="AK257" s="4"/>
    </row>
    <row r="258" spans="21:37" x14ac:dyDescent="0.45">
      <c r="U258" s="4"/>
      <c r="X258" s="4"/>
      <c r="AA258" s="4"/>
      <c r="AJ258" s="4"/>
      <c r="AK258" s="4"/>
    </row>
    <row r="259" spans="21:37" x14ac:dyDescent="0.45">
      <c r="U259" s="4"/>
      <c r="X259" s="4"/>
      <c r="AA259" s="4"/>
      <c r="AJ259" s="4"/>
      <c r="AK259" s="4"/>
    </row>
    <row r="260" spans="21:37" x14ac:dyDescent="0.45">
      <c r="U260" s="4"/>
      <c r="X260" s="4"/>
      <c r="AA260" s="4"/>
      <c r="AJ260" s="4"/>
      <c r="AK260" s="4"/>
    </row>
    <row r="261" spans="21:37" x14ac:dyDescent="0.45">
      <c r="U261" s="4"/>
      <c r="X261" s="4"/>
      <c r="AA261" s="4"/>
      <c r="AJ261" s="4"/>
      <c r="AK261" s="4"/>
    </row>
    <row r="262" spans="21:37" x14ac:dyDescent="0.45">
      <c r="U262" s="4"/>
      <c r="X262" s="4"/>
      <c r="AA262" s="4"/>
      <c r="AJ262" s="4"/>
      <c r="AK262" s="4"/>
    </row>
    <row r="263" spans="21:37" x14ac:dyDescent="0.45">
      <c r="U263" s="4"/>
      <c r="X263" s="4"/>
      <c r="AA263" s="4"/>
      <c r="AJ263" s="4"/>
      <c r="AK263" s="4"/>
    </row>
    <row r="264" spans="21:37" x14ac:dyDescent="0.45">
      <c r="U264" s="4"/>
      <c r="X264" s="4"/>
      <c r="AA264" s="4"/>
      <c r="AJ264" s="4"/>
      <c r="AK264" s="4"/>
    </row>
    <row r="265" spans="21:37" x14ac:dyDescent="0.45">
      <c r="U265" s="4"/>
      <c r="X265" s="4"/>
      <c r="AA265" s="4"/>
      <c r="AJ265" s="4"/>
      <c r="AK265" s="4"/>
    </row>
    <row r="266" spans="21:37" x14ac:dyDescent="0.45">
      <c r="U266" s="4"/>
      <c r="X266" s="4"/>
      <c r="AA266" s="4"/>
      <c r="AJ266" s="4"/>
      <c r="AK266" s="4"/>
    </row>
    <row r="267" spans="21:37" x14ac:dyDescent="0.45">
      <c r="U267" s="4"/>
      <c r="X267" s="4"/>
      <c r="AA267" s="4"/>
      <c r="AJ267" s="4"/>
      <c r="AK267" s="4"/>
    </row>
    <row r="268" spans="21:37" x14ac:dyDescent="0.45">
      <c r="U268" s="4"/>
      <c r="X268" s="4"/>
      <c r="AA268" s="4"/>
      <c r="AJ268" s="4"/>
      <c r="AK268" s="4"/>
    </row>
    <row r="269" spans="21:37" x14ac:dyDescent="0.45">
      <c r="U269" s="4"/>
      <c r="X269" s="4"/>
      <c r="AA269" s="4"/>
      <c r="AJ269" s="4"/>
      <c r="AK269" s="4"/>
    </row>
    <row r="270" spans="21:37" x14ac:dyDescent="0.45">
      <c r="U270" s="4"/>
      <c r="X270" s="4"/>
      <c r="AA270" s="4"/>
      <c r="AJ270" s="4"/>
      <c r="AK270" s="4"/>
    </row>
    <row r="271" spans="21:37" x14ac:dyDescent="0.45">
      <c r="U271" s="4"/>
      <c r="X271" s="4"/>
      <c r="AA271" s="4"/>
      <c r="AJ271" s="4"/>
      <c r="AK271" s="4"/>
    </row>
    <row r="272" spans="21:37" x14ac:dyDescent="0.45">
      <c r="U272" s="4"/>
      <c r="X272" s="4"/>
      <c r="AA272" s="4"/>
      <c r="AJ272" s="4"/>
      <c r="AK272" s="4"/>
    </row>
    <row r="273" spans="21:37" x14ac:dyDescent="0.45">
      <c r="U273" s="4"/>
      <c r="X273" s="4"/>
      <c r="AA273" s="4"/>
      <c r="AJ273" s="4"/>
      <c r="AK273" s="4"/>
    </row>
    <row r="274" spans="21:37" x14ac:dyDescent="0.45">
      <c r="U274" s="4"/>
      <c r="X274" s="4"/>
      <c r="AA274" s="4"/>
      <c r="AJ274" s="4"/>
      <c r="AK274" s="4"/>
    </row>
    <row r="275" spans="21:37" x14ac:dyDescent="0.45">
      <c r="U275" s="4"/>
      <c r="X275" s="4"/>
      <c r="AA275" s="4"/>
      <c r="AJ275" s="4"/>
      <c r="AK275" s="4"/>
    </row>
    <row r="276" spans="21:37" x14ac:dyDescent="0.45">
      <c r="U276" s="4"/>
      <c r="X276" s="4"/>
      <c r="AA276" s="4"/>
      <c r="AJ276" s="4"/>
      <c r="AK276" s="4"/>
    </row>
    <row r="277" spans="21:37" x14ac:dyDescent="0.45">
      <c r="U277" s="4"/>
      <c r="X277" s="4"/>
      <c r="AA277" s="4"/>
      <c r="AJ277" s="4"/>
      <c r="AK277" s="4"/>
    </row>
    <row r="278" spans="21:37" x14ac:dyDescent="0.45">
      <c r="U278" s="4"/>
      <c r="X278" s="4"/>
      <c r="AA278" s="4"/>
      <c r="AJ278" s="4"/>
      <c r="AK278" s="4"/>
    </row>
    <row r="279" spans="21:37" x14ac:dyDescent="0.45">
      <c r="U279" s="4"/>
      <c r="X279" s="4"/>
      <c r="AA279" s="4"/>
      <c r="AJ279" s="4"/>
      <c r="AK279" s="4"/>
    </row>
    <row r="280" spans="21:37" x14ac:dyDescent="0.45">
      <c r="U280" s="4"/>
      <c r="X280" s="4"/>
      <c r="AA280" s="4"/>
      <c r="AJ280" s="4"/>
      <c r="AK280" s="4"/>
    </row>
    <row r="281" spans="21:37" x14ac:dyDescent="0.45">
      <c r="U281" s="4"/>
      <c r="X281" s="4"/>
      <c r="AA281" s="4"/>
      <c r="AJ281" s="4"/>
      <c r="AK281" s="4"/>
    </row>
    <row r="282" spans="21:37" x14ac:dyDescent="0.45">
      <c r="U282" s="4"/>
      <c r="X282" s="4"/>
      <c r="AA282" s="4"/>
      <c r="AJ282" s="4"/>
      <c r="AK282" s="4"/>
    </row>
    <row r="283" spans="21:37" x14ac:dyDescent="0.45">
      <c r="U283" s="4"/>
      <c r="X283" s="4"/>
      <c r="AA283" s="4"/>
      <c r="AJ283" s="4"/>
      <c r="AK283" s="4"/>
    </row>
    <row r="284" spans="21:37" x14ac:dyDescent="0.45">
      <c r="U284" s="4"/>
      <c r="X284" s="4"/>
      <c r="AA284" s="4"/>
      <c r="AJ284" s="4"/>
      <c r="AK284" s="4"/>
    </row>
    <row r="285" spans="21:37" x14ac:dyDescent="0.45">
      <c r="U285" s="4"/>
      <c r="X285" s="4"/>
      <c r="AA285" s="4"/>
      <c r="AJ285" s="4"/>
      <c r="AK285" s="4"/>
    </row>
    <row r="286" spans="21:37" x14ac:dyDescent="0.45">
      <c r="U286" s="4"/>
      <c r="X286" s="4"/>
      <c r="AA286" s="4"/>
      <c r="AJ286" s="4"/>
      <c r="AK286" s="4"/>
    </row>
    <row r="287" spans="21:37" x14ac:dyDescent="0.45">
      <c r="U287" s="4"/>
      <c r="X287" s="4"/>
      <c r="AA287" s="4"/>
      <c r="AJ287" s="4"/>
      <c r="AK287" s="4"/>
    </row>
    <row r="288" spans="21:37" x14ac:dyDescent="0.45">
      <c r="U288" s="4"/>
      <c r="X288" s="4"/>
      <c r="AA288" s="4"/>
      <c r="AJ288" s="4"/>
      <c r="AK288" s="4"/>
    </row>
    <row r="289" spans="21:37" x14ac:dyDescent="0.45">
      <c r="U289" s="4"/>
      <c r="X289" s="4"/>
      <c r="AA289" s="4"/>
      <c r="AJ289" s="4"/>
      <c r="AK289" s="4"/>
    </row>
    <row r="290" spans="21:37" x14ac:dyDescent="0.45">
      <c r="U290" s="4"/>
      <c r="X290" s="4"/>
      <c r="AA290" s="4"/>
      <c r="AJ290" s="4"/>
      <c r="AK290" s="4"/>
    </row>
    <row r="291" spans="21:37" x14ac:dyDescent="0.45">
      <c r="U291" s="4"/>
      <c r="X291" s="4"/>
      <c r="AA291" s="4"/>
      <c r="AJ291" s="4"/>
      <c r="AK291" s="4"/>
    </row>
    <row r="292" spans="21:37" x14ac:dyDescent="0.45">
      <c r="U292" s="4"/>
      <c r="X292" s="4"/>
      <c r="AA292" s="4"/>
      <c r="AJ292" s="4"/>
      <c r="AK292" s="4"/>
    </row>
    <row r="293" spans="21:37" x14ac:dyDescent="0.45">
      <c r="U293" s="4"/>
      <c r="X293" s="4"/>
      <c r="AA293" s="4"/>
      <c r="AJ293" s="4"/>
      <c r="AK293" s="4"/>
    </row>
    <row r="294" spans="21:37" x14ac:dyDescent="0.45">
      <c r="U294" s="4"/>
      <c r="X294" s="4"/>
      <c r="AA294" s="4"/>
      <c r="AJ294" s="4"/>
      <c r="AK294" s="4"/>
    </row>
    <row r="295" spans="21:37" x14ac:dyDescent="0.45">
      <c r="U295" s="4"/>
      <c r="X295" s="4"/>
      <c r="AA295" s="4"/>
      <c r="AJ295" s="4"/>
      <c r="AK295" s="4"/>
    </row>
    <row r="296" spans="21:37" x14ac:dyDescent="0.45">
      <c r="U296" s="4"/>
      <c r="X296" s="4"/>
      <c r="AA296" s="4"/>
      <c r="AJ296" s="4"/>
      <c r="AK296" s="4"/>
    </row>
    <row r="297" spans="21:37" x14ac:dyDescent="0.45">
      <c r="U297" s="4"/>
      <c r="X297" s="4"/>
      <c r="AA297" s="4"/>
      <c r="AJ297" s="4"/>
      <c r="AK297" s="4"/>
    </row>
    <row r="298" spans="21:37" x14ac:dyDescent="0.45">
      <c r="U298" s="4"/>
      <c r="X298" s="4"/>
      <c r="AA298" s="4"/>
      <c r="AJ298" s="4"/>
      <c r="AK298" s="4"/>
    </row>
    <row r="299" spans="21:37" x14ac:dyDescent="0.45">
      <c r="U299" s="4"/>
      <c r="X299" s="4"/>
      <c r="AA299" s="4"/>
      <c r="AJ299" s="4"/>
      <c r="AK299" s="4"/>
    </row>
    <row r="300" spans="21:37" x14ac:dyDescent="0.45">
      <c r="U300" s="4"/>
      <c r="X300" s="4"/>
      <c r="AA300" s="4"/>
      <c r="AJ300" s="4"/>
      <c r="AK300" s="4"/>
    </row>
    <row r="301" spans="21:37" x14ac:dyDescent="0.45">
      <c r="U301" s="4"/>
      <c r="X301" s="4"/>
      <c r="AA301" s="4"/>
      <c r="AJ301" s="4"/>
      <c r="AK301" s="4"/>
    </row>
    <row r="302" spans="21:37" x14ac:dyDescent="0.45">
      <c r="U302" s="4"/>
      <c r="X302" s="4"/>
      <c r="AA302" s="4"/>
      <c r="AJ302" s="4"/>
      <c r="AK302" s="4"/>
    </row>
    <row r="303" spans="21:37" x14ac:dyDescent="0.45">
      <c r="U303" s="4"/>
      <c r="X303" s="4"/>
      <c r="AA303" s="4"/>
      <c r="AJ303" s="4"/>
      <c r="AK303" s="4"/>
    </row>
    <row r="304" spans="21:37" x14ac:dyDescent="0.45">
      <c r="U304" s="4"/>
      <c r="X304" s="4"/>
      <c r="AA304" s="4"/>
      <c r="AJ304" s="4"/>
      <c r="AK304" s="4"/>
    </row>
    <row r="305" spans="21:37" x14ac:dyDescent="0.45">
      <c r="U305" s="4"/>
      <c r="X305" s="4"/>
      <c r="AA305" s="4"/>
      <c r="AJ305" s="4"/>
      <c r="AK305" s="4"/>
    </row>
    <row r="306" spans="21:37" x14ac:dyDescent="0.45">
      <c r="U306" s="4"/>
      <c r="X306" s="4"/>
      <c r="AA306" s="4"/>
      <c r="AJ306" s="4"/>
      <c r="AK306" s="4"/>
    </row>
    <row r="307" spans="21:37" x14ac:dyDescent="0.45">
      <c r="U307" s="4"/>
      <c r="X307" s="4"/>
      <c r="AA307" s="4"/>
      <c r="AJ307" s="4"/>
      <c r="AK307" s="4"/>
    </row>
    <row r="308" spans="21:37" x14ac:dyDescent="0.45">
      <c r="U308" s="4"/>
      <c r="X308" s="4"/>
      <c r="AA308" s="4"/>
      <c r="AJ308" s="4"/>
      <c r="AK308" s="4"/>
    </row>
    <row r="309" spans="21:37" x14ac:dyDescent="0.45">
      <c r="U309" s="4"/>
      <c r="X309" s="4"/>
      <c r="AA309" s="4"/>
      <c r="AJ309" s="4"/>
      <c r="AK309" s="4"/>
    </row>
  </sheetData>
  <mergeCells count="9">
    <mergeCell ref="P9:Q9"/>
    <mergeCell ref="P10:Q10"/>
    <mergeCell ref="AE2:AI2"/>
    <mergeCell ref="B2:D2"/>
    <mergeCell ref="G2:I2"/>
    <mergeCell ref="K2:O2"/>
    <mergeCell ref="P2:U2"/>
    <mergeCell ref="V2:AA2"/>
    <mergeCell ref="AB2:AD2"/>
  </mergeCells>
  <hyperlinks>
    <hyperlink ref="AF9" r:id="rId1" xr:uid="{CD15DF52-4F16-4AC3-9A72-59EA5C43DC02}"/>
    <hyperlink ref="AF10" r:id="rId2" xr:uid="{D607AD3B-63F1-4940-B683-2AB460E778CF}"/>
    <hyperlink ref="AH9" r:id="rId3" xr:uid="{38ED1FF1-6A0E-4039-A896-4AA8F954BFB0}"/>
    <hyperlink ref="AH10" r:id="rId4" xr:uid="{9DE7071A-01B3-40D3-8803-164F50561944}"/>
    <hyperlink ref="AG9" r:id="rId5" xr:uid="{D162AFA9-F76E-48A5-A47F-02D4DDDBD04E}"/>
    <hyperlink ref="AG10" r:id="rId6" xr:uid="{4953051E-3B87-4DE2-9774-AF4C494A0980}"/>
    <hyperlink ref="AF7" r:id="rId7" xr:uid="{CFF73E44-79C2-41C5-8C8B-D582B84E94E0}"/>
    <hyperlink ref="AG7" r:id="rId8" display="https://centruminformacji.santander.pl/rynek/komentarze/k-wykaz-tabel" xr:uid="{5F28D052-1990-4B22-8F78-E4AD3CE1857A}"/>
    <hyperlink ref="AH11" r:id="rId9" xr:uid="{AC37F6DB-1D57-46F0-922C-0D1380A60892}"/>
    <hyperlink ref="AF11" r:id="rId10" xr:uid="{F7977021-A2C2-4C64-98D4-5704B558D3D1}"/>
    <hyperlink ref="AH8" r:id="rId11" xr:uid="{40D81BEC-8B8C-4FE5-9958-2E0362BD3B2A}"/>
    <hyperlink ref="AF8" r:id="rId12" xr:uid="{2A8FB4B2-6AEC-41A1-9458-17FCE1D22942}"/>
    <hyperlink ref="AF14" r:id="rId13" location="t_o" xr:uid="{D91D19FB-1327-48BB-ADF9-4E0530D6DC8E}"/>
    <hyperlink ref="AH14" r:id="rId14" xr:uid="{0FC28AEB-70BB-4314-B269-82D9C190B715}"/>
    <hyperlink ref="AH5" r:id="rId15" xr:uid="{142F33C3-A927-4B82-9800-4FBFA33865A8}"/>
    <hyperlink ref="AH6" r:id="rId16" display="https://www.mbank.pl/indywidualny/inwestycje/gielda/ikze-emakler/" xr:uid="{D52C380E-B81B-4493-94E9-871D25193C61}"/>
    <hyperlink ref="AH4" r:id="rId17" xr:uid="{B45BF58A-AB52-45FE-AF63-A018D1CDB41F}"/>
    <hyperlink ref="AF4" r:id="rId18" xr:uid="{4DF07BAE-0A89-4A0A-AC0A-965D02683557}"/>
    <hyperlink ref="AG4" r:id="rId19" xr:uid="{ED29DE20-3601-4698-BC64-ABF14D0185AC}"/>
    <hyperlink ref="AG5" r:id="rId20" xr:uid="{CA365499-48DF-4333-A582-D77234F7EC82}"/>
    <hyperlink ref="AG6" r:id="rId21" xr:uid="{5A98C18E-72CA-4132-B2EB-BA68E34D5B26}"/>
    <hyperlink ref="AF12" r:id="rId22" xr:uid="{F126C9AB-ACD0-4925-9786-A5A2C4D2CCA4}"/>
    <hyperlink ref="AH12" r:id="rId23" xr:uid="{DD270DC5-87E3-408B-AE40-1BC48338DA36}"/>
    <hyperlink ref="AF13" r:id="rId24" xr:uid="{0160118E-E694-40F7-B6D5-28A1B9DB392D}"/>
    <hyperlink ref="AH13" r:id="rId25" location="/szczegoly-oferty/" xr:uid="{93A92691-2379-4FAB-83FC-606EDE948F87}"/>
    <hyperlink ref="AF17" r:id="rId26" xr:uid="{7D466064-F06E-4323-8080-679A8B480B6F}"/>
    <hyperlink ref="AH17" r:id="rId27" xr:uid="{EDECA87D-B827-46DF-A112-7F23A924203B}"/>
    <hyperlink ref="AF5" r:id="rId28" xr:uid="{FB52E3EB-32C5-4507-9542-1BC051CD631B}"/>
    <hyperlink ref="AF6" r:id="rId29" xr:uid="{AC922DA2-B451-496D-BE31-A460ED9A363E}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31BC-78F5-4779-805F-C68C95B0E383}">
  <dimension ref="B2:AK43"/>
  <sheetViews>
    <sheetView zoomScaleNormal="100" workbookViewId="0">
      <selection activeCell="C8" sqref="C8"/>
    </sheetView>
  </sheetViews>
  <sheetFormatPr defaultColWidth="8.54296875" defaultRowHeight="14" x14ac:dyDescent="0.3"/>
  <cols>
    <col min="1" max="1" width="4.54296875" style="15" customWidth="1"/>
    <col min="2" max="2" width="44.81640625" style="15" customWidth="1"/>
    <col min="3" max="3" width="25.1796875" style="15" customWidth="1"/>
    <col min="4" max="4" width="16.54296875" style="15" customWidth="1"/>
    <col min="5" max="5" width="26.81640625" style="15" customWidth="1"/>
    <col min="6" max="6" width="19.453125" style="15" customWidth="1"/>
    <col min="7" max="7" width="20.453125" style="15" customWidth="1"/>
    <col min="8" max="8" width="19.81640625" style="15" customWidth="1"/>
    <col min="9" max="9" width="4.54296875" style="15" customWidth="1"/>
    <col min="10" max="10" width="37.54296875" style="15" customWidth="1"/>
    <col min="11" max="11" width="23.453125" style="15" customWidth="1"/>
    <col min="12" max="12" width="15.1796875" style="15" customWidth="1"/>
    <col min="13" max="13" width="22.81640625" style="15" customWidth="1"/>
    <col min="14" max="14" width="16.81640625" style="15" customWidth="1"/>
    <col min="15" max="15" width="25.453125" style="15" customWidth="1"/>
    <col min="16" max="16" width="25.54296875" style="15" customWidth="1"/>
    <col min="17" max="17" width="16.453125" style="15" customWidth="1"/>
    <col min="18" max="18" width="23.54296875" style="15" customWidth="1"/>
    <col min="19" max="19" width="13.81640625" style="15" customWidth="1"/>
    <col min="20" max="16384" width="8.54296875" style="15"/>
  </cols>
  <sheetData>
    <row r="2" spans="2:15" ht="79.400000000000006" customHeight="1" x14ac:dyDescent="0.3">
      <c r="B2" s="303" t="s">
        <v>332</v>
      </c>
      <c r="C2" s="303"/>
      <c r="D2" s="303"/>
    </row>
    <row r="3" spans="2:15" ht="46.5" x14ac:dyDescent="0.3">
      <c r="B3" s="16" t="s">
        <v>337</v>
      </c>
      <c r="C3" s="17">
        <v>305990.17</v>
      </c>
      <c r="D3" s="18" t="s">
        <v>105</v>
      </c>
      <c r="E3" s="19"/>
    </row>
    <row r="4" spans="2:15" ht="31" x14ac:dyDescent="0.3">
      <c r="B4" s="16" t="s">
        <v>321</v>
      </c>
      <c r="C4" s="20">
        <v>4</v>
      </c>
      <c r="D4" s="18"/>
      <c r="E4" s="19"/>
    </row>
    <row r="5" spans="2:15" ht="31" x14ac:dyDescent="0.3">
      <c r="B5" s="16" t="s">
        <v>331</v>
      </c>
      <c r="C5" s="17">
        <v>500</v>
      </c>
      <c r="D5" s="18" t="s">
        <v>106</v>
      </c>
      <c r="E5" s="19"/>
    </row>
    <row r="6" spans="2:15" ht="31" x14ac:dyDescent="0.3">
      <c r="B6" s="16" t="s">
        <v>322</v>
      </c>
      <c r="C6" s="17">
        <v>0</v>
      </c>
      <c r="D6" s="18" t="s">
        <v>107</v>
      </c>
      <c r="E6" s="19"/>
    </row>
    <row r="7" spans="2:15" ht="15.5" x14ac:dyDescent="0.3">
      <c r="B7" s="16" t="s">
        <v>323</v>
      </c>
      <c r="C7" s="21">
        <f>C3+C5+C6</f>
        <v>306490.17</v>
      </c>
      <c r="D7" s="283" t="s">
        <v>108</v>
      </c>
      <c r="E7" s="19"/>
    </row>
    <row r="8" spans="2:15" ht="15.5" x14ac:dyDescent="0.3">
      <c r="B8" s="16" t="s">
        <v>324</v>
      </c>
      <c r="C8" s="17">
        <v>17766</v>
      </c>
      <c r="D8" s="18" t="s">
        <v>109</v>
      </c>
      <c r="E8" s="19"/>
    </row>
    <row r="9" spans="2:15" ht="15.5" x14ac:dyDescent="0.3">
      <c r="B9" s="16" t="s">
        <v>336</v>
      </c>
      <c r="C9" s="20">
        <v>4</v>
      </c>
      <c r="D9" s="18" t="s">
        <v>110</v>
      </c>
      <c r="E9" s="19"/>
    </row>
    <row r="10" spans="2:15" ht="15.5" x14ac:dyDescent="0.3">
      <c r="B10" s="16" t="s">
        <v>111</v>
      </c>
      <c r="C10" s="17">
        <f>C8/C9</f>
        <v>4441.5</v>
      </c>
      <c r="D10" s="18" t="s">
        <v>112</v>
      </c>
      <c r="H10" s="19"/>
      <c r="I10" s="19"/>
      <c r="O10" s="19"/>
    </row>
    <row r="11" spans="2:15" ht="15.5" x14ac:dyDescent="0.3">
      <c r="B11" s="16" t="s">
        <v>113</v>
      </c>
      <c r="C11" s="20" t="s">
        <v>54</v>
      </c>
      <c r="D11" s="22"/>
      <c r="H11" s="19"/>
      <c r="I11" s="19"/>
      <c r="O11" s="19"/>
    </row>
    <row r="12" spans="2:15" ht="15.5" x14ac:dyDescent="0.3">
      <c r="B12" s="16" t="s">
        <v>114</v>
      </c>
      <c r="C12" s="20" t="s">
        <v>54</v>
      </c>
      <c r="D12" s="22"/>
      <c r="F12" s="23"/>
      <c r="H12" s="19"/>
      <c r="I12" s="19"/>
      <c r="O12" s="19"/>
    </row>
    <row r="13" spans="2:15" ht="46.5" x14ac:dyDescent="0.3">
      <c r="B13" s="16" t="s">
        <v>334</v>
      </c>
      <c r="C13" s="17"/>
      <c r="D13" s="22"/>
      <c r="F13" s="23"/>
      <c r="H13" s="19"/>
      <c r="I13" s="19"/>
      <c r="O13" s="19"/>
    </row>
    <row r="14" spans="2:15" ht="15.5" x14ac:dyDescent="0.3">
      <c r="B14" s="16" t="s">
        <v>115</v>
      </c>
      <c r="C14" s="24">
        <v>4.7</v>
      </c>
      <c r="D14" s="22"/>
      <c r="H14" s="19"/>
      <c r="I14" s="19"/>
      <c r="O14" s="19"/>
    </row>
    <row r="15" spans="2:15" x14ac:dyDescent="0.3">
      <c r="D15" s="22"/>
    </row>
    <row r="16" spans="2:15" x14ac:dyDescent="0.3">
      <c r="D16" s="22"/>
    </row>
    <row r="17" spans="2:37" hidden="1" x14ac:dyDescent="0.3"/>
    <row r="18" spans="2:37" x14ac:dyDescent="0.3">
      <c r="H18" s="25"/>
      <c r="I18" s="276"/>
    </row>
    <row r="19" spans="2:37" ht="20" x14ac:dyDescent="0.4">
      <c r="B19" s="26" t="s">
        <v>116</v>
      </c>
    </row>
    <row r="20" spans="2:37" x14ac:dyDescent="0.3">
      <c r="G20" s="19"/>
    </row>
    <row r="21" spans="2:37" ht="18" x14ac:dyDescent="0.4">
      <c r="B21" s="27" t="s">
        <v>338</v>
      </c>
      <c r="K21" s="28" t="s">
        <v>117</v>
      </c>
      <c r="L21" s="29"/>
      <c r="M21" s="29"/>
      <c r="N21" s="29"/>
      <c r="P21" s="28" t="s">
        <v>118</v>
      </c>
      <c r="Q21" s="30"/>
      <c r="R21" s="30"/>
      <c r="S21" s="30"/>
    </row>
    <row r="22" spans="2:37" s="36" customFormat="1" ht="54" x14ac:dyDescent="0.35">
      <c r="B22" s="31" t="s">
        <v>7</v>
      </c>
      <c r="C22" s="32" t="s">
        <v>119</v>
      </c>
      <c r="D22" s="33" t="s">
        <v>120</v>
      </c>
      <c r="E22" s="34" t="s">
        <v>121</v>
      </c>
      <c r="F22" s="35" t="s">
        <v>122</v>
      </c>
      <c r="G22" s="31" t="s">
        <v>123</v>
      </c>
      <c r="H22" s="273" t="s">
        <v>124</v>
      </c>
      <c r="I22" s="270"/>
      <c r="K22" s="321" t="s">
        <v>325</v>
      </c>
      <c r="L22" s="321"/>
      <c r="M22" s="321" t="s">
        <v>326</v>
      </c>
      <c r="N22" s="321"/>
      <c r="O22" s="37"/>
      <c r="P22" s="304" t="s">
        <v>325</v>
      </c>
      <c r="Q22" s="305"/>
      <c r="R22" s="304" t="s">
        <v>326</v>
      </c>
      <c r="S22" s="305"/>
    </row>
    <row r="23" spans="2:37" ht="43" x14ac:dyDescent="0.4">
      <c r="B23" s="38" t="s">
        <v>125</v>
      </c>
      <c r="C23" s="39">
        <f>IF(AND($C$3&gt;F35,E35*$C$3&gt;=D23),E35*$C$3,0)</f>
        <v>458.985255</v>
      </c>
      <c r="D23" s="39">
        <f t="shared" ref="D23:D28" si="0">$C$9*IF(C35*$C$10&lt;D35,D35,C35*$C$10)</f>
        <v>76</v>
      </c>
      <c r="E23" s="39">
        <f>$C$9*$C$10*H35/C14</f>
        <v>17.766000000000002</v>
      </c>
      <c r="F23" s="39">
        <f>G35</f>
        <v>0</v>
      </c>
      <c r="G23" s="40">
        <f t="shared" ref="G23:G28" si="1">SUM(C23:F23)</f>
        <v>552.75125500000001</v>
      </c>
      <c r="H23" s="274">
        <f>G23/$C$3</f>
        <v>1.8064346805650654E-3</v>
      </c>
      <c r="I23" s="269"/>
      <c r="K23" s="41" t="s">
        <v>126</v>
      </c>
      <c r="L23" s="42">
        <v>0</v>
      </c>
      <c r="M23" s="41" t="s">
        <v>127</v>
      </c>
      <c r="N23" s="42">
        <f>IF(C12="tak",0,P37)</f>
        <v>0</v>
      </c>
      <c r="O23" s="19"/>
      <c r="P23" s="41" t="s">
        <v>128</v>
      </c>
      <c r="Q23" s="42">
        <f>IF($C$3/$C$4*C35&gt;D35,$C$3*C35,$C$4*D35)</f>
        <v>887.37149299999987</v>
      </c>
      <c r="R23" s="41" t="s">
        <v>129</v>
      </c>
      <c r="S23" s="42">
        <f>IF($C$3/$C$4*C37&gt;D37,$C$3*C37,$C$4*D37)</f>
        <v>887.37149299999987</v>
      </c>
    </row>
    <row r="24" spans="2:37" ht="43" x14ac:dyDescent="0.4">
      <c r="B24" s="38" t="s">
        <v>130</v>
      </c>
      <c r="C24" s="39">
        <f>IF(AND($C$3&gt;F36,E36*$C$3&gt;=D24),E36*$C$3,0)</f>
        <v>458.985255</v>
      </c>
      <c r="D24" s="39">
        <f t="shared" si="0"/>
        <v>76</v>
      </c>
      <c r="E24" s="39">
        <f>$C$9*$C$10*H36/C14</f>
        <v>17.766000000000002</v>
      </c>
      <c r="F24" s="39">
        <f>IF(C11="TAK",0,G36)</f>
        <v>0</v>
      </c>
      <c r="G24" s="40">
        <f t="shared" si="1"/>
        <v>552.75125500000001</v>
      </c>
      <c r="H24" s="274">
        <f t="shared" ref="H24:H28" si="2">G24/$C$3</f>
        <v>1.8064346805650654E-3</v>
      </c>
      <c r="I24" s="269"/>
      <c r="J24" s="19"/>
      <c r="K24" s="41" t="s">
        <v>131</v>
      </c>
      <c r="L24" s="42">
        <f>$C$4*K37</f>
        <v>260</v>
      </c>
      <c r="M24" s="41" t="s">
        <v>132</v>
      </c>
      <c r="N24" s="42">
        <f>K35*C14*C4</f>
        <v>376</v>
      </c>
      <c r="O24" s="19"/>
      <c r="P24" s="41" t="s">
        <v>133</v>
      </c>
      <c r="Q24" s="42">
        <f>$C$3*H35/$C$14</f>
        <v>305.99016999999998</v>
      </c>
      <c r="R24" s="41" t="s">
        <v>134</v>
      </c>
      <c r="S24" s="42">
        <f>$C$3*H37/C14</f>
        <v>520.8343319148936</v>
      </c>
    </row>
    <row r="25" spans="2:37" ht="43" x14ac:dyDescent="0.4">
      <c r="B25" s="43" t="s">
        <v>329</v>
      </c>
      <c r="C25" s="42">
        <f t="shared" ref="C25:C28" si="3">IF($C$3&gt;=F37,E37*$C$3,0)</f>
        <v>0</v>
      </c>
      <c r="D25" s="42">
        <f t="shared" si="0"/>
        <v>76</v>
      </c>
      <c r="E25" s="42">
        <f>$C$9*$C$10*H37/C14</f>
        <v>30.240000000000002</v>
      </c>
      <c r="F25" s="42">
        <f>G37</f>
        <v>0</v>
      </c>
      <c r="G25" s="44">
        <f t="shared" si="1"/>
        <v>106.24000000000001</v>
      </c>
      <c r="H25" s="275">
        <f t="shared" si="2"/>
        <v>3.472006960223592E-4</v>
      </c>
      <c r="I25" s="269"/>
      <c r="J25" s="19"/>
      <c r="K25" s="41" t="s">
        <v>135</v>
      </c>
      <c r="L25" s="42">
        <f>$C$6/$C$14*H35</f>
        <v>0</v>
      </c>
      <c r="M25" s="41" t="s">
        <v>135</v>
      </c>
      <c r="N25" s="42">
        <f>$C$6/$C$14*H37</f>
        <v>0</v>
      </c>
      <c r="O25" s="45"/>
      <c r="P25" s="41" t="s">
        <v>136</v>
      </c>
      <c r="Q25" s="42">
        <f>IF($C$3/$C$4*C37&gt;D37,$C$3*C37,$C$4*D37)</f>
        <v>887.37149299999987</v>
      </c>
      <c r="R25" s="41" t="s">
        <v>137</v>
      </c>
      <c r="S25" s="42">
        <f>IF($C$3/$C$4*C35&gt;D35,$C$3*C35,$C$4*D35)</f>
        <v>887.37149299999987</v>
      </c>
    </row>
    <row r="26" spans="2:37" ht="29" x14ac:dyDescent="0.4">
      <c r="B26" s="43" t="s">
        <v>330</v>
      </c>
      <c r="C26" s="42">
        <f t="shared" si="3"/>
        <v>0</v>
      </c>
      <c r="D26" s="42">
        <f t="shared" si="0"/>
        <v>116</v>
      </c>
      <c r="E26" s="42">
        <f>$C$9*$C$10*H38/C14</f>
        <v>30.240000000000002</v>
      </c>
      <c r="F26" s="42">
        <f>G38</f>
        <v>0</v>
      </c>
      <c r="G26" s="44">
        <f t="shared" si="1"/>
        <v>146.24</v>
      </c>
      <c r="H26" s="275">
        <f t="shared" si="2"/>
        <v>4.7792384964523541E-4</v>
      </c>
      <c r="I26" s="269"/>
      <c r="K26" s="41" t="s">
        <v>335</v>
      </c>
      <c r="L26" s="42">
        <f>C13</f>
        <v>0</v>
      </c>
      <c r="M26" s="41"/>
      <c r="N26" s="42">
        <f>C13</f>
        <v>0</v>
      </c>
      <c r="P26" s="41" t="s">
        <v>134</v>
      </c>
      <c r="Q26" s="42">
        <f>$C$3*H37/C14</f>
        <v>520.8343319148936</v>
      </c>
      <c r="R26" s="41" t="s">
        <v>133</v>
      </c>
      <c r="S26" s="42">
        <f>$C$3*H35/C14</f>
        <v>305.99016999999998</v>
      </c>
    </row>
    <row r="27" spans="2:37" ht="43" x14ac:dyDescent="0.4">
      <c r="B27" s="47" t="s">
        <v>140</v>
      </c>
      <c r="C27" s="42">
        <f t="shared" si="3"/>
        <v>0</v>
      </c>
      <c r="D27" s="42">
        <f t="shared" si="0"/>
        <v>76</v>
      </c>
      <c r="E27" s="42">
        <f>$C$9*$C$10*H39/C14</f>
        <v>17.766000000000002</v>
      </c>
      <c r="F27" s="42">
        <f>G39</f>
        <v>0</v>
      </c>
      <c r="G27" s="44">
        <f t="shared" si="1"/>
        <v>93.766000000000005</v>
      </c>
      <c r="H27" s="275">
        <f t="shared" si="2"/>
        <v>3.0643468056506525E-4</v>
      </c>
      <c r="I27" s="269"/>
      <c r="K27" s="46" t="s">
        <v>138</v>
      </c>
      <c r="L27" s="44">
        <f>SUM(L23:L26)</f>
        <v>260</v>
      </c>
      <c r="M27" s="46" t="s">
        <v>139</v>
      </c>
      <c r="N27" s="44">
        <f>SUM(N23:N26)</f>
        <v>376</v>
      </c>
      <c r="P27" s="41" t="s">
        <v>141</v>
      </c>
      <c r="Q27" s="42">
        <v>0</v>
      </c>
      <c r="R27" s="41" t="s">
        <v>141</v>
      </c>
      <c r="S27" s="42">
        <f>IF(C12="TAK",0,P37)</f>
        <v>0</v>
      </c>
    </row>
    <row r="28" spans="2:37" ht="29" x14ac:dyDescent="0.4">
      <c r="B28" s="47" t="s">
        <v>142</v>
      </c>
      <c r="C28" s="42">
        <f t="shared" si="3"/>
        <v>0</v>
      </c>
      <c r="D28" s="42">
        <f t="shared" si="0"/>
        <v>76</v>
      </c>
      <c r="E28" s="42">
        <f>$C$9*$C$10*H40/C14</f>
        <v>17.766000000000002</v>
      </c>
      <c r="F28" s="42">
        <f>G40</f>
        <v>0</v>
      </c>
      <c r="G28" s="44">
        <f t="shared" si="1"/>
        <v>93.766000000000005</v>
      </c>
      <c r="H28" s="275">
        <f t="shared" si="2"/>
        <v>3.0643468056506525E-4</v>
      </c>
      <c r="I28" s="269"/>
      <c r="K28" s="36"/>
      <c r="P28" s="41" t="s">
        <v>335</v>
      </c>
      <c r="Q28" s="42">
        <f>C13</f>
        <v>0</v>
      </c>
      <c r="R28" s="41"/>
      <c r="S28" s="42">
        <f>C13</f>
        <v>0</v>
      </c>
    </row>
    <row r="29" spans="2:37" ht="15.5" x14ac:dyDescent="0.35">
      <c r="B29" s="48"/>
      <c r="C29" s="19"/>
      <c r="D29" s="19"/>
      <c r="E29" s="19"/>
      <c r="F29" s="19"/>
      <c r="G29" s="45"/>
      <c r="H29" s="45"/>
      <c r="I29" s="45"/>
      <c r="K29" s="36"/>
      <c r="P29" s="46" t="s">
        <v>138</v>
      </c>
      <c r="Q29" s="44">
        <f>SUM(Q23:Q28)</f>
        <v>2601.5674879148933</v>
      </c>
      <c r="R29" s="46" t="s">
        <v>138</v>
      </c>
      <c r="S29" s="44">
        <f>SUM(S23:S28)</f>
        <v>2601.5674879148937</v>
      </c>
    </row>
    <row r="30" spans="2:37" x14ac:dyDescent="0.3">
      <c r="B30" s="48"/>
      <c r="C30" s="19"/>
      <c r="D30" s="19"/>
      <c r="E30" s="19"/>
      <c r="F30" s="19"/>
      <c r="G30" s="45"/>
      <c r="H30" s="45"/>
      <c r="I30" s="45"/>
      <c r="K30" s="36"/>
      <c r="P30" s="36"/>
    </row>
    <row r="31" spans="2:37" x14ac:dyDescent="0.3">
      <c r="B31" s="48"/>
      <c r="C31" s="19"/>
      <c r="D31" s="19"/>
      <c r="E31" s="19"/>
      <c r="F31" s="19"/>
      <c r="G31" s="45"/>
      <c r="H31" s="45"/>
      <c r="K31" s="36"/>
      <c r="P31" s="36"/>
    </row>
    <row r="32" spans="2:37" ht="20.5" thickBot="1" x14ac:dyDescent="0.35">
      <c r="B32" s="49" t="s">
        <v>143</v>
      </c>
      <c r="C32" s="50"/>
      <c r="D32" s="50"/>
      <c r="E32" s="50"/>
      <c r="F32" s="50"/>
      <c r="G32" s="50"/>
      <c r="H32" s="50"/>
      <c r="I32" s="50"/>
      <c r="J32" s="50"/>
      <c r="K32" s="51" t="s">
        <v>144</v>
      </c>
      <c r="L32" s="52" t="s">
        <v>145</v>
      </c>
      <c r="M32" s="50"/>
      <c r="N32" s="52" t="s">
        <v>146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2:16" s="36" customFormat="1" x14ac:dyDescent="0.3">
      <c r="B33" s="306" t="s">
        <v>147</v>
      </c>
      <c r="C33" s="308" t="s">
        <v>148</v>
      </c>
      <c r="D33" s="309"/>
      <c r="E33" s="310" t="s">
        <v>149</v>
      </c>
      <c r="F33" s="311"/>
      <c r="G33" s="312" t="s">
        <v>150</v>
      </c>
      <c r="H33" s="314" t="s">
        <v>151</v>
      </c>
      <c r="I33" s="271"/>
      <c r="K33" s="316" t="s">
        <v>152</v>
      </c>
      <c r="L33" s="318" t="s">
        <v>153</v>
      </c>
      <c r="M33" s="319"/>
      <c r="N33" s="318" t="s">
        <v>153</v>
      </c>
      <c r="O33" s="320"/>
      <c r="P33" s="319"/>
    </row>
    <row r="34" spans="2:16" s="36" customFormat="1" ht="56.5" thickBot="1" x14ac:dyDescent="0.35">
      <c r="B34" s="307"/>
      <c r="C34" s="53" t="s">
        <v>154</v>
      </c>
      <c r="D34" s="54" t="s">
        <v>155</v>
      </c>
      <c r="E34" s="55" t="s">
        <v>156</v>
      </c>
      <c r="F34" s="56" t="s">
        <v>157</v>
      </c>
      <c r="G34" s="313"/>
      <c r="H34" s="315"/>
      <c r="I34" s="271"/>
      <c r="K34" s="317"/>
      <c r="L34" s="53" t="s">
        <v>158</v>
      </c>
      <c r="M34" s="54" t="s">
        <v>159</v>
      </c>
      <c r="N34" s="53" t="s">
        <v>158</v>
      </c>
      <c r="O34" s="57" t="s">
        <v>159</v>
      </c>
      <c r="P34" s="54" t="s">
        <v>160</v>
      </c>
    </row>
    <row r="35" spans="2:16" s="36" customFormat="1" ht="15.5" x14ac:dyDescent="0.35">
      <c r="B35" s="58" t="s">
        <v>161</v>
      </c>
      <c r="C35" s="59">
        <v>2.8999999999999998E-3</v>
      </c>
      <c r="D35" s="60">
        <v>19</v>
      </c>
      <c r="E35" s="59">
        <v>1.5E-3</v>
      </c>
      <c r="F35" s="42">
        <v>10000</v>
      </c>
      <c r="G35" s="61">
        <v>0</v>
      </c>
      <c r="H35" s="62">
        <f>$C$14*0.001</f>
        <v>4.7000000000000002E-3</v>
      </c>
      <c r="I35" s="277"/>
      <c r="J35" s="272" t="s">
        <v>161</v>
      </c>
      <c r="K35" s="63">
        <v>20</v>
      </c>
      <c r="L35" s="64">
        <v>0</v>
      </c>
      <c r="M35" s="65" t="s">
        <v>40</v>
      </c>
      <c r="N35" s="64" t="s">
        <v>40</v>
      </c>
      <c r="O35" s="66" t="s">
        <v>40</v>
      </c>
      <c r="P35" s="67"/>
    </row>
    <row r="36" spans="2:16" s="36" customFormat="1" ht="15.5" x14ac:dyDescent="0.35">
      <c r="B36" s="58" t="s">
        <v>162</v>
      </c>
      <c r="C36" s="59">
        <v>2.8999999999999998E-3</v>
      </c>
      <c r="D36" s="60">
        <v>19</v>
      </c>
      <c r="E36" s="59">
        <v>1.5E-3</v>
      </c>
      <c r="F36" s="42">
        <v>10000</v>
      </c>
      <c r="G36" s="61">
        <v>50</v>
      </c>
      <c r="H36" s="62">
        <f>$C$14*0.001</f>
        <v>4.7000000000000002E-3</v>
      </c>
      <c r="I36" s="277"/>
      <c r="J36" s="58" t="s">
        <v>162</v>
      </c>
      <c r="K36" s="63">
        <v>20</v>
      </c>
      <c r="L36" s="64">
        <v>0</v>
      </c>
      <c r="M36" s="65" t="s">
        <v>40</v>
      </c>
      <c r="N36" s="64" t="s">
        <v>40</v>
      </c>
      <c r="O36" s="66" t="s">
        <v>40</v>
      </c>
      <c r="P36" s="67"/>
    </row>
    <row r="37" spans="2:16" s="36" customFormat="1" ht="15.5" x14ac:dyDescent="0.35">
      <c r="B37" s="58" t="s">
        <v>327</v>
      </c>
      <c r="C37" s="59">
        <v>2.8999999999999998E-3</v>
      </c>
      <c r="D37" s="60">
        <v>19</v>
      </c>
      <c r="E37" s="59">
        <v>0</v>
      </c>
      <c r="F37" s="42"/>
      <c r="G37" s="61">
        <v>0</v>
      </c>
      <c r="H37" s="62">
        <v>8.0000000000000002E-3</v>
      </c>
      <c r="I37" s="277"/>
      <c r="J37" s="58" t="s">
        <v>327</v>
      </c>
      <c r="K37" s="68">
        <v>65</v>
      </c>
      <c r="L37" s="64">
        <v>0</v>
      </c>
      <c r="M37" s="65" t="s">
        <v>40</v>
      </c>
      <c r="N37" s="64" t="s">
        <v>40</v>
      </c>
      <c r="O37" s="66" t="s">
        <v>40</v>
      </c>
      <c r="P37" s="69">
        <v>150</v>
      </c>
    </row>
    <row r="38" spans="2:16" ht="16" thickBot="1" x14ac:dyDescent="0.4">
      <c r="B38" s="70" t="s">
        <v>328</v>
      </c>
      <c r="C38" s="71">
        <v>2.8999999999999998E-3</v>
      </c>
      <c r="D38" s="72">
        <v>29</v>
      </c>
      <c r="E38" s="73">
        <v>4.0000000000000002E-4</v>
      </c>
      <c r="F38" s="74">
        <v>1000000</v>
      </c>
      <c r="G38" s="75">
        <v>0</v>
      </c>
      <c r="H38" s="76">
        <v>8.0000000000000002E-3</v>
      </c>
      <c r="I38" s="277"/>
      <c r="J38" s="70" t="s">
        <v>328</v>
      </c>
      <c r="K38" s="68">
        <v>65</v>
      </c>
      <c r="L38" s="64">
        <v>0</v>
      </c>
      <c r="M38" s="65" t="s">
        <v>40</v>
      </c>
      <c r="N38" s="64" t="s">
        <v>40</v>
      </c>
      <c r="O38" s="66" t="s">
        <v>40</v>
      </c>
      <c r="P38" s="69">
        <v>150</v>
      </c>
    </row>
    <row r="39" spans="2:16" s="36" customFormat="1" ht="15.5" x14ac:dyDescent="0.35">
      <c r="B39" s="77" t="s">
        <v>163</v>
      </c>
      <c r="C39" s="78">
        <v>2.8999999999999998E-3</v>
      </c>
      <c r="D39" s="79">
        <v>19</v>
      </c>
      <c r="E39" s="78">
        <v>1.5E-3</v>
      </c>
      <c r="F39" s="80">
        <v>500000</v>
      </c>
      <c r="G39" s="81">
        <v>0</v>
      </c>
      <c r="H39" s="82">
        <f>$C$14*0.001</f>
        <v>4.7000000000000002E-3</v>
      </c>
      <c r="I39" s="277"/>
      <c r="J39" s="77" t="s">
        <v>163</v>
      </c>
      <c r="K39" s="63">
        <f>15</f>
        <v>15</v>
      </c>
      <c r="L39" s="64">
        <v>0</v>
      </c>
      <c r="M39" s="65" t="s">
        <v>40</v>
      </c>
      <c r="N39" s="64" t="s">
        <v>40</v>
      </c>
      <c r="O39" s="66" t="s">
        <v>40</v>
      </c>
      <c r="P39" s="67"/>
    </row>
    <row r="40" spans="2:16" s="36" customFormat="1" ht="16" thickBot="1" x14ac:dyDescent="0.4">
      <c r="B40" s="83" t="s">
        <v>164</v>
      </c>
      <c r="C40" s="71">
        <v>2.8999999999999998E-3</v>
      </c>
      <c r="D40" s="72">
        <v>19</v>
      </c>
      <c r="E40" s="71">
        <v>1.5E-3</v>
      </c>
      <c r="F40" s="84">
        <v>500000</v>
      </c>
      <c r="G40" s="75">
        <v>0</v>
      </c>
      <c r="H40" s="76">
        <f>$C$14*0.001</f>
        <v>4.7000000000000002E-3</v>
      </c>
      <c r="I40" s="277"/>
      <c r="J40" s="83" t="s">
        <v>164</v>
      </c>
      <c r="K40" s="85">
        <f>15</f>
        <v>15</v>
      </c>
      <c r="L40" s="86">
        <v>0</v>
      </c>
      <c r="M40" s="87" t="s">
        <v>40</v>
      </c>
      <c r="N40" s="86" t="s">
        <v>40</v>
      </c>
      <c r="O40" s="88" t="s">
        <v>40</v>
      </c>
      <c r="P40" s="89"/>
    </row>
    <row r="41" spans="2:16" s="36" customFormat="1" ht="15.5" x14ac:dyDescent="0.35">
      <c r="B41" s="90"/>
      <c r="C41" s="91"/>
      <c r="D41" s="92"/>
      <c r="E41" s="91"/>
      <c r="F41" s="93"/>
      <c r="G41" s="48"/>
      <c r="H41" s="94"/>
      <c r="I41" s="94"/>
      <c r="K41" s="95"/>
      <c r="L41" s="48"/>
      <c r="M41" s="96"/>
    </row>
    <row r="42" spans="2:16" x14ac:dyDescent="0.3">
      <c r="B42" s="15" t="s">
        <v>165</v>
      </c>
    </row>
    <row r="43" spans="2:16" x14ac:dyDescent="0.3">
      <c r="B43" s="15" t="s">
        <v>166</v>
      </c>
      <c r="N43" s="36"/>
    </row>
  </sheetData>
  <mergeCells count="13">
    <mergeCell ref="B2:D2"/>
    <mergeCell ref="R22:S22"/>
    <mergeCell ref="B33:B34"/>
    <mergeCell ref="C33:D33"/>
    <mergeCell ref="E33:F33"/>
    <mergeCell ref="G33:G34"/>
    <mergeCell ref="H33:H34"/>
    <mergeCell ref="K33:K34"/>
    <mergeCell ref="L33:M33"/>
    <mergeCell ref="N33:P33"/>
    <mergeCell ref="K22:L22"/>
    <mergeCell ref="M22:N22"/>
    <mergeCell ref="P22:Q22"/>
  </mergeCells>
  <pageMargins left="0.7" right="0.7" top="0.75" bottom="0.75" header="0.3" footer="0.3"/>
  <pageSetup paperSize="9" orientation="portrait" r:id="rId1"/>
  <ignoredErrors>
    <ignoredError sqref="Q2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81FCE1-1508-449C-9FD3-F2C9FD5A6FF3}">
          <x14:formula1>
            <xm:f>Arkusz1!$B$2:$B$3</xm:f>
          </x14:formula1>
          <xm:sqref>C11:C13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F556-A96E-45FF-B13C-758FD12E62E6}">
  <dimension ref="B3:O33"/>
  <sheetViews>
    <sheetView topLeftCell="A72" zoomScaleNormal="100" workbookViewId="0">
      <selection activeCell="H5" sqref="H5"/>
    </sheetView>
  </sheetViews>
  <sheetFormatPr defaultColWidth="8.81640625" defaultRowHeight="14" x14ac:dyDescent="0.3"/>
  <cols>
    <col min="1" max="1" width="3.1796875" style="15" customWidth="1"/>
    <col min="2" max="2" width="12.54296875" style="97" customWidth="1"/>
    <col min="3" max="3" width="22.453125" style="15" customWidth="1"/>
    <col min="4" max="4" width="18" style="15" customWidth="1"/>
    <col min="5" max="5" width="18.54296875" style="15" customWidth="1"/>
    <col min="6" max="6" width="16.81640625" style="15" customWidth="1"/>
    <col min="7" max="7" width="16.453125" style="15" customWidth="1"/>
    <col min="8" max="8" width="22.453125" style="15" customWidth="1"/>
    <col min="9" max="9" width="8.81640625" style="15"/>
    <col min="10" max="10" width="11.1796875" style="15" bestFit="1" customWidth="1"/>
    <col min="11" max="11" width="8.81640625" style="15"/>
    <col min="12" max="12" width="14.1796875" style="15" bestFit="1" customWidth="1"/>
    <col min="13" max="16384" width="8.81640625" style="15"/>
  </cols>
  <sheetData>
    <row r="3" spans="2:15" ht="18" customHeight="1" x14ac:dyDescent="0.3">
      <c r="B3" s="322" t="s">
        <v>167</v>
      </c>
      <c r="C3" s="323"/>
      <c r="D3" s="323"/>
      <c r="E3" s="323"/>
      <c r="F3" s="324"/>
      <c r="G3" s="98">
        <v>17766</v>
      </c>
    </row>
    <row r="4" spans="2:15" ht="18" x14ac:dyDescent="0.4">
      <c r="F4" s="99"/>
    </row>
    <row r="5" spans="2:15" s="36" customFormat="1" ht="93" x14ac:dyDescent="0.3">
      <c r="B5" s="100" t="s">
        <v>168</v>
      </c>
      <c r="C5" s="101" t="s">
        <v>169</v>
      </c>
      <c r="D5" s="102" t="s">
        <v>170</v>
      </c>
      <c r="E5" s="102" t="s">
        <v>171</v>
      </c>
      <c r="F5" s="103" t="s">
        <v>172</v>
      </c>
      <c r="G5" s="104" t="s">
        <v>173</v>
      </c>
      <c r="H5" s="32" t="s">
        <v>174</v>
      </c>
    </row>
    <row r="6" spans="2:15" s="36" customFormat="1" ht="20.149999999999999" hidden="1" customHeight="1" x14ac:dyDescent="0.3">
      <c r="B6" s="105">
        <v>0</v>
      </c>
      <c r="C6" s="106">
        <f t="shared" ref="C6:C31" si="0">B6*$G$3</f>
        <v>0</v>
      </c>
      <c r="D6" s="106"/>
      <c r="E6" s="106"/>
      <c r="F6" s="107"/>
      <c r="G6" s="107"/>
      <c r="H6" s="108"/>
    </row>
    <row r="7" spans="2:15" x14ac:dyDescent="0.3">
      <c r="B7" s="105">
        <v>1</v>
      </c>
      <c r="C7" s="106">
        <f t="shared" si="0"/>
        <v>17766</v>
      </c>
      <c r="D7" s="106">
        <f>MIN($G$3*B7*'Dane robocze'!B25,'Dane robocze'!C25)</f>
        <v>0</v>
      </c>
      <c r="E7" s="106">
        <f>E6+MIN(($G$3*B7)*'Dane robocze'!B25,'Dane robocze'!C25)</f>
        <v>0</v>
      </c>
      <c r="F7" s="107">
        <f>MIN($G$3*B7*'Dane robocze'!E25,'Dane robocze'!F25)+'Dane robocze'!D25</f>
        <v>77.766000000000005</v>
      </c>
      <c r="G7" s="107">
        <f t="shared" ref="G7:G31" si="1">G6+F7</f>
        <v>77.766000000000005</v>
      </c>
      <c r="H7" s="109">
        <f t="shared" ref="H7:H31" si="2">G7-E7</f>
        <v>77.766000000000005</v>
      </c>
    </row>
    <row r="8" spans="2:15" x14ac:dyDescent="0.3">
      <c r="B8" s="105">
        <v>2</v>
      </c>
      <c r="C8" s="106">
        <f t="shared" si="0"/>
        <v>35532</v>
      </c>
      <c r="D8" s="106">
        <f>MIN($G$3*B8*'Dane robocze'!B26,'Dane robocze'!C26)</f>
        <v>56.851200000000006</v>
      </c>
      <c r="E8" s="106">
        <f>E7+MIN(($G$3*B8)*'Dane robocze'!B26,'Dane robocze'!C26)</f>
        <v>56.851200000000006</v>
      </c>
      <c r="F8" s="107">
        <f>MIN($G$3*B8*'Dane robocze'!E26,'Dane robocze'!F26)+'Dane robocze'!D26</f>
        <v>95.532000000000011</v>
      </c>
      <c r="G8" s="107">
        <f t="shared" si="1"/>
        <v>173.298</v>
      </c>
      <c r="H8" s="109">
        <f t="shared" si="2"/>
        <v>116.4468</v>
      </c>
      <c r="O8" s="110"/>
    </row>
    <row r="9" spans="2:15" x14ac:dyDescent="0.3">
      <c r="B9" s="105">
        <v>3</v>
      </c>
      <c r="C9" s="106">
        <f t="shared" si="0"/>
        <v>53298</v>
      </c>
      <c r="D9" s="106">
        <f>MIN($G$3*B9*'Dane robocze'!B27,'Dane robocze'!C27)</f>
        <v>79.947000000000003</v>
      </c>
      <c r="E9" s="106">
        <f>E8+MIN(($G$3*B9)*'Dane robocze'!B27,'Dane robocze'!C27)</f>
        <v>136.79820000000001</v>
      </c>
      <c r="F9" s="107">
        <f>MIN($G$3*B9*'Dane robocze'!E27,'Dane robocze'!F27)+'Dane robocze'!D27</f>
        <v>113.298</v>
      </c>
      <c r="G9" s="107">
        <f t="shared" si="1"/>
        <v>286.596</v>
      </c>
      <c r="H9" s="109">
        <f t="shared" si="2"/>
        <v>149.7978</v>
      </c>
    </row>
    <row r="10" spans="2:15" x14ac:dyDescent="0.3">
      <c r="B10" s="105">
        <v>4</v>
      </c>
      <c r="C10" s="106">
        <f t="shared" si="0"/>
        <v>71064</v>
      </c>
      <c r="D10" s="106">
        <f>MIN($G$3*B10*'Dane robocze'!B28,'Dane robocze'!C28)</f>
        <v>99.489599999999996</v>
      </c>
      <c r="E10" s="106">
        <f>E9+MIN(($G$3*B10)*'Dane robocze'!B28,'Dane robocze'!C28)</f>
        <v>236.2878</v>
      </c>
      <c r="F10" s="107">
        <f>MIN($G$3*B10*'Dane robocze'!E28,'Dane robocze'!F28)+'Dane robocze'!D28</f>
        <v>131.06400000000002</v>
      </c>
      <c r="G10" s="107">
        <f t="shared" si="1"/>
        <v>417.66</v>
      </c>
      <c r="H10" s="109">
        <f t="shared" si="2"/>
        <v>181.37220000000002</v>
      </c>
    </row>
    <row r="11" spans="2:15" x14ac:dyDescent="0.3">
      <c r="B11" s="105">
        <v>5</v>
      </c>
      <c r="C11" s="106">
        <f t="shared" si="0"/>
        <v>88830</v>
      </c>
      <c r="D11" s="106">
        <f>MIN($G$3*B11*'Dane robocze'!B29,'Dane robocze'!C29)</f>
        <v>115.479</v>
      </c>
      <c r="E11" s="106">
        <f>E10+MIN(($G$3*B11)*'Dane robocze'!B29,'Dane robocze'!C29)</f>
        <v>351.76679999999999</v>
      </c>
      <c r="F11" s="107">
        <f>MIN($G$3*B11*'Dane robocze'!E29,'Dane robocze'!F29)+'Dane robocze'!D29</f>
        <v>148.82999999999998</v>
      </c>
      <c r="G11" s="107">
        <f t="shared" si="1"/>
        <v>566.49</v>
      </c>
      <c r="H11" s="109">
        <f t="shared" si="2"/>
        <v>214.72320000000002</v>
      </c>
    </row>
    <row r="12" spans="2:15" x14ac:dyDescent="0.3">
      <c r="B12" s="105">
        <v>6</v>
      </c>
      <c r="C12" s="106">
        <f t="shared" si="0"/>
        <v>106596</v>
      </c>
      <c r="D12" s="106">
        <f>MIN($G$3*B12*'Dane robocze'!B30,'Dane robocze'!C30)</f>
        <v>127.91519999999998</v>
      </c>
      <c r="E12" s="106">
        <f>E11+MIN(($G$3*B12)*'Dane robocze'!B30,'Dane robocze'!C30)</f>
        <v>479.68199999999996</v>
      </c>
      <c r="F12" s="107">
        <f>MIN($G$3*B12*'Dane robocze'!E30,'Dane robocze'!F30)+'Dane robocze'!D30</f>
        <v>166.596</v>
      </c>
      <c r="G12" s="107">
        <f t="shared" si="1"/>
        <v>733.08600000000001</v>
      </c>
      <c r="H12" s="109">
        <f t="shared" si="2"/>
        <v>253.40400000000005</v>
      </c>
      <c r="L12" s="111"/>
    </row>
    <row r="13" spans="2:15" x14ac:dyDescent="0.3">
      <c r="B13" s="105">
        <v>7</v>
      </c>
      <c r="C13" s="106">
        <f t="shared" si="0"/>
        <v>124362</v>
      </c>
      <c r="D13" s="106">
        <f>MIN($G$3*B13*'Dane robocze'!B31,'Dane robocze'!C31)</f>
        <v>136.79820000000001</v>
      </c>
      <c r="E13" s="106">
        <f>E12+MIN(($G$3*B13)*'Dane robocze'!B31,'Dane robocze'!C31)</f>
        <v>616.48019999999997</v>
      </c>
      <c r="F13" s="107">
        <f>MIN($G$3*B13*'Dane robocze'!E31,'Dane robocze'!F31)+'Dane robocze'!D31</f>
        <v>184.36200000000002</v>
      </c>
      <c r="G13" s="107">
        <f t="shared" si="1"/>
        <v>917.44800000000009</v>
      </c>
      <c r="H13" s="109">
        <f t="shared" si="2"/>
        <v>300.96780000000012</v>
      </c>
    </row>
    <row r="14" spans="2:15" x14ac:dyDescent="0.3">
      <c r="B14" s="105">
        <v>8</v>
      </c>
      <c r="C14" s="106">
        <f t="shared" si="0"/>
        <v>142128</v>
      </c>
      <c r="D14" s="106">
        <f>MIN($G$3*B14*'Dane robocze'!B32,'Dane robocze'!C32)</f>
        <v>142.12800000000001</v>
      </c>
      <c r="E14" s="106">
        <f>E13+MIN(($G$3*B14)*'Dane robocze'!B32,'Dane robocze'!C32)</f>
        <v>758.60820000000001</v>
      </c>
      <c r="F14" s="107">
        <f>MIN($G$3*B14*'Dane robocze'!E32,'Dane robocze'!F32)+'Dane robocze'!D32</f>
        <v>202.12800000000001</v>
      </c>
      <c r="G14" s="107">
        <f t="shared" si="1"/>
        <v>1119.576</v>
      </c>
      <c r="H14" s="109">
        <f t="shared" si="2"/>
        <v>360.96780000000001</v>
      </c>
    </row>
    <row r="15" spans="2:15" x14ac:dyDescent="0.3">
      <c r="B15" s="105">
        <v>9</v>
      </c>
      <c r="C15" s="106">
        <f t="shared" si="0"/>
        <v>159894</v>
      </c>
      <c r="D15" s="106">
        <f>MIN($G$3*B15*'Dane robocze'!B33,'Dane robocze'!C33)</f>
        <v>159.89400000000001</v>
      </c>
      <c r="E15" s="106">
        <f>E14+MIN(($G$3*B15)*'Dane robocze'!B33,'Dane robocze'!C33)</f>
        <v>918.50220000000002</v>
      </c>
      <c r="F15" s="107">
        <f>MIN($G$3*B15*'Dane robocze'!E33,'Dane robocze'!F33)+'Dane robocze'!D33</f>
        <v>219.89400000000001</v>
      </c>
      <c r="G15" s="107">
        <f t="shared" si="1"/>
        <v>1339.47</v>
      </c>
      <c r="H15" s="109">
        <f t="shared" si="2"/>
        <v>420.96780000000001</v>
      </c>
    </row>
    <row r="16" spans="2:15" x14ac:dyDescent="0.3">
      <c r="B16" s="105">
        <v>10</v>
      </c>
      <c r="C16" s="106">
        <f t="shared" si="0"/>
        <v>177660</v>
      </c>
      <c r="D16" s="106">
        <f>MIN($G$3*B16*'Dane robocze'!B34,'Dane robocze'!C34)</f>
        <v>177.66</v>
      </c>
      <c r="E16" s="106">
        <f>E15+MIN(($G$3*B16)*'Dane robocze'!B34,'Dane robocze'!C34)</f>
        <v>1096.1622</v>
      </c>
      <c r="F16" s="107">
        <f>MIN($G$3*B16*'Dane robocze'!E34,'Dane robocze'!F34)+'Dane robocze'!D34</f>
        <v>237.66</v>
      </c>
      <c r="G16" s="107">
        <f t="shared" si="1"/>
        <v>1577.13</v>
      </c>
      <c r="H16" s="109">
        <f t="shared" si="2"/>
        <v>480.96780000000012</v>
      </c>
    </row>
    <row r="17" spans="2:10" x14ac:dyDescent="0.3">
      <c r="B17" s="105">
        <v>11</v>
      </c>
      <c r="C17" s="106">
        <f t="shared" si="0"/>
        <v>195426</v>
      </c>
      <c r="D17" s="106">
        <f>MIN($G$3*B17*'Dane robocze'!B35,'Dane robocze'!C35)</f>
        <v>195.42600000000002</v>
      </c>
      <c r="E17" s="106">
        <f>E16+MIN(($G$3*B17)*'Dane robocze'!B35,'Dane robocze'!C35)</f>
        <v>1291.5881999999999</v>
      </c>
      <c r="F17" s="107">
        <f>MIN($G$3*B17*'Dane robocze'!E35,'Dane robocze'!F35)+'Dane robocze'!D35</f>
        <v>255.42600000000002</v>
      </c>
      <c r="G17" s="107">
        <f t="shared" si="1"/>
        <v>1832.556</v>
      </c>
      <c r="H17" s="109">
        <f t="shared" si="2"/>
        <v>540.96780000000012</v>
      </c>
    </row>
    <row r="18" spans="2:10" x14ac:dyDescent="0.3">
      <c r="B18" s="105">
        <v>12</v>
      </c>
      <c r="C18" s="106">
        <f t="shared" si="0"/>
        <v>213192</v>
      </c>
      <c r="D18" s="106">
        <f>MIN($G$3*B18*'Dane robocze'!B36,'Dane robocze'!C36)</f>
        <v>200</v>
      </c>
      <c r="E18" s="106">
        <f>E17+MIN(($G$3*B18)*'Dane robocze'!B36,'Dane robocze'!C36)</f>
        <v>1491.5881999999999</v>
      </c>
      <c r="F18" s="107">
        <f>MIN($G$3*B18*'Dane robocze'!E36,'Dane robocze'!F36)+'Dane robocze'!D36</f>
        <v>260</v>
      </c>
      <c r="G18" s="107">
        <f t="shared" si="1"/>
        <v>2092.556</v>
      </c>
      <c r="H18" s="109">
        <f t="shared" si="2"/>
        <v>600.96780000000012</v>
      </c>
    </row>
    <row r="19" spans="2:10" x14ac:dyDescent="0.3">
      <c r="B19" s="105">
        <v>13</v>
      </c>
      <c r="C19" s="106">
        <f t="shared" si="0"/>
        <v>230958</v>
      </c>
      <c r="D19" s="106">
        <f>MIN($G$3*B19*'Dane robocze'!B37,'Dane robocze'!C37)</f>
        <v>200</v>
      </c>
      <c r="E19" s="106">
        <f>E18+MIN(($G$3*B19)*'Dane robocze'!B37,'Dane robocze'!C37)</f>
        <v>1691.5881999999999</v>
      </c>
      <c r="F19" s="107">
        <f>MIN($G$3*B19*'Dane robocze'!E37,'Dane robocze'!F37)+'Dane robocze'!D37</f>
        <v>260</v>
      </c>
      <c r="G19" s="107">
        <f t="shared" si="1"/>
        <v>2352.556</v>
      </c>
      <c r="H19" s="109">
        <f t="shared" si="2"/>
        <v>660.96780000000012</v>
      </c>
    </row>
    <row r="20" spans="2:10" x14ac:dyDescent="0.3">
      <c r="B20" s="105">
        <v>14</v>
      </c>
      <c r="C20" s="106">
        <f t="shared" si="0"/>
        <v>248724</v>
      </c>
      <c r="D20" s="106">
        <f>MIN($G$3*B20*'Dane robocze'!B38,'Dane robocze'!C38)</f>
        <v>200</v>
      </c>
      <c r="E20" s="106">
        <f>E19+MIN(($G$3*B20)*'Dane robocze'!B38,'Dane robocze'!C38)</f>
        <v>1891.5881999999999</v>
      </c>
      <c r="F20" s="107">
        <f>MIN($G$3*B20*'Dane robocze'!E38,'Dane robocze'!F38)+'Dane robocze'!D38</f>
        <v>260</v>
      </c>
      <c r="G20" s="107">
        <f t="shared" si="1"/>
        <v>2612.556</v>
      </c>
      <c r="H20" s="109">
        <f t="shared" si="2"/>
        <v>720.96780000000012</v>
      </c>
    </row>
    <row r="21" spans="2:10" x14ac:dyDescent="0.3">
      <c r="B21" s="105">
        <v>15</v>
      </c>
      <c r="C21" s="106">
        <f t="shared" si="0"/>
        <v>266490</v>
      </c>
      <c r="D21" s="106">
        <f>MIN($G$3*B21*'Dane robocze'!B39,'Dane robocze'!C39)</f>
        <v>200</v>
      </c>
      <c r="E21" s="106">
        <f>E20+MIN(($G$3*B21)*'Dane robocze'!B39,'Dane robocze'!C39)</f>
        <v>2091.5882000000001</v>
      </c>
      <c r="F21" s="107">
        <f>MIN($G$3*B21*'Dane robocze'!E39,'Dane robocze'!F39)+'Dane robocze'!D39</f>
        <v>260</v>
      </c>
      <c r="G21" s="107">
        <f t="shared" si="1"/>
        <v>2872.556</v>
      </c>
      <c r="H21" s="109">
        <f t="shared" si="2"/>
        <v>780.9677999999999</v>
      </c>
    </row>
    <row r="22" spans="2:10" x14ac:dyDescent="0.3">
      <c r="B22" s="105">
        <v>16</v>
      </c>
      <c r="C22" s="106">
        <f t="shared" si="0"/>
        <v>284256</v>
      </c>
      <c r="D22" s="106">
        <f>MIN($G$3*B22*'Dane robocze'!B40,'Dane robocze'!C40)</f>
        <v>200</v>
      </c>
      <c r="E22" s="106">
        <f>E21+MIN(($G$3*B22)*'Dane robocze'!B40,'Dane robocze'!C40)</f>
        <v>2291.5882000000001</v>
      </c>
      <c r="F22" s="107">
        <f>MIN($G$3*B22*'Dane robocze'!E40,'Dane robocze'!F40)+'Dane robocze'!D40</f>
        <v>260</v>
      </c>
      <c r="G22" s="107">
        <f t="shared" si="1"/>
        <v>3132.556</v>
      </c>
      <c r="H22" s="109">
        <f t="shared" si="2"/>
        <v>840.9677999999999</v>
      </c>
    </row>
    <row r="23" spans="2:10" x14ac:dyDescent="0.3">
      <c r="B23" s="105">
        <v>17</v>
      </c>
      <c r="C23" s="106">
        <f t="shared" si="0"/>
        <v>302022</v>
      </c>
      <c r="D23" s="106">
        <f>MIN($G$3*B23*'Dane robocze'!B41,'Dane robocze'!C41)</f>
        <v>200</v>
      </c>
      <c r="E23" s="106">
        <f>E22+MIN(($G$3*B23)*'Dane robocze'!B41,'Dane robocze'!C41)</f>
        <v>2491.5882000000001</v>
      </c>
      <c r="F23" s="107">
        <f>MIN($G$3*B23*'Dane robocze'!E41,'Dane robocze'!F41)+'Dane robocze'!D41</f>
        <v>260</v>
      </c>
      <c r="G23" s="107">
        <f t="shared" si="1"/>
        <v>3392.556</v>
      </c>
      <c r="H23" s="109">
        <f t="shared" si="2"/>
        <v>900.9677999999999</v>
      </c>
    </row>
    <row r="24" spans="2:10" x14ac:dyDescent="0.3">
      <c r="B24" s="105">
        <v>18</v>
      </c>
      <c r="C24" s="106">
        <f t="shared" si="0"/>
        <v>319788</v>
      </c>
      <c r="D24" s="106">
        <f>MIN($G$3*B24*'Dane robocze'!B42,'Dane robocze'!C42)</f>
        <v>200</v>
      </c>
      <c r="E24" s="106">
        <f>E23+MIN(($G$3*B24)*'Dane robocze'!B42,'Dane robocze'!C42)</f>
        <v>2691.5882000000001</v>
      </c>
      <c r="F24" s="107">
        <f>MIN($G$3*B24*'Dane robocze'!E42,'Dane robocze'!F42)+'Dane robocze'!D42</f>
        <v>260</v>
      </c>
      <c r="G24" s="107">
        <f t="shared" si="1"/>
        <v>3652.556</v>
      </c>
      <c r="H24" s="109">
        <f t="shared" si="2"/>
        <v>960.9677999999999</v>
      </c>
    </row>
    <row r="25" spans="2:10" x14ac:dyDescent="0.3">
      <c r="B25" s="105">
        <v>19</v>
      </c>
      <c r="C25" s="106">
        <f t="shared" si="0"/>
        <v>337554</v>
      </c>
      <c r="D25" s="106">
        <f>MIN($G$3*B25*'Dane robocze'!B43,'Dane robocze'!C43)</f>
        <v>200</v>
      </c>
      <c r="E25" s="106">
        <f>E24+MIN(($G$3*B25)*'Dane robocze'!B43,'Dane robocze'!C43)</f>
        <v>2891.5882000000001</v>
      </c>
      <c r="F25" s="107">
        <f>MIN($G$3*B25*'Dane robocze'!E43,'Dane robocze'!F43)+'Dane robocze'!D43</f>
        <v>260</v>
      </c>
      <c r="G25" s="107">
        <f t="shared" si="1"/>
        <v>3912.556</v>
      </c>
      <c r="H25" s="109">
        <f t="shared" si="2"/>
        <v>1020.9677999999999</v>
      </c>
    </row>
    <row r="26" spans="2:10" x14ac:dyDescent="0.3">
      <c r="B26" s="105">
        <v>20</v>
      </c>
      <c r="C26" s="106">
        <f t="shared" si="0"/>
        <v>355320</v>
      </c>
      <c r="D26" s="106">
        <f>MIN($G$3*B26*'Dane robocze'!B44,'Dane robocze'!C44)</f>
        <v>200</v>
      </c>
      <c r="E26" s="106">
        <f>E25+MIN(($G$3*B26)*'Dane robocze'!B44,'Dane robocze'!C44)</f>
        <v>3091.5882000000001</v>
      </c>
      <c r="F26" s="107">
        <f>MIN($G$3*B26*'Dane robocze'!E44,'Dane robocze'!F44)+'Dane robocze'!D44</f>
        <v>260</v>
      </c>
      <c r="G26" s="107">
        <f t="shared" si="1"/>
        <v>4172.5560000000005</v>
      </c>
      <c r="H26" s="109">
        <f t="shared" si="2"/>
        <v>1080.9678000000004</v>
      </c>
    </row>
    <row r="27" spans="2:10" x14ac:dyDescent="0.3">
      <c r="B27" s="105">
        <v>21</v>
      </c>
      <c r="C27" s="106">
        <f t="shared" si="0"/>
        <v>373086</v>
      </c>
      <c r="D27" s="106">
        <f>MIN($G$3*B27*'Dane robocze'!B45,'Dane robocze'!C45)</f>
        <v>200</v>
      </c>
      <c r="E27" s="106">
        <f>E26+MIN(($G$3*B27)*'Dane robocze'!B45,'Dane robocze'!C45)</f>
        <v>3291.5882000000001</v>
      </c>
      <c r="F27" s="107">
        <f>MIN($G$3*B27*'Dane robocze'!E45,'Dane robocze'!F45)+'Dane robocze'!D45</f>
        <v>260</v>
      </c>
      <c r="G27" s="107">
        <f t="shared" si="1"/>
        <v>4432.5560000000005</v>
      </c>
      <c r="H27" s="109">
        <f t="shared" si="2"/>
        <v>1140.9678000000004</v>
      </c>
    </row>
    <row r="28" spans="2:10" x14ac:dyDescent="0.3">
      <c r="B28" s="105">
        <v>22</v>
      </c>
      <c r="C28" s="106">
        <f t="shared" si="0"/>
        <v>390852</v>
      </c>
      <c r="D28" s="106">
        <f>MIN($G$3*B28*'Dane robocze'!B46,'Dane robocze'!C46)</f>
        <v>200</v>
      </c>
      <c r="E28" s="106">
        <f>E27+MIN(($G$3*B28)*'Dane robocze'!B46,'Dane robocze'!C46)</f>
        <v>3491.5882000000001</v>
      </c>
      <c r="F28" s="107">
        <f>MIN($G$3*B28*'Dane robocze'!E46,'Dane robocze'!F46)+'Dane robocze'!D46</f>
        <v>260</v>
      </c>
      <c r="G28" s="107">
        <f t="shared" si="1"/>
        <v>4692.5560000000005</v>
      </c>
      <c r="H28" s="109">
        <f t="shared" si="2"/>
        <v>1200.9678000000004</v>
      </c>
    </row>
    <row r="29" spans="2:10" x14ac:dyDescent="0.3">
      <c r="B29" s="105">
        <v>23</v>
      </c>
      <c r="C29" s="106">
        <f t="shared" si="0"/>
        <v>408618</v>
      </c>
      <c r="D29" s="106">
        <f>MIN($G$3*B29*'Dane robocze'!B47,'Dane robocze'!C47)</f>
        <v>200</v>
      </c>
      <c r="E29" s="106">
        <f>E28+MIN(($G$3*B29)*'Dane robocze'!B47,'Dane robocze'!C47)</f>
        <v>3691.5882000000001</v>
      </c>
      <c r="F29" s="107">
        <f>MIN($G$3*B29*'Dane robocze'!E47,'Dane robocze'!F47)+'Dane robocze'!D47</f>
        <v>260</v>
      </c>
      <c r="G29" s="107">
        <f t="shared" si="1"/>
        <v>4952.5560000000005</v>
      </c>
      <c r="H29" s="109">
        <f t="shared" si="2"/>
        <v>1260.9678000000004</v>
      </c>
    </row>
    <row r="30" spans="2:10" x14ac:dyDescent="0.3">
      <c r="B30" s="105">
        <v>24</v>
      </c>
      <c r="C30" s="106">
        <f t="shared" si="0"/>
        <v>426384</v>
      </c>
      <c r="D30" s="106">
        <f>MIN($G$3*B30*'Dane robocze'!B48,'Dane robocze'!C48)</f>
        <v>200</v>
      </c>
      <c r="E30" s="106">
        <f>E29+MIN(($G$3*B30)*'Dane robocze'!B48,'Dane robocze'!C48)</f>
        <v>3891.5882000000001</v>
      </c>
      <c r="F30" s="107">
        <f>MIN($G$3*B30*'Dane robocze'!E48,'Dane robocze'!F48)+'Dane robocze'!D48</f>
        <v>260</v>
      </c>
      <c r="G30" s="107">
        <f t="shared" si="1"/>
        <v>5212.5560000000005</v>
      </c>
      <c r="H30" s="109">
        <f t="shared" si="2"/>
        <v>1320.9678000000004</v>
      </c>
    </row>
    <row r="31" spans="2:10" x14ac:dyDescent="0.3">
      <c r="B31" s="105">
        <v>25</v>
      </c>
      <c r="C31" s="106">
        <f t="shared" si="0"/>
        <v>444150</v>
      </c>
      <c r="D31" s="106">
        <f>MIN($G$3*B31*'Dane robocze'!B49,'Dane robocze'!C49)</f>
        <v>200</v>
      </c>
      <c r="E31" s="106">
        <f>E30+MIN(($G$3*B31)*'Dane robocze'!B49,'Dane robocze'!C49)</f>
        <v>4091.5882000000001</v>
      </c>
      <c r="F31" s="107">
        <f>MIN($G$3*B31*'Dane robocze'!E49,'Dane robocze'!F49)+'Dane robocze'!D49</f>
        <v>260</v>
      </c>
      <c r="G31" s="107">
        <f t="shared" si="1"/>
        <v>5472.5560000000005</v>
      </c>
      <c r="H31" s="109">
        <f t="shared" si="2"/>
        <v>1380.9678000000004</v>
      </c>
      <c r="J31" s="19"/>
    </row>
    <row r="33" spans="2:2" ht="14.5" customHeight="1" x14ac:dyDescent="0.3">
      <c r="B33" s="15" t="s">
        <v>333</v>
      </c>
    </row>
  </sheetData>
  <mergeCells count="1">
    <mergeCell ref="B3:F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7A57-FDC9-4D18-AFC0-7BD6028207D5}">
  <dimension ref="A2:AP63"/>
  <sheetViews>
    <sheetView zoomScaleNormal="100" workbookViewId="0">
      <selection activeCell="C52" sqref="C52"/>
    </sheetView>
  </sheetViews>
  <sheetFormatPr defaultColWidth="8.81640625" defaultRowHeight="14" x14ac:dyDescent="0.3"/>
  <cols>
    <col min="1" max="1" width="2.54296875" style="15" customWidth="1"/>
    <col min="2" max="2" width="20.54296875" style="15" customWidth="1"/>
    <col min="3" max="3" width="14.1796875" style="15" customWidth="1"/>
    <col min="4" max="4" width="12.453125" style="15" customWidth="1"/>
    <col min="5" max="5" width="13.81640625" style="15" customWidth="1"/>
    <col min="6" max="6" width="10.81640625" style="15" customWidth="1"/>
    <col min="7" max="7" width="13.81640625" style="15" customWidth="1"/>
    <col min="8" max="8" width="11.453125" style="15" customWidth="1"/>
    <col min="9" max="9" width="13.81640625" style="15" customWidth="1"/>
    <col min="10" max="10" width="12" style="15" customWidth="1"/>
    <col min="11" max="11" width="13.81640625" style="15" customWidth="1"/>
    <col min="12" max="12" width="11.453125" style="15" customWidth="1"/>
    <col min="13" max="13" width="13.54296875" style="15" customWidth="1"/>
    <col min="14" max="14" width="13.453125" style="15" customWidth="1"/>
    <col min="15" max="15" width="14.1796875" style="15" bestFit="1" customWidth="1"/>
    <col min="16" max="16" width="11.1796875" style="15" bestFit="1" customWidth="1"/>
    <col min="17" max="17" width="12.1796875" style="15" bestFit="1" customWidth="1"/>
    <col min="18" max="18" width="8" style="15" customWidth="1"/>
    <col min="19" max="19" width="7.453125" style="15" customWidth="1"/>
    <col min="20" max="20" width="9.453125" style="15" customWidth="1"/>
    <col min="21" max="22" width="9.26953125" style="15" customWidth="1"/>
    <col min="23" max="23" width="10.81640625" style="15" customWidth="1"/>
    <col min="24" max="28" width="12.1796875" style="15" bestFit="1" customWidth="1"/>
    <col min="29" max="16384" width="8.81640625" style="15"/>
  </cols>
  <sheetData>
    <row r="2" spans="1:42" ht="25.5" thickBot="1" x14ac:dyDescent="0.55000000000000004">
      <c r="B2" s="161" t="s">
        <v>195</v>
      </c>
    </row>
    <row r="3" spans="1:42" ht="35.15" customHeight="1" thickBot="1" x14ac:dyDescent="0.35">
      <c r="C3" s="330" t="s">
        <v>221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42" ht="35.15" customHeight="1" x14ac:dyDescent="0.4">
      <c r="B4" s="333" t="s">
        <v>225</v>
      </c>
      <c r="C4" s="221" t="s">
        <v>197</v>
      </c>
      <c r="D4" s="219">
        <v>100</v>
      </c>
      <c r="E4" s="221" t="s">
        <v>197</v>
      </c>
      <c r="F4" s="219">
        <v>500</v>
      </c>
      <c r="G4" s="221" t="s">
        <v>197</v>
      </c>
      <c r="H4" s="219">
        <v>1000</v>
      </c>
      <c r="I4" s="221" t="s">
        <v>197</v>
      </c>
      <c r="J4" s="219">
        <v>2000</v>
      </c>
      <c r="K4" s="221" t="s">
        <v>197</v>
      </c>
      <c r="L4" s="219">
        <v>7106.4</v>
      </c>
      <c r="M4" s="221" t="s">
        <v>197</v>
      </c>
      <c r="N4" s="219">
        <v>17766</v>
      </c>
      <c r="O4" s="139" t="s">
        <v>198</v>
      </c>
      <c r="P4" s="139"/>
      <c r="Q4" s="139"/>
      <c r="R4" s="326" t="s">
        <v>228</v>
      </c>
      <c r="S4" s="327"/>
      <c r="T4" s="327"/>
      <c r="U4" s="327"/>
      <c r="V4" s="327"/>
      <c r="W4" s="327"/>
      <c r="X4" s="328" t="s">
        <v>226</v>
      </c>
    </row>
    <row r="5" spans="1:42" ht="47" thickBot="1" x14ac:dyDescent="0.35">
      <c r="B5" s="333"/>
      <c r="C5" s="222" t="s">
        <v>199</v>
      </c>
      <c r="D5" s="131" t="s">
        <v>200</v>
      </c>
      <c r="E5" s="222" t="s">
        <v>199</v>
      </c>
      <c r="F5" s="131" t="s">
        <v>200</v>
      </c>
      <c r="G5" s="222" t="s">
        <v>199</v>
      </c>
      <c r="H5" s="131" t="s">
        <v>200</v>
      </c>
      <c r="I5" s="222" t="s">
        <v>199</v>
      </c>
      <c r="J5" s="131" t="s">
        <v>200</v>
      </c>
      <c r="K5" s="222" t="s">
        <v>199</v>
      </c>
      <c r="L5" s="131" t="s">
        <v>200</v>
      </c>
      <c r="M5" s="222" t="s">
        <v>199</v>
      </c>
      <c r="N5" s="131" t="s">
        <v>200</v>
      </c>
      <c r="R5" s="228">
        <f>D4</f>
        <v>100</v>
      </c>
      <c r="S5" s="229">
        <f>F4</f>
        <v>500</v>
      </c>
      <c r="T5" s="229">
        <f>H4</f>
        <v>1000</v>
      </c>
      <c r="U5" s="229">
        <f>J4</f>
        <v>2000</v>
      </c>
      <c r="V5" s="229">
        <f>L4</f>
        <v>7106.4</v>
      </c>
      <c r="W5" s="229">
        <f>N4</f>
        <v>17766</v>
      </c>
      <c r="X5" s="329"/>
    </row>
    <row r="6" spans="1:42" s="168" customFormat="1" ht="50.5" customHeight="1" x14ac:dyDescent="0.3">
      <c r="A6" s="15"/>
      <c r="B6" s="215" t="str">
        <f>'Dane robocze'!A15</f>
        <v>Dom Maklerski BPS rachunek podstawowy</v>
      </c>
      <c r="C6" s="220">
        <f>MAX($D$4*'Dane robocze'!$K$15,'Dane robocze'!$L$15)</f>
        <v>3</v>
      </c>
      <c r="D6" s="230">
        <f t="shared" ref="D6:D18" si="0">C6/$D$4</f>
        <v>0.03</v>
      </c>
      <c r="E6" s="220">
        <f>MAX(F4*'Dane robocze'!$K$15,'Dane robocze'!$L$15)</f>
        <v>3</v>
      </c>
      <c r="F6" s="230">
        <f t="shared" ref="F6:F18" si="1">E6/$F$4</f>
        <v>6.0000000000000001E-3</v>
      </c>
      <c r="G6" s="220">
        <f>MAX(H4*'Dane robocze'!$K$15,'Dane robocze'!$L$15)</f>
        <v>3</v>
      </c>
      <c r="H6" s="230">
        <f t="shared" ref="H6:H18" si="2">G6/$H$4</f>
        <v>3.0000000000000001E-3</v>
      </c>
      <c r="I6" s="220">
        <f>MAX(J4*'Dane robocze'!$K$15,'Dane robocze'!$L$15)</f>
        <v>3.2</v>
      </c>
      <c r="J6" s="230">
        <f t="shared" ref="J6:J18" si="3">I6/$J$4</f>
        <v>1.6000000000000001E-3</v>
      </c>
      <c r="K6" s="220">
        <f>MAX(L4*'Dane robocze'!$K$15,'Dane robocze'!$L$15)</f>
        <v>11.370240000000001</v>
      </c>
      <c r="L6" s="230">
        <f t="shared" ref="L6:L18" si="4">K6/$L$4</f>
        <v>1.6000000000000003E-3</v>
      </c>
      <c r="M6" s="220">
        <f>MAX(N4*'Dane robocze'!$K$15,'Dane robocze'!$L$15)</f>
        <v>28.425600000000003</v>
      </c>
      <c r="N6" s="230">
        <f t="shared" ref="N6:N18" si="5">M6/$N$4</f>
        <v>1.6000000000000001E-3</v>
      </c>
      <c r="O6" s="15"/>
      <c r="P6" s="167"/>
      <c r="Q6" s="15"/>
      <c r="R6" s="223">
        <f t="shared" ref="R6:R18" si="6">_xlfn.RANK.EQ(C6,$C$6:$C$18,1)</f>
        <v>1</v>
      </c>
      <c r="S6" s="148">
        <f t="shared" ref="S6:S18" si="7">_xlfn.RANK.EQ(E6,$E$6:$E$18,1)</f>
        <v>1</v>
      </c>
      <c r="T6" s="148">
        <f t="shared" ref="T6:T18" si="8">_xlfn.RANK.EQ(H6,$H$6:$H$18,1)</f>
        <v>1</v>
      </c>
      <c r="U6" s="148">
        <f t="shared" ref="U6:U18" si="9">_xlfn.RANK.EQ(I6,$I$6:$I$18,1)</f>
        <v>1</v>
      </c>
      <c r="V6" s="148">
        <f t="shared" ref="V6:V18" si="10">_xlfn.RANK.EQ(L6,$L$6:$L$18,1)</f>
        <v>1</v>
      </c>
      <c r="W6" s="148">
        <f t="shared" ref="W6:W18" si="11">_xlfn.RANK.EQ(M6,$M$6:$M$18,1)</f>
        <v>1</v>
      </c>
      <c r="X6" s="224">
        <f>SUM(R6:W6)/6</f>
        <v>1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s="168" customFormat="1" ht="50.5" customHeight="1" x14ac:dyDescent="0.3">
      <c r="A7" s="15"/>
      <c r="B7" s="215" t="str">
        <f>'Dane robocze'!A16</f>
        <v>Dom Maklerski BPS rachunek ekonomiczny</v>
      </c>
      <c r="C7" s="220">
        <f>MAX(D$4*'Dane robocze'!$K$16,'Dane robocze'!$L$16)</f>
        <v>3</v>
      </c>
      <c r="D7" s="230">
        <f t="shared" si="0"/>
        <v>0.03</v>
      </c>
      <c r="E7" s="220">
        <f>MAX(F$4*'Dane robocze'!$K$16,'Dane robocze'!$L$16)</f>
        <v>3</v>
      </c>
      <c r="F7" s="230">
        <f t="shared" si="1"/>
        <v>6.0000000000000001E-3</v>
      </c>
      <c r="G7" s="220">
        <f>MAX(H$4*'Dane robocze'!$K$16,'Dane robocze'!$L$16)</f>
        <v>3</v>
      </c>
      <c r="H7" s="230">
        <f t="shared" si="2"/>
        <v>3.0000000000000001E-3</v>
      </c>
      <c r="I7" s="220">
        <f>MAX(J$4*'Dane robocze'!$K$16,'Dane robocze'!$L$16)</f>
        <v>4.8</v>
      </c>
      <c r="J7" s="230">
        <f t="shared" si="3"/>
        <v>2.3999999999999998E-3</v>
      </c>
      <c r="K7" s="220">
        <f>MAX(L$4*'Dane robocze'!$K$16,'Dane robocze'!$L$16)</f>
        <v>17.055359999999997</v>
      </c>
      <c r="L7" s="230">
        <f t="shared" si="4"/>
        <v>2.3999999999999998E-3</v>
      </c>
      <c r="M7" s="220">
        <f>MAX(N$4*'Dane robocze'!$K$16,'Dane robocze'!$L$16)</f>
        <v>42.638399999999997</v>
      </c>
      <c r="N7" s="230">
        <f t="shared" si="5"/>
        <v>2.3999999999999998E-3</v>
      </c>
      <c r="O7" s="15"/>
      <c r="P7" s="167"/>
      <c r="Q7" s="15"/>
      <c r="R7" s="223">
        <f t="shared" si="6"/>
        <v>1</v>
      </c>
      <c r="S7" s="148">
        <f t="shared" si="7"/>
        <v>1</v>
      </c>
      <c r="T7" s="148">
        <f t="shared" si="8"/>
        <v>1</v>
      </c>
      <c r="U7" s="148">
        <f t="shared" si="9"/>
        <v>2</v>
      </c>
      <c r="V7" s="148">
        <f t="shared" si="10"/>
        <v>3</v>
      </c>
      <c r="W7" s="148">
        <f t="shared" si="11"/>
        <v>3</v>
      </c>
      <c r="X7" s="224">
        <f>SUM(R7:W7)/6</f>
        <v>1.8333333333333333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168" customFormat="1" ht="31" x14ac:dyDescent="0.3">
      <c r="A8" s="15"/>
      <c r="B8" s="215" t="str">
        <f>'Dane robocze'!A12</f>
        <v>Noble Securities w promocji</v>
      </c>
      <c r="C8" s="216">
        <f>MAX($D$4*'Dane robocze'!$K$12,'Dane robocze'!$L$12)</f>
        <v>5</v>
      </c>
      <c r="D8" s="231">
        <f t="shared" si="0"/>
        <v>0.05</v>
      </c>
      <c r="E8" s="216">
        <f>MAX(F4*'Dane robocze'!$K$12,'Dane robocze'!$L$12)</f>
        <v>5</v>
      </c>
      <c r="F8" s="231">
        <f t="shared" si="1"/>
        <v>0.01</v>
      </c>
      <c r="G8" s="216">
        <f>MAX(H4*'Dane robocze'!$K$12,'Dane robocze'!$L$12)</f>
        <v>5</v>
      </c>
      <c r="H8" s="231">
        <f t="shared" si="2"/>
        <v>5.0000000000000001E-3</v>
      </c>
      <c r="I8" s="216">
        <f>MAX(J4*'Dane robocze'!$K$12,'Dane robocze'!$L$12)</f>
        <v>5</v>
      </c>
      <c r="J8" s="231">
        <f t="shared" si="3"/>
        <v>2.5000000000000001E-3</v>
      </c>
      <c r="K8" s="216">
        <f>MAX(L4*'Dane robocze'!$K$12,'Dane robocze'!$L$12)</f>
        <v>13.50216</v>
      </c>
      <c r="L8" s="231">
        <f t="shared" si="4"/>
        <v>1.9E-3</v>
      </c>
      <c r="M8" s="216">
        <f>MAX(N4*'Dane robocze'!$K$12,'Dane robocze'!$L$12)</f>
        <v>33.755400000000002</v>
      </c>
      <c r="N8" s="231">
        <f t="shared" si="5"/>
        <v>1.9E-3</v>
      </c>
      <c r="O8" s="15"/>
      <c r="P8" s="15"/>
      <c r="Q8" s="15"/>
      <c r="R8" s="223">
        <f t="shared" si="6"/>
        <v>5</v>
      </c>
      <c r="S8" s="148">
        <f t="shared" si="7"/>
        <v>5</v>
      </c>
      <c r="T8" s="148">
        <f t="shared" si="8"/>
        <v>5</v>
      </c>
      <c r="U8" s="148">
        <f t="shared" si="9"/>
        <v>3</v>
      </c>
      <c r="V8" s="148">
        <f t="shared" si="10"/>
        <v>2</v>
      </c>
      <c r="W8" s="148">
        <f t="shared" si="11"/>
        <v>2</v>
      </c>
      <c r="X8" s="224">
        <f t="shared" ref="X8:X18" si="12">SUM(R8:W8)/6</f>
        <v>3.6666666666666665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168" customFormat="1" ht="31" x14ac:dyDescent="0.3">
      <c r="A9" s="15"/>
      <c r="B9" s="215" t="str">
        <f>'Dane robocze'!A13</f>
        <v>Noble Securities bez promocji</v>
      </c>
      <c r="C9" s="216">
        <f>MAX(D$4*'Dane robocze'!$K$13,'Dane robocze'!$L$13)</f>
        <v>10</v>
      </c>
      <c r="D9" s="231">
        <f>C9/$D$4</f>
        <v>0.1</v>
      </c>
      <c r="E9" s="216">
        <f>MAX(F4*'Dane robocze'!$K$13,'Dane robocze'!$L$13)</f>
        <v>10</v>
      </c>
      <c r="F9" s="231">
        <f>E9/$F$4</f>
        <v>0.02</v>
      </c>
      <c r="G9" s="216">
        <f>MAX(H4*'Dane robocze'!$K$13,'Dane robocze'!$L$13)</f>
        <v>10</v>
      </c>
      <c r="H9" s="231">
        <f>G9/$H$4</f>
        <v>0.01</v>
      </c>
      <c r="I9" s="216">
        <f>MAX(J4*'Dane robocze'!$K$13,'Dane robocze'!$L$13)</f>
        <v>10</v>
      </c>
      <c r="J9" s="231">
        <f>I9/$J$4</f>
        <v>5.0000000000000001E-3</v>
      </c>
      <c r="K9" s="216">
        <f>MAX(L4*'Dane robocze'!$K$13,'Dane robocze'!$L$13)</f>
        <v>27.00432</v>
      </c>
      <c r="L9" s="231">
        <f>K9/$L$4</f>
        <v>3.8E-3</v>
      </c>
      <c r="M9" s="216">
        <f>MAX(N4*'Dane robocze'!$K$13,'Dane robocze'!$L$13)</f>
        <v>67.510800000000003</v>
      </c>
      <c r="N9" s="231">
        <f>M9/$N$4</f>
        <v>3.8E-3</v>
      </c>
      <c r="O9" s="15"/>
      <c r="P9" s="15"/>
      <c r="Q9" s="187"/>
      <c r="R9" s="223">
        <f t="shared" si="6"/>
        <v>13</v>
      </c>
      <c r="S9" s="148">
        <f t="shared" si="7"/>
        <v>13</v>
      </c>
      <c r="T9" s="148">
        <f t="shared" si="8"/>
        <v>13</v>
      </c>
      <c r="U9" s="148">
        <f t="shared" si="9"/>
        <v>13</v>
      </c>
      <c r="V9" s="148">
        <f t="shared" si="10"/>
        <v>5</v>
      </c>
      <c r="W9" s="148">
        <f t="shared" si="11"/>
        <v>5</v>
      </c>
      <c r="X9" s="224">
        <f>SUM(R9:W9)/6</f>
        <v>10.333333333333334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68" customFormat="1" ht="31" x14ac:dyDescent="0.3">
      <c r="A10" s="15"/>
      <c r="B10" s="215" t="str">
        <f>'Dane robocze'!A14</f>
        <v>Dom Maklerski BDM</v>
      </c>
      <c r="C10" s="216">
        <f>MAX($D$4*'Dane robocze'!$K$14,'Dane robocze'!$L$14)</f>
        <v>5.95</v>
      </c>
      <c r="D10" s="231">
        <f t="shared" si="0"/>
        <v>5.9500000000000004E-2</v>
      </c>
      <c r="E10" s="216">
        <f>MAX(F4*'Dane robocze'!$K$14,'Dane robocze'!$L$14)</f>
        <v>5.95</v>
      </c>
      <c r="F10" s="231">
        <f t="shared" si="1"/>
        <v>1.1900000000000001E-2</v>
      </c>
      <c r="G10" s="216">
        <f>MAX(H4*'Dane robocze'!$K$14,'Dane robocze'!$L$14)</f>
        <v>5.95</v>
      </c>
      <c r="H10" s="231">
        <f t="shared" si="2"/>
        <v>5.9500000000000004E-3</v>
      </c>
      <c r="I10" s="216">
        <f>MAX(J4*'Dane robocze'!$K$14,'Dane robocze'!$L$14)</f>
        <v>5.95</v>
      </c>
      <c r="J10" s="231">
        <f t="shared" si="3"/>
        <v>2.9750000000000002E-3</v>
      </c>
      <c r="K10" s="216">
        <f>MAX(L4*'Dane robocze'!$K$14,'Dane robocze'!$L$14)</f>
        <v>19.897919999999999</v>
      </c>
      <c r="L10" s="231">
        <f t="shared" si="4"/>
        <v>2.8E-3</v>
      </c>
      <c r="M10" s="216">
        <f>MAX(N4*'Dane robocze'!$K$14,'Dane robocze'!$L$14)</f>
        <v>49.744799999999998</v>
      </c>
      <c r="N10" s="231">
        <f t="shared" si="5"/>
        <v>2.8E-3</v>
      </c>
      <c r="O10" s="15"/>
      <c r="P10" s="15"/>
      <c r="Q10" s="15"/>
      <c r="R10" s="223">
        <f t="shared" si="6"/>
        <v>12</v>
      </c>
      <c r="S10" s="148">
        <f t="shared" si="7"/>
        <v>12</v>
      </c>
      <c r="T10" s="148">
        <f t="shared" si="8"/>
        <v>12</v>
      </c>
      <c r="U10" s="148">
        <f t="shared" si="9"/>
        <v>4</v>
      </c>
      <c r="V10" s="148">
        <f t="shared" si="10"/>
        <v>4</v>
      </c>
      <c r="W10" s="148">
        <f t="shared" si="11"/>
        <v>4</v>
      </c>
      <c r="X10" s="224">
        <f t="shared" si="12"/>
        <v>8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68" customFormat="1" ht="31" x14ac:dyDescent="0.3">
      <c r="A11" s="15"/>
      <c r="B11" s="215" t="str">
        <f>'Dane robocze'!A7</f>
        <v>BOSSA w promocji</v>
      </c>
      <c r="C11" s="216">
        <f>MAX(D4*'Dane robocze'!$K$7,'Dane robocze'!$L$7)</f>
        <v>5</v>
      </c>
      <c r="D11" s="231">
        <f t="shared" si="0"/>
        <v>0.05</v>
      </c>
      <c r="E11" s="216">
        <f>MAX(F4*'Dane robocze'!$K$7,'Dane robocze'!$L$7)</f>
        <v>5</v>
      </c>
      <c r="F11" s="231">
        <f t="shared" si="1"/>
        <v>0.01</v>
      </c>
      <c r="G11" s="216">
        <f>MAX(H4*'Dane robocze'!$K$7,'Dane robocze'!$L$7)</f>
        <v>5</v>
      </c>
      <c r="H11" s="231">
        <f t="shared" si="2"/>
        <v>5.0000000000000001E-3</v>
      </c>
      <c r="I11" s="216">
        <f>MAX(J4*'Dane robocze'!$K$7,'Dane robocze'!$L$7)</f>
        <v>7.6</v>
      </c>
      <c r="J11" s="231">
        <f t="shared" si="3"/>
        <v>3.8E-3</v>
      </c>
      <c r="K11" s="216">
        <f>MAX(L4*'Dane robocze'!$K$7,'Dane robocze'!$L$7)</f>
        <v>27.00432</v>
      </c>
      <c r="L11" s="231">
        <f t="shared" si="4"/>
        <v>3.8E-3</v>
      </c>
      <c r="M11" s="216">
        <f>MAX(N4*'Dane robocze'!$K$7,'Dane robocze'!$L$7)</f>
        <v>67.510800000000003</v>
      </c>
      <c r="N11" s="231">
        <f t="shared" si="5"/>
        <v>3.8E-3</v>
      </c>
      <c r="O11" s="15"/>
      <c r="P11" s="15"/>
      <c r="Q11" s="15"/>
      <c r="R11" s="223">
        <f t="shared" si="6"/>
        <v>5</v>
      </c>
      <c r="S11" s="148">
        <f t="shared" si="7"/>
        <v>5</v>
      </c>
      <c r="T11" s="148">
        <f t="shared" si="8"/>
        <v>5</v>
      </c>
      <c r="U11" s="148">
        <f t="shared" si="9"/>
        <v>5</v>
      </c>
      <c r="V11" s="148">
        <f t="shared" si="10"/>
        <v>5</v>
      </c>
      <c r="W11" s="148">
        <f t="shared" si="11"/>
        <v>5</v>
      </c>
      <c r="X11" s="224">
        <f t="shared" si="12"/>
        <v>5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68" customFormat="1" ht="31" x14ac:dyDescent="0.3">
      <c r="A12" s="15"/>
      <c r="B12" s="215" t="str">
        <f>'Dane robocze'!A8</f>
        <v>BOSSA bez promocji</v>
      </c>
      <c r="C12" s="216">
        <f>MAX(D4*'Dane robocze'!$K$8,'Dane robocze'!$L$8)</f>
        <v>5</v>
      </c>
      <c r="D12" s="231">
        <f t="shared" si="0"/>
        <v>0.05</v>
      </c>
      <c r="E12" s="216">
        <f>MAX(F4*'Dane robocze'!$K$8,'Dane robocze'!$L$8)</f>
        <v>5</v>
      </c>
      <c r="F12" s="231">
        <f>E12/$F$4</f>
        <v>0.01</v>
      </c>
      <c r="G12" s="216">
        <f>MAX(H4*'Dane robocze'!$K$8,'Dane robocze'!$L$8)</f>
        <v>5</v>
      </c>
      <c r="H12" s="231">
        <f t="shared" si="2"/>
        <v>5.0000000000000001E-3</v>
      </c>
      <c r="I12" s="216">
        <f>MAX(J4*'Dane robocze'!$K$8,'Dane robocze'!$L$8)</f>
        <v>7.6</v>
      </c>
      <c r="J12" s="231">
        <f t="shared" si="3"/>
        <v>3.8E-3</v>
      </c>
      <c r="K12" s="216">
        <f>MAX(L4*'Dane robocze'!$K$8,'Dane robocze'!$L$8)</f>
        <v>27.00432</v>
      </c>
      <c r="L12" s="231">
        <f t="shared" si="4"/>
        <v>3.8E-3</v>
      </c>
      <c r="M12" s="216">
        <f>MAX(N4*'Dane robocze'!$K$8,'Dane robocze'!$L$8)</f>
        <v>67.510800000000003</v>
      </c>
      <c r="N12" s="231">
        <f t="shared" si="5"/>
        <v>3.8E-3</v>
      </c>
      <c r="O12" s="15"/>
      <c r="P12" s="15"/>
      <c r="Q12" s="15"/>
      <c r="R12" s="223">
        <f t="shared" si="6"/>
        <v>5</v>
      </c>
      <c r="S12" s="148">
        <f t="shared" si="7"/>
        <v>5</v>
      </c>
      <c r="T12" s="148">
        <f t="shared" si="8"/>
        <v>5</v>
      </c>
      <c r="U12" s="148">
        <f t="shared" si="9"/>
        <v>5</v>
      </c>
      <c r="V12" s="148">
        <f t="shared" si="10"/>
        <v>5</v>
      </c>
      <c r="W12" s="148">
        <f t="shared" si="11"/>
        <v>5</v>
      </c>
      <c r="X12" s="224">
        <f t="shared" si="12"/>
        <v>5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68" customFormat="1" ht="31" x14ac:dyDescent="0.3">
      <c r="A13" s="15"/>
      <c r="B13" s="215" t="str">
        <f>'Dane robocze'!A11</f>
        <v>Biuro maklerskie Millenium</v>
      </c>
      <c r="C13" s="216">
        <f>MAX(D4*'Dane robocze'!$K$11,'Dane robocze'!$L$11)</f>
        <v>4.9000000000000004</v>
      </c>
      <c r="D13" s="231">
        <f t="shared" si="0"/>
        <v>4.9000000000000002E-2</v>
      </c>
      <c r="E13" s="216">
        <f>MAX(F4*'Dane robocze'!$K$11,'Dane robocze'!$L$11)</f>
        <v>4.9000000000000004</v>
      </c>
      <c r="F13" s="231">
        <f t="shared" si="1"/>
        <v>9.8000000000000014E-3</v>
      </c>
      <c r="G13" s="216">
        <f>MAX(H4*'Dane robocze'!$K$11,'Dane robocze'!$L$11)</f>
        <v>4.9000000000000004</v>
      </c>
      <c r="H13" s="231">
        <f t="shared" si="2"/>
        <v>4.9000000000000007E-3</v>
      </c>
      <c r="I13" s="216">
        <f>MAX(J4*'Dane robocze'!$K$11,'Dane robocze'!$L$11)</f>
        <v>7.6</v>
      </c>
      <c r="J13" s="231">
        <f t="shared" si="3"/>
        <v>3.8E-3</v>
      </c>
      <c r="K13" s="216">
        <f>MAX(L4*'Dane robocze'!$K$11,'Dane robocze'!$L$11)</f>
        <v>27.00432</v>
      </c>
      <c r="L13" s="231">
        <f t="shared" si="4"/>
        <v>3.8E-3</v>
      </c>
      <c r="M13" s="216">
        <f>MAX(N4*'Dane robocze'!$K$11,'Dane robocze'!$L$11)</f>
        <v>67.510800000000003</v>
      </c>
      <c r="N13" s="231">
        <f t="shared" si="5"/>
        <v>3.8E-3</v>
      </c>
      <c r="O13" s="15"/>
      <c r="P13" s="15"/>
      <c r="Q13" s="15"/>
      <c r="R13" s="223">
        <f t="shared" si="6"/>
        <v>4</v>
      </c>
      <c r="S13" s="148">
        <f t="shared" si="7"/>
        <v>4</v>
      </c>
      <c r="T13" s="148">
        <f t="shared" si="8"/>
        <v>4</v>
      </c>
      <c r="U13" s="148">
        <f t="shared" si="9"/>
        <v>5</v>
      </c>
      <c r="V13" s="148">
        <f t="shared" si="10"/>
        <v>5</v>
      </c>
      <c r="W13" s="148">
        <f t="shared" si="11"/>
        <v>5</v>
      </c>
      <c r="X13" s="224">
        <f t="shared" si="12"/>
        <v>4.5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68" customFormat="1" ht="15.5" x14ac:dyDescent="0.3">
      <c r="A14" s="15"/>
      <c r="B14" s="215" t="str">
        <f>'Dane robocze'!A5</f>
        <v>mBank eMakler</v>
      </c>
      <c r="C14" s="216">
        <f>MAX(D$4*'Dane robocze'!$K$5,'Dane robocze'!$L$5)</f>
        <v>5</v>
      </c>
      <c r="D14" s="231">
        <f t="shared" si="0"/>
        <v>0.05</v>
      </c>
      <c r="E14" s="216">
        <f>MAX(F$4*'Dane robocze'!$K$5,'Dane robocze'!$L$5)</f>
        <v>5</v>
      </c>
      <c r="F14" s="231">
        <f t="shared" si="1"/>
        <v>0.01</v>
      </c>
      <c r="G14" s="216">
        <f>MAX(H$4*'Dane robocze'!$K$5,'Dane robocze'!$L$5)</f>
        <v>5</v>
      </c>
      <c r="H14" s="231">
        <f t="shared" si="2"/>
        <v>5.0000000000000001E-3</v>
      </c>
      <c r="I14" s="216">
        <f>MAX(J$4*'Dane robocze'!$K$5,'Dane robocze'!$L$5)</f>
        <v>7.8</v>
      </c>
      <c r="J14" s="231">
        <f t="shared" si="3"/>
        <v>3.8999999999999998E-3</v>
      </c>
      <c r="K14" s="216">
        <f>MAX(L$4*'Dane robocze'!$K$5,'Dane robocze'!$L$5)</f>
        <v>27.714959999999998</v>
      </c>
      <c r="L14" s="231">
        <f t="shared" si="4"/>
        <v>3.8999999999999998E-3</v>
      </c>
      <c r="M14" s="216">
        <f>MAX(N$4*'Dane robocze'!$K$5,'Dane robocze'!$L$5)</f>
        <v>69.287399999999991</v>
      </c>
      <c r="N14" s="231">
        <f t="shared" si="5"/>
        <v>3.8999999999999994E-3</v>
      </c>
      <c r="O14" s="15"/>
      <c r="P14" s="15"/>
      <c r="Q14" s="15"/>
      <c r="R14" s="223">
        <f t="shared" si="6"/>
        <v>5</v>
      </c>
      <c r="S14" s="148">
        <f t="shared" si="7"/>
        <v>5</v>
      </c>
      <c r="T14" s="148">
        <f t="shared" si="8"/>
        <v>5</v>
      </c>
      <c r="U14" s="148">
        <f t="shared" si="9"/>
        <v>9</v>
      </c>
      <c r="V14" s="148">
        <f t="shared" si="10"/>
        <v>10</v>
      </c>
      <c r="W14" s="148">
        <f t="shared" si="11"/>
        <v>10</v>
      </c>
      <c r="X14" s="224">
        <f t="shared" si="12"/>
        <v>7.333333333333333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68" customFormat="1" ht="31" x14ac:dyDescent="0.3">
      <c r="A15" s="15"/>
      <c r="B15" s="215" t="str">
        <f>'Dane robocze'!A6</f>
        <v>mBank Biuro Maklerskie</v>
      </c>
      <c r="C15" s="216">
        <f>MAX(D$4*'Dane robocze'!$K$6,'Dane robocze'!$L$6)</f>
        <v>5</v>
      </c>
      <c r="D15" s="231">
        <f t="shared" si="0"/>
        <v>0.05</v>
      </c>
      <c r="E15" s="216">
        <f>MAX(F$4*'Dane robocze'!$K$6,'Dane robocze'!$L$6)</f>
        <v>5</v>
      </c>
      <c r="F15" s="231">
        <f t="shared" si="1"/>
        <v>0.01</v>
      </c>
      <c r="G15" s="216">
        <f>MAX(H$4*'Dane robocze'!$K$6,'Dane robocze'!$L$6)</f>
        <v>5</v>
      </c>
      <c r="H15" s="231">
        <f t="shared" si="2"/>
        <v>5.0000000000000001E-3</v>
      </c>
      <c r="I15" s="216">
        <f>MAX(J$4*'Dane robocze'!$K$6,'Dane robocze'!$L$6)</f>
        <v>7.8</v>
      </c>
      <c r="J15" s="231">
        <f t="shared" si="3"/>
        <v>3.8999999999999998E-3</v>
      </c>
      <c r="K15" s="216">
        <f>MAX(L$4*'Dane robocze'!$K$6,'Dane robocze'!$L$6)</f>
        <v>27.714959999999998</v>
      </c>
      <c r="L15" s="231">
        <f t="shared" si="4"/>
        <v>3.8999999999999998E-3</v>
      </c>
      <c r="M15" s="216">
        <f>MAX(N$4*'Dane robocze'!$K$6,'Dane robocze'!$L$6)</f>
        <v>69.287399999999991</v>
      </c>
      <c r="N15" s="231">
        <f t="shared" si="5"/>
        <v>3.8999999999999994E-3</v>
      </c>
      <c r="O15" s="15"/>
      <c r="P15" s="15"/>
      <c r="Q15" s="15"/>
      <c r="R15" s="223">
        <f t="shared" si="6"/>
        <v>5</v>
      </c>
      <c r="S15" s="148">
        <f t="shared" si="7"/>
        <v>5</v>
      </c>
      <c r="T15" s="148">
        <f t="shared" si="8"/>
        <v>5</v>
      </c>
      <c r="U15" s="148">
        <f t="shared" si="9"/>
        <v>9</v>
      </c>
      <c r="V15" s="148">
        <f t="shared" si="10"/>
        <v>10</v>
      </c>
      <c r="W15" s="148">
        <f t="shared" si="11"/>
        <v>10</v>
      </c>
      <c r="X15" s="224">
        <f t="shared" si="12"/>
        <v>7.333333333333333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168" customFormat="1" ht="15.5" x14ac:dyDescent="0.3">
      <c r="A16" s="15"/>
      <c r="B16" s="215" t="str">
        <f>'Dane robocze'!A9</f>
        <v>BM Santander</v>
      </c>
      <c r="C16" s="216">
        <f>MAX(D$4*'Dane robocze'!$K$9,'Dane robocze'!$L$9)</f>
        <v>5</v>
      </c>
      <c r="D16" s="231">
        <f t="shared" si="0"/>
        <v>0.05</v>
      </c>
      <c r="E16" s="216">
        <f>MAX(F$4*'Dane robocze'!$K$9,'Dane robocze'!$L$9)</f>
        <v>5</v>
      </c>
      <c r="F16" s="231">
        <f t="shared" si="1"/>
        <v>0.01</v>
      </c>
      <c r="G16" s="216">
        <f>MAX(H$4*'Dane robocze'!$K$9,'Dane robocze'!$L$9)</f>
        <v>5</v>
      </c>
      <c r="H16" s="231">
        <f>G16/$H$4</f>
        <v>5.0000000000000001E-3</v>
      </c>
      <c r="I16" s="216">
        <f>MAX(J$4*'Dane robocze'!$K$9,'Dane robocze'!$L$9)</f>
        <v>7.8</v>
      </c>
      <c r="J16" s="231">
        <f t="shared" si="3"/>
        <v>3.8999999999999998E-3</v>
      </c>
      <c r="K16" s="216">
        <f>MAX(L$4*'Dane robocze'!$K$9,'Dane robocze'!$L$9)</f>
        <v>27.714959999999998</v>
      </c>
      <c r="L16" s="231">
        <f t="shared" si="4"/>
        <v>3.8999999999999998E-3</v>
      </c>
      <c r="M16" s="216">
        <f>MAX(N$4*'Dane robocze'!$K$9,'Dane robocze'!$L$9)</f>
        <v>69.287399999999991</v>
      </c>
      <c r="N16" s="231">
        <f t="shared" si="5"/>
        <v>3.8999999999999994E-3</v>
      </c>
      <c r="O16" s="15"/>
      <c r="P16" s="15"/>
      <c r="Q16" s="15"/>
      <c r="R16" s="223">
        <f t="shared" si="6"/>
        <v>5</v>
      </c>
      <c r="S16" s="148">
        <f t="shared" si="7"/>
        <v>5</v>
      </c>
      <c r="T16" s="148">
        <f t="shared" si="8"/>
        <v>5</v>
      </c>
      <c r="U16" s="148">
        <f t="shared" si="9"/>
        <v>9</v>
      </c>
      <c r="V16" s="148">
        <f t="shared" si="10"/>
        <v>10</v>
      </c>
      <c r="W16" s="148">
        <f t="shared" si="11"/>
        <v>10</v>
      </c>
      <c r="X16" s="224">
        <f t="shared" si="12"/>
        <v>7.333333333333333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68" customFormat="1" ht="31" x14ac:dyDescent="0.3">
      <c r="A17" s="15"/>
      <c r="B17" s="215" t="str">
        <f>'Dane robocze'!A17</f>
        <v>Biuro Maklerskie Alior Bank</v>
      </c>
      <c r="C17" s="216">
        <f>MAX(D$4*'Dane robocze'!$K$17,'Dane robocze'!$L$17)</f>
        <v>3</v>
      </c>
      <c r="D17" s="231">
        <f t="shared" si="0"/>
        <v>0.03</v>
      </c>
      <c r="E17" s="216">
        <f>MAX(F$4*'Dane robocze'!$K$17,'Dane robocze'!$L$17)</f>
        <v>3</v>
      </c>
      <c r="F17" s="231">
        <f t="shared" si="1"/>
        <v>6.0000000000000001E-3</v>
      </c>
      <c r="G17" s="216">
        <f>MAX(H$4*'Dane robocze'!$K$17,'Dane robocze'!$L$17)</f>
        <v>3.8</v>
      </c>
      <c r="H17" s="231">
        <f>G17/$H$4</f>
        <v>3.8E-3</v>
      </c>
      <c r="I17" s="216">
        <f>MAX(J$4*'Dane robocze'!$K$17,'Dane robocze'!$L$17)</f>
        <v>7.6</v>
      </c>
      <c r="J17" s="231">
        <f t="shared" si="3"/>
        <v>3.8E-3</v>
      </c>
      <c r="K17" s="216">
        <f>MAX(L$4*'Dane robocze'!$K$17,'Dane robocze'!$L$17)</f>
        <v>27.00432</v>
      </c>
      <c r="L17" s="231">
        <f t="shared" si="4"/>
        <v>3.8E-3</v>
      </c>
      <c r="M17" s="216">
        <f>MAX(N$4*'Dane robocze'!$K$17,'Dane robocze'!$L$17)</f>
        <v>67.510800000000003</v>
      </c>
      <c r="N17" s="231">
        <f t="shared" si="5"/>
        <v>3.8E-3</v>
      </c>
      <c r="O17" s="15"/>
      <c r="P17" s="15"/>
      <c r="Q17" s="15"/>
      <c r="R17" s="223">
        <f t="shared" si="6"/>
        <v>1</v>
      </c>
      <c r="S17" s="148">
        <f t="shared" si="7"/>
        <v>1</v>
      </c>
      <c r="T17" s="148">
        <f t="shared" si="8"/>
        <v>3</v>
      </c>
      <c r="U17" s="148">
        <f t="shared" si="9"/>
        <v>5</v>
      </c>
      <c r="V17" s="148">
        <f t="shared" si="10"/>
        <v>5</v>
      </c>
      <c r="W17" s="148">
        <f t="shared" si="11"/>
        <v>5</v>
      </c>
      <c r="X17" s="224">
        <f t="shared" si="12"/>
        <v>3.3333333333333335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168" customFormat="1" ht="31.5" thickBot="1" x14ac:dyDescent="0.35">
      <c r="A18" s="15"/>
      <c r="B18" s="215" t="str">
        <f>'Dane robocze'!A10</f>
        <v>Biuro Maklerskie PKO BP</v>
      </c>
      <c r="C18" s="217">
        <f>MAX(D$4*'Dane robocze'!$K$10,'Dane robocze'!$L$10)</f>
        <v>5</v>
      </c>
      <c r="D18" s="232">
        <f t="shared" si="0"/>
        <v>0.05</v>
      </c>
      <c r="E18" s="217">
        <f>MAX(F$4*'Dane robocze'!$K$10,'Dane robocze'!$L$10)</f>
        <v>5</v>
      </c>
      <c r="F18" s="232">
        <f t="shared" si="1"/>
        <v>0.01</v>
      </c>
      <c r="G18" s="217">
        <f>MAX(H$4*'Dane robocze'!$K$10,'Dane robocze'!$L$10)</f>
        <v>5</v>
      </c>
      <c r="H18" s="232">
        <f t="shared" si="2"/>
        <v>5.0000000000000001E-3</v>
      </c>
      <c r="I18" s="217">
        <f>MAX(J$4*'Dane robocze'!$K$10,'Dane robocze'!$L$10)</f>
        <v>7.8</v>
      </c>
      <c r="J18" s="232">
        <f t="shared" si="3"/>
        <v>3.8999999999999998E-3</v>
      </c>
      <c r="K18" s="217">
        <f>MAX(L$4*'Dane robocze'!$K$10,'Dane robocze'!$L$10)</f>
        <v>27.714959999999998</v>
      </c>
      <c r="L18" s="218">
        <f t="shared" si="4"/>
        <v>3.8999999999999998E-3</v>
      </c>
      <c r="M18" s="217">
        <f>MAX(N$4*'Dane robocze'!$K$10,'Dane robocze'!$L$10)</f>
        <v>69.287399999999991</v>
      </c>
      <c r="N18" s="232">
        <f t="shared" si="5"/>
        <v>3.8999999999999994E-3</v>
      </c>
      <c r="O18" s="15"/>
      <c r="P18" s="15"/>
      <c r="Q18" s="15"/>
      <c r="R18" s="225">
        <f t="shared" si="6"/>
        <v>5</v>
      </c>
      <c r="S18" s="226">
        <f t="shared" si="7"/>
        <v>5</v>
      </c>
      <c r="T18" s="226">
        <f t="shared" si="8"/>
        <v>5</v>
      </c>
      <c r="U18" s="226">
        <f t="shared" si="9"/>
        <v>9</v>
      </c>
      <c r="V18" s="226">
        <f t="shared" si="10"/>
        <v>10</v>
      </c>
      <c r="W18" s="226">
        <f t="shared" si="11"/>
        <v>10</v>
      </c>
      <c r="X18" s="227">
        <f t="shared" si="12"/>
        <v>7.333333333333333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21" spans="1:42" ht="25.5" thickBot="1" x14ac:dyDescent="0.55000000000000004">
      <c r="B21" s="161" t="s">
        <v>201</v>
      </c>
    </row>
    <row r="22" spans="1:42" ht="38.15" customHeight="1" thickBot="1" x14ac:dyDescent="0.35">
      <c r="C22" s="334" t="s">
        <v>202</v>
      </c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6"/>
    </row>
    <row r="23" spans="1:42" ht="18" x14ac:dyDescent="0.4">
      <c r="B23" s="337" t="s">
        <v>196</v>
      </c>
      <c r="C23" s="162" t="s">
        <v>197</v>
      </c>
      <c r="D23" s="163">
        <v>100</v>
      </c>
      <c r="E23" s="162" t="str">
        <f>C23</f>
        <v>Transakcja:</v>
      </c>
      <c r="F23" s="163">
        <v>500</v>
      </c>
      <c r="G23" s="162" t="str">
        <f>C23</f>
        <v>Transakcja:</v>
      </c>
      <c r="H23" s="163">
        <v>1000</v>
      </c>
      <c r="I23" s="162" t="str">
        <f>C23</f>
        <v>Transakcja:</v>
      </c>
      <c r="J23" s="163">
        <v>2000</v>
      </c>
      <c r="K23" s="162" t="str">
        <f>I23</f>
        <v>Transakcja:</v>
      </c>
      <c r="L23" s="163">
        <v>7106.4</v>
      </c>
      <c r="M23" s="162" t="str">
        <f>C23</f>
        <v>Transakcja:</v>
      </c>
      <c r="N23" s="163">
        <v>17766</v>
      </c>
      <c r="O23" s="169" t="s">
        <v>198</v>
      </c>
    </row>
    <row r="24" spans="1:42" ht="50.5" customHeight="1" x14ac:dyDescent="0.3">
      <c r="B24" s="338"/>
      <c r="C24" s="164" t="s">
        <v>199</v>
      </c>
      <c r="D24" s="165" t="s">
        <v>200</v>
      </c>
      <c r="E24" s="164" t="s">
        <v>199</v>
      </c>
      <c r="F24" s="165" t="s">
        <v>200</v>
      </c>
      <c r="G24" s="164" t="s">
        <v>199</v>
      </c>
      <c r="H24" s="165" t="s">
        <v>200</v>
      </c>
      <c r="I24" s="164" t="s">
        <v>199</v>
      </c>
      <c r="J24" s="165" t="s">
        <v>200</v>
      </c>
      <c r="K24" s="164" t="s">
        <v>199</v>
      </c>
      <c r="L24" s="165" t="s">
        <v>200</v>
      </c>
      <c r="M24" s="164" t="s">
        <v>199</v>
      </c>
      <c r="N24" s="165" t="s">
        <v>200</v>
      </c>
    </row>
    <row r="25" spans="1:42" ht="31" x14ac:dyDescent="0.3">
      <c r="B25" s="166" t="s">
        <v>181</v>
      </c>
      <c r="C25" s="170">
        <f>MAX(D$23*'Dane robocze'!$E6,'Dane robocze'!$F6)</f>
        <v>19</v>
      </c>
      <c r="D25" s="171">
        <f>C25/D$23</f>
        <v>0.19</v>
      </c>
      <c r="E25" s="170">
        <f>MAX(F$23*'Dane robocze'!$E6,'Dane robocze'!$F6)</f>
        <v>19</v>
      </c>
      <c r="F25" s="172">
        <f>E25/F$23</f>
        <v>3.7999999999999999E-2</v>
      </c>
      <c r="G25" s="170">
        <f>MAX(H$23*'Dane robocze'!$E6,'Dane robocze'!$F6)</f>
        <v>19</v>
      </c>
      <c r="H25" s="172">
        <f>G25/H$23</f>
        <v>1.9E-2</v>
      </c>
      <c r="I25" s="170">
        <f>MAX(J$23*'Dane robocze'!$E6,'Dane robocze'!$F6)</f>
        <v>19</v>
      </c>
      <c r="J25" s="172">
        <f>I25/J$23</f>
        <v>9.4999999999999998E-3</v>
      </c>
      <c r="K25" s="170">
        <f>MAX(L$23*'Dane robocze'!$E6,'Dane robocze'!$F6)</f>
        <v>20.608559999999997</v>
      </c>
      <c r="L25" s="172">
        <f>K25/L$23</f>
        <v>2.8999999999999998E-3</v>
      </c>
      <c r="M25" s="170">
        <f>MAX(N$23*'Dane robocze'!$E6,'Dane robocze'!$F6)</f>
        <v>51.5214</v>
      </c>
      <c r="N25" s="172">
        <f>M25/N$23</f>
        <v>2.8999999999999998E-3</v>
      </c>
    </row>
    <row r="26" spans="1:42" ht="25.5" customHeight="1" x14ac:dyDescent="0.3">
      <c r="B26" s="166" t="s">
        <v>203</v>
      </c>
      <c r="C26" s="170">
        <f>MAX(D$23*'Dane robocze'!$E5,'Dane robocze'!$F5)</f>
        <v>19</v>
      </c>
      <c r="D26" s="171">
        <f t="shared" ref="D26:D28" si="13">C26/D$23</f>
        <v>0.19</v>
      </c>
      <c r="E26" s="170">
        <f>MAX(F$23*'Dane robocze'!$E5,'Dane robocze'!$F5)</f>
        <v>19</v>
      </c>
      <c r="F26" s="172">
        <f t="shared" ref="F26:H29" si="14">E26/F$23</f>
        <v>3.7999999999999999E-2</v>
      </c>
      <c r="G26" s="170">
        <f>MAX(H$23*'Dane robocze'!$E5,'Dane robocze'!$F5)</f>
        <v>19</v>
      </c>
      <c r="H26" s="172">
        <f t="shared" si="14"/>
        <v>1.9E-2</v>
      </c>
      <c r="I26" s="170">
        <f>MAX(J$23*'Dane robocze'!$E5,'Dane robocze'!$F5)</f>
        <v>19</v>
      </c>
      <c r="J26" s="172">
        <f t="shared" ref="J26:J28" si="15">I26/J$23</f>
        <v>9.4999999999999998E-3</v>
      </c>
      <c r="K26" s="170">
        <f>MAX(L$23*'Dane robocze'!$E5,'Dane robocze'!$F5)</f>
        <v>20.608559999999997</v>
      </c>
      <c r="L26" s="172">
        <f t="shared" ref="L26:L28" si="16">K26/L$23</f>
        <v>2.8999999999999998E-3</v>
      </c>
      <c r="M26" s="170">
        <f>MAX(N$23*'Dane robocze'!$E5,'Dane robocze'!$F5)</f>
        <v>51.5214</v>
      </c>
      <c r="N26" s="172">
        <f t="shared" ref="N26:N28" si="17">M26/N$23</f>
        <v>2.8999999999999998E-3</v>
      </c>
    </row>
    <row r="27" spans="1:42" ht="31" x14ac:dyDescent="0.3">
      <c r="B27" s="166" t="s">
        <v>182</v>
      </c>
      <c r="C27" s="170">
        <f>MAX(D$23*'Dane robocze'!$E7,'Dane robocze'!$F7)</f>
        <v>19</v>
      </c>
      <c r="D27" s="171">
        <f>C27/D$23</f>
        <v>0.19</v>
      </c>
      <c r="E27" s="170">
        <f>MAX(F$23*'Dane robocze'!$E7,'Dane robocze'!$F7)</f>
        <v>19</v>
      </c>
      <c r="F27" s="172">
        <f t="shared" si="14"/>
        <v>3.7999999999999999E-2</v>
      </c>
      <c r="G27" s="170">
        <f>MAX(H$23*'Dane robocze'!$E7,'Dane robocze'!$F7)</f>
        <v>19</v>
      </c>
      <c r="H27" s="172">
        <f t="shared" si="14"/>
        <v>1.9E-2</v>
      </c>
      <c r="I27" s="170">
        <f>MAX(J$23*'Dane robocze'!$E7,'Dane robocze'!$F7)</f>
        <v>19</v>
      </c>
      <c r="J27" s="172">
        <f t="shared" si="15"/>
        <v>9.4999999999999998E-3</v>
      </c>
      <c r="K27" s="170">
        <f>MAX(L$23*'Dane robocze'!$E7,'Dane robocze'!$F7)</f>
        <v>20.608559999999997</v>
      </c>
      <c r="L27" s="172">
        <f t="shared" si="16"/>
        <v>2.8999999999999998E-3</v>
      </c>
      <c r="M27" s="170">
        <f>MAX(N$23*'Dane robocze'!$E7,'Dane robocze'!$F7)</f>
        <v>51.5214</v>
      </c>
      <c r="N27" s="172">
        <f t="shared" si="17"/>
        <v>2.8999999999999998E-3</v>
      </c>
    </row>
    <row r="28" spans="1:42" ht="31" x14ac:dyDescent="0.3">
      <c r="B28" s="166" t="s">
        <v>183</v>
      </c>
      <c r="C28" s="170">
        <f>MAX(D$23*'Dane robocze'!$E8,'Dane robocze'!$F8)</f>
        <v>29</v>
      </c>
      <c r="D28" s="171">
        <f t="shared" si="13"/>
        <v>0.28999999999999998</v>
      </c>
      <c r="E28" s="170">
        <f>MAX(F$23*'Dane robocze'!$E8,'Dane robocze'!$F8)</f>
        <v>29</v>
      </c>
      <c r="F28" s="172">
        <f t="shared" si="14"/>
        <v>5.8000000000000003E-2</v>
      </c>
      <c r="G28" s="170">
        <f>MAX(H$23*'Dane robocze'!$E8,'Dane robocze'!$F8)</f>
        <v>29</v>
      </c>
      <c r="H28" s="172">
        <f t="shared" si="14"/>
        <v>2.9000000000000001E-2</v>
      </c>
      <c r="I28" s="170">
        <f>MAX(J$23*'Dane robocze'!$E8,'Dane robocze'!$F8)</f>
        <v>29</v>
      </c>
      <c r="J28" s="172">
        <f t="shared" si="15"/>
        <v>1.4500000000000001E-2</v>
      </c>
      <c r="K28" s="170">
        <f>MAX(L$23*'Dane robocze'!$E8,'Dane robocze'!$F8)</f>
        <v>29</v>
      </c>
      <c r="L28" s="172">
        <f t="shared" si="16"/>
        <v>4.0808285489136557E-3</v>
      </c>
      <c r="M28" s="170">
        <f>MAX(N$23*'Dane robocze'!$E8,'Dane robocze'!$F8)</f>
        <v>51.5214</v>
      </c>
      <c r="N28" s="172">
        <f t="shared" si="17"/>
        <v>2.8999999999999998E-3</v>
      </c>
      <c r="P28" s="167"/>
    </row>
    <row r="29" spans="1:42" ht="25.5" customHeight="1" x14ac:dyDescent="0.3">
      <c r="B29" s="166" t="s">
        <v>184</v>
      </c>
      <c r="C29" s="170">
        <f>MAX(D$23*'Dane robocze'!$E9,'Dane robocze'!$F9)</f>
        <v>56.519999999999996</v>
      </c>
      <c r="D29" s="171">
        <f>C29/D$23</f>
        <v>0.56519999999999992</v>
      </c>
      <c r="E29" s="170">
        <f>MAX(F$23*'Dane robocze'!$E9,'Dane robocze'!$F9)</f>
        <v>56.519999999999996</v>
      </c>
      <c r="F29" s="172">
        <f t="shared" si="14"/>
        <v>0.11303999999999999</v>
      </c>
      <c r="G29" s="170">
        <f>MAX(H$23*'Dane robocze'!$E9,'Dane robocze'!$F9)</f>
        <v>56.519999999999996</v>
      </c>
      <c r="H29" s="172">
        <f>G29/H$23</f>
        <v>5.6519999999999994E-2</v>
      </c>
      <c r="I29" s="170">
        <f>MAX(J$23*'Dane robocze'!$E9,'Dane robocze'!$F9)</f>
        <v>56.519999999999996</v>
      </c>
      <c r="J29" s="172">
        <f>I29/J$23</f>
        <v>2.8259999999999997E-2</v>
      </c>
      <c r="K29" s="170">
        <f>MAX(L$23*'Dane robocze'!$E9,'Dane robocze'!$F9)</f>
        <v>56.519999999999996</v>
      </c>
      <c r="L29" s="172">
        <f>K29/L$23</f>
        <v>7.9533941236068894E-3</v>
      </c>
      <c r="M29" s="170">
        <f>MAX(N$23*'Dane robocze'!$E9,'Dane robocze'!$F9)</f>
        <v>69.287399999999991</v>
      </c>
      <c r="N29" s="172">
        <f>M29/N$23</f>
        <v>3.8999999999999994E-3</v>
      </c>
    </row>
    <row r="34" spans="2:17" ht="18.5" thickBot="1" x14ac:dyDescent="0.35">
      <c r="C34" s="173" t="s">
        <v>224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2:17" ht="18" x14ac:dyDescent="0.4">
      <c r="C35" s="174" t="s">
        <v>204</v>
      </c>
      <c r="D35" s="175">
        <v>7106.4</v>
      </c>
      <c r="E35" s="176"/>
      <c r="F35" s="177" t="s">
        <v>204</v>
      </c>
      <c r="G35" s="175">
        <v>17766</v>
      </c>
      <c r="H35" s="176"/>
      <c r="I35" s="325" t="s">
        <v>205</v>
      </c>
      <c r="J35" s="178"/>
      <c r="K35" s="179"/>
      <c r="M35" s="180"/>
      <c r="N35" s="180"/>
      <c r="O35" s="180"/>
      <c r="P35" s="180"/>
      <c r="Q35" s="180"/>
    </row>
    <row r="36" spans="2:17" ht="87.75" customHeight="1" x14ac:dyDescent="0.35">
      <c r="B36" s="181"/>
      <c r="C36" s="182" t="s">
        <v>206</v>
      </c>
      <c r="D36" s="183" t="s">
        <v>207</v>
      </c>
      <c r="E36" s="184" t="s">
        <v>208</v>
      </c>
      <c r="F36" s="182" t="s">
        <v>206</v>
      </c>
      <c r="G36" s="183" t="s">
        <v>207</v>
      </c>
      <c r="H36" s="184" t="s">
        <v>208</v>
      </c>
      <c r="I36" s="325"/>
      <c r="J36" s="185"/>
      <c r="K36" s="186"/>
      <c r="L36" s="187"/>
      <c r="M36" s="188"/>
      <c r="N36" s="187"/>
      <c r="O36" s="188"/>
      <c r="P36" s="187"/>
      <c r="Q36" s="188"/>
    </row>
    <row r="37" spans="2:17" ht="31" x14ac:dyDescent="0.35">
      <c r="B37" s="189" t="s">
        <v>209</v>
      </c>
      <c r="C37" s="190">
        <v>12</v>
      </c>
      <c r="D37" s="191">
        <v>4</v>
      </c>
      <c r="E37" s="192">
        <v>1</v>
      </c>
      <c r="F37" s="190">
        <v>12</v>
      </c>
      <c r="G37" s="191">
        <v>4</v>
      </c>
      <c r="H37" s="192">
        <v>1</v>
      </c>
      <c r="I37" s="193"/>
      <c r="J37" s="193"/>
      <c r="K37" s="193"/>
      <c r="L37" s="187"/>
      <c r="M37" s="188"/>
      <c r="N37" s="187"/>
      <c r="O37" s="188"/>
      <c r="P37" s="187"/>
      <c r="Q37" s="188"/>
    </row>
    <row r="38" spans="2:17" ht="31" x14ac:dyDescent="0.35">
      <c r="B38" s="189" t="s">
        <v>210</v>
      </c>
      <c r="C38" s="194">
        <f>D35/12</f>
        <v>592.19999999999993</v>
      </c>
      <c r="D38" s="195">
        <f>D35/D37</f>
        <v>1776.6</v>
      </c>
      <c r="E38" s="196">
        <f>D35/E37</f>
        <v>7106.4</v>
      </c>
      <c r="F38" s="194">
        <f>G35/12</f>
        <v>1480.5</v>
      </c>
      <c r="G38" s="195">
        <f>G35/G37</f>
        <v>4441.5</v>
      </c>
      <c r="H38" s="196">
        <f>G35/H37</f>
        <v>17766</v>
      </c>
      <c r="I38" s="197"/>
      <c r="J38" s="197"/>
      <c r="K38" s="197"/>
      <c r="L38" s="187"/>
      <c r="M38" s="188"/>
      <c r="N38" s="187"/>
      <c r="O38" s="188"/>
      <c r="P38" s="187"/>
      <c r="Q38" s="188"/>
    </row>
    <row r="39" spans="2:17" ht="31" x14ac:dyDescent="0.3">
      <c r="B39" s="166" t="s">
        <v>181</v>
      </c>
      <c r="C39" s="198">
        <f>MAX(C$37*C$38*'Dane robocze'!$E6,C$37*'Dane robocze'!$F6)</f>
        <v>228</v>
      </c>
      <c r="D39" s="198">
        <f>MAX(D$37*D$38*'Dane robocze'!$E6,D$37*'Dane robocze'!$F6)</f>
        <v>76</v>
      </c>
      <c r="E39" s="198">
        <f>MAX(E$37*E$38*'Dane robocze'!$E6,E$37*'Dane robocze'!$F6)</f>
        <v>20.608559999999997</v>
      </c>
      <c r="F39" s="198">
        <f>MAX(F$37*F$38*'Dane robocze'!$E6,F$37*'Dane robocze'!$F6)</f>
        <v>228</v>
      </c>
      <c r="G39" s="198">
        <f>MAX(G$37*G$38*'Dane robocze'!$E6,G$37*'Dane robocze'!$F6)</f>
        <v>76</v>
      </c>
      <c r="H39" s="198">
        <f>MAX(H$37*H$38*'Dane robocze'!$E6,H$37*'Dane robocze'!$F6)</f>
        <v>51.5214</v>
      </c>
      <c r="I39" s="199"/>
      <c r="J39" s="199"/>
      <c r="K39" s="199"/>
      <c r="L39" s="199"/>
      <c r="M39" s="200"/>
      <c r="N39" s="199"/>
      <c r="O39" s="200"/>
      <c r="P39" s="199"/>
      <c r="Q39" s="200"/>
    </row>
    <row r="40" spans="2:17" ht="15.5" x14ac:dyDescent="0.3">
      <c r="B40" s="166" t="s">
        <v>203</v>
      </c>
      <c r="C40" s="198">
        <f>MAX(C$37*C$38*'Dane robocze'!$E5,C$37*'Dane robocze'!$F5)</f>
        <v>228</v>
      </c>
      <c r="D40" s="198">
        <f>MAX(D$37*D$38*'Dane robocze'!$E5,D$37*'Dane robocze'!$F5)</f>
        <v>76</v>
      </c>
      <c r="E40" s="198">
        <f>MAX(E$37*E$38*'Dane robocze'!$E5,E$37*'Dane robocze'!$F5)</f>
        <v>20.608559999999997</v>
      </c>
      <c r="F40" s="198">
        <f>MAX(F$37*F$38*'Dane robocze'!$E5,F$37*'Dane robocze'!$F5)</f>
        <v>228</v>
      </c>
      <c r="G40" s="198">
        <f>MAX(G$37*G$38*'Dane robocze'!$E5,G$37*'Dane robocze'!$F5)</f>
        <v>76</v>
      </c>
      <c r="H40" s="198">
        <f>MAX(H$37*H$38*'Dane robocze'!$E5,H$37*'Dane robocze'!$F5)</f>
        <v>51.5214</v>
      </c>
      <c r="I40" s="199"/>
      <c r="J40" s="199"/>
      <c r="K40" s="199"/>
      <c r="L40" s="199"/>
      <c r="M40" s="200"/>
      <c r="N40" s="199"/>
      <c r="O40" s="200"/>
      <c r="P40" s="199"/>
      <c r="Q40" s="200"/>
    </row>
    <row r="41" spans="2:17" ht="31" x14ac:dyDescent="0.3">
      <c r="B41" s="166" t="s">
        <v>182</v>
      </c>
      <c r="C41" s="198">
        <f>MAX(C$37*C$38*'Dane robocze'!$E7,C$37*'Dane robocze'!$F7)</f>
        <v>228</v>
      </c>
      <c r="D41" s="198">
        <f>MAX(D$37*D$38*'Dane robocze'!$E7,D$37*'Dane robocze'!$F7)</f>
        <v>76</v>
      </c>
      <c r="E41" s="198">
        <f>MAX(E$37*E$38*'Dane robocze'!$E7,E$37*'Dane robocze'!$F7)</f>
        <v>20.608559999999997</v>
      </c>
      <c r="F41" s="198">
        <f>MAX(F$37*F$38*'Dane robocze'!$E7,F$37*'Dane robocze'!$F7)</f>
        <v>228</v>
      </c>
      <c r="G41" s="198">
        <f>MAX(G$37*G$38*'Dane robocze'!$E7,G$37*'Dane robocze'!$F7)</f>
        <v>76</v>
      </c>
      <c r="H41" s="198">
        <f>MAX(H$37*H$38*'Dane robocze'!$E7,H$37*'Dane robocze'!$F7)</f>
        <v>51.5214</v>
      </c>
      <c r="I41" s="199"/>
      <c r="J41" s="199"/>
      <c r="K41" s="199"/>
      <c r="L41" s="199"/>
      <c r="M41" s="200"/>
      <c r="N41" s="199"/>
      <c r="O41" s="200"/>
      <c r="P41" s="199"/>
      <c r="Q41" s="200"/>
    </row>
    <row r="42" spans="2:17" ht="31" x14ac:dyDescent="0.3">
      <c r="B42" s="166" t="s">
        <v>183</v>
      </c>
      <c r="C42" s="198">
        <f>MAX(C$37*C$38*'Dane robocze'!$E8,C$37*'Dane robocze'!$F8)</f>
        <v>348</v>
      </c>
      <c r="D42" s="198">
        <f>MAX(D$37*D$38*'Dane robocze'!$E8,D$37*'Dane robocze'!$F8)</f>
        <v>116</v>
      </c>
      <c r="E42" s="198">
        <f>MAX(E$37*E$38*'Dane robocze'!$E8,E$37*'Dane robocze'!$F8)</f>
        <v>29</v>
      </c>
      <c r="F42" s="198">
        <f>MAX(F$37*F$38*'Dane robocze'!$E8,F$37*'Dane robocze'!$F8)</f>
        <v>348</v>
      </c>
      <c r="G42" s="198">
        <f>MAX(G$37*G$38*'Dane robocze'!$E8,G$37*'Dane robocze'!$F8)</f>
        <v>116</v>
      </c>
      <c r="H42" s="198">
        <f>MAX(H$37*H$38*'Dane robocze'!$E8,H$37*'Dane robocze'!$F8)</f>
        <v>51.5214</v>
      </c>
      <c r="I42" s="199"/>
      <c r="J42" s="199"/>
      <c r="K42" s="199"/>
      <c r="L42" s="199"/>
      <c r="M42" s="200"/>
      <c r="N42" s="199"/>
      <c r="O42" s="200"/>
      <c r="P42" s="199"/>
      <c r="Q42" s="200"/>
    </row>
    <row r="43" spans="2:17" ht="15.5" x14ac:dyDescent="0.3">
      <c r="B43" s="166" t="s">
        <v>184</v>
      </c>
      <c r="C43" s="198">
        <f>MAX(C$37*C$38*'Dane robocze'!$E9,C$37*'Dane robocze'!$F9)</f>
        <v>678.24</v>
      </c>
      <c r="D43" s="198">
        <f>MAX(D$37*D$38*'Dane robocze'!$E9,D$37*'Dane robocze'!$F9)</f>
        <v>226.07999999999998</v>
      </c>
      <c r="E43" s="198">
        <f>MAX(E$37*E$38*'Dane robocze'!$E9,E$37*'Dane robocze'!$F9)</f>
        <v>56.519999999999996</v>
      </c>
      <c r="F43" s="198">
        <f>MAX(F$37*F$38*'Dane robocze'!$E9,F$37*'Dane robocze'!$F9)</f>
        <v>678.24</v>
      </c>
      <c r="G43" s="198">
        <f>MAX(G$37*G$38*'Dane robocze'!$E9,G$37*'Dane robocze'!$F9)</f>
        <v>226.07999999999998</v>
      </c>
      <c r="H43" s="198">
        <f>MAX(H$37*H$38*'Dane robocze'!$E9,H$37*'Dane robocze'!$F9)</f>
        <v>69.287399999999991</v>
      </c>
      <c r="I43" s="199"/>
      <c r="J43" s="199"/>
      <c r="K43" s="199"/>
      <c r="L43" s="199"/>
      <c r="M43" s="200"/>
      <c r="N43" s="199"/>
      <c r="O43" s="200"/>
      <c r="P43" s="199"/>
      <c r="Q43" s="200"/>
    </row>
    <row r="45" spans="2:17" x14ac:dyDescent="0.3">
      <c r="D45" s="199"/>
    </row>
    <row r="46" spans="2:17" ht="15.5" x14ac:dyDescent="0.3">
      <c r="C46" s="187"/>
      <c r="D46" s="187"/>
      <c r="E46" s="187"/>
      <c r="F46" s="187"/>
      <c r="G46" s="187"/>
      <c r="P46" s="201"/>
    </row>
    <row r="47" spans="2:17" ht="15.5" x14ac:dyDescent="0.3">
      <c r="B47" s="201"/>
      <c r="C47" s="202"/>
      <c r="D47" s="202"/>
      <c r="E47" s="199"/>
      <c r="F47" s="199"/>
      <c r="G47" s="199"/>
      <c r="H47" s="203"/>
      <c r="I47" s="203"/>
      <c r="J47" s="203"/>
      <c r="K47" s="203"/>
      <c r="L47" s="203"/>
      <c r="M47" s="203"/>
      <c r="N47" s="203"/>
      <c r="O47" s="203"/>
      <c r="P47" s="204"/>
    </row>
    <row r="48" spans="2:17" ht="25" x14ac:dyDescent="0.5">
      <c r="B48" s="161" t="s">
        <v>211</v>
      </c>
    </row>
    <row r="49" spans="2:4" ht="43.5" customHeight="1" x14ac:dyDescent="0.3">
      <c r="B49" s="205" t="s">
        <v>212</v>
      </c>
      <c r="C49" s="206">
        <v>3.8E-3</v>
      </c>
      <c r="D49" s="207" t="s">
        <v>213</v>
      </c>
    </row>
    <row r="50" spans="2:4" ht="39.65" customHeight="1" x14ac:dyDescent="0.3">
      <c r="B50" s="205" t="s">
        <v>214</v>
      </c>
      <c r="C50" s="208">
        <v>3</v>
      </c>
      <c r="D50" s="15" t="s">
        <v>215</v>
      </c>
    </row>
    <row r="51" spans="2:4" ht="50.15" customHeight="1" x14ac:dyDescent="0.3">
      <c r="B51" s="209" t="s">
        <v>216</v>
      </c>
      <c r="C51" s="210">
        <f>C50/C49</f>
        <v>789.47368421052636</v>
      </c>
    </row>
    <row r="52" spans="2:4" ht="26.5" customHeight="1" x14ac:dyDescent="0.3"/>
    <row r="53" spans="2:4" ht="26.5" customHeight="1" x14ac:dyDescent="0.3"/>
    <row r="54" spans="2:4" ht="48.65" customHeight="1" x14ac:dyDescent="0.3">
      <c r="B54" s="211" t="s">
        <v>217</v>
      </c>
      <c r="C54" s="211" t="s">
        <v>199</v>
      </c>
      <c r="D54" s="211" t="s">
        <v>218</v>
      </c>
    </row>
    <row r="55" spans="2:4" ht="22" customHeight="1" x14ac:dyDescent="0.3">
      <c r="B55" s="212">
        <v>100</v>
      </c>
      <c r="C55" s="213">
        <f t="shared" ref="C55:C63" si="18">MAX($B55*$C$49,$C$50)</f>
        <v>3</v>
      </c>
      <c r="D55" s="214">
        <f t="shared" ref="D55:D63" si="19">C55/B55</f>
        <v>0.03</v>
      </c>
    </row>
    <row r="56" spans="2:4" ht="22" customHeight="1" x14ac:dyDescent="0.3">
      <c r="B56" s="212">
        <v>300</v>
      </c>
      <c r="C56" s="213">
        <f t="shared" si="18"/>
        <v>3</v>
      </c>
      <c r="D56" s="214">
        <f t="shared" si="19"/>
        <v>0.01</v>
      </c>
    </row>
    <row r="57" spans="2:4" ht="22" customHeight="1" x14ac:dyDescent="0.3">
      <c r="B57" s="212">
        <v>500</v>
      </c>
      <c r="C57" s="213">
        <f t="shared" si="18"/>
        <v>3</v>
      </c>
      <c r="D57" s="214">
        <f t="shared" si="19"/>
        <v>6.0000000000000001E-3</v>
      </c>
    </row>
    <row r="58" spans="2:4" ht="22" customHeight="1" x14ac:dyDescent="0.3">
      <c r="B58" s="212">
        <v>700</v>
      </c>
      <c r="C58" s="213">
        <f t="shared" si="18"/>
        <v>3</v>
      </c>
      <c r="D58" s="214">
        <f t="shared" si="19"/>
        <v>4.2857142857142859E-3</v>
      </c>
    </row>
    <row r="59" spans="2:4" ht="22" customHeight="1" x14ac:dyDescent="0.3">
      <c r="B59" s="212">
        <v>1000</v>
      </c>
      <c r="C59" s="213">
        <f t="shared" si="18"/>
        <v>3.8</v>
      </c>
      <c r="D59" s="214">
        <f t="shared" si="19"/>
        <v>3.8E-3</v>
      </c>
    </row>
    <row r="60" spans="2:4" ht="22" customHeight="1" x14ac:dyDescent="0.3">
      <c r="B60" s="212">
        <v>1500</v>
      </c>
      <c r="C60" s="213">
        <f t="shared" si="18"/>
        <v>5.7</v>
      </c>
      <c r="D60" s="214">
        <f t="shared" si="19"/>
        <v>3.8E-3</v>
      </c>
    </row>
    <row r="61" spans="2:4" ht="22" customHeight="1" x14ac:dyDescent="0.3">
      <c r="B61" s="212">
        <v>2000</v>
      </c>
      <c r="C61" s="213">
        <f t="shared" si="18"/>
        <v>7.6</v>
      </c>
      <c r="D61" s="214">
        <f t="shared" si="19"/>
        <v>3.8E-3</v>
      </c>
    </row>
    <row r="62" spans="2:4" ht="22" customHeight="1" x14ac:dyDescent="0.3">
      <c r="B62" s="212">
        <v>3000</v>
      </c>
      <c r="C62" s="213">
        <f t="shared" si="18"/>
        <v>11.4</v>
      </c>
      <c r="D62" s="214">
        <f t="shared" si="19"/>
        <v>3.8E-3</v>
      </c>
    </row>
    <row r="63" spans="2:4" ht="22" customHeight="1" x14ac:dyDescent="0.3">
      <c r="B63" s="212">
        <v>6000</v>
      </c>
      <c r="C63" s="213">
        <f t="shared" si="18"/>
        <v>22.8</v>
      </c>
      <c r="D63" s="214">
        <f t="shared" si="19"/>
        <v>3.8E-3</v>
      </c>
    </row>
  </sheetData>
  <mergeCells count="7">
    <mergeCell ref="I35:I36"/>
    <mergeCell ref="R4:W4"/>
    <mergeCell ref="X4:X5"/>
    <mergeCell ref="C3:N3"/>
    <mergeCell ref="B4:B5"/>
    <mergeCell ref="C22:N22"/>
    <mergeCell ref="B23:B24"/>
  </mergeCells>
  <conditionalFormatting sqref="C6:C1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E43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9:L43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9:N43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9:P43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C29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9:K43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9:I43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1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E1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1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18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1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1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E2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G2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I2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6:K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6:M2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9:F4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:G4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C53" xr:uid="{EFBBC23C-369E-4D1A-970D-1C2BCDFECD95}">
      <formula1>"początkiem,końcem"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H6:H7 H8:H15 H16:H18 J6:J18 L6:L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B9F5-CCA3-4EE5-8784-4D1FB096C21E}">
  <dimension ref="A2:AG49"/>
  <sheetViews>
    <sheetView topLeftCell="B20" zoomScaleNormal="100" workbookViewId="0">
      <selection activeCell="F45" sqref="F45"/>
    </sheetView>
  </sheetViews>
  <sheetFormatPr defaultColWidth="8.81640625" defaultRowHeight="14" x14ac:dyDescent="0.3"/>
  <cols>
    <col min="1" max="1" width="19.54296875" style="15" customWidth="1"/>
    <col min="2" max="2" width="8.81640625" style="15"/>
    <col min="3" max="3" width="11.1796875" style="15" customWidth="1"/>
    <col min="4" max="4" width="17.54296875" style="15" customWidth="1"/>
    <col min="5" max="6" width="11.1796875" style="15" customWidth="1"/>
    <col min="7" max="7" width="12.54296875" style="15" customWidth="1"/>
    <col min="8" max="9" width="11.1796875" style="15" customWidth="1"/>
    <col min="10" max="10" width="13" style="15" customWidth="1"/>
    <col min="11" max="11" width="11.1796875" style="15" customWidth="1"/>
    <col min="12" max="12" width="15.1796875" style="15" customWidth="1"/>
    <col min="13" max="13" width="14.54296875" style="15" customWidth="1"/>
    <col min="14" max="14" width="21.453125" style="15" customWidth="1"/>
    <col min="15" max="16384" width="8.81640625" style="15"/>
  </cols>
  <sheetData>
    <row r="2" spans="1:33" ht="14.5" thickBot="1" x14ac:dyDescent="0.35"/>
    <row r="3" spans="1:33" ht="54" customHeight="1" thickBot="1" x14ac:dyDescent="0.4">
      <c r="A3" s="140"/>
      <c r="B3" s="140"/>
      <c r="C3" s="140"/>
      <c r="D3" s="140"/>
      <c r="E3" s="343" t="s">
        <v>175</v>
      </c>
      <c r="F3" s="344"/>
      <c r="G3" s="345"/>
      <c r="H3" s="346" t="s">
        <v>176</v>
      </c>
      <c r="I3" s="347"/>
      <c r="J3" s="348"/>
      <c r="K3" s="352" t="s">
        <v>177</v>
      </c>
      <c r="L3" s="353"/>
      <c r="M3" s="341" t="s">
        <v>178</v>
      </c>
      <c r="N3" s="342"/>
    </row>
    <row r="4" spans="1:33" s="117" customFormat="1" ht="46" customHeight="1" x14ac:dyDescent="0.35">
      <c r="A4" s="141" t="s">
        <v>147</v>
      </c>
      <c r="B4" s="115" t="s">
        <v>53</v>
      </c>
      <c r="C4" s="115" t="s">
        <v>341</v>
      </c>
      <c r="D4" s="116" t="s">
        <v>179</v>
      </c>
      <c r="E4" s="142" t="s">
        <v>340</v>
      </c>
      <c r="F4" s="143" t="s">
        <v>342</v>
      </c>
      <c r="G4" s="144" t="s">
        <v>339</v>
      </c>
      <c r="H4" s="112" t="s">
        <v>340</v>
      </c>
      <c r="I4" s="103" t="s">
        <v>342</v>
      </c>
      <c r="J4" s="113" t="s">
        <v>339</v>
      </c>
      <c r="K4" s="114" t="s">
        <v>340</v>
      </c>
      <c r="L4" s="102" t="s">
        <v>342</v>
      </c>
      <c r="M4" s="145" t="s">
        <v>342</v>
      </c>
      <c r="N4" s="146" t="s">
        <v>340</v>
      </c>
    </row>
    <row r="5" spans="1:33" ht="36" customHeight="1" x14ac:dyDescent="0.3">
      <c r="A5" s="118" t="s">
        <v>180</v>
      </c>
      <c r="B5" s="119" t="s">
        <v>54</v>
      </c>
      <c r="C5" s="119" t="s">
        <v>54</v>
      </c>
      <c r="D5" s="120" t="s">
        <v>54</v>
      </c>
      <c r="E5" s="121">
        <v>2.8999999999999998E-3</v>
      </c>
      <c r="F5" s="122">
        <v>19</v>
      </c>
      <c r="G5" s="123">
        <f>F5/$C$18</f>
        <v>4.0339702760084926</v>
      </c>
      <c r="H5" s="121">
        <v>2.8999999999999998E-3</v>
      </c>
      <c r="I5" s="122">
        <v>19</v>
      </c>
      <c r="J5" s="123">
        <f>I5/$C$18</f>
        <v>4.0339702760084926</v>
      </c>
      <c r="K5" s="121">
        <v>3.8999999999999998E-3</v>
      </c>
      <c r="L5" s="122">
        <v>5</v>
      </c>
      <c r="M5" s="125">
        <v>5</v>
      </c>
      <c r="N5" s="124">
        <v>1.9E-3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36" customHeight="1" x14ac:dyDescent="0.3">
      <c r="A6" s="118" t="s">
        <v>223</v>
      </c>
      <c r="B6" s="119" t="s">
        <v>54</v>
      </c>
      <c r="C6" s="119" t="s">
        <v>54</v>
      </c>
      <c r="D6" s="120" t="s">
        <v>54</v>
      </c>
      <c r="E6" s="121">
        <v>2.8999999999999998E-3</v>
      </c>
      <c r="F6" s="122">
        <v>19</v>
      </c>
      <c r="G6" s="123">
        <v>5</v>
      </c>
      <c r="H6" s="121">
        <v>2.8999999999999998E-3</v>
      </c>
      <c r="I6" s="122">
        <v>19</v>
      </c>
      <c r="J6" s="123">
        <v>5</v>
      </c>
      <c r="K6" s="121">
        <v>3.8999999999999998E-3</v>
      </c>
      <c r="L6" s="122">
        <v>5</v>
      </c>
      <c r="M6" s="125">
        <v>5</v>
      </c>
      <c r="N6" s="124">
        <v>1.9E-3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6" customHeight="1" x14ac:dyDescent="0.3">
      <c r="A7" s="118" t="s">
        <v>182</v>
      </c>
      <c r="B7" s="119" t="s">
        <v>54</v>
      </c>
      <c r="C7" s="119" t="s">
        <v>54</v>
      </c>
      <c r="D7" s="120" t="s">
        <v>54</v>
      </c>
      <c r="E7" s="121">
        <v>2.8999999999999998E-3</v>
      </c>
      <c r="F7" s="122">
        <v>19</v>
      </c>
      <c r="G7" s="123">
        <v>5</v>
      </c>
      <c r="H7" s="121">
        <v>2.8999999999999998E-3</v>
      </c>
      <c r="I7" s="122">
        <v>19</v>
      </c>
      <c r="J7" s="123">
        <v>5</v>
      </c>
      <c r="K7" s="121">
        <v>3.8E-3</v>
      </c>
      <c r="L7" s="122">
        <v>5</v>
      </c>
      <c r="M7" s="125">
        <v>5</v>
      </c>
      <c r="N7" s="124">
        <v>1.9E-3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36" customHeight="1" x14ac:dyDescent="0.3">
      <c r="A8" s="118" t="s">
        <v>183</v>
      </c>
      <c r="B8" s="119" t="s">
        <v>54</v>
      </c>
      <c r="C8" s="119" t="s">
        <v>54</v>
      </c>
      <c r="D8" s="120" t="s">
        <v>54</v>
      </c>
      <c r="E8" s="121">
        <v>2.8999999999999998E-3</v>
      </c>
      <c r="F8" s="122">
        <v>29</v>
      </c>
      <c r="G8" s="123">
        <v>7</v>
      </c>
      <c r="H8" s="121">
        <v>2.8999999999999998E-3</v>
      </c>
      <c r="I8" s="122">
        <v>29</v>
      </c>
      <c r="J8" s="123">
        <v>7</v>
      </c>
      <c r="K8" s="121">
        <v>3.8E-3</v>
      </c>
      <c r="L8" s="122">
        <v>5</v>
      </c>
      <c r="M8" s="125">
        <v>5</v>
      </c>
      <c r="N8" s="124">
        <v>1.9E-3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36" customHeight="1" x14ac:dyDescent="0.3">
      <c r="A9" s="118" t="s">
        <v>184</v>
      </c>
      <c r="B9" s="119" t="s">
        <v>54</v>
      </c>
      <c r="C9" s="119" t="s">
        <v>33</v>
      </c>
      <c r="D9" s="120" t="s">
        <v>54</v>
      </c>
      <c r="E9" s="121">
        <v>3.8999999999999998E-3</v>
      </c>
      <c r="F9" s="122">
        <f>G9*C18</f>
        <v>56.519999999999996</v>
      </c>
      <c r="G9" s="123">
        <v>12</v>
      </c>
      <c r="H9" s="121">
        <v>3.8999999999999998E-3</v>
      </c>
      <c r="I9" s="122">
        <f>F9</f>
        <v>56.519999999999996</v>
      </c>
      <c r="J9" s="123">
        <v>12</v>
      </c>
      <c r="K9" s="121">
        <v>3.8999999999999998E-3</v>
      </c>
      <c r="L9" s="122">
        <v>5</v>
      </c>
      <c r="M9" s="125">
        <v>5</v>
      </c>
      <c r="N9" s="124">
        <v>1.9E-3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36" customHeight="1" x14ac:dyDescent="0.45">
      <c r="A10" s="118" t="s">
        <v>75</v>
      </c>
      <c r="B10" s="119" t="s">
        <v>54</v>
      </c>
      <c r="C10" s="119" t="s">
        <v>33</v>
      </c>
      <c r="D10" s="120" t="s">
        <v>33</v>
      </c>
      <c r="E10" s="121" t="s">
        <v>40</v>
      </c>
      <c r="F10" s="126" t="s">
        <v>40</v>
      </c>
      <c r="G10" s="124" t="s">
        <v>40</v>
      </c>
      <c r="H10" s="121" t="s">
        <v>40</v>
      </c>
      <c r="I10" s="126" t="s">
        <v>40</v>
      </c>
      <c r="J10" s="124" t="s">
        <v>40</v>
      </c>
      <c r="K10" s="121">
        <v>3.8999999999999998E-3</v>
      </c>
      <c r="L10" s="122">
        <v>5</v>
      </c>
      <c r="M10" s="125">
        <v>5</v>
      </c>
      <c r="N10" s="124">
        <v>2E-3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48" customHeight="1" x14ac:dyDescent="0.45">
      <c r="A11" s="118" t="s">
        <v>219</v>
      </c>
      <c r="B11" s="119" t="s">
        <v>33</v>
      </c>
      <c r="C11" s="119" t="s">
        <v>54</v>
      </c>
      <c r="D11" s="120" t="s">
        <v>33</v>
      </c>
      <c r="E11" s="121" t="s">
        <v>40</v>
      </c>
      <c r="F11" s="126" t="s">
        <v>40</v>
      </c>
      <c r="G11" s="124" t="s">
        <v>40</v>
      </c>
      <c r="H11" s="121" t="s">
        <v>40</v>
      </c>
      <c r="I11" s="126" t="s">
        <v>40</v>
      </c>
      <c r="J11" s="124" t="s">
        <v>40</v>
      </c>
      <c r="K11" s="121">
        <v>3.8E-3</v>
      </c>
      <c r="L11" s="122">
        <v>4.9000000000000004</v>
      </c>
      <c r="M11" s="125">
        <v>4.9000000000000004</v>
      </c>
      <c r="N11" s="124">
        <v>2E-3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36" customHeight="1" x14ac:dyDescent="0.45">
      <c r="A12" s="118" t="s">
        <v>185</v>
      </c>
      <c r="B12" s="119" t="s">
        <v>54</v>
      </c>
      <c r="C12" s="119" t="s">
        <v>54</v>
      </c>
      <c r="D12" s="120" t="s">
        <v>33</v>
      </c>
      <c r="E12" s="121" t="s">
        <v>40</v>
      </c>
      <c r="F12" s="122" t="s">
        <v>40</v>
      </c>
      <c r="G12" s="123" t="s">
        <v>40</v>
      </c>
      <c r="H12" s="127" t="s">
        <v>40</v>
      </c>
      <c r="I12" s="128" t="s">
        <v>40</v>
      </c>
      <c r="J12" s="123" t="s">
        <v>40</v>
      </c>
      <c r="K12" s="121">
        <v>1.9E-3</v>
      </c>
      <c r="L12" s="122">
        <v>5</v>
      </c>
      <c r="M12" s="125">
        <v>5</v>
      </c>
      <c r="N12" s="124">
        <v>1.5E-3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36" customHeight="1" x14ac:dyDescent="0.45">
      <c r="A13" s="118" t="s">
        <v>186</v>
      </c>
      <c r="B13" s="119" t="s">
        <v>54</v>
      </c>
      <c r="C13" s="119" t="s">
        <v>54</v>
      </c>
      <c r="D13" s="120" t="s">
        <v>33</v>
      </c>
      <c r="E13" s="121" t="s">
        <v>40</v>
      </c>
      <c r="F13" s="122" t="s">
        <v>40</v>
      </c>
      <c r="G13" s="123" t="s">
        <v>40</v>
      </c>
      <c r="H13" s="127" t="s">
        <v>40</v>
      </c>
      <c r="I13" s="128" t="s">
        <v>40</v>
      </c>
      <c r="J13" s="123" t="s">
        <v>40</v>
      </c>
      <c r="K13" s="121">
        <v>3.8E-3</v>
      </c>
      <c r="L13" s="122">
        <v>10</v>
      </c>
      <c r="M13" s="125">
        <v>5</v>
      </c>
      <c r="N13" s="124">
        <v>2E-3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36" customHeight="1" x14ac:dyDescent="0.45">
      <c r="A14" s="118" t="s">
        <v>187</v>
      </c>
      <c r="B14" s="119" t="s">
        <v>54</v>
      </c>
      <c r="C14" s="119" t="s">
        <v>54</v>
      </c>
      <c r="D14" s="120" t="s">
        <v>33</v>
      </c>
      <c r="E14" s="121" t="s">
        <v>40</v>
      </c>
      <c r="F14" s="126" t="s">
        <v>40</v>
      </c>
      <c r="G14" s="124" t="s">
        <v>40</v>
      </c>
      <c r="H14" s="121" t="s">
        <v>40</v>
      </c>
      <c r="I14" s="126" t="s">
        <v>40</v>
      </c>
      <c r="J14" s="124" t="s">
        <v>40</v>
      </c>
      <c r="K14" s="121">
        <v>2.8E-3</v>
      </c>
      <c r="L14" s="122">
        <v>5.95</v>
      </c>
      <c r="M14" s="125">
        <v>5.95</v>
      </c>
      <c r="N14" s="124">
        <v>1.8E-3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57.65" customHeight="1" x14ac:dyDescent="0.45">
      <c r="A15" s="118" t="s">
        <v>227</v>
      </c>
      <c r="B15" s="119" t="s">
        <v>54</v>
      </c>
      <c r="C15" s="119" t="s">
        <v>54</v>
      </c>
      <c r="D15" s="120" t="s">
        <v>33</v>
      </c>
      <c r="E15" s="121" t="s">
        <v>40</v>
      </c>
      <c r="F15" s="122" t="s">
        <v>40</v>
      </c>
      <c r="G15" s="123" t="s">
        <v>40</v>
      </c>
      <c r="H15" s="127" t="s">
        <v>40</v>
      </c>
      <c r="I15" s="128" t="s">
        <v>40</v>
      </c>
      <c r="J15" s="123" t="s">
        <v>40</v>
      </c>
      <c r="K15" s="121">
        <v>1.6000000000000001E-3</v>
      </c>
      <c r="L15" s="122">
        <v>3</v>
      </c>
      <c r="M15" s="125">
        <v>3</v>
      </c>
      <c r="N15" s="124">
        <v>1.2999999999999999E-3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54" x14ac:dyDescent="0.45">
      <c r="A16" s="118" t="s">
        <v>229</v>
      </c>
      <c r="B16" s="119" t="s">
        <v>54</v>
      </c>
      <c r="C16" s="119" t="s">
        <v>54</v>
      </c>
      <c r="D16" s="120" t="s">
        <v>33</v>
      </c>
      <c r="E16" s="121" t="s">
        <v>40</v>
      </c>
      <c r="F16" s="122" t="s">
        <v>40</v>
      </c>
      <c r="G16" s="123" t="s">
        <v>40</v>
      </c>
      <c r="H16" s="127" t="s">
        <v>40</v>
      </c>
      <c r="I16" s="128" t="s">
        <v>40</v>
      </c>
      <c r="J16" s="123" t="s">
        <v>40</v>
      </c>
      <c r="K16" s="121">
        <v>2.3999999999999998E-3</v>
      </c>
      <c r="L16" s="122">
        <v>3</v>
      </c>
      <c r="M16" s="125">
        <v>3</v>
      </c>
      <c r="N16" s="124">
        <v>1.5E-3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54.5" thickBot="1" x14ac:dyDescent="0.5">
      <c r="A17" s="129" t="s">
        <v>222</v>
      </c>
      <c r="B17" s="130" t="s">
        <v>54</v>
      </c>
      <c r="C17" s="130" t="s">
        <v>54</v>
      </c>
      <c r="D17" s="131" t="s">
        <v>33</v>
      </c>
      <c r="E17" s="132" t="s">
        <v>40</v>
      </c>
      <c r="F17" s="133" t="s">
        <v>40</v>
      </c>
      <c r="G17" s="134" t="s">
        <v>40</v>
      </c>
      <c r="H17" s="135" t="s">
        <v>40</v>
      </c>
      <c r="I17" s="136" t="s">
        <v>40</v>
      </c>
      <c r="J17" s="134" t="s">
        <v>40</v>
      </c>
      <c r="K17" s="132">
        <v>3.8E-3</v>
      </c>
      <c r="L17" s="133">
        <v>3</v>
      </c>
      <c r="M17" s="137">
        <v>3</v>
      </c>
      <c r="N17" s="278">
        <v>1.9E-3</v>
      </c>
      <c r="O17" s="138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6.5" x14ac:dyDescent="0.45">
      <c r="C18" s="139">
        <v>4.71</v>
      </c>
      <c r="D18" s="15" t="s">
        <v>220</v>
      </c>
      <c r="O18" s="138"/>
    </row>
    <row r="19" spans="1:33" ht="16.5" x14ac:dyDescent="0.45">
      <c r="O19" s="138"/>
    </row>
    <row r="20" spans="1:33" ht="16.5" x14ac:dyDescent="0.45">
      <c r="O20" s="138"/>
    </row>
    <row r="21" spans="1:33" ht="16.5" x14ac:dyDescent="0.45">
      <c r="O21" s="138"/>
    </row>
    <row r="22" spans="1:33" ht="17" thickBot="1" x14ac:dyDescent="0.5">
      <c r="O22" s="138"/>
    </row>
    <row r="23" spans="1:33" ht="38.5" customHeight="1" x14ac:dyDescent="0.45">
      <c r="B23" s="339" t="s">
        <v>188</v>
      </c>
      <c r="C23" s="340"/>
      <c r="D23" s="349" t="s">
        <v>189</v>
      </c>
      <c r="E23" s="350"/>
      <c r="F23" s="351"/>
    </row>
    <row r="24" spans="1:33" ht="99" x14ac:dyDescent="0.45">
      <c r="A24" s="150" t="s">
        <v>190</v>
      </c>
      <c r="B24" s="152" t="s">
        <v>191</v>
      </c>
      <c r="C24" s="153" t="s">
        <v>192</v>
      </c>
      <c r="D24" s="152" t="s">
        <v>193</v>
      </c>
      <c r="E24" s="147" t="s">
        <v>194</v>
      </c>
      <c r="F24" s="153" t="s">
        <v>192</v>
      </c>
    </row>
    <row r="25" spans="1:33" ht="16.5" x14ac:dyDescent="0.45">
      <c r="A25" s="151">
        <v>1</v>
      </c>
      <c r="B25" s="154">
        <v>0</v>
      </c>
      <c r="C25" s="155">
        <v>0</v>
      </c>
      <c r="D25" s="158">
        <v>60</v>
      </c>
      <c r="E25" s="149">
        <v>1E-3</v>
      </c>
      <c r="F25" s="155">
        <v>200</v>
      </c>
    </row>
    <row r="26" spans="1:33" ht="16.5" x14ac:dyDescent="0.45">
      <c r="A26" s="151">
        <v>2</v>
      </c>
      <c r="B26" s="154">
        <v>1.6000000000000001E-3</v>
      </c>
      <c r="C26" s="155">
        <v>200</v>
      </c>
      <c r="D26" s="158">
        <v>60</v>
      </c>
      <c r="E26" s="149">
        <v>1E-3</v>
      </c>
      <c r="F26" s="155">
        <v>200</v>
      </c>
    </row>
    <row r="27" spans="1:33" ht="16.5" x14ac:dyDescent="0.45">
      <c r="A27" s="151">
        <v>3</v>
      </c>
      <c r="B27" s="154">
        <v>1.5E-3</v>
      </c>
      <c r="C27" s="155">
        <v>200</v>
      </c>
      <c r="D27" s="158">
        <v>60</v>
      </c>
      <c r="E27" s="149">
        <v>1E-3</v>
      </c>
      <c r="F27" s="155">
        <v>200</v>
      </c>
    </row>
    <row r="28" spans="1:33" ht="16.5" x14ac:dyDescent="0.45">
      <c r="A28" s="151">
        <v>4</v>
      </c>
      <c r="B28" s="154">
        <v>1.4E-3</v>
      </c>
      <c r="C28" s="155">
        <v>200</v>
      </c>
      <c r="D28" s="158">
        <v>60</v>
      </c>
      <c r="E28" s="149">
        <v>1E-3</v>
      </c>
      <c r="F28" s="155">
        <v>200</v>
      </c>
    </row>
    <row r="29" spans="1:33" ht="16.5" x14ac:dyDescent="0.45">
      <c r="A29" s="151">
        <v>5</v>
      </c>
      <c r="B29" s="154">
        <v>1.2999999999999999E-3</v>
      </c>
      <c r="C29" s="155">
        <v>200</v>
      </c>
      <c r="D29" s="158">
        <v>60</v>
      </c>
      <c r="E29" s="149">
        <v>1E-3</v>
      </c>
      <c r="F29" s="155">
        <v>200</v>
      </c>
    </row>
    <row r="30" spans="1:33" ht="16.5" x14ac:dyDescent="0.45">
      <c r="A30" s="151">
        <v>6</v>
      </c>
      <c r="B30" s="154">
        <v>1.1999999999999999E-3</v>
      </c>
      <c r="C30" s="155">
        <v>200</v>
      </c>
      <c r="D30" s="158">
        <v>60</v>
      </c>
      <c r="E30" s="149">
        <v>1E-3</v>
      </c>
      <c r="F30" s="155">
        <v>200</v>
      </c>
    </row>
    <row r="31" spans="1:33" ht="16.5" x14ac:dyDescent="0.45">
      <c r="A31" s="151">
        <v>7</v>
      </c>
      <c r="B31" s="154">
        <v>1.1000000000000001E-3</v>
      </c>
      <c r="C31" s="155">
        <v>200</v>
      </c>
      <c r="D31" s="158">
        <v>60</v>
      </c>
      <c r="E31" s="149">
        <v>1E-3</v>
      </c>
      <c r="F31" s="155">
        <v>200</v>
      </c>
    </row>
    <row r="32" spans="1:33" ht="16.5" x14ac:dyDescent="0.45">
      <c r="A32" s="151">
        <v>8</v>
      </c>
      <c r="B32" s="154">
        <v>1E-3</v>
      </c>
      <c r="C32" s="155">
        <v>200</v>
      </c>
      <c r="D32" s="158">
        <v>60</v>
      </c>
      <c r="E32" s="149">
        <v>1E-3</v>
      </c>
      <c r="F32" s="155">
        <v>200</v>
      </c>
    </row>
    <row r="33" spans="1:6" ht="16.5" x14ac:dyDescent="0.45">
      <c r="A33" s="151">
        <v>9</v>
      </c>
      <c r="B33" s="154">
        <v>1E-3</v>
      </c>
      <c r="C33" s="155">
        <v>200</v>
      </c>
      <c r="D33" s="158">
        <v>60</v>
      </c>
      <c r="E33" s="149">
        <v>1E-3</v>
      </c>
      <c r="F33" s="155">
        <v>200</v>
      </c>
    </row>
    <row r="34" spans="1:6" ht="16.5" x14ac:dyDescent="0.45">
      <c r="A34" s="151">
        <v>10</v>
      </c>
      <c r="B34" s="154">
        <v>1E-3</v>
      </c>
      <c r="C34" s="155">
        <v>200</v>
      </c>
      <c r="D34" s="158">
        <v>60</v>
      </c>
      <c r="E34" s="149">
        <v>1E-3</v>
      </c>
      <c r="F34" s="155">
        <v>200</v>
      </c>
    </row>
    <row r="35" spans="1:6" ht="16.5" x14ac:dyDescent="0.45">
      <c r="A35" s="151">
        <v>11</v>
      </c>
      <c r="B35" s="154">
        <v>1E-3</v>
      </c>
      <c r="C35" s="155">
        <v>200</v>
      </c>
      <c r="D35" s="158">
        <v>60</v>
      </c>
      <c r="E35" s="149">
        <v>1E-3</v>
      </c>
      <c r="F35" s="155">
        <v>200</v>
      </c>
    </row>
    <row r="36" spans="1:6" ht="16.5" x14ac:dyDescent="0.45">
      <c r="A36" s="151">
        <v>12</v>
      </c>
      <c r="B36" s="154">
        <v>1E-3</v>
      </c>
      <c r="C36" s="155">
        <v>200</v>
      </c>
      <c r="D36" s="158">
        <v>60</v>
      </c>
      <c r="E36" s="149">
        <v>1E-3</v>
      </c>
      <c r="F36" s="155">
        <v>200</v>
      </c>
    </row>
    <row r="37" spans="1:6" ht="16.5" x14ac:dyDescent="0.45">
      <c r="A37" s="151">
        <v>13</v>
      </c>
      <c r="B37" s="154">
        <v>1E-3</v>
      </c>
      <c r="C37" s="155">
        <v>200</v>
      </c>
      <c r="D37" s="158">
        <v>60</v>
      </c>
      <c r="E37" s="149">
        <v>1E-3</v>
      </c>
      <c r="F37" s="155">
        <v>200</v>
      </c>
    </row>
    <row r="38" spans="1:6" ht="16.5" x14ac:dyDescent="0.45">
      <c r="A38" s="151">
        <v>14</v>
      </c>
      <c r="B38" s="154">
        <v>1E-3</v>
      </c>
      <c r="C38" s="155">
        <v>200</v>
      </c>
      <c r="D38" s="158">
        <v>60</v>
      </c>
      <c r="E38" s="149">
        <v>1E-3</v>
      </c>
      <c r="F38" s="155">
        <v>200</v>
      </c>
    </row>
    <row r="39" spans="1:6" ht="16.5" x14ac:dyDescent="0.45">
      <c r="A39" s="151">
        <v>15</v>
      </c>
      <c r="B39" s="154">
        <v>1E-3</v>
      </c>
      <c r="C39" s="155">
        <v>200</v>
      </c>
      <c r="D39" s="158">
        <v>60</v>
      </c>
      <c r="E39" s="149">
        <v>1E-3</v>
      </c>
      <c r="F39" s="155">
        <v>200</v>
      </c>
    </row>
    <row r="40" spans="1:6" ht="16.5" x14ac:dyDescent="0.45">
      <c r="A40" s="151">
        <v>16</v>
      </c>
      <c r="B40" s="154">
        <v>1E-3</v>
      </c>
      <c r="C40" s="155">
        <v>200</v>
      </c>
      <c r="D40" s="158">
        <v>60</v>
      </c>
      <c r="E40" s="149">
        <v>1E-3</v>
      </c>
      <c r="F40" s="155">
        <v>200</v>
      </c>
    </row>
    <row r="41" spans="1:6" ht="16.5" x14ac:dyDescent="0.45">
      <c r="A41" s="151">
        <v>17</v>
      </c>
      <c r="B41" s="154">
        <v>1E-3</v>
      </c>
      <c r="C41" s="155">
        <v>200</v>
      </c>
      <c r="D41" s="158">
        <v>60</v>
      </c>
      <c r="E41" s="149">
        <v>1E-3</v>
      </c>
      <c r="F41" s="155">
        <v>200</v>
      </c>
    </row>
    <row r="42" spans="1:6" ht="16.5" x14ac:dyDescent="0.45">
      <c r="A42" s="151">
        <v>18</v>
      </c>
      <c r="B42" s="154">
        <v>1E-3</v>
      </c>
      <c r="C42" s="155">
        <v>200</v>
      </c>
      <c r="D42" s="158">
        <v>60</v>
      </c>
      <c r="E42" s="149">
        <v>1E-3</v>
      </c>
      <c r="F42" s="155">
        <v>200</v>
      </c>
    </row>
    <row r="43" spans="1:6" ht="16.5" x14ac:dyDescent="0.45">
      <c r="A43" s="151">
        <v>19</v>
      </c>
      <c r="B43" s="154">
        <v>1E-3</v>
      </c>
      <c r="C43" s="155">
        <v>200</v>
      </c>
      <c r="D43" s="158">
        <v>60</v>
      </c>
      <c r="E43" s="149">
        <v>1E-3</v>
      </c>
      <c r="F43" s="155">
        <v>200</v>
      </c>
    </row>
    <row r="44" spans="1:6" ht="16.5" x14ac:dyDescent="0.45">
      <c r="A44" s="151">
        <v>20</v>
      </c>
      <c r="B44" s="154">
        <v>1E-3</v>
      </c>
      <c r="C44" s="155">
        <v>200</v>
      </c>
      <c r="D44" s="158">
        <v>60</v>
      </c>
      <c r="E44" s="149">
        <v>1E-3</v>
      </c>
      <c r="F44" s="155">
        <v>200</v>
      </c>
    </row>
    <row r="45" spans="1:6" ht="16.5" x14ac:dyDescent="0.45">
      <c r="A45" s="151">
        <v>21</v>
      </c>
      <c r="B45" s="154">
        <v>1E-3</v>
      </c>
      <c r="C45" s="155">
        <v>200</v>
      </c>
      <c r="D45" s="158">
        <v>60</v>
      </c>
      <c r="E45" s="149">
        <v>1E-3</v>
      </c>
      <c r="F45" s="155">
        <v>200</v>
      </c>
    </row>
    <row r="46" spans="1:6" ht="16.5" x14ac:dyDescent="0.45">
      <c r="A46" s="151">
        <v>22</v>
      </c>
      <c r="B46" s="154">
        <v>1E-3</v>
      </c>
      <c r="C46" s="155">
        <v>200</v>
      </c>
      <c r="D46" s="158">
        <v>60</v>
      </c>
      <c r="E46" s="149">
        <v>1E-3</v>
      </c>
      <c r="F46" s="155">
        <v>200</v>
      </c>
    </row>
    <row r="47" spans="1:6" ht="16.5" x14ac:dyDescent="0.45">
      <c r="A47" s="151">
        <v>23</v>
      </c>
      <c r="B47" s="154">
        <v>1E-3</v>
      </c>
      <c r="C47" s="155">
        <v>200</v>
      </c>
      <c r="D47" s="158">
        <v>60</v>
      </c>
      <c r="E47" s="149">
        <v>1E-3</v>
      </c>
      <c r="F47" s="155">
        <v>200</v>
      </c>
    </row>
    <row r="48" spans="1:6" ht="16.5" x14ac:dyDescent="0.45">
      <c r="A48" s="151">
        <v>24</v>
      </c>
      <c r="B48" s="154">
        <v>1E-3</v>
      </c>
      <c r="C48" s="155">
        <v>200</v>
      </c>
      <c r="D48" s="158">
        <v>60</v>
      </c>
      <c r="E48" s="149">
        <v>1E-3</v>
      </c>
      <c r="F48" s="155">
        <v>200</v>
      </c>
    </row>
    <row r="49" spans="1:6" ht="17" thickBot="1" x14ac:dyDescent="0.5">
      <c r="A49" s="151">
        <v>25</v>
      </c>
      <c r="B49" s="156">
        <v>1E-3</v>
      </c>
      <c r="C49" s="157">
        <v>200</v>
      </c>
      <c r="D49" s="159">
        <v>60</v>
      </c>
      <c r="E49" s="160">
        <v>1E-3</v>
      </c>
      <c r="F49" s="157">
        <v>200</v>
      </c>
    </row>
  </sheetData>
  <mergeCells count="6">
    <mergeCell ref="B23:C23"/>
    <mergeCell ref="M3:N3"/>
    <mergeCell ref="E3:G3"/>
    <mergeCell ref="H3:J3"/>
    <mergeCell ref="D23:F2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3CFEB-A7E7-4FB4-B800-D697D3B6655F}">
  <dimension ref="B2:B3"/>
  <sheetViews>
    <sheetView workbookViewId="0">
      <selection activeCell="D4" sqref="D4"/>
    </sheetView>
  </sheetViews>
  <sheetFormatPr defaultRowHeight="14.5" x14ac:dyDescent="0.35"/>
  <sheetData>
    <row r="2" spans="2:2" x14ac:dyDescent="0.35">
      <c r="B2" t="s">
        <v>54</v>
      </c>
    </row>
    <row r="3" spans="2:2" x14ac:dyDescent="0.35">
      <c r="B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Ranking 2022</vt:lpstr>
      <vt:lpstr>KALKULATOR mBank czy BOSSA</vt:lpstr>
      <vt:lpstr>IKE Obligacje vs SUPER IKE</vt:lpstr>
      <vt:lpstr>PROWIZJE</vt:lpstr>
      <vt:lpstr>Dane robocze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Iwuc</dc:creator>
  <cp:lastModifiedBy>Katarzyna Iwuc</cp:lastModifiedBy>
  <dcterms:created xsi:type="dcterms:W3CDTF">2015-06-05T18:19:34Z</dcterms:created>
  <dcterms:modified xsi:type="dcterms:W3CDTF">2022-11-30T10:24:55Z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eaa520-8769-46b1-ba3f-0459c8682104_Enabled">
    <vt:lpwstr>true</vt:lpwstr>
  </property>
  <property fmtid="{D5CDD505-2E9C-101B-9397-08002B2CF9AE}" pid="3" name="MSIP_Label_5feaa520-8769-46b1-ba3f-0459c8682104_SetDate">
    <vt:lpwstr>2022-11-15T10:43:27Z</vt:lpwstr>
  </property>
  <property fmtid="{D5CDD505-2E9C-101B-9397-08002B2CF9AE}" pid="4" name="MSIP_Label_5feaa520-8769-46b1-ba3f-0459c8682104_Method">
    <vt:lpwstr>Standard</vt:lpwstr>
  </property>
  <property fmtid="{D5CDD505-2E9C-101B-9397-08002B2CF9AE}" pid="5" name="MSIP_Label_5feaa520-8769-46b1-ba3f-0459c8682104_Name">
    <vt:lpwstr>Wewnętrzne</vt:lpwstr>
  </property>
  <property fmtid="{D5CDD505-2E9C-101B-9397-08002B2CF9AE}" pid="6" name="MSIP_Label_5feaa520-8769-46b1-ba3f-0459c8682104_SiteId">
    <vt:lpwstr>5b7e7e76-9aca-4bca-b480-c8468c5ba86f</vt:lpwstr>
  </property>
  <property fmtid="{D5CDD505-2E9C-101B-9397-08002B2CF9AE}" pid="7" name="MSIP_Label_5feaa520-8769-46b1-ba3f-0459c8682104_ActionId">
    <vt:lpwstr>33fa24cf-907d-4143-a7ed-06e147020eff</vt:lpwstr>
  </property>
  <property fmtid="{D5CDD505-2E9C-101B-9397-08002B2CF9AE}" pid="8" name="MSIP_Label_5feaa520-8769-46b1-ba3f-0459c8682104_ContentBits">
    <vt:lpwstr>0</vt:lpwstr>
  </property>
</Properties>
</file>