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1f5fe913bd258826/Pulpit/FBO/IKE czy IKZE/Ranking IKE IKZE 2022/"/>
    </mc:Choice>
  </mc:AlternateContent>
  <xr:revisionPtr revIDLastSave="24" documentId="13_ncr:1_{0BAE8DF9-8F41-B748-8E69-29B5E90A2E24}" xr6:coauthVersionLast="47" xr6:coauthVersionMax="47" xr10:uidLastSave="{E3FBBC20-5556-4699-A251-87E9500589D4}"/>
  <bookViews>
    <workbookView xWindow="-110" yWindow="-110" windowWidth="19420" windowHeight="10420" xr2:uid="{00000000-000D-0000-FFFF-FFFF00000000}"/>
  </bookViews>
  <sheets>
    <sheet name="KALKULATOR" sheetId="5" r:id="rId1"/>
    <sheet name="Tabele opłat_IKE i IKZE w DM" sheetId="1" r:id="rId2"/>
    <sheet name="PROWIZJE" sheetId="3" state="hidden" r:id="rId3"/>
    <sheet name="Dane robocze" sheetId="4" state="hidden" r:id="rId4"/>
    <sheet name="listy" sheetId="6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6" i="5" l="1"/>
  <c r="Q14" i="5"/>
  <c r="O16" i="5"/>
  <c r="O14" i="5"/>
  <c r="D17" i="5"/>
  <c r="D16" i="5"/>
  <c r="D15" i="5"/>
  <c r="D14" i="5"/>
  <c r="D13" i="5"/>
  <c r="D12" i="5"/>
  <c r="L14" i="5" l="1"/>
  <c r="J38" i="5"/>
  <c r="L13" i="5"/>
  <c r="J26" i="5"/>
  <c r="J14" i="5"/>
  <c r="I27" i="5"/>
  <c r="I28" i="5"/>
  <c r="I29" i="5"/>
  <c r="I26" i="5"/>
  <c r="G24" i="5"/>
  <c r="G25" i="5"/>
  <c r="O15" i="5"/>
  <c r="B5" i="5"/>
  <c r="Q13" i="5"/>
  <c r="O13" i="5"/>
  <c r="Q15" i="5"/>
  <c r="C15" i="5" l="1"/>
  <c r="B13" i="5"/>
  <c r="B12" i="5"/>
  <c r="B14" i="5"/>
  <c r="B15" i="5"/>
  <c r="B16" i="5"/>
  <c r="B17" i="5"/>
  <c r="E13" i="5"/>
  <c r="E14" i="5"/>
  <c r="E15" i="5"/>
  <c r="E16" i="5"/>
  <c r="E17" i="5"/>
  <c r="E12" i="5"/>
  <c r="C13" i="5"/>
  <c r="C14" i="5"/>
  <c r="C16" i="5"/>
  <c r="C17" i="5"/>
  <c r="C12" i="5"/>
  <c r="G29" i="5"/>
  <c r="G28" i="5"/>
  <c r="O17" i="5" l="1"/>
  <c r="J15" i="5"/>
  <c r="F12" i="5"/>
  <c r="G12" i="5" s="1"/>
  <c r="F17" i="5"/>
  <c r="G17" i="5" s="1"/>
  <c r="L15" i="5"/>
  <c r="F16" i="5"/>
  <c r="G16" i="5" s="1"/>
  <c r="F14" i="5"/>
  <c r="G14" i="5" s="1"/>
  <c r="F15" i="5"/>
  <c r="G15" i="5" s="1"/>
  <c r="F13" i="5"/>
  <c r="Q17" i="5" l="1"/>
  <c r="G13" i="5"/>
  <c r="L11" i="3"/>
  <c r="M11" i="3" s="1"/>
  <c r="L10" i="3"/>
  <c r="M10" i="3" s="1"/>
  <c r="L9" i="3"/>
  <c r="M9" i="3" s="1"/>
  <c r="L8" i="3"/>
  <c r="M8" i="3" s="1"/>
  <c r="L7" i="3"/>
  <c r="M7" i="3" s="1"/>
  <c r="J11" i="3"/>
  <c r="K11" i="3" s="1"/>
  <c r="J10" i="3"/>
  <c r="K10" i="3" s="1"/>
  <c r="J9" i="3"/>
  <c r="K9" i="3" s="1"/>
  <c r="J8" i="3"/>
  <c r="K8" i="3" s="1"/>
  <c r="J7" i="3"/>
  <c r="K7" i="3" s="1"/>
  <c r="H11" i="3"/>
  <c r="I11" i="3" s="1"/>
  <c r="H10" i="3"/>
  <c r="I10" i="3" s="1"/>
  <c r="H9" i="3"/>
  <c r="I9" i="3" s="1"/>
  <c r="H8" i="3"/>
  <c r="I8" i="3" s="1"/>
  <c r="H7" i="3"/>
  <c r="I7" i="3" s="1"/>
  <c r="F11" i="3"/>
  <c r="G11" i="3" s="1"/>
  <c r="F10" i="3"/>
  <c r="G10" i="3" s="1"/>
  <c r="F9" i="3"/>
  <c r="G9" i="3" s="1"/>
  <c r="F8" i="3"/>
  <c r="G8" i="3" s="1"/>
  <c r="F7" i="3"/>
  <c r="G7" i="3" s="1"/>
  <c r="D10" i="3"/>
  <c r="E10" i="3" s="1"/>
  <c r="D11" i="3"/>
  <c r="E11" i="3" s="1"/>
  <c r="D9" i="3"/>
  <c r="E9" i="3" s="1"/>
  <c r="D8" i="3"/>
  <c r="E8" i="3" s="1"/>
  <c r="D7" i="3"/>
  <c r="E7" i="3" s="1"/>
  <c r="B9" i="3"/>
  <c r="C9" i="3" s="1"/>
  <c r="B8" i="3"/>
  <c r="C8" i="3" s="1"/>
  <c r="B10" i="3"/>
  <c r="C10" i="3" s="1"/>
  <c r="B11" i="3"/>
  <c r="C11" i="3" s="1"/>
  <c r="B7" i="3"/>
  <c r="C7" i="3" s="1"/>
  <c r="G20" i="3"/>
  <c r="G24" i="3" s="1"/>
  <c r="F20" i="3"/>
  <c r="F22" i="3" s="1"/>
  <c r="E20" i="3"/>
  <c r="E25" i="3" s="1"/>
  <c r="D20" i="3"/>
  <c r="D21" i="3" s="1"/>
  <c r="C20" i="3"/>
  <c r="C21" i="3" s="1"/>
  <c r="B20" i="3"/>
  <c r="B25" i="3" s="1"/>
  <c r="L5" i="3"/>
  <c r="H5" i="3"/>
  <c r="J5" i="3" s="1"/>
  <c r="F5" i="3"/>
  <c r="D5" i="3"/>
  <c r="B37" i="3"/>
  <c r="C37" i="3" s="1"/>
  <c r="B38" i="3"/>
  <c r="C38" i="3" s="1"/>
  <c r="B33" i="3"/>
  <c r="B39" i="3"/>
  <c r="C39" i="3" s="1"/>
  <c r="B40" i="3"/>
  <c r="C40" i="3" s="1"/>
  <c r="B41" i="3"/>
  <c r="C41" i="3" s="1"/>
  <c r="B42" i="3"/>
  <c r="C42" i="3" s="1"/>
  <c r="B43" i="3"/>
  <c r="C43" i="3" s="1"/>
  <c r="B44" i="3"/>
  <c r="C44" i="3" s="1"/>
  <c r="B45" i="3"/>
  <c r="C45" i="3" s="1"/>
  <c r="E21" i="3" l="1"/>
  <c r="E22" i="3"/>
  <c r="C24" i="3"/>
  <c r="E23" i="3"/>
  <c r="C25" i="3"/>
  <c r="B21" i="3"/>
  <c r="E24" i="3"/>
  <c r="D23" i="3"/>
  <c r="B24" i="3"/>
  <c r="D25" i="3"/>
  <c r="B23" i="3"/>
  <c r="B22" i="3"/>
  <c r="F24" i="3"/>
  <c r="F25" i="3"/>
  <c r="G25" i="3"/>
  <c r="G21" i="3"/>
  <c r="G22" i="3"/>
  <c r="F23" i="3"/>
  <c r="G23" i="3"/>
  <c r="F21" i="3"/>
  <c r="C22" i="3"/>
  <c r="C23" i="3"/>
  <c r="D24" i="3"/>
  <c r="D2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tc={FCB9834C-82B0-44E1-AADC-3FB0F29C2A16}</author>
  </authors>
  <commentList>
    <comment ref="L5" authorId="0" shapeId="0" xr:uid="{FCB9834C-82B0-44E1-AADC-3FB0F29C2A16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Proszę wpisać wysokość opłaty rocznej</t>
      </text>
    </comment>
  </commentList>
</comments>
</file>

<file path=xl/sharedStrings.xml><?xml version="1.0" encoding="utf-8"?>
<sst xmlns="http://schemas.openxmlformats.org/spreadsheetml/2006/main" count="449" uniqueCount="206">
  <si>
    <t xml:space="preserve">PODSTAWOWE INFORMACJE O KONCIE </t>
  </si>
  <si>
    <t>OPŁATY STAŁE</t>
  </si>
  <si>
    <t>OPŁATY TRANSAKCYJNE</t>
  </si>
  <si>
    <t>PO PIERWSZYCH 12 MIESIĄCACH: WYPŁATA/WYPŁATA TRANSFEROWA//ZWROT CAŁKOWITY I CZĘŚCIOWY</t>
  </si>
  <si>
    <t>WALUTY I KURSY</t>
  </si>
  <si>
    <t>INNE INFORMACJE</t>
  </si>
  <si>
    <t>↓</t>
  </si>
  <si>
    <t>IKZE lub IKE</t>
  </si>
  <si>
    <t>Dostęp do giełd zagranicznych</t>
  </si>
  <si>
    <t>Opłata za otwarcie IKE lub IKZE</t>
  </si>
  <si>
    <t xml:space="preserve">Opłata za prowadzenie IKE/IKZE </t>
  </si>
  <si>
    <t>Opłata za przechowywanie instrumentów</t>
  </si>
  <si>
    <t>Prowizja rynki zagraniczne -ETF</t>
  </si>
  <si>
    <t>Prowizja rynki zagraniczne -akcje</t>
  </si>
  <si>
    <t>Prowizja rynek krajowy - akcje</t>
  </si>
  <si>
    <t>Prowizja rynek krajowy - ETF</t>
  </si>
  <si>
    <t>Prowizja, rynek krajowy - obligacje</t>
  </si>
  <si>
    <t>Opłata za wypłatę transferową środków pieniężnych w pierwszych 12 miesiącach (dotyczy sytuacji gdy przenosimy środki pienieżnę)</t>
  </si>
  <si>
    <t>Opłata za wypłatę transferową instrumentów finansowych w pierwszych 12 miesiącach. Dotyczy sytuacji gdy przenosimy instrumenty na inne IKE/IKZE prowadzone w formie rachunku maklerskiego</t>
  </si>
  <si>
    <t>Opłata za zwrot całkowity w pierwszych 12 miesiącach (IKE/IKZE)</t>
  </si>
  <si>
    <t>Opłata za częściowy zwrot z IKE w pierwszych 12 miesiącach</t>
  </si>
  <si>
    <t xml:space="preserve">Opłata za wypłatę jednorazową w pierwszych 12 miesiącach </t>
  </si>
  <si>
    <t>Opata za wypłatę w ratach w pierwszych 12 miesiącach  (gdy spełnimy warunki)</t>
  </si>
  <si>
    <t>Opłata za wypłatę transferową środków pieniężnych po 12 miesiącach (dotyczy sytuacji gdy przenosimy środki pienie żnę)</t>
  </si>
  <si>
    <t>Opłata za wypłatę transferową instrumentów finansowych po 12 miesiącach (dotyczy sytuacji przeniesienia instrumentów do innej instytucji)</t>
  </si>
  <si>
    <t>Opłata za  zwrot całkowity z IKE/IKZE po 12 miesiącach</t>
  </si>
  <si>
    <t>Opłata za częściowy zwrot z IKE po 12 miesiącach</t>
  </si>
  <si>
    <t>Opłata za wypłatę jednorazową (gdy spełnimy warunki)</t>
  </si>
  <si>
    <t>Opata za wypłatę w ratach (gdy spełnimy warunki)</t>
  </si>
  <si>
    <t>Kurs  przypadku inwestowania na rynkach zagranicznych</t>
  </si>
  <si>
    <t>Możliwość posiadania rachunku w innej walucie</t>
  </si>
  <si>
    <t>Opłata za prowadzenie konta walutowego</t>
  </si>
  <si>
    <t>Czy wolne (niezainwestowane) środki pieniężne są  oprocentowane</t>
  </si>
  <si>
    <t>Link do tabeli opłat</t>
  </si>
  <si>
    <t>link do listy ETF lub instrumentów</t>
  </si>
  <si>
    <t>Link do innych informacji</t>
  </si>
  <si>
    <t>Inne uwagi</t>
  </si>
  <si>
    <t xml:space="preserve">środki oprocentowane </t>
  </si>
  <si>
    <t>TAK</t>
  </si>
  <si>
    <t xml:space="preserve">0,39% min 5 zł </t>
  </si>
  <si>
    <t xml:space="preserve">0,19% min 5 zł </t>
  </si>
  <si>
    <t>za przelew do mbanku 0 zł, poza mbank 10 zł</t>
  </si>
  <si>
    <t>Automaczyne przewalutowanie po kursie średnim midReuters +/- 0,1%,. Przy oczekujacym zleceniu  blokowane jest 2% więcej na ewentualne zmiany kursu walutowego po kursie NBP (odblokowane po transakcji)</t>
  </si>
  <si>
    <t>Wpłata tylko w PLN, każde rozliczenie transakcji (kupno, sprzedaż) odbywa sę po kursie midreuters +/-0,1%, nie ma możliwości przechowywania środków pochodzących ze sprzedaży instrumentów (np. sprzedaż ETF i wpływ w EUR) w walucie innej niż PLN.</t>
  </si>
  <si>
    <t>brak konta walutowego</t>
  </si>
  <si>
    <t>NIE</t>
  </si>
  <si>
    <t>https://www.mdm.pl/ds-server/40863?ticketSource=ui-pub</t>
  </si>
  <si>
    <t>https://www.mdm.pl/ui-pub/site/oferta_indywidualna/rynki_zagraniczne/lista_dostepnych_akcji_etf_i_adrgdr</t>
  </si>
  <si>
    <t>https://www.mbank.pl/indywidualny/inwestycje/gielda/ikze-emakler/    https://www.mbank.pl/indywidualny/inwestycje/gielda/ike-emakler/</t>
  </si>
  <si>
    <t>transfer pomiedzy rachunkami ike eMakler - IKE mBM oraz IKZE eMakler i IKZE mBM bezpłatnie</t>
  </si>
  <si>
    <t>za przelew do mbanku 5 zł poza mbank 10 zł</t>
  </si>
  <si>
    <t xml:space="preserve">Kurs średni midReuters +/- 0,1%, przy oczekującym zleceniu blokowane 2% więcej na ewentualne zmiany kursu walutowego po kursie NBP(odblokowane po transakcji). </t>
  </si>
  <si>
    <t xml:space="preserve">Wplata tylko w PLN, każde rozliczenie transakcji (kupno, sprzedaż) albo w walucie (wówczas na koncie zostaje waluta np. EUR) lub w PLN według wyboru (kurs midreuters +/-0,1%). </t>
  </si>
  <si>
    <t>brak dodatkowego konta walutowego</t>
  </si>
  <si>
    <t>https://www.mdm.pl/ds-server/44127?ticketSource=ui-pub</t>
  </si>
  <si>
    <t>https://www.mdm.pl/ui-pub/site/oferta_indywidualna/rynki_zagraniczne</t>
  </si>
  <si>
    <t>nd</t>
  </si>
  <si>
    <t>BOSSA S.A.</t>
  </si>
  <si>
    <t>0,38% min 5 zł</t>
  </si>
  <si>
    <t>0,19 % min 5 zł</t>
  </si>
  <si>
    <t>Brak</t>
  </si>
  <si>
    <t>0,50 % min 25 zł, obecnie niepobierana, dotyczy rynku polskiego, 15 EUR rynek zagraniczny</t>
  </si>
  <si>
    <t>Kurs średni midReuters +/- połowa spreadu. Wysokość spreadu podana tutaj: https://bossa.pl/oferta/rynek-zagraniczny</t>
  </si>
  <si>
    <t>Wpłata na konto IKE/IKZE wyłącznie w zł. Domyślnie, po sprzedaży zagranicznego instrumentu, otrzymujemy kwotę w zł, lecz można zdecydować by środki wpłynęły w walucie sprzedaży.  Można dokonać przewalutowania środów: 3 przewalutowania w roku są bezpłatne, kolejne kosztują  0,19% (min 49 zł).</t>
  </si>
  <si>
    <t>waluty USD, GBP, EUR  , 0 zl</t>
  </si>
  <si>
    <t>https://bossa.pl/oferta/oplaty-i-prowizje</t>
  </si>
  <si>
    <t>https://bossa.pl/oferta/rynek-zagraniczny/kid</t>
  </si>
  <si>
    <t>https://bossa.pl/oferta/IKE-i-IKZE</t>
  </si>
  <si>
    <t>Millenium Dom Maklerski</t>
  </si>
  <si>
    <t>Biuro Maklerskie PKO BP</t>
  </si>
  <si>
    <t>Santander Biuro Maklerskie</t>
  </si>
  <si>
    <t>IKE</t>
  </si>
  <si>
    <t>0,39% min 5 zł</t>
  </si>
  <si>
    <t>0,19% nie mniej 5 zł</t>
  </si>
  <si>
    <t>150 zł.</t>
  </si>
  <si>
    <t>50 zł od każdej dyspozycji częściowego zwrotu</t>
  </si>
  <si>
    <t>brak opłaty za czynność, może być opłata za przelew do zew. instytucji</t>
  </si>
  <si>
    <t>50 zł od każdej wypłacanej raty</t>
  </si>
  <si>
    <t>Równowartość opłaty pobieranej przez KDPW</t>
  </si>
  <si>
    <t>50 zł od każdej dyspozycji zwrotu</t>
  </si>
  <si>
    <t xml:space="preserve">50 zł od każdej wypłaconej raty </t>
  </si>
  <si>
    <t>Wpłata na konto IKE może nastąpić wyłącznie w zł.  Przewalutowania można dokonać korzystając z uslugi automatycznego przewalutowania według obowiązującego w danym dniu transakcji, kursie. Kurs ogłaszany jest w SPECJALNEJ TABELI KURSOWEJ tabeli każdego dnia i przykładowo wynosi: 4,6410 zł/euro dla kupna i 4,6737zł/ur.  dla sprzedaży (przykładowe dane z 16 listopada). Zasady przewalutowań opisane są tutaj: https://www.santander.pl/klient-indywidualny/oszczednosci-i-inwestycje/rachunki-dla-gield-zagranicznych/automatyczne-przewalutowanie. W przypadku braku środków w obcej walucie na pokrycie zlecenia kupna, na rachunku zostanie zablokowana odpowiednia kwota w złotych. Automatyczne przewalutowanie nastąpi podczas rozliczenia transakcji. Natomiast przy zleceniu sprzedaży instrumentu można samemu zdecydować, czy środki mają trafić na rachunek w obcej walucie czy w złotych. W usłudze automatycznego przewalutowania kurs walut prezentowany w specjalnej tabeli kursowej obowiązuje dla dnia rozliczenia transakcji, a nie złożenia zlecenia. Kurs obowiązujący dla danego dnia jest aktualizowany codziennie w dni robocze do godziny 14.00.
Alternatywą jest skorzystanie z opcji wymiany waluty, dostępnej w opcji Portfel serwisu Inwestor online. Kursy wymiany w ramach automatycznego przewalutowania są jednak najczęściej korzystniejsze od wymiany samodzielnej. Aby inwestować na rynkach zagranicznych potrzebny jest rachunek w walucie danego instrumentu finansowego. Podczas rozszerzania umowy maklerskiej o rynki zagraniczne, następuje otwarcie rachunku w dwóch najbardziej popularnych walutach - EUR i USD - bez dodatkowych opłat. Za dodatkową opłatą (jednorazową) można otworzyć rachunki walutowe w GBP i CHF.</t>
  </si>
  <si>
    <t>Rachunki walutowe - EUR i USD - bez dodatkowych opłat. Za dodatkową opłatą (jednorazową) można otworzyć rachunki walutowe w GBP i CHF. 30 zł za każdy rachunek walutowy inny niż EUR i USD</t>
  </si>
  <si>
    <t>Specjalne prowizje dla rachunku Trader i TopTrader oraz rachunku VIP</t>
  </si>
  <si>
    <t>IKZE i IKE</t>
  </si>
  <si>
    <t>min prowizja [zł]</t>
  </si>
  <si>
    <t>Prowizja</t>
  </si>
  <si>
    <t>BOSSA w promocji</t>
  </si>
  <si>
    <t>BOSSA bez promocji</t>
  </si>
  <si>
    <t>Prowizja jako % wpłaty</t>
  </si>
  <si>
    <t>JEDNORAZOWE WPŁATY--&gt;&gt;&gt;</t>
  </si>
  <si>
    <t>ZAGRANICA:</t>
  </si>
  <si>
    <t xml:space="preserve">&lt;-- tu możesz wpisać inne kwoty wpłat </t>
  </si>
  <si>
    <t>Prowizja od transakcji w %</t>
  </si>
  <si>
    <t>&lt;-- tu wpisz wysokość prowizji w %</t>
  </si>
  <si>
    <t>&lt;-- tu wpisz minimalną kwotę prowizji</t>
  </si>
  <si>
    <t>INSTYTUCJA</t>
  </si>
  <si>
    <t>GIEŁDY ZAGRANICZNE</t>
  </si>
  <si>
    <t>PROWIZJA JAKO % TRANSAKCJI:</t>
  </si>
  <si>
    <t>minimalna transakcja bez podwyższonej prowizji</t>
  </si>
  <si>
    <t>TRANSAKCJA</t>
  </si>
  <si>
    <t>rocznie:</t>
  </si>
  <si>
    <t>co miesiąc 1/12 kwoty</t>
  </si>
  <si>
    <t>co kwartał 1/4 kwoty</t>
  </si>
  <si>
    <t>jednorazowo</t>
  </si>
  <si>
    <t>liczba transakcji w roku</t>
  </si>
  <si>
    <t>kwota każdej transakcji</t>
  </si>
  <si>
    <t>&lt;-- możesz wpisać inne kwoty</t>
  </si>
  <si>
    <t>mBank eMakler</t>
  </si>
  <si>
    <t>Dom Maklerski BDM</t>
  </si>
  <si>
    <t>Dom Maklerski BPS</t>
  </si>
  <si>
    <t>mBank Biuro Maklerskie (MDM)</t>
  </si>
  <si>
    <t>Noble Securities w promocji</t>
  </si>
  <si>
    <t>Noble Securities bez promocji</t>
  </si>
  <si>
    <t>Prowizja jako % transakcji</t>
  </si>
  <si>
    <t>Transakcja:</t>
  </si>
  <si>
    <t>BM Santander</t>
  </si>
  <si>
    <t xml:space="preserve">mBank eMakler </t>
  </si>
  <si>
    <t>RANKING</t>
  </si>
  <si>
    <t>www.inwestoronline.pl/r/res/wykaz_tabel/tabela_etf.xls</t>
  </si>
  <si>
    <t>kurs EUR, dla przeliczenia tych ipłat, w których minimum określone jest w EUR</t>
  </si>
  <si>
    <t xml:space="preserve">Zakup ZAGRANICZNYCH ETF </t>
  </si>
  <si>
    <t>ZAGRANICZNE ETF</t>
  </si>
  <si>
    <t>ZAGRANICZNE AKCJE</t>
  </si>
  <si>
    <t>AKCJE Z GPW</t>
  </si>
  <si>
    <t>ETF Z GPW</t>
  </si>
  <si>
    <t>OBLIGACJE Z GPW</t>
  </si>
  <si>
    <t>POPRZEDNIE WARUNKI, JAKIE OBOWIĄZUJĄ W BIURZE MAKLERSKIM MBANK ORAZ W EMAKLERZE W MBANK, DO 30 CZERWCA 2022</t>
  </si>
  <si>
    <t>https://www.santander.pl/regulation_file_server/time20220401154849/download?id=163809&amp;lang=pl_PL</t>
  </si>
  <si>
    <t>Ilu transakcji dokonujesz w roku?</t>
  </si>
  <si>
    <t>nie mniej niż</t>
  </si>
  <si>
    <t>Wartość Twojego portfela IKE/IKZE w mBank lub DM BOŚ</t>
  </si>
  <si>
    <t>ROCZNE KOSZTY IKE/IKZE Z ZAGRANICZNYMI ETF</t>
  </si>
  <si>
    <t>Czy konto założyłeś przed 1 lipca 2022?</t>
  </si>
  <si>
    <t xml:space="preserve">Opłata za prowadzenie konta </t>
  </si>
  <si>
    <t>Koszty transakcji</t>
  </si>
  <si>
    <t>TABELA UAKTUALNIONA O ZMIANY W TABELI OPŁAT MBANK OBOWIĄZUJĄCE OD 1 LIPCA 2022</t>
  </si>
  <si>
    <t>Przewalutowanie</t>
  </si>
  <si>
    <t>TABELA INFORMACYJNA - nic w niej nie zmieniaj, chyba, że zmianie ulegną opłaty pobierane przez instytucje</t>
  </si>
  <si>
    <t>Kurs Eur</t>
  </si>
  <si>
    <t>Ile instrumentów posiadasz na swoim IKE/IKZE?</t>
  </si>
  <si>
    <t>RAZEM KOSZT</t>
  </si>
  <si>
    <t>PODSTAWOWE DANE - UZUPEŁNIJ DANE W POLACH ZAZNACZONYCH ŻÓŁTYM KOLOREM</t>
  </si>
  <si>
    <t xml:space="preserve">roczny koszt jako % portfela </t>
  </si>
  <si>
    <t>cena za każdy instrument</t>
  </si>
  <si>
    <t>Średnia wartość transakcji</t>
  </si>
  <si>
    <t>opłata pobrana przez instytucję przyjmującą (BOSSA)</t>
  </si>
  <si>
    <t>opłata pobrana przez instytucję przyjmującą (mBank)</t>
  </si>
  <si>
    <t>nie mniej niż % wartości portfela</t>
  </si>
  <si>
    <t>prowizja za sprzedaż instrumentów (mBank)</t>
  </si>
  <si>
    <t>koszty przewalutowania (mBank)</t>
  </si>
  <si>
    <t>prowizja za zakup instrumentów w BOSSA</t>
  </si>
  <si>
    <t>koszty przewalutowania (BOSSA)</t>
  </si>
  <si>
    <t>prowizja za sprzedaż instrumentów (BOSSA)</t>
  </si>
  <si>
    <t>prowizja za zakup instrumentów (mBank)</t>
  </si>
  <si>
    <t>RAZEM KOSZTY</t>
  </si>
  <si>
    <t>Instytucja</t>
  </si>
  <si>
    <t>opłata pobrana przez instytucję przekazującą (mBank)</t>
  </si>
  <si>
    <t>opłata pobrana przez instytucję przekazującą BOSSA)</t>
  </si>
  <si>
    <r>
      <rPr>
        <b/>
        <sz val="14"/>
        <color theme="4" tint="-0.499984740745262"/>
        <rFont val="Open Sans"/>
        <family val="2"/>
        <charset val="238"/>
      </rPr>
      <t>PIERWSZE 12 MIESIĘCY</t>
    </r>
    <r>
      <rPr>
        <b/>
        <sz val="14"/>
        <rFont val="Open Sans"/>
        <family val="2"/>
        <charset val="238"/>
      </rPr>
      <t>: WYPŁATA/WYPŁATA TRANSFEROWA//ZWROT CAŁKOWITY I CZĘŚCIOWY</t>
    </r>
  </si>
  <si>
    <r>
      <t xml:space="preserve">MIEJSCE W RANKINGU - RACHUNKI IKE/IKZE Z DOSTĘPEM DO GIEŁD </t>
    </r>
    <r>
      <rPr>
        <b/>
        <sz val="16"/>
        <color theme="4" tint="0.39997558519241921"/>
        <rFont val="Open Sans"/>
        <family val="2"/>
        <charset val="238"/>
      </rPr>
      <t>ZAGRANICZNYCH</t>
    </r>
  </si>
  <si>
    <r>
      <t xml:space="preserve">mBank emakler </t>
    </r>
    <r>
      <rPr>
        <b/>
        <sz val="20"/>
        <color rgb="FFFFFF00"/>
        <rFont val="Open Sans"/>
        <family val="2"/>
        <charset val="238"/>
      </rPr>
      <t>OD LIPCA   2022</t>
    </r>
  </si>
  <si>
    <r>
      <t xml:space="preserve"> </t>
    </r>
    <r>
      <rPr>
        <b/>
        <sz val="14"/>
        <color rgb="FF0070C0"/>
        <rFont val="Open Sans"/>
        <family val="2"/>
        <charset val="238"/>
      </rPr>
      <t>0,29% min 19 zł</t>
    </r>
  </si>
  <si>
    <r>
      <rPr>
        <b/>
        <sz val="14"/>
        <rFont val="Open Sans"/>
        <family val="2"/>
        <charset val="238"/>
      </rPr>
      <t>dla rynków zagranicznych opłata od 10 tys. 0,15% rocznie, opłata pobierana półrocznie bez zwolnienia za obrót.</t>
    </r>
    <r>
      <rPr>
        <sz val="12"/>
        <rFont val="Open Sans"/>
        <family val="2"/>
        <charset val="238"/>
      </rPr>
      <t xml:space="preserve"> Dd rynku polskiego bez zmian do 500.000 zł bezpłatnie  -powyżej 500k Kwartalna opłata podstawowa za depozyt papierów wartościowych nie jest pobierana, jeśli wartość prowizji maklerskiej netto, zapłaconej przez Klienta z tytułu obrotu na rachunku w danym kwartale kalendarzowym jest wyższa od naliczonej za ten kwartał opłaty podstawowej za depozyt papierów wartościowych. Wartość zapłaconej prowizji i naliczonej opłaty depozytowej jest rozpatrywana odrębnie dla instrumentów zdeponowanych u różnych Depozytariuszy</t>
    </r>
  </si>
  <si>
    <r>
      <t xml:space="preserve">Biuro Maklerskie mBank </t>
    </r>
    <r>
      <rPr>
        <b/>
        <sz val="20"/>
        <color rgb="FFFFFF00"/>
        <rFont val="Open Sans"/>
        <family val="2"/>
        <charset val="238"/>
      </rPr>
      <t>OD LIPCA   2022</t>
    </r>
  </si>
  <si>
    <r>
      <rPr>
        <b/>
        <sz val="14"/>
        <color rgb="FF0070C0"/>
        <rFont val="Open Sans"/>
        <family val="2"/>
        <charset val="238"/>
      </rPr>
      <t>0,29% min 19 zł</t>
    </r>
    <r>
      <rPr>
        <b/>
        <sz val="14"/>
        <rFont val="Open Sans"/>
        <family val="2"/>
        <charset val="238"/>
      </rPr>
      <t xml:space="preserve">/5 EUR/USD/GBP </t>
    </r>
  </si>
  <si>
    <r>
      <rPr>
        <b/>
        <sz val="12"/>
        <rFont val="Open Sans"/>
        <family val="2"/>
        <charset val="238"/>
      </rPr>
      <t>25 zł półrocznie dla nowych klientów,</t>
    </r>
    <r>
      <rPr>
        <sz val="12"/>
        <rFont val="Open Sans"/>
        <family val="2"/>
        <charset val="238"/>
      </rPr>
      <t xml:space="preserve"> dotychczasowi klienci nie będą ponosić kosztów tej opłaty</t>
    </r>
  </si>
  <si>
    <r>
      <rPr>
        <b/>
        <sz val="14"/>
        <rFont val="Open Sans"/>
        <family val="2"/>
        <charset val="238"/>
      </rPr>
      <t>dla rynków zagranicznych opłata od 10 tys. 0,15% rocznie,</t>
    </r>
    <r>
      <rPr>
        <sz val="12"/>
        <rFont val="Open Sans"/>
        <family val="2"/>
        <charset val="238"/>
      </rPr>
      <t xml:space="preserve"> </t>
    </r>
    <r>
      <rPr>
        <b/>
        <sz val="14"/>
        <rFont val="Open Sans"/>
        <family val="2"/>
        <charset val="238"/>
      </rPr>
      <t>opłata pobierana półrocznie bez zwolnienia za obrót.</t>
    </r>
    <r>
      <rPr>
        <sz val="12"/>
        <rFont val="Open Sans"/>
        <family val="2"/>
        <charset val="238"/>
      </rPr>
      <t xml:space="preserve"> Dd rynku polskiego bez zmian do 500.000 zł bezpłatnie  -powyżej 500k Kwartalna opłata podstawowa za depozyt papierów wartościowych nie jest pobierana, jeśli wartość prowizji maklerskiej netto, zapłaconej przez Klienta z tytułu obrotu na rachunku w danym kwartale kalendarzowym jest wyższa od naliczonej za ten kwartał opłaty podstawowej za depozyt papierów wartościowych. Wartość zapłaconej prowizji i naliczonej opłaty depozytowej jest rozpatrywana odrębnie dla instrumentów zdeponowanych u różnych Depozytariuszy</t>
    </r>
  </si>
  <si>
    <r>
      <t xml:space="preserve">PROMOCJA do 31 grudnia 2022: </t>
    </r>
    <r>
      <rPr>
        <b/>
        <sz val="14"/>
        <color rgb="FF0070C0"/>
        <rFont val="Open Sans"/>
        <family val="2"/>
        <charset val="238"/>
      </rPr>
      <t xml:space="preserve">0,29%, min. 19 PLN/5 </t>
    </r>
    <r>
      <rPr>
        <b/>
        <sz val="14"/>
        <rFont val="Open Sans"/>
        <family val="2"/>
        <charset val="238"/>
      </rPr>
      <t xml:space="preserve">EUR, 5 USD, 5 GBP  </t>
    </r>
    <r>
      <rPr>
        <b/>
        <sz val="14"/>
        <color theme="5" tint="-0.249977111117893"/>
        <rFont val="Open Sans"/>
        <family val="2"/>
        <charset val="238"/>
      </rPr>
      <t xml:space="preserve">poza promocją: </t>
    </r>
    <r>
      <rPr>
        <b/>
        <sz val="14"/>
        <color theme="4" tint="-0.249977111117893"/>
        <rFont val="Open Sans"/>
        <family val="2"/>
        <charset val="238"/>
      </rPr>
      <t>0,29 % min 29 PLN</t>
    </r>
    <r>
      <rPr>
        <b/>
        <sz val="14"/>
        <rFont val="Open Sans"/>
        <family val="2"/>
        <charset val="238"/>
      </rPr>
      <t>/ 7 EUR/ 7,50 USD/ 6 GBP</t>
    </r>
  </si>
  <si>
    <r>
      <t>Instrumenty krajowe do 1.000.000 zł bezpłatnie;</t>
    </r>
    <r>
      <rPr>
        <b/>
        <sz val="12"/>
        <rFont val="Open Sans"/>
        <family val="2"/>
        <charset val="238"/>
      </rPr>
      <t xml:space="preserve"> instrumenty zagraniczne - w ramach promocji bezpłatnie</t>
    </r>
    <r>
      <rPr>
        <sz val="12"/>
        <rFont val="Open Sans"/>
        <family val="2"/>
        <charset val="238"/>
      </rPr>
      <t>, przewidywane jest przedłużenie promocji oraz wprowadzenie braku opłaty na stałe dla portfela do 500 000 zł</t>
    </r>
  </si>
  <si>
    <r>
      <rPr>
        <i/>
        <sz val="12"/>
        <rFont val="Open Sans"/>
        <family val="2"/>
        <charset val="238"/>
      </rPr>
      <t xml:space="preserve">Instumenty  notowane na GPW: 150 zł oraz 0,5% wartości rynkowej przenoszonych instrumentów, nie mniej niż 25 PLN od instrumentu" </t>
    </r>
    <r>
      <rPr>
        <b/>
        <i/>
        <sz val="12"/>
        <rFont val="Open Sans"/>
        <family val="2"/>
        <charset val="238"/>
      </rPr>
      <t>Uwaga od BOSSA:</t>
    </r>
    <r>
      <rPr>
        <sz val="12"/>
        <rFont val="Open Sans"/>
        <family val="2"/>
        <charset val="238"/>
      </rPr>
      <t xml:space="preserve"> </t>
    </r>
    <r>
      <rPr>
        <i/>
        <sz val="12"/>
        <rFont val="Open Sans"/>
        <family val="2"/>
        <charset val="238"/>
      </rPr>
      <t>"ta opłata jest aktualnie nie pobierana, będzie pobrane 150 zł"</t>
    </r>
    <r>
      <rPr>
        <sz val="12"/>
        <rFont val="Open Sans"/>
        <family val="2"/>
        <charset val="238"/>
      </rPr>
      <t xml:space="preserve"> ; 15 EUR od instrumentu - rynek zagraniczny</t>
    </r>
  </si>
  <si>
    <r>
      <t>Giełdy europejskie</t>
    </r>
    <r>
      <rPr>
        <b/>
        <sz val="14"/>
        <color theme="4" tint="-0.249977111117893"/>
        <rFont val="Open Sans"/>
        <family val="2"/>
        <charset val="238"/>
      </rPr>
      <t xml:space="preserve"> 0,39% min 12 EUR/USD/CHF/GBP</t>
    </r>
    <r>
      <rPr>
        <sz val="14"/>
        <rFont val="Open Sans"/>
        <family val="2"/>
        <charset val="238"/>
      </rPr>
      <t>; giełdy amerykańskie: 0,02 USD od sztuki, nie mniej niż 12 USD.</t>
    </r>
  </si>
  <si>
    <r>
      <t>Giełdy europejski</t>
    </r>
    <r>
      <rPr>
        <b/>
        <sz val="14"/>
        <color theme="4" tint="-0.499984740745262"/>
        <rFont val="Open Sans"/>
        <family val="2"/>
        <charset val="238"/>
      </rPr>
      <t>e</t>
    </r>
    <r>
      <rPr>
        <b/>
        <sz val="14"/>
        <color theme="4" tint="-0.249977111117893"/>
        <rFont val="Open Sans"/>
        <family val="2"/>
        <charset val="238"/>
      </rPr>
      <t xml:space="preserve"> 0,39% min 12 EUR/USD/CHF/GBP</t>
    </r>
    <r>
      <rPr>
        <b/>
        <sz val="14"/>
        <color theme="4" tint="-0.499984740745262"/>
        <rFont val="Open Sans"/>
        <family val="2"/>
        <charset val="238"/>
      </rPr>
      <t>;</t>
    </r>
    <r>
      <rPr>
        <sz val="12"/>
        <rFont val="Open Sans"/>
        <family val="2"/>
        <charset val="238"/>
      </rPr>
      <t xml:space="preserve"> giełdy amerykańskie: 0,02 USD od sztuki, nie mniej niż 12 USD.</t>
    </r>
  </si>
  <si>
    <r>
      <t xml:space="preserve">krajowe instrumenty finansowe - bezpłatnie do  500.000 zł; </t>
    </r>
    <r>
      <rPr>
        <b/>
        <sz val="12"/>
        <rFont val="Open Sans"/>
        <family val="2"/>
        <charset val="238"/>
      </rPr>
      <t xml:space="preserve">zagraniczne </t>
    </r>
    <r>
      <rPr>
        <sz val="12"/>
        <rFont val="Open Sans"/>
        <family val="2"/>
        <charset val="238"/>
      </rPr>
      <t xml:space="preserve">instrumenty finansowe - opłata miesięczna ponoszona jeżeli miesięczna wartość obrotu liczona dla danej waluty nie osiągnie co najmniej 20%
wartości instrumentów finansowych kwotowanych w danej walucie (EUR/CHF/GBP) wynosi MIESIĘCZNIE 
* dla instrumentów finansowych notowanych w USD 0,01%+ VAT
* o dla instrumentów finansowych notowanych w EUR/CHF/GBP 0,02%+VAT </t>
    </r>
  </si>
  <si>
    <r>
      <t xml:space="preserve">mBank emakler </t>
    </r>
    <r>
      <rPr>
        <b/>
        <sz val="20"/>
        <color rgb="FFFFFF00"/>
        <rFont val="Open Sans"/>
        <family val="2"/>
        <charset val="238"/>
      </rPr>
      <t>DO KOŃCA CZERWCA 2022</t>
    </r>
  </si>
  <si>
    <r>
      <rPr>
        <b/>
        <sz val="14"/>
        <color theme="9"/>
        <rFont val="Open Sans"/>
        <family val="2"/>
        <charset val="238"/>
      </rPr>
      <t>do 500.000 zł bezpłatnie (odrębnie rynek krajowy lub zagraniczny);</t>
    </r>
    <r>
      <rPr>
        <sz val="12"/>
        <rFont val="Open Sans"/>
        <family val="2"/>
        <charset val="238"/>
      </rPr>
      <t xml:space="preserve"> powyżej 500k kwartalna opłata podstawowa za depozyt papierów wartościowych nie jest pobierana, jeśli wartość prowizji maklerskiej netto, zapłaconej przez Klienta z tytułu obrotu na rachunku w danym kwartale kalendarzowym jest wyższa od naliczonej za ten kwartał opłaty podstawowej za depozyt papierów wartościowych. Wartość zapłaconej prowizji i naliczonej opłaty depozytowej jest rozpatrywana odrębnie dla instrumentów zdeponowanych u różnych Depozytariuszy.</t>
    </r>
  </si>
  <si>
    <r>
      <t xml:space="preserve">Biuro Maklerskie mBank </t>
    </r>
    <r>
      <rPr>
        <b/>
        <sz val="20"/>
        <color rgb="FFFFFF00"/>
        <rFont val="Open Sans"/>
        <family val="2"/>
        <charset val="238"/>
      </rPr>
      <t>DO KOŃCA CZERWCA 2022</t>
    </r>
  </si>
  <si>
    <r>
      <rPr>
        <b/>
        <sz val="14"/>
        <color theme="9"/>
        <rFont val="Open Sans"/>
        <family val="2"/>
        <charset val="238"/>
      </rPr>
      <t>do 500.000 zł bezpłatnie (odrębnie rynek krajowy lub zagraniczny) -</t>
    </r>
    <r>
      <rPr>
        <sz val="12"/>
        <rFont val="Open Sans"/>
        <family val="2"/>
        <charset val="238"/>
      </rPr>
      <t>powyżej 500k Kwartalna opłata podstawowa za depozyt papierów wartościowych nie jest pobierana, jeśli wartość prowizji maklerskiej netto, zapłaconej przez Klienta z tytułu obrotu na rachunku w danym kwartale kalendarzowym jest wyższa od naliczonej za ten kwartał opłaty podstawowej za depozyt papierów wartościowych. Wartość zapłaconej prowizji i naliczonej opłaty depozytowej jest rozpatrywana odrębnie dla instrumentów zdeponowanych u różnych Depozytariuszy</t>
    </r>
  </si>
  <si>
    <r>
      <t>Prowizja w całym roku za zakupy</t>
    </r>
    <r>
      <rPr>
        <b/>
        <sz val="14"/>
        <color rgb="FFC00000"/>
        <rFont val="Open Sans"/>
        <family val="2"/>
        <charset val="238"/>
      </rPr>
      <t xml:space="preserve"> ETF spoza GPW </t>
    </r>
    <r>
      <rPr>
        <b/>
        <sz val="14"/>
        <color theme="1"/>
        <rFont val="Open Sans"/>
        <family val="2"/>
        <charset val="238"/>
      </rPr>
      <t>za kwotę:</t>
    </r>
  </si>
  <si>
    <t>Razem koszty w roku</t>
  </si>
  <si>
    <t>KOSZTY TRANSFERU IKE/IKZE - PRZENIESIENIE PAPIERÓW WARTOŚCIOWYCH</t>
  </si>
  <si>
    <r>
      <rPr>
        <b/>
        <sz val="12"/>
        <color rgb="FF003399"/>
        <rFont val="Open Sans"/>
        <family val="2"/>
        <charset val="238"/>
      </rPr>
      <t xml:space="preserve">BOSSA </t>
    </r>
    <r>
      <rPr>
        <b/>
        <sz val="12"/>
        <color theme="1"/>
        <rFont val="Open Sans"/>
        <family val="2"/>
        <charset val="238"/>
      </rPr>
      <t>w promocji</t>
    </r>
  </si>
  <si>
    <r>
      <rPr>
        <b/>
        <sz val="12"/>
        <color rgb="FF003399"/>
        <rFont val="Open Sans"/>
        <family val="2"/>
        <charset val="238"/>
      </rPr>
      <t>BOSSA</t>
    </r>
    <r>
      <rPr>
        <b/>
        <sz val="12"/>
        <color theme="1"/>
        <rFont val="Open Sans"/>
        <family val="2"/>
        <charset val="238"/>
      </rPr>
      <t xml:space="preserve"> bez promocji</t>
    </r>
  </si>
  <si>
    <r>
      <t xml:space="preserve">z </t>
    </r>
    <r>
      <rPr>
        <b/>
        <sz val="12"/>
        <color rgb="FFFF5050"/>
        <rFont val="Open Sans"/>
        <family val="2"/>
        <charset val="238"/>
      </rPr>
      <t>mBanku</t>
    </r>
    <r>
      <rPr>
        <b/>
        <sz val="12"/>
        <color theme="1"/>
        <rFont val="Open Sans"/>
        <family val="2"/>
        <charset val="238"/>
      </rPr>
      <t xml:space="preserve"> do </t>
    </r>
    <r>
      <rPr>
        <b/>
        <sz val="12"/>
        <color rgb="FF003399"/>
        <rFont val="Open Sans"/>
        <family val="2"/>
        <charset val="238"/>
      </rPr>
      <t>BOSSA</t>
    </r>
  </si>
  <si>
    <r>
      <t xml:space="preserve"> z </t>
    </r>
    <r>
      <rPr>
        <b/>
        <sz val="12"/>
        <color rgb="FF003399"/>
        <rFont val="Open Sans"/>
        <family val="2"/>
        <charset val="238"/>
      </rPr>
      <t>BOSSA</t>
    </r>
    <r>
      <rPr>
        <b/>
        <sz val="12"/>
        <color theme="1"/>
        <rFont val="Open Sans"/>
        <family val="2"/>
        <charset val="238"/>
      </rPr>
      <t xml:space="preserve"> do</t>
    </r>
    <r>
      <rPr>
        <b/>
        <sz val="12"/>
        <color rgb="FFFF5050"/>
        <rFont val="Open Sans"/>
        <family val="2"/>
        <charset val="238"/>
      </rPr>
      <t xml:space="preserve"> mBanku</t>
    </r>
  </si>
  <si>
    <t>KOSZTY TRANSFERU IKE/IKZE - SPIENIĘŻENIE AKTYWÓW I PRZENIESIENIE PIENIĘDZY</t>
  </si>
  <si>
    <t>koszt jako % transakcji</t>
  </si>
  <si>
    <t>Opłata za przyjęcie instrumentów OD innej instytucji (cena za każdy instrument)</t>
  </si>
  <si>
    <t>Koszty jako % portfela</t>
  </si>
  <si>
    <t>PRZECHOWYWANIE (DEPOZYT) INSTRUMENTÓW</t>
  </si>
  <si>
    <r>
      <rPr>
        <b/>
        <sz val="12"/>
        <color rgb="FFFF5050"/>
        <rFont val="Open Sans"/>
        <family val="2"/>
        <charset val="238"/>
      </rPr>
      <t xml:space="preserve">eMakler mBank </t>
    </r>
    <r>
      <rPr>
        <b/>
        <sz val="12"/>
        <color theme="1"/>
        <rFont val="Open Sans"/>
        <family val="2"/>
        <charset val="238"/>
      </rPr>
      <t>PO ZMIANIE</t>
    </r>
  </si>
  <si>
    <r>
      <rPr>
        <b/>
        <sz val="12"/>
        <color rgb="FFFF5050"/>
        <rFont val="Open Sans"/>
        <family val="2"/>
        <charset val="238"/>
      </rPr>
      <t>BM mBank</t>
    </r>
    <r>
      <rPr>
        <b/>
        <sz val="12"/>
        <color theme="1"/>
        <rFont val="Open Sans"/>
        <family val="2"/>
        <charset val="238"/>
      </rPr>
      <t xml:space="preserve"> PO ZMIANIE</t>
    </r>
  </si>
  <si>
    <r>
      <rPr>
        <b/>
        <sz val="12"/>
        <color rgb="FFFF5050"/>
        <rFont val="Open Sans"/>
        <family val="2"/>
        <charset val="238"/>
      </rPr>
      <t>BM mBank</t>
    </r>
    <r>
      <rPr>
        <b/>
        <sz val="12"/>
        <color theme="1"/>
        <rFont val="Open Sans"/>
        <family val="2"/>
        <charset val="238"/>
      </rPr>
      <t xml:space="preserve"> PRZED ZMIANĄ</t>
    </r>
  </si>
  <si>
    <t>opłata pobierana gdy wartość instrumentów jest większa niż</t>
  </si>
  <si>
    <r>
      <rPr>
        <b/>
        <sz val="12"/>
        <color rgb="FFFF5050"/>
        <rFont val="Open Sans"/>
        <family val="2"/>
        <charset val="238"/>
      </rPr>
      <t>eMakler mBank</t>
    </r>
    <r>
      <rPr>
        <b/>
        <sz val="12"/>
        <color theme="1"/>
        <rFont val="Open Sans"/>
        <family val="2"/>
        <charset val="238"/>
      </rPr>
      <t xml:space="preserve"> PRZED ZMIANĄ</t>
    </r>
  </si>
  <si>
    <t>Prowizja od zakupu/sprzedaży zagranicznych ETF</t>
  </si>
  <si>
    <t xml:space="preserve">zakladam, że prowizje pobieranie są w zł </t>
  </si>
  <si>
    <t>opłata w BM mBank nie jest pobierana dla klientów, którzy założyli konto przed 1 lipca 2022</t>
  </si>
  <si>
    <t>koszty przewalutowania  podaję dla, transakcji w EUR b</t>
  </si>
  <si>
    <t>Opłata za prowadzenie konta (za cały rok</t>
  </si>
  <si>
    <t>opłata za transfer DO innej instytucji (dla uproszczenia zakladam, że instrumenty są w EUR)</t>
  </si>
  <si>
    <t>IKZE</t>
  </si>
  <si>
    <t>%</t>
  </si>
  <si>
    <t>min [zł]</t>
  </si>
  <si>
    <t>min [EUR]</t>
  </si>
  <si>
    <t>Koszty przewalutowania (od każdego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</si>
</sst>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#,##0\ &quot;zł&quot;;\-#,##0\ &quot;zł&quot;"/>
    <numFmt numFmtId="6" formatCode="#,##0\ &quot;zł&quot;;[Red]\-#,##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"/>
    <numFmt numFmtId="165" formatCode="#,##0.00\ &quot;zł&quot;"/>
    <numFmt numFmtId="166" formatCode="#,##0.00\ [$EUR]"/>
    <numFmt numFmtId="167" formatCode="#,##0.0000\ &quot;zł&quot;"/>
    <numFmt numFmtId="168" formatCode="#,##0.000\ [$EUR]"/>
    <numFmt numFmtId="169" formatCode="_-* #,##0\ &quot;zł&quot;_-;\-* #,##0\ &quot;zł&quot;_-;_-* &quot;-&quot;??\ &quot;zł&quot;_-;_-@_-"/>
    <numFmt numFmtId="170" formatCode="_-* #,##0.000\ &quot;zł&quot;_-;\-* #,##0.000\ &quot;zł&quot;_-;_-* &quot;-&quot;??\ &quot;zł&quot;_-;_-@_-"/>
    <numFmt numFmtId="171" formatCode="_-[$€-2]\ * #,##0.00_-;\-[$€-2]\ * #,##0.00_-;_-[$€-2]\ * &quot;-&quot;??_-;_-@_-"/>
    <numFmt numFmtId="172" formatCode="_-* #,##0.000\ &quot;zł&quot;_-;\-* #,##0.000\ &quot;zł&quot;_-;_-* &quot;-&quot;???\ &quot;zł&quot;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Open Sans"/>
      <family val="2"/>
      <charset val="238"/>
    </font>
    <font>
      <b/>
      <sz val="12"/>
      <color theme="1"/>
      <name val="Open Sans"/>
      <family val="2"/>
      <charset val="238"/>
    </font>
    <font>
      <b/>
      <sz val="14"/>
      <color theme="1"/>
      <name val="Open Sans"/>
      <family val="2"/>
      <charset val="238"/>
    </font>
    <font>
      <b/>
      <sz val="11"/>
      <name val="Open Sans"/>
      <family val="2"/>
      <charset val="238"/>
    </font>
    <font>
      <i/>
      <sz val="11"/>
      <color theme="1"/>
      <name val="Open Sans"/>
      <family val="2"/>
      <charset val="238"/>
    </font>
    <font>
      <b/>
      <sz val="11"/>
      <color theme="1"/>
      <name val="Open Sans"/>
      <family val="2"/>
      <charset val="238"/>
    </font>
    <font>
      <sz val="11"/>
      <color theme="1"/>
      <name val="Open Sans"/>
      <family val="2"/>
      <charset val="238"/>
    </font>
    <font>
      <b/>
      <sz val="12"/>
      <color theme="0"/>
      <name val="Open Sans"/>
      <family val="2"/>
      <charset val="238"/>
    </font>
    <font>
      <i/>
      <sz val="12"/>
      <color theme="1"/>
      <name val="Open Sans"/>
      <family val="2"/>
      <charset val="238"/>
    </font>
    <font>
      <sz val="12"/>
      <name val="Open Sans"/>
      <family val="2"/>
      <charset val="238"/>
    </font>
    <font>
      <sz val="20"/>
      <name val="Open Sans"/>
      <family val="2"/>
      <charset val="238"/>
    </font>
    <font>
      <b/>
      <sz val="20"/>
      <color rgb="FF00B050"/>
      <name val="Open Sans"/>
      <family val="2"/>
      <charset val="238"/>
    </font>
    <font>
      <sz val="14"/>
      <name val="Open Sans"/>
      <family val="2"/>
      <charset val="238"/>
    </font>
    <font>
      <b/>
      <sz val="16"/>
      <name val="Open Sans"/>
      <family val="2"/>
      <charset val="238"/>
    </font>
    <font>
      <b/>
      <sz val="16"/>
      <color theme="1"/>
      <name val="Open Sans"/>
      <family val="2"/>
      <charset val="238"/>
    </font>
    <font>
      <b/>
      <sz val="14"/>
      <name val="Open Sans"/>
      <family val="2"/>
      <charset val="238"/>
    </font>
    <font>
      <b/>
      <sz val="14"/>
      <color theme="4" tint="-0.499984740745262"/>
      <name val="Open Sans"/>
      <family val="2"/>
      <charset val="238"/>
    </font>
    <font>
      <b/>
      <sz val="20"/>
      <name val="Open Sans"/>
      <family val="2"/>
      <charset val="238"/>
    </font>
    <font>
      <b/>
      <sz val="20"/>
      <color theme="0"/>
      <name val="Open Sans"/>
      <family val="2"/>
      <charset val="238"/>
    </font>
    <font>
      <b/>
      <sz val="16"/>
      <color theme="4" tint="0.39997558519241921"/>
      <name val="Open Sans"/>
      <family val="2"/>
      <charset val="238"/>
    </font>
    <font>
      <b/>
      <sz val="20"/>
      <color rgb="FFFFFF00"/>
      <name val="Open Sans"/>
      <family val="2"/>
      <charset val="238"/>
    </font>
    <font>
      <b/>
      <sz val="14"/>
      <color rgb="FFD3544B"/>
      <name val="Open Sans"/>
      <family val="2"/>
      <charset val="238"/>
    </font>
    <font>
      <b/>
      <sz val="14"/>
      <color rgb="FF0070C0"/>
      <name val="Open Sans"/>
      <family val="2"/>
      <charset val="238"/>
    </font>
    <font>
      <b/>
      <sz val="12"/>
      <name val="Open Sans"/>
      <family val="2"/>
      <charset val="238"/>
    </font>
    <font>
      <u/>
      <sz val="12"/>
      <color theme="10"/>
      <name val="Open Sans"/>
      <family val="2"/>
      <charset val="238"/>
    </font>
    <font>
      <u/>
      <sz val="11"/>
      <color theme="10"/>
      <name val="Open Sans"/>
      <family val="2"/>
      <charset val="238"/>
    </font>
    <font>
      <b/>
      <sz val="14"/>
      <color theme="5" tint="-0.249977111117893"/>
      <name val="Open Sans"/>
      <family val="2"/>
      <charset val="238"/>
    </font>
    <font>
      <b/>
      <sz val="14"/>
      <color theme="4" tint="-0.249977111117893"/>
      <name val="Open Sans"/>
      <family val="2"/>
      <charset val="238"/>
    </font>
    <font>
      <i/>
      <sz val="12"/>
      <name val="Open Sans"/>
      <family val="2"/>
      <charset val="238"/>
    </font>
    <font>
      <b/>
      <i/>
      <sz val="12"/>
      <name val="Open Sans"/>
      <family val="2"/>
      <charset val="238"/>
    </font>
    <font>
      <sz val="12"/>
      <color rgb="FFFF0000"/>
      <name val="Open Sans"/>
      <family val="2"/>
      <charset val="238"/>
    </font>
    <font>
      <sz val="12"/>
      <color rgb="FF4A4A4A"/>
      <name val="Open Sans"/>
      <family val="2"/>
      <charset val="238"/>
    </font>
    <font>
      <b/>
      <sz val="18"/>
      <color rgb="FFD3544B"/>
      <name val="Open Sans"/>
      <family val="2"/>
      <charset val="238"/>
    </font>
    <font>
      <b/>
      <sz val="14"/>
      <color theme="9"/>
      <name val="Open Sans"/>
      <family val="2"/>
      <charset val="238"/>
    </font>
    <font>
      <b/>
      <sz val="20"/>
      <color rgb="FFC00000"/>
      <name val="Open Sans"/>
      <family val="2"/>
      <charset val="238"/>
    </font>
    <font>
      <sz val="11"/>
      <name val="Open Sans"/>
      <family val="2"/>
      <charset val="238"/>
    </font>
    <font>
      <b/>
      <sz val="12"/>
      <color theme="8" tint="-0.499984740745262"/>
      <name val="Open Sans"/>
      <family val="2"/>
      <charset val="238"/>
    </font>
    <font>
      <b/>
      <sz val="14"/>
      <color rgb="FFC00000"/>
      <name val="Open Sans"/>
      <family val="2"/>
      <charset val="238"/>
    </font>
    <font>
      <sz val="14"/>
      <color theme="1"/>
      <name val="Open Sans"/>
      <family val="2"/>
      <charset val="238"/>
    </font>
    <font>
      <sz val="12"/>
      <color theme="0"/>
      <name val="Open Sans"/>
      <family val="2"/>
      <charset val="238"/>
    </font>
    <font>
      <b/>
      <sz val="14"/>
      <color theme="0"/>
      <name val="Open Sans"/>
      <family val="2"/>
      <charset val="238"/>
    </font>
    <font>
      <b/>
      <i/>
      <sz val="12"/>
      <color theme="8" tint="-0.499984740745262"/>
      <name val="Open Sans"/>
      <family val="2"/>
      <charset val="238"/>
    </font>
    <font>
      <b/>
      <sz val="12"/>
      <color rgb="FFFF5050"/>
      <name val="Open Sans"/>
      <family val="2"/>
      <charset val="238"/>
    </font>
    <font>
      <b/>
      <sz val="12"/>
      <color rgb="FF003399"/>
      <name val="Open Sans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8A6B9"/>
        <bgColor indexed="64"/>
      </patternFill>
    </fill>
    <fill>
      <patternFill patternType="solid">
        <fgColor rgb="FFD3544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24460"/>
        <bgColor indexed="64"/>
      </patternFill>
    </fill>
    <fill>
      <patternFill patternType="solid">
        <fgColor rgb="FFED6862"/>
        <bgColor indexed="64"/>
      </patternFill>
    </fill>
    <fill>
      <patternFill patternType="solid">
        <fgColor rgb="FF99B4BF"/>
        <bgColor indexed="64"/>
      </patternFill>
    </fill>
    <fill>
      <patternFill patternType="solid">
        <fgColor rgb="FFFDEFEF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3">
    <xf numFmtId="0" fontId="0" fillId="0" borderId="0" xfId="0"/>
    <xf numFmtId="0" fontId="3" fillId="15" borderId="24" xfId="0" applyFont="1" applyFill="1" applyBorder="1" applyAlignment="1">
      <alignment vertical="center" wrapText="1"/>
    </xf>
    <xf numFmtId="0" fontId="4" fillId="16" borderId="24" xfId="0" applyFont="1" applyFill="1" applyBorder="1" applyAlignment="1">
      <alignment horizontal="right" vertical="center"/>
    </xf>
    <xf numFmtId="44" fontId="4" fillId="16" borderId="24" xfId="1" applyNumberFormat="1" applyFont="1" applyFill="1" applyBorder="1" applyAlignment="1">
      <alignment horizontal="right" vertical="center"/>
    </xf>
    <xf numFmtId="0" fontId="5" fillId="2" borderId="0" xfId="0" applyFont="1" applyFill="1"/>
    <xf numFmtId="169" fontId="4" fillId="16" borderId="24" xfId="1" applyNumberFormat="1" applyFont="1" applyFill="1" applyBorder="1" applyAlignment="1">
      <alignment horizontal="right" vertical="center"/>
    </xf>
    <xf numFmtId="0" fontId="9" fillId="2" borderId="0" xfId="0" applyFont="1" applyFill="1"/>
    <xf numFmtId="0" fontId="9" fillId="2" borderId="0" xfId="0" applyFont="1" applyFill="1" applyBorder="1"/>
    <xf numFmtId="169" fontId="9" fillId="2" borderId="0" xfId="0" applyNumberFormat="1" applyFont="1" applyFill="1" applyBorder="1"/>
    <xf numFmtId="10" fontId="9" fillId="2" borderId="0" xfId="0" applyNumberFormat="1" applyFont="1" applyFill="1"/>
    <xf numFmtId="0" fontId="9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wrapText="1"/>
    </xf>
    <xf numFmtId="169" fontId="8" fillId="2" borderId="0" xfId="0" applyNumberFormat="1" applyFont="1" applyFill="1" applyBorder="1"/>
    <xf numFmtId="0" fontId="9" fillId="2" borderId="0" xfId="0" applyFont="1" applyFill="1" applyBorder="1" applyAlignment="1">
      <alignment wrapText="1"/>
    </xf>
    <xf numFmtId="169" fontId="9" fillId="2" borderId="0" xfId="1" applyNumberFormat="1" applyFont="1" applyFill="1" applyBorder="1" applyAlignment="1">
      <alignment wrapText="1"/>
    </xf>
    <xf numFmtId="0" fontId="9" fillId="9" borderId="0" xfId="0" applyFont="1" applyFill="1"/>
    <xf numFmtId="164" fontId="12" fillId="9" borderId="4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wrapText="1"/>
    </xf>
    <xf numFmtId="0" fontId="14" fillId="2" borderId="0" xfId="0" applyFont="1" applyFill="1"/>
    <xf numFmtId="0" fontId="15" fillId="2" borderId="0" xfId="0" applyFont="1" applyFill="1"/>
    <xf numFmtId="0" fontId="9" fillId="0" borderId="0" xfId="0" applyFont="1"/>
    <xf numFmtId="0" fontId="15" fillId="2" borderId="0" xfId="0" applyFont="1" applyFill="1" applyAlignment="1">
      <alignment horizontal="left"/>
    </xf>
    <xf numFmtId="0" fontId="17" fillId="12" borderId="21" xfId="0" applyFont="1" applyFill="1" applyBorder="1" applyAlignment="1">
      <alignment horizontal="center"/>
    </xf>
    <xf numFmtId="0" fontId="20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wrapText="1"/>
    </xf>
    <xf numFmtId="0" fontId="12" fillId="2" borderId="0" xfId="0" applyFont="1" applyFill="1"/>
    <xf numFmtId="0" fontId="13" fillId="2" borderId="0" xfId="0" applyFont="1" applyFill="1"/>
    <xf numFmtId="0" fontId="16" fillId="2" borderId="0" xfId="0" applyFont="1" applyFill="1" applyAlignment="1">
      <alignment horizontal="center" vertical="center"/>
    </xf>
    <xf numFmtId="0" fontId="21" fillId="7" borderId="2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wrapText="1"/>
    </xf>
    <xf numFmtId="0" fontId="21" fillId="7" borderId="17" xfId="0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164" fontId="24" fillId="2" borderId="4" xfId="0" applyNumberFormat="1" applyFont="1" applyFill="1" applyBorder="1" applyAlignment="1">
      <alignment horizontal="center" vertical="center" wrapText="1"/>
    </xf>
    <xf numFmtId="0" fontId="24" fillId="2" borderId="4" xfId="0" applyNumberFormat="1" applyFont="1" applyFill="1" applyBorder="1" applyAlignment="1">
      <alignment horizontal="center" vertical="center" wrapText="1"/>
    </xf>
    <xf numFmtId="164" fontId="18" fillId="2" borderId="4" xfId="0" applyNumberFormat="1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27" fillId="2" borderId="4" xfId="3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vertical="center" wrapText="1"/>
    </xf>
    <xf numFmtId="164" fontId="28" fillId="2" borderId="4" xfId="3" applyNumberFormat="1" applyFont="1" applyFill="1" applyBorder="1" applyAlignment="1">
      <alignment vertical="center" wrapText="1"/>
    </xf>
    <xf numFmtId="0" fontId="10" fillId="2" borderId="0" xfId="0" applyFont="1" applyFill="1" applyAlignment="1">
      <alignment wrapText="1"/>
    </xf>
    <xf numFmtId="0" fontId="27" fillId="2" borderId="0" xfId="3" applyFont="1" applyFill="1"/>
    <xf numFmtId="0" fontId="21" fillId="7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vertical="center" wrapText="1"/>
    </xf>
    <xf numFmtId="164" fontId="26" fillId="2" borderId="4" xfId="0" applyNumberFormat="1" applyFont="1" applyFill="1" applyBorder="1" applyAlignment="1">
      <alignment vertical="center" wrapText="1"/>
    </xf>
    <xf numFmtId="164" fontId="26" fillId="2" borderId="4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Border="1" applyAlignment="1">
      <alignment vertical="center" wrapText="1"/>
    </xf>
    <xf numFmtId="0" fontId="12" fillId="2" borderId="4" xfId="0" applyFont="1" applyFill="1" applyBorder="1" applyAlignment="1">
      <alignment horizontal="center" wrapText="1"/>
    </xf>
    <xf numFmtId="0" fontId="28" fillId="2" borderId="4" xfId="3" applyFont="1" applyFill="1" applyBorder="1" applyAlignment="1">
      <alignment vertical="center" wrapText="1"/>
    </xf>
    <xf numFmtId="0" fontId="28" fillId="0" borderId="0" xfId="3" applyFont="1" applyAlignment="1">
      <alignment vertical="center" wrapText="1"/>
    </xf>
    <xf numFmtId="164" fontId="33" fillId="2" borderId="4" xfId="0" applyNumberFormat="1" applyFont="1" applyFill="1" applyBorder="1" applyAlignment="1">
      <alignment vertical="center" wrapText="1"/>
    </xf>
    <xf numFmtId="0" fontId="34" fillId="0" borderId="0" xfId="0" applyFont="1" applyAlignment="1">
      <alignment horizontal="left" vertical="center" wrapText="1" indent="1"/>
    </xf>
    <xf numFmtId="0" fontId="35" fillId="2" borderId="4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6" fontId="12" fillId="2" borderId="4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28" fillId="2" borderId="4" xfId="3" quotePrefix="1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27" fillId="2" borderId="0" xfId="3" applyFont="1" applyFill="1" applyAlignment="1">
      <alignment horizontal="center" vertical="center"/>
    </xf>
    <xf numFmtId="0" fontId="3" fillId="2" borderId="0" xfId="0" applyFont="1" applyFill="1"/>
    <xf numFmtId="0" fontId="12" fillId="2" borderId="0" xfId="0" applyFont="1" applyFill="1" applyAlignment="1">
      <alignment horizontal="left"/>
    </xf>
    <xf numFmtId="0" fontId="14" fillId="2" borderId="0" xfId="0" applyFont="1" applyFill="1" applyAlignment="1">
      <alignment wrapText="1"/>
    </xf>
    <xf numFmtId="0" fontId="14" fillId="2" borderId="0" xfId="0" applyFont="1" applyFill="1" applyAlignment="1">
      <alignment horizontal="left"/>
    </xf>
    <xf numFmtId="0" fontId="37" fillId="2" borderId="0" xfId="0" applyFont="1" applyFill="1"/>
    <xf numFmtId="0" fontId="9" fillId="2" borderId="6" xfId="0" applyFont="1" applyFill="1" applyBorder="1"/>
    <xf numFmtId="5" fontId="5" fillId="2" borderId="8" xfId="1" applyNumberFormat="1" applyFont="1" applyFill="1" applyBorder="1" applyAlignment="1"/>
    <xf numFmtId="0" fontId="12" fillId="2" borderId="9" xfId="0" applyFont="1" applyFill="1" applyBorder="1" applyAlignment="1">
      <alignment horizontal="left" vertical="center" wrapText="1"/>
    </xf>
    <xf numFmtId="0" fontId="38" fillId="2" borderId="10" xfId="0" applyFont="1" applyFill="1" applyBorder="1" applyAlignment="1">
      <alignment horizontal="left" vertical="center" wrapText="1"/>
    </xf>
    <xf numFmtId="0" fontId="39" fillId="2" borderId="5" xfId="0" applyFont="1" applyFill="1" applyBorder="1" applyAlignment="1">
      <alignment horizontal="left" vertical="center" wrapText="1"/>
    </xf>
    <xf numFmtId="165" fontId="8" fillId="0" borderId="9" xfId="0" applyNumberFormat="1" applyFont="1" applyBorder="1"/>
    <xf numFmtId="9" fontId="8" fillId="0" borderId="10" xfId="2" applyFont="1" applyBorder="1"/>
    <xf numFmtId="10" fontId="8" fillId="0" borderId="10" xfId="2" applyNumberFormat="1" applyFont="1" applyBorder="1"/>
    <xf numFmtId="5" fontId="9" fillId="2" borderId="0" xfId="0" applyNumberFormat="1" applyFont="1" applyFill="1"/>
    <xf numFmtId="0" fontId="5" fillId="2" borderId="0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right" vertical="center"/>
    </xf>
    <xf numFmtId="5" fontId="5" fillId="2" borderId="20" xfId="1" applyNumberFormat="1" applyFont="1" applyFill="1" applyBorder="1" applyAlignment="1">
      <alignment horizontal="left"/>
    </xf>
    <xf numFmtId="0" fontId="9" fillId="2" borderId="8" xfId="0" applyFont="1" applyFill="1" applyBorder="1"/>
    <xf numFmtId="0" fontId="5" fillId="2" borderId="19" xfId="0" applyFont="1" applyFill="1" applyBorder="1" applyAlignment="1">
      <alignment vertical="center"/>
    </xf>
    <xf numFmtId="5" fontId="5" fillId="2" borderId="0" xfId="1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top" wrapText="1"/>
    </xf>
    <xf numFmtId="0" fontId="31" fillId="2" borderId="9" xfId="0" applyFont="1" applyFill="1" applyBorder="1" applyAlignment="1">
      <alignment horizontal="left" vertical="center" wrapText="1"/>
    </xf>
    <xf numFmtId="0" fontId="31" fillId="2" borderId="4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wrapText="1"/>
    </xf>
    <xf numFmtId="0" fontId="31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horizontal="left" vertical="center" wrapText="1"/>
    </xf>
    <xf numFmtId="44" fontId="12" fillId="2" borderId="0" xfId="1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5" fontId="3" fillId="2" borderId="16" xfId="1" applyNumberFormat="1" applyFont="1" applyFill="1" applyBorder="1" applyAlignment="1"/>
    <xf numFmtId="5" fontId="3" fillId="2" borderId="17" xfId="1" applyNumberFormat="1" applyFont="1" applyFill="1" applyBorder="1" applyAlignment="1"/>
    <xf numFmtId="5" fontId="3" fillId="2" borderId="18" xfId="1" applyNumberFormat="1" applyFont="1" applyFill="1" applyBorder="1" applyAlignment="1"/>
    <xf numFmtId="5" fontId="3" fillId="2" borderId="0" xfId="1" applyNumberFormat="1" applyFont="1" applyFill="1" applyBorder="1" applyAlignment="1"/>
    <xf numFmtId="165" fontId="9" fillId="0" borderId="9" xfId="0" applyNumberFormat="1" applyFont="1" applyBorder="1"/>
    <xf numFmtId="165" fontId="9" fillId="0" borderId="4" xfId="0" applyNumberFormat="1" applyFont="1" applyBorder="1"/>
    <xf numFmtId="165" fontId="9" fillId="0" borderId="10" xfId="0" applyNumberFormat="1" applyFont="1" applyBorder="1"/>
    <xf numFmtId="165" fontId="9" fillId="2" borderId="0" xfId="0" applyNumberFormat="1" applyFont="1" applyFill="1" applyBorder="1"/>
    <xf numFmtId="10" fontId="9" fillId="2" borderId="0" xfId="2" applyNumberFormat="1" applyFont="1" applyFill="1" applyBorder="1"/>
    <xf numFmtId="165" fontId="9" fillId="0" borderId="15" xfId="0" applyNumberFormat="1" applyFont="1" applyBorder="1"/>
    <xf numFmtId="165" fontId="9" fillId="0" borderId="12" xfId="0" applyNumberFormat="1" applyFont="1" applyBorder="1"/>
    <xf numFmtId="165" fontId="9" fillId="0" borderId="11" xfId="0" applyNumberFormat="1" applyFont="1" applyBorder="1"/>
    <xf numFmtId="165" fontId="9" fillId="2" borderId="0" xfId="0" applyNumberFormat="1" applyFont="1" applyFill="1"/>
    <xf numFmtId="0" fontId="42" fillId="2" borderId="0" xfId="0" applyFont="1" applyFill="1" applyBorder="1" applyAlignment="1">
      <alignment horizontal="left" vertical="center" wrapText="1"/>
    </xf>
    <xf numFmtId="168" fontId="9" fillId="2" borderId="0" xfId="0" applyNumberFormat="1" applyFont="1" applyFill="1" applyBorder="1"/>
    <xf numFmtId="8" fontId="9" fillId="2" borderId="0" xfId="0" applyNumberFormat="1" applyFont="1" applyFill="1" applyBorder="1"/>
    <xf numFmtId="1" fontId="9" fillId="2" borderId="0" xfId="0" applyNumberFormat="1" applyFont="1" applyFill="1" applyBorder="1"/>
    <xf numFmtId="0" fontId="9" fillId="0" borderId="4" xfId="0" applyFont="1" applyBorder="1"/>
    <xf numFmtId="10" fontId="9" fillId="9" borderId="4" xfId="0" applyNumberFormat="1" applyFont="1" applyFill="1" applyBorder="1"/>
    <xf numFmtId="0" fontId="9" fillId="2" borderId="0" xfId="0" quotePrefix="1" applyFont="1" applyFill="1"/>
    <xf numFmtId="8" fontId="9" fillId="9" borderId="4" xfId="0" applyNumberFormat="1" applyFont="1" applyFill="1" applyBorder="1"/>
    <xf numFmtId="0" fontId="9" fillId="0" borderId="4" xfId="0" applyFont="1" applyBorder="1" applyAlignment="1">
      <alignment wrapText="1"/>
    </xf>
    <xf numFmtId="8" fontId="9" fillId="10" borderId="4" xfId="0" applyNumberFormat="1" applyFont="1" applyFill="1" applyBorder="1"/>
    <xf numFmtId="0" fontId="42" fillId="8" borderId="4" xfId="0" applyFont="1" applyFill="1" applyBorder="1" applyAlignment="1">
      <alignment horizontal="left" vertical="center" wrapText="1"/>
    </xf>
    <xf numFmtId="6" fontId="9" fillId="0" borderId="4" xfId="0" applyNumberFormat="1" applyFont="1" applyBorder="1"/>
    <xf numFmtId="8" fontId="9" fillId="0" borderId="4" xfId="0" applyNumberFormat="1" applyFont="1" applyBorder="1"/>
    <xf numFmtId="10" fontId="9" fillId="2" borderId="4" xfId="2" applyNumberFormat="1" applyFont="1" applyFill="1" applyBorder="1"/>
    <xf numFmtId="0" fontId="44" fillId="2" borderId="5" xfId="0" applyFont="1" applyFill="1" applyBorder="1" applyAlignment="1">
      <alignment horizontal="left" vertical="center" wrapText="1"/>
    </xf>
    <xf numFmtId="0" fontId="43" fillId="13" borderId="4" xfId="0" applyFont="1" applyFill="1" applyBorder="1" applyAlignment="1">
      <alignment horizontal="left" vertical="center" wrapText="1"/>
    </xf>
    <xf numFmtId="0" fontId="43" fillId="14" borderId="4" xfId="0" applyFont="1" applyFill="1" applyBorder="1" applyAlignment="1">
      <alignment horizontal="left" vertical="center" wrapText="1"/>
    </xf>
    <xf numFmtId="0" fontId="43" fillId="11" borderId="4" xfId="0" applyFont="1" applyFill="1" applyBorder="1" applyAlignment="1">
      <alignment horizontal="left" vertical="center" wrapText="1"/>
    </xf>
    <xf numFmtId="0" fontId="43" fillId="4" borderId="4" xfId="0" applyFont="1" applyFill="1" applyBorder="1" applyAlignment="1">
      <alignment horizontal="left" vertical="center" wrapText="1"/>
    </xf>
    <xf numFmtId="0" fontId="43" fillId="5" borderId="4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12" fillId="6" borderId="4" xfId="0" applyFont="1" applyFill="1" applyBorder="1" applyAlignment="1">
      <alignment horizontal="left" vertical="center" wrapText="1"/>
    </xf>
    <xf numFmtId="10" fontId="9" fillId="6" borderId="4" xfId="0" applyNumberFormat="1" applyFont="1" applyFill="1" applyBorder="1"/>
    <xf numFmtId="165" fontId="9" fillId="6" borderId="4" xfId="0" applyNumberFormat="1" applyFont="1" applyFill="1" applyBorder="1"/>
    <xf numFmtId="166" fontId="9" fillId="9" borderId="4" xfId="0" applyNumberFormat="1" applyFont="1" applyFill="1" applyBorder="1"/>
    <xf numFmtId="166" fontId="9" fillId="6" borderId="4" xfId="0" applyNumberFormat="1" applyFont="1" applyFill="1" applyBorder="1"/>
    <xf numFmtId="165" fontId="9" fillId="9" borderId="4" xfId="0" applyNumberFormat="1" applyFont="1" applyFill="1" applyBorder="1"/>
    <xf numFmtId="167" fontId="9" fillId="2" borderId="0" xfId="0" applyNumberFormat="1" applyFont="1" applyFill="1"/>
    <xf numFmtId="169" fontId="9" fillId="15" borderId="24" xfId="1" applyNumberFormat="1" applyFont="1" applyFill="1" applyBorder="1"/>
    <xf numFmtId="169" fontId="4" fillId="15" borderId="24" xfId="1" applyNumberFormat="1" applyFont="1" applyFill="1" applyBorder="1"/>
    <xf numFmtId="0" fontId="4" fillId="3" borderId="26" xfId="0" applyFont="1" applyFill="1" applyBorder="1"/>
    <xf numFmtId="0" fontId="9" fillId="3" borderId="27" xfId="0" applyFont="1" applyFill="1" applyBorder="1" applyAlignment="1">
      <alignment wrapText="1"/>
    </xf>
    <xf numFmtId="0" fontId="9" fillId="3" borderId="25" xfId="0" applyFont="1" applyFill="1" applyBorder="1" applyAlignment="1">
      <alignment wrapText="1"/>
    </xf>
    <xf numFmtId="0" fontId="9" fillId="3" borderId="29" xfId="0" applyFont="1" applyFill="1" applyBorder="1" applyAlignment="1">
      <alignment wrapText="1"/>
    </xf>
    <xf numFmtId="0" fontId="9" fillId="3" borderId="30" xfId="0" applyFont="1" applyFill="1" applyBorder="1" applyAlignment="1">
      <alignment wrapText="1"/>
    </xf>
    <xf numFmtId="169" fontId="9" fillId="15" borderId="25" xfId="1" applyNumberFormat="1" applyFont="1" applyFill="1" applyBorder="1"/>
    <xf numFmtId="169" fontId="4" fillId="15" borderId="26" xfId="1" applyNumberFormat="1" applyFont="1" applyFill="1" applyBorder="1"/>
    <xf numFmtId="0" fontId="6" fillId="5" borderId="35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10" fontId="9" fillId="2" borderId="37" xfId="0" applyNumberFormat="1" applyFont="1" applyFill="1" applyBorder="1" applyAlignment="1">
      <alignment wrapText="1"/>
    </xf>
    <xf numFmtId="10" fontId="9" fillId="2" borderId="39" xfId="0" applyNumberFormat="1" applyFont="1" applyFill="1" applyBorder="1" applyAlignment="1">
      <alignment wrapText="1"/>
    </xf>
    <xf numFmtId="6" fontId="3" fillId="15" borderId="40" xfId="0" applyNumberFormat="1" applyFont="1" applyFill="1" applyBorder="1" applyAlignment="1">
      <alignment vertical="center" wrapText="1"/>
    </xf>
    <xf numFmtId="0" fontId="6" fillId="17" borderId="35" xfId="0" applyFont="1" applyFill="1" applyBorder="1" applyAlignment="1">
      <alignment horizontal="center" vertical="center" wrapText="1"/>
    </xf>
    <xf numFmtId="0" fontId="6" fillId="17" borderId="36" xfId="0" applyFont="1" applyFill="1" applyBorder="1" applyAlignment="1">
      <alignment horizontal="center" vertical="center" wrapText="1"/>
    </xf>
    <xf numFmtId="169" fontId="9" fillId="2" borderId="43" xfId="1" applyNumberFormat="1" applyFont="1" applyFill="1" applyBorder="1" applyAlignment="1">
      <alignment wrapText="1"/>
    </xf>
    <xf numFmtId="169" fontId="9" fillId="2" borderId="44" xfId="1" applyNumberFormat="1" applyFont="1" applyFill="1" applyBorder="1" applyAlignment="1">
      <alignment wrapText="1"/>
    </xf>
    <xf numFmtId="169" fontId="9" fillId="2" borderId="37" xfId="1" applyNumberFormat="1" applyFont="1" applyFill="1" applyBorder="1" applyAlignment="1">
      <alignment wrapText="1"/>
    </xf>
    <xf numFmtId="44" fontId="9" fillId="2" borderId="38" xfId="0" applyNumberFormat="1" applyFont="1" applyFill="1" applyBorder="1" applyAlignment="1">
      <alignment wrapText="1"/>
    </xf>
    <xf numFmtId="10" fontId="9" fillId="2" borderId="38" xfId="0" applyNumberFormat="1" applyFont="1" applyFill="1" applyBorder="1" applyAlignment="1">
      <alignment wrapText="1"/>
    </xf>
    <xf numFmtId="169" fontId="9" fillId="2" borderId="39" xfId="1" applyNumberFormat="1" applyFont="1" applyFill="1" applyBorder="1" applyAlignment="1">
      <alignment wrapText="1"/>
    </xf>
    <xf numFmtId="44" fontId="9" fillId="2" borderId="40" xfId="0" applyNumberFormat="1" applyFont="1" applyFill="1" applyBorder="1" applyAlignment="1">
      <alignment wrapText="1"/>
    </xf>
    <xf numFmtId="0" fontId="4" fillId="3" borderId="46" xfId="0" applyFont="1" applyFill="1" applyBorder="1"/>
    <xf numFmtId="0" fontId="4" fillId="3" borderId="46" xfId="0" applyFont="1" applyFill="1" applyBorder="1" applyAlignment="1">
      <alignment wrapText="1"/>
    </xf>
    <xf numFmtId="0" fontId="4" fillId="3" borderId="47" xfId="0" applyFont="1" applyFill="1" applyBorder="1" applyAlignment="1">
      <alignment wrapText="1"/>
    </xf>
    <xf numFmtId="169" fontId="9" fillId="15" borderId="36" xfId="1" applyNumberFormat="1" applyFont="1" applyFill="1" applyBorder="1"/>
    <xf numFmtId="169" fontId="9" fillId="15" borderId="48" xfId="1" applyNumberFormat="1" applyFont="1" applyFill="1" applyBorder="1"/>
    <xf numFmtId="170" fontId="9" fillId="2" borderId="43" xfId="1" applyNumberFormat="1" applyFont="1" applyFill="1" applyBorder="1" applyAlignment="1">
      <alignment wrapText="1"/>
    </xf>
    <xf numFmtId="170" fontId="9" fillId="2" borderId="44" xfId="1" applyNumberFormat="1" applyFont="1" applyFill="1" applyBorder="1" applyAlignment="1">
      <alignment wrapText="1"/>
    </xf>
    <xf numFmtId="10" fontId="9" fillId="2" borderId="0" xfId="0" applyNumberFormat="1" applyFont="1" applyFill="1" applyBorder="1" applyAlignment="1">
      <alignment wrapText="1"/>
    </xf>
    <xf numFmtId="170" fontId="9" fillId="2" borderId="0" xfId="1" applyNumberFormat="1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6" fontId="3" fillId="2" borderId="0" xfId="0" applyNumberFormat="1" applyFont="1" applyFill="1" applyBorder="1" applyAlignment="1">
      <alignment vertical="center" wrapText="1"/>
    </xf>
    <xf numFmtId="0" fontId="10" fillId="18" borderId="53" xfId="0" applyFont="1" applyFill="1" applyBorder="1" applyAlignment="1">
      <alignment horizontal="center" vertical="center" wrapText="1"/>
    </xf>
    <xf numFmtId="0" fontId="6" fillId="17" borderId="51" xfId="0" applyFont="1" applyFill="1" applyBorder="1" applyAlignment="1">
      <alignment horizontal="center" vertical="center" wrapText="1"/>
    </xf>
    <xf numFmtId="0" fontId="6" fillId="5" borderId="51" xfId="0" applyFont="1" applyFill="1" applyBorder="1" applyAlignment="1">
      <alignment horizontal="center" vertical="center" wrapText="1"/>
    </xf>
    <xf numFmtId="0" fontId="6" fillId="20" borderId="51" xfId="0" applyFont="1" applyFill="1" applyBorder="1" applyAlignment="1">
      <alignment horizontal="center" vertical="center" wrapText="1"/>
    </xf>
    <xf numFmtId="0" fontId="6" fillId="21" borderId="51" xfId="0" applyFont="1" applyFill="1" applyBorder="1" applyAlignment="1">
      <alignment horizontal="center" vertical="center" wrapText="1"/>
    </xf>
    <xf numFmtId="0" fontId="10" fillId="19" borderId="51" xfId="0" applyFont="1" applyFill="1" applyBorder="1" applyAlignment="1">
      <alignment horizontal="center" vertical="center" wrapText="1"/>
    </xf>
    <xf numFmtId="0" fontId="10" fillId="19" borderId="54" xfId="0" applyFont="1" applyFill="1" applyBorder="1" applyAlignment="1">
      <alignment horizontal="center" vertical="center" wrapText="1"/>
    </xf>
    <xf numFmtId="10" fontId="3" fillId="15" borderId="36" xfId="2" applyNumberFormat="1" applyFont="1" applyFill="1" applyBorder="1"/>
    <xf numFmtId="169" fontId="9" fillId="15" borderId="55" xfId="1" applyNumberFormat="1" applyFont="1" applyFill="1" applyBorder="1"/>
    <xf numFmtId="169" fontId="4" fillId="15" borderId="55" xfId="1" applyNumberFormat="1" applyFont="1" applyFill="1" applyBorder="1"/>
    <xf numFmtId="10" fontId="3" fillId="15" borderId="48" xfId="2" applyNumberFormat="1" applyFont="1" applyFill="1" applyBorder="1"/>
    <xf numFmtId="169" fontId="9" fillId="2" borderId="0" xfId="0" applyNumberFormat="1" applyFont="1" applyFill="1"/>
    <xf numFmtId="9" fontId="9" fillId="2" borderId="0" xfId="2" applyFont="1" applyFill="1"/>
    <xf numFmtId="0" fontId="5" fillId="2" borderId="0" xfId="0" applyFont="1" applyFill="1" applyAlignment="1">
      <alignment vertical="top"/>
    </xf>
    <xf numFmtId="0" fontId="4" fillId="3" borderId="47" xfId="0" applyFont="1" applyFill="1" applyBorder="1"/>
    <xf numFmtId="10" fontId="9" fillId="0" borderId="39" xfId="0" applyNumberFormat="1" applyFont="1" applyFill="1" applyBorder="1" applyAlignment="1">
      <alignment wrapText="1"/>
    </xf>
    <xf numFmtId="169" fontId="9" fillId="0" borderId="40" xfId="1" applyNumberFormat="1" applyFont="1" applyFill="1" applyBorder="1" applyAlignment="1">
      <alignment wrapText="1"/>
    </xf>
    <xf numFmtId="44" fontId="9" fillId="2" borderId="0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horizontal="left" vertical="top"/>
    </xf>
    <xf numFmtId="169" fontId="9" fillId="2" borderId="0" xfId="1" applyNumberFormat="1" applyFont="1" applyFill="1" applyBorder="1"/>
    <xf numFmtId="171" fontId="9" fillId="2" borderId="0" xfId="0" applyNumberFormat="1" applyFont="1" applyFill="1" applyBorder="1" applyAlignment="1">
      <alignment wrapText="1"/>
    </xf>
    <xf numFmtId="10" fontId="9" fillId="2" borderId="40" xfId="0" applyNumberFormat="1" applyFont="1" applyFill="1" applyBorder="1" applyAlignment="1">
      <alignment wrapText="1"/>
    </xf>
    <xf numFmtId="171" fontId="9" fillId="2" borderId="43" xfId="1" applyNumberFormat="1" applyFont="1" applyFill="1" applyBorder="1" applyAlignment="1">
      <alignment wrapText="1"/>
    </xf>
    <xf numFmtId="171" fontId="9" fillId="2" borderId="44" xfId="1" applyNumberFormat="1" applyFont="1" applyFill="1" applyBorder="1" applyAlignment="1">
      <alignment wrapText="1"/>
    </xf>
    <xf numFmtId="171" fontId="9" fillId="2" borderId="37" xfId="1" applyNumberFormat="1" applyFont="1" applyFill="1" applyBorder="1" applyAlignment="1">
      <alignment wrapText="1"/>
    </xf>
    <xf numFmtId="171" fontId="9" fillId="2" borderId="39" xfId="1" applyNumberFormat="1" applyFont="1" applyFill="1" applyBorder="1" applyAlignment="1">
      <alignment wrapText="1"/>
    </xf>
    <xf numFmtId="171" fontId="9" fillId="2" borderId="0" xfId="0" applyNumberFormat="1" applyFont="1" applyFill="1"/>
    <xf numFmtId="172" fontId="9" fillId="2" borderId="0" xfId="0" applyNumberFormat="1" applyFont="1" applyFill="1"/>
    <xf numFmtId="0" fontId="4" fillId="3" borderId="49" xfId="0" applyFont="1" applyFill="1" applyBorder="1" applyAlignment="1">
      <alignment wrapText="1"/>
    </xf>
    <xf numFmtId="10" fontId="9" fillId="2" borderId="50" xfId="0" applyNumberFormat="1" applyFont="1" applyFill="1" applyBorder="1" applyAlignment="1">
      <alignment wrapText="1"/>
    </xf>
    <xf numFmtId="169" fontId="9" fillId="15" borderId="56" xfId="1" applyNumberFormat="1" applyFont="1" applyFill="1" applyBorder="1"/>
    <xf numFmtId="6" fontId="3" fillId="15" borderId="57" xfId="0" applyNumberFormat="1" applyFont="1" applyFill="1" applyBorder="1" applyAlignment="1">
      <alignment vertical="center" wrapText="1"/>
    </xf>
    <xf numFmtId="169" fontId="9" fillId="2" borderId="52" xfId="1" applyNumberFormat="1" applyFont="1" applyFill="1" applyBorder="1" applyAlignment="1">
      <alignment wrapText="1"/>
    </xf>
    <xf numFmtId="170" fontId="9" fillId="2" borderId="52" xfId="1" applyNumberFormat="1" applyFont="1" applyFill="1" applyBorder="1" applyAlignment="1">
      <alignment wrapText="1"/>
    </xf>
    <xf numFmtId="171" fontId="9" fillId="9" borderId="52" xfId="1" applyNumberFormat="1" applyFont="1" applyFill="1" applyBorder="1" applyAlignment="1">
      <alignment wrapText="1"/>
    </xf>
    <xf numFmtId="169" fontId="9" fillId="2" borderId="50" xfId="1" applyNumberFormat="1" applyFont="1" applyFill="1" applyBorder="1" applyAlignment="1">
      <alignment wrapText="1"/>
    </xf>
    <xf numFmtId="44" fontId="9" fillId="2" borderId="57" xfId="0" applyNumberFormat="1" applyFont="1" applyFill="1" applyBorder="1" applyAlignment="1">
      <alignment wrapText="1"/>
    </xf>
    <xf numFmtId="171" fontId="9" fillId="9" borderId="44" xfId="1" applyNumberFormat="1" applyFont="1" applyFill="1" applyBorder="1" applyAlignment="1">
      <alignment wrapText="1"/>
    </xf>
    <xf numFmtId="0" fontId="10" fillId="18" borderId="41" xfId="0" applyFont="1" applyFill="1" applyBorder="1" applyAlignment="1">
      <alignment horizontal="center" vertical="center" wrapText="1"/>
    </xf>
    <xf numFmtId="0" fontId="10" fillId="18" borderId="4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wrapText="1"/>
    </xf>
    <xf numFmtId="0" fontId="6" fillId="5" borderId="33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6" fillId="17" borderId="33" xfId="0" applyFont="1" applyFill="1" applyBorder="1" applyAlignment="1">
      <alignment horizontal="center" vertical="center" wrapText="1"/>
    </xf>
    <xf numFmtId="0" fontId="6" fillId="17" borderId="34" xfId="0" applyFont="1" applyFill="1" applyBorder="1" applyAlignment="1">
      <alignment horizontal="center" vertical="center" wrapText="1"/>
    </xf>
    <xf numFmtId="0" fontId="6" fillId="21" borderId="41" xfId="0" applyFont="1" applyFill="1" applyBorder="1" applyAlignment="1">
      <alignment horizontal="center" vertical="center" wrapText="1"/>
    </xf>
    <xf numFmtId="0" fontId="6" fillId="21" borderId="42" xfId="0" applyFont="1" applyFill="1" applyBorder="1" applyAlignment="1">
      <alignment horizontal="center" vertical="center" wrapText="1"/>
    </xf>
    <xf numFmtId="0" fontId="6" fillId="20" borderId="41" xfId="0" applyFont="1" applyFill="1" applyBorder="1" applyAlignment="1">
      <alignment horizontal="center" vertical="center" wrapText="1"/>
    </xf>
    <xf numFmtId="0" fontId="6" fillId="20" borderId="42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/>
    </xf>
    <xf numFmtId="0" fontId="18" fillId="6" borderId="2" xfId="0" applyFont="1" applyFill="1" applyBorder="1" applyAlignment="1">
      <alignment horizontal="center"/>
    </xf>
    <xf numFmtId="0" fontId="18" fillId="6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41" fillId="9" borderId="22" xfId="0" applyFont="1" applyFill="1" applyBorder="1" applyAlignment="1">
      <alignment horizontal="center" vertical="center" wrapText="1"/>
    </xf>
    <xf numFmtId="0" fontId="43" fillId="5" borderId="14" xfId="0" applyFont="1" applyFill="1" applyBorder="1" applyAlignment="1">
      <alignment horizontal="center"/>
    </xf>
    <xf numFmtId="0" fontId="43" fillId="13" borderId="14" xfId="0" applyFont="1" applyFill="1" applyBorder="1" applyAlignment="1">
      <alignment horizontal="center"/>
    </xf>
    <xf numFmtId="0" fontId="43" fillId="14" borderId="14" xfId="0" applyFont="1" applyFill="1" applyBorder="1" applyAlignment="1">
      <alignment horizontal="center"/>
    </xf>
    <xf numFmtId="0" fontId="43" fillId="11" borderId="14" xfId="0" applyFont="1" applyFill="1" applyBorder="1" applyAlignment="1">
      <alignment horizontal="center"/>
    </xf>
    <xf numFmtId="0" fontId="43" fillId="4" borderId="14" xfId="0" applyFont="1" applyFill="1" applyBorder="1" applyAlignment="1">
      <alignment horizontal="center"/>
    </xf>
    <xf numFmtId="169" fontId="9" fillId="2" borderId="0" xfId="0" applyNumberFormat="1" applyFont="1" applyFill="1" applyBorder="1" applyAlignment="1">
      <alignment wrapText="1"/>
    </xf>
  </cellXfs>
  <cellStyles count="6">
    <cellStyle name="Dziesiętny 2" xfId="4" xr:uid="{49CA3934-323C-4A2B-8A89-8D3323C5CF96}"/>
    <cellStyle name="Hiperłącze" xfId="3" builtinId="8"/>
    <cellStyle name="Normalny" xfId="0" builtinId="0"/>
    <cellStyle name="Procentowy" xfId="2" builtinId="5"/>
    <cellStyle name="Walutowy" xfId="1" builtinId="4"/>
    <cellStyle name="Walutowy 2" xfId="5" xr:uid="{6958EA2C-E4B5-465B-9500-5F27A2317CA3}"/>
  </cellStyles>
  <dxfs count="0"/>
  <tableStyles count="0" defaultTableStyle="TableStyleMedium2" defaultPivotStyle="PivotStyleLight16"/>
  <colors>
    <mruColors>
      <color rgb="FFC0CA02"/>
      <color rgb="FFCCCC00"/>
      <color rgb="FFFF5050"/>
      <color rgb="FF003399"/>
      <color rgb="FF0099C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400050</xdr:colOff>
      <xdr:row>1</xdr:row>
      <xdr:rowOff>0</xdr:rowOff>
    </xdr:from>
    <xdr:to>
      <xdr:col>12</xdr:col>
      <xdr:colOff>342900</xdr:colOff>
      <xdr:row>2</xdr:row>
      <xdr:rowOff>203721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2988DE2-F641-4F4A-8814-FCCA2DF73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81975" y="545431"/>
          <a:ext cx="1644650" cy="397396"/>
        </a:xfrm>
        <a:prstGeom prst="rect">
          <a:avLst/>
        </a:prstGeom>
      </xdr:spPr>
    </xdr:pic>
    <xdr:clientData/>
  </xdr:twoCellAnchor>
  <xdr:oneCellAnchor>
    <xdr:from>
      <xdr:col>0</xdr:col>
      <xdr:colOff>15240</xdr:colOff>
      <xdr:row>16</xdr:row>
      <xdr:rowOff>213360</xdr:rowOff>
    </xdr:from>
    <xdr:ext cx="1644650" cy="400571"/>
    <xdr:pic>
      <xdr:nvPicPr>
        <xdr:cNvPr id="4" name="Obraz 3">
          <a:extLst>
            <a:ext uri="{FF2B5EF4-FFF2-40B4-BE49-F238E27FC236}">
              <a16:creationId xmlns:a16="http://schemas.microsoft.com/office/drawing/2014/main" id="{62B4C100-6CDA-49F0-8AB9-641E59B37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" y="9525000"/>
          <a:ext cx="1644650" cy="400571"/>
        </a:xfrm>
        <a:prstGeom prst="rect">
          <a:avLst/>
        </a:prstGeom>
      </xdr:spPr>
    </xdr:pic>
    <xdr:clientData/>
  </xdr:oneCellAnchor>
  <xdr:oneCellAnchor>
    <xdr:from>
      <xdr:col>10</xdr:col>
      <xdr:colOff>419100</xdr:colOff>
      <xdr:row>3</xdr:row>
      <xdr:rowOff>57150</xdr:rowOff>
    </xdr:from>
    <xdr:ext cx="1644650" cy="400571"/>
    <xdr:pic>
      <xdr:nvPicPr>
        <xdr:cNvPr id="5" name="Obraz 4">
          <a:extLst>
            <a:ext uri="{FF2B5EF4-FFF2-40B4-BE49-F238E27FC236}">
              <a16:creationId xmlns:a16="http://schemas.microsoft.com/office/drawing/2014/main" id="{3BC678D2-C86A-487F-AD75-CAB6A16E5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24925" y="7981950"/>
          <a:ext cx="1644650" cy="400571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Katarzyna Iwuc" id="{3FE90B48-D87E-41DC-9C29-198C4617E4EC}" userId="1f5fe913bd258826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5" dT="2021-11-09T12:23:01.32" personId="{3FE90B48-D87E-41DC-9C29-198C4617E4EC}" id="{FCB9834C-82B0-44E1-AADC-3FB0F29C2A16}">
    <text>Proszę wpisać wysokość opłaty rocznej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about:blank" TargetMode="External"/><Relationship Id="rId13" Type="http://schemas.openxmlformats.org/officeDocument/2006/relationships/comments" Target="../comments1.xml"/><Relationship Id="rId3" Type="http://schemas.openxmlformats.org/officeDocument/2006/relationships/hyperlink" Target="https://bossa.pl/oferta/IKE-i-IKZE" TargetMode="External"/><Relationship Id="rId7" Type="http://schemas.openxmlformats.org/officeDocument/2006/relationships/hyperlink" Target="http://www.inwestoronline.pl/r/res/wykaz_tabel/tabela_etf.xls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s://bossa.pl/oferta/oplaty-i-prowizje" TargetMode="External"/><Relationship Id="rId1" Type="http://schemas.openxmlformats.org/officeDocument/2006/relationships/hyperlink" Target="https://bossa.pl/oferta/rynek-zagraniczny/kid" TargetMode="External"/><Relationship Id="rId6" Type="http://schemas.openxmlformats.org/officeDocument/2006/relationships/hyperlink" Target="https://www.mbank.pl/indywidualny/inwestycje/gielda/ikze-emakler/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www.mdm.pl/ui-pub/site/oferta_indywidualna/rynki_zagraniczne" TargetMode="External"/><Relationship Id="rId10" Type="http://schemas.openxmlformats.org/officeDocument/2006/relationships/hyperlink" Target="about:blank" TargetMode="External"/><Relationship Id="rId4" Type="http://schemas.openxmlformats.org/officeDocument/2006/relationships/hyperlink" Target="https://www.mdm.pl/ds-server/40863?ticketSource=ui-pub" TargetMode="External"/><Relationship Id="rId9" Type="http://schemas.openxmlformats.org/officeDocument/2006/relationships/hyperlink" Target="about:blank" TargetMode="External"/><Relationship Id="rId1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46708-E7EF-4EC9-A9A4-8240218A16ED}">
  <dimension ref="A2:Q38"/>
  <sheetViews>
    <sheetView tabSelected="1" zoomScale="40" zoomScaleNormal="40" workbookViewId="0">
      <selection activeCell="V11" sqref="V11"/>
    </sheetView>
  </sheetViews>
  <sheetFormatPr defaultColWidth="8.6328125" defaultRowHeight="14" x14ac:dyDescent="0.3"/>
  <cols>
    <col min="1" max="1" width="44.81640625" style="6" customWidth="1"/>
    <col min="2" max="2" width="19.81640625" style="6" customWidth="1"/>
    <col min="3" max="3" width="17" style="6" customWidth="1"/>
    <col min="4" max="4" width="18.453125" style="6" customWidth="1"/>
    <col min="5" max="5" width="15.36328125" style="6" customWidth="1"/>
    <col min="6" max="6" width="20.453125" style="6" customWidth="1"/>
    <col min="7" max="7" width="19.81640625" style="6" customWidth="1"/>
    <col min="8" max="8" width="11.1796875" style="6" customWidth="1"/>
    <col min="9" max="9" width="23.453125" style="6" customWidth="1"/>
    <col min="10" max="10" width="15.1796875" style="6" customWidth="1"/>
    <col min="11" max="11" width="22.81640625" style="6" customWidth="1"/>
    <col min="12" max="12" width="16.81640625" style="6" customWidth="1"/>
    <col min="13" max="13" width="18.81640625" style="6" customWidth="1"/>
    <col min="14" max="14" width="25.6328125" style="6" customWidth="1"/>
    <col min="15" max="15" width="16.453125" style="6" customWidth="1"/>
    <col min="16" max="16" width="20.453125" style="6" customWidth="1"/>
    <col min="17" max="17" width="13.81640625" style="6" customWidth="1"/>
    <col min="18" max="18" width="8.6328125" style="6" customWidth="1"/>
    <col min="19" max="16384" width="8.6328125" style="6"/>
  </cols>
  <sheetData>
    <row r="2" spans="1:17" ht="32.5" customHeight="1" x14ac:dyDescent="0.3">
      <c r="A2" s="184" t="s">
        <v>142</v>
      </c>
    </row>
    <row r="3" spans="1:17" ht="38" customHeight="1" x14ac:dyDescent="0.3">
      <c r="A3" s="1" t="s">
        <v>131</v>
      </c>
      <c r="B3" s="5">
        <v>296574</v>
      </c>
      <c r="C3" s="7"/>
      <c r="D3" s="8"/>
      <c r="H3" s="7"/>
    </row>
    <row r="4" spans="1:17" ht="18" customHeight="1" x14ac:dyDescent="0.3">
      <c r="A4" s="1" t="s">
        <v>129</v>
      </c>
      <c r="B4" s="2">
        <v>8</v>
      </c>
      <c r="C4" s="9"/>
      <c r="G4" s="7"/>
      <c r="H4" s="7"/>
    </row>
    <row r="5" spans="1:17" ht="18" customHeight="1" x14ac:dyDescent="0.3">
      <c r="A5" s="1" t="s">
        <v>145</v>
      </c>
      <c r="B5" s="5">
        <f>17766/8</f>
        <v>2220.75</v>
      </c>
      <c r="C5" s="9"/>
      <c r="H5" s="7"/>
      <c r="I5" s="7"/>
    </row>
    <row r="6" spans="1:17" ht="31" x14ac:dyDescent="0.3">
      <c r="A6" s="1" t="s">
        <v>140</v>
      </c>
      <c r="B6" s="2">
        <v>2</v>
      </c>
      <c r="C6" s="9"/>
      <c r="G6" s="182"/>
      <c r="I6" s="7"/>
      <c r="M6" s="182"/>
    </row>
    <row r="7" spans="1:17" ht="24.5" customHeight="1" x14ac:dyDescent="0.3">
      <c r="A7" s="1" t="s">
        <v>133</v>
      </c>
      <c r="B7" s="2" t="s">
        <v>38</v>
      </c>
      <c r="G7" s="183"/>
    </row>
    <row r="8" spans="1:17" ht="24.5" customHeight="1" x14ac:dyDescent="0.3">
      <c r="A8" s="1" t="s">
        <v>139</v>
      </c>
      <c r="B8" s="3">
        <v>4.5999999999999996</v>
      </c>
    </row>
    <row r="9" spans="1:17" ht="24.5" customHeight="1" x14ac:dyDescent="0.3">
      <c r="F9" s="182"/>
    </row>
    <row r="10" spans="1:17" ht="21" thickBot="1" x14ac:dyDescent="0.6">
      <c r="A10" s="4" t="s">
        <v>132</v>
      </c>
    </row>
    <row r="11" spans="1:17" s="10" customFormat="1" ht="78.5" customHeight="1" x14ac:dyDescent="0.55000000000000004">
      <c r="A11" s="171" t="s">
        <v>156</v>
      </c>
      <c r="B11" s="172" t="s">
        <v>11</v>
      </c>
      <c r="C11" s="173" t="s">
        <v>135</v>
      </c>
      <c r="D11" s="174" t="s">
        <v>137</v>
      </c>
      <c r="E11" s="175" t="s">
        <v>134</v>
      </c>
      <c r="F11" s="176" t="s">
        <v>179</v>
      </c>
      <c r="G11" s="177" t="s">
        <v>188</v>
      </c>
      <c r="I11" s="215" t="s">
        <v>180</v>
      </c>
      <c r="J11" s="215"/>
      <c r="K11" s="215"/>
      <c r="L11" s="215"/>
      <c r="M11" s="11"/>
      <c r="N11" s="215" t="s">
        <v>185</v>
      </c>
      <c r="O11" s="215"/>
      <c r="P11" s="215"/>
      <c r="Q11" s="215"/>
    </row>
    <row r="12" spans="1:17" ht="35" customHeight="1" x14ac:dyDescent="0.5">
      <c r="A12" s="160" t="s">
        <v>190</v>
      </c>
      <c r="B12" s="137">
        <f t="shared" ref="B12:B17" si="0">IF($B$3&gt;=E24,D24*$B$3,0)</f>
        <v>444.86099999999999</v>
      </c>
      <c r="C12" s="137">
        <f t="shared" ref="C12:C17" si="1">$B$4*IF(B24*$B$5&lt;C24,C24,B24*$B$5)</f>
        <v>152</v>
      </c>
      <c r="D12" s="137">
        <f>$B$4*$B$5*G24/B8</f>
        <v>17.766000000000002</v>
      </c>
      <c r="E12" s="137">
        <f>F24</f>
        <v>0</v>
      </c>
      <c r="F12" s="138">
        <f>SUM(B12:E12)</f>
        <v>614.62699999999995</v>
      </c>
      <c r="G12" s="178">
        <f>F12/$B$3</f>
        <v>2.0724237458442075E-3</v>
      </c>
      <c r="I12" s="224" t="s">
        <v>183</v>
      </c>
      <c r="J12" s="225"/>
      <c r="K12" s="224" t="s">
        <v>184</v>
      </c>
      <c r="L12" s="225"/>
      <c r="M12" s="8"/>
      <c r="N12" s="211" t="s">
        <v>183</v>
      </c>
      <c r="O12" s="212"/>
      <c r="P12" s="213" t="s">
        <v>184</v>
      </c>
      <c r="Q12" s="214"/>
    </row>
    <row r="13" spans="1:17" ht="68.5" customHeight="1" x14ac:dyDescent="0.5">
      <c r="A13" s="160" t="s">
        <v>191</v>
      </c>
      <c r="B13" s="137">
        <f t="shared" si="0"/>
        <v>444.86099999999999</v>
      </c>
      <c r="C13" s="137">
        <f t="shared" si="1"/>
        <v>152</v>
      </c>
      <c r="D13" s="137">
        <f>$B$4*$B$5*G25/B8</f>
        <v>17.766000000000002</v>
      </c>
      <c r="E13" s="137">
        <f>IF(B7="TAK",0,F25)</f>
        <v>0</v>
      </c>
      <c r="F13" s="138">
        <f t="shared" ref="F13:F17" si="2">SUM(B13:E13)</f>
        <v>614.62699999999995</v>
      </c>
      <c r="G13" s="178">
        <f t="shared" ref="G13:G17" si="3">F13/$B$3</f>
        <v>2.0724237458442075E-3</v>
      </c>
      <c r="I13" s="141" t="s">
        <v>157</v>
      </c>
      <c r="J13" s="144">
        <v>0</v>
      </c>
      <c r="K13" s="143" t="s">
        <v>158</v>
      </c>
      <c r="L13" s="144">
        <f>MAX($B$6*J26*B8,B3*K26)</f>
        <v>1482.8700000000001</v>
      </c>
      <c r="M13" s="8"/>
      <c r="N13" s="141" t="s">
        <v>149</v>
      </c>
      <c r="O13" s="144">
        <f>IF($B$3/$B$6*B24&gt;C24,$B$3*B24,$B$6*C24)</f>
        <v>860.06459999999993</v>
      </c>
      <c r="P13" s="141" t="s">
        <v>153</v>
      </c>
      <c r="Q13" s="144">
        <f>IF($B$3/$B$6*B26&gt;C26,$B$3*B26,$B$6*C26)</f>
        <v>860.06459999999993</v>
      </c>
    </row>
    <row r="14" spans="1:17" ht="51.5" customHeight="1" x14ac:dyDescent="0.5">
      <c r="A14" s="160" t="s">
        <v>181</v>
      </c>
      <c r="B14" s="137">
        <f t="shared" si="0"/>
        <v>0</v>
      </c>
      <c r="C14" s="137">
        <f t="shared" si="1"/>
        <v>152</v>
      </c>
      <c r="D14" s="137">
        <f>$B$4*$B$5*G26/B8</f>
        <v>30.897391304347831</v>
      </c>
      <c r="E14" s="137">
        <f>F26</f>
        <v>0</v>
      </c>
      <c r="F14" s="138">
        <f t="shared" si="2"/>
        <v>182.89739130434782</v>
      </c>
      <c r="G14" s="178">
        <f t="shared" si="3"/>
        <v>6.1670069292772743E-4</v>
      </c>
      <c r="I14" s="140" t="s">
        <v>146</v>
      </c>
      <c r="J14" s="144">
        <f>$B$6*I26*$B$8</f>
        <v>138</v>
      </c>
      <c r="K14" s="142" t="s">
        <v>147</v>
      </c>
      <c r="L14" s="144">
        <f>I24*B8*B6</f>
        <v>184</v>
      </c>
      <c r="M14" s="12"/>
      <c r="N14" s="140" t="s">
        <v>150</v>
      </c>
      <c r="O14" s="144">
        <f>$B$3*G24/B8</f>
        <v>296.57400000000001</v>
      </c>
      <c r="P14" s="140" t="s">
        <v>152</v>
      </c>
      <c r="Q14" s="144">
        <f>$B$3*G26/B8</f>
        <v>515.78086956521747</v>
      </c>
    </row>
    <row r="15" spans="1:17" ht="50" x14ac:dyDescent="0.5">
      <c r="A15" s="160" t="s">
        <v>182</v>
      </c>
      <c r="B15" s="137">
        <f t="shared" si="0"/>
        <v>118.62960000000001</v>
      </c>
      <c r="C15" s="137">
        <f t="shared" si="1"/>
        <v>232</v>
      </c>
      <c r="D15" s="137">
        <f>$B$4*$B$5*G27/B8</f>
        <v>30.897391304347831</v>
      </c>
      <c r="E15" s="137">
        <f>F27</f>
        <v>0</v>
      </c>
      <c r="F15" s="138">
        <f t="shared" si="2"/>
        <v>381.5269913043478</v>
      </c>
      <c r="G15" s="178">
        <f t="shared" si="3"/>
        <v>1.2864478723837822E-3</v>
      </c>
      <c r="I15" s="139" t="s">
        <v>155</v>
      </c>
      <c r="J15" s="145">
        <f>SUM(J13:J14)</f>
        <v>138</v>
      </c>
      <c r="K15" s="139" t="s">
        <v>141</v>
      </c>
      <c r="L15" s="145">
        <f>SUM(L13:L14)</f>
        <v>1666.8700000000001</v>
      </c>
      <c r="N15" s="141" t="s">
        <v>151</v>
      </c>
      <c r="O15" s="144">
        <f>IF($B$3/$B$6*B26&gt;C26,$B$3*B26,$B$6*C26)</f>
        <v>860.06459999999993</v>
      </c>
      <c r="P15" s="141" t="s">
        <v>154</v>
      </c>
      <c r="Q15" s="144">
        <f>IF($B$3/$B$6*B24&gt;C24,$B$3*B24,$B$6*C24)</f>
        <v>860.06459999999993</v>
      </c>
    </row>
    <row r="16" spans="1:17" ht="50" x14ac:dyDescent="0.5">
      <c r="A16" s="161" t="s">
        <v>194</v>
      </c>
      <c r="B16" s="137">
        <f t="shared" si="0"/>
        <v>0</v>
      </c>
      <c r="C16" s="137">
        <f t="shared" si="1"/>
        <v>152</v>
      </c>
      <c r="D16" s="137">
        <f>$B$4*$B$5*G28/B8</f>
        <v>17.766000000000002</v>
      </c>
      <c r="E16" s="137">
        <f>F28</f>
        <v>0</v>
      </c>
      <c r="F16" s="138">
        <f t="shared" si="2"/>
        <v>169.76599999999999</v>
      </c>
      <c r="G16" s="178">
        <f t="shared" si="3"/>
        <v>5.7242374584420754E-4</v>
      </c>
      <c r="I16" s="7"/>
      <c r="J16" s="7"/>
      <c r="K16" s="7"/>
      <c r="N16" s="140" t="s">
        <v>152</v>
      </c>
      <c r="O16" s="144">
        <f>$B$3*G26/B8</f>
        <v>515.78086956521747</v>
      </c>
      <c r="P16" s="140" t="s">
        <v>150</v>
      </c>
      <c r="Q16" s="144">
        <f>$B$3*G24/B8</f>
        <v>296.57400000000001</v>
      </c>
    </row>
    <row r="17" spans="1:17" ht="18.5" thickBot="1" x14ac:dyDescent="0.55000000000000004">
      <c r="A17" s="162" t="s">
        <v>192</v>
      </c>
      <c r="B17" s="179">
        <f t="shared" si="0"/>
        <v>0</v>
      </c>
      <c r="C17" s="179">
        <f t="shared" si="1"/>
        <v>152</v>
      </c>
      <c r="D17" s="179">
        <f>$B$4*$B$5*G29/B8</f>
        <v>17.766000000000002</v>
      </c>
      <c r="E17" s="179">
        <f>F29</f>
        <v>0</v>
      </c>
      <c r="F17" s="180">
        <f t="shared" si="2"/>
        <v>169.76599999999999</v>
      </c>
      <c r="G17" s="181">
        <f t="shared" si="3"/>
        <v>5.7242374584420754E-4</v>
      </c>
      <c r="I17" s="252"/>
      <c r="J17" s="7"/>
      <c r="K17" s="7"/>
      <c r="N17" s="139" t="s">
        <v>155</v>
      </c>
      <c r="O17" s="145">
        <f>SUM(O13:O16)</f>
        <v>2532.4840695652174</v>
      </c>
      <c r="P17" s="139" t="s">
        <v>155</v>
      </c>
      <c r="Q17" s="145">
        <f>SUM(Q13:Q16)</f>
        <v>2532.4840695652174</v>
      </c>
    </row>
    <row r="18" spans="1:17" ht="16.5" x14ac:dyDescent="0.45">
      <c r="A18" s="14"/>
      <c r="B18" s="8"/>
      <c r="C18" s="8"/>
      <c r="D18" s="8"/>
      <c r="E18" s="8"/>
      <c r="F18" s="12"/>
      <c r="G18" s="12"/>
      <c r="I18" s="252"/>
      <c r="J18" s="7"/>
      <c r="K18" s="7"/>
    </row>
    <row r="19" spans="1:17" ht="16.5" x14ac:dyDescent="0.45">
      <c r="A19" s="14"/>
      <c r="B19" s="8"/>
      <c r="C19" s="8"/>
      <c r="D19" s="8"/>
      <c r="E19" s="8"/>
      <c r="F19" s="12"/>
      <c r="G19" s="12"/>
      <c r="I19" s="13"/>
      <c r="J19" s="7"/>
      <c r="K19" s="7"/>
      <c r="N19" s="10"/>
    </row>
    <row r="20" spans="1:17" ht="14" customHeight="1" x14ac:dyDescent="0.3">
      <c r="A20" s="14"/>
      <c r="B20" s="8"/>
      <c r="C20" s="8"/>
      <c r="D20" s="8"/>
      <c r="E20" s="8"/>
      <c r="F20" s="12"/>
      <c r="G20" s="12"/>
      <c r="I20" s="13"/>
      <c r="J20" s="7"/>
      <c r="K20" s="7"/>
      <c r="N20" s="10"/>
    </row>
    <row r="21" spans="1:17" ht="37.5" customHeight="1" thickBot="1" x14ac:dyDescent="0.35">
      <c r="A21" s="189" t="s">
        <v>138</v>
      </c>
    </row>
    <row r="22" spans="1:17" s="10" customFormat="1" ht="58" customHeight="1" x14ac:dyDescent="0.45">
      <c r="A22" s="209" t="s">
        <v>96</v>
      </c>
      <c r="B22" s="216" t="s">
        <v>195</v>
      </c>
      <c r="C22" s="217"/>
      <c r="D22" s="218" t="s">
        <v>189</v>
      </c>
      <c r="E22" s="219"/>
      <c r="F22" s="220" t="s">
        <v>199</v>
      </c>
      <c r="G22" s="222" t="s">
        <v>205</v>
      </c>
      <c r="I22" s="220" t="s">
        <v>187</v>
      </c>
      <c r="J22" s="216" t="s">
        <v>200</v>
      </c>
      <c r="K22" s="217"/>
      <c r="N22" s="6"/>
    </row>
    <row r="23" spans="1:17" s="10" customFormat="1" ht="98.5" customHeight="1" x14ac:dyDescent="0.3">
      <c r="A23" s="210"/>
      <c r="B23" s="146" t="s">
        <v>186</v>
      </c>
      <c r="C23" s="147" t="s">
        <v>130</v>
      </c>
      <c r="D23" s="151" t="s">
        <v>143</v>
      </c>
      <c r="E23" s="152" t="s">
        <v>193</v>
      </c>
      <c r="F23" s="221"/>
      <c r="G23" s="223"/>
      <c r="I23" s="221"/>
      <c r="J23" s="146" t="s">
        <v>144</v>
      </c>
      <c r="K23" s="147" t="s">
        <v>148</v>
      </c>
    </row>
    <row r="24" spans="1:17" s="10" customFormat="1" ht="15.5" x14ac:dyDescent="0.35">
      <c r="A24" s="160" t="s">
        <v>190</v>
      </c>
      <c r="B24" s="148">
        <v>2.8999999999999998E-3</v>
      </c>
      <c r="C24" s="163">
        <v>19</v>
      </c>
      <c r="D24" s="148">
        <v>1.5E-3</v>
      </c>
      <c r="E24" s="137">
        <v>10000</v>
      </c>
      <c r="F24" s="153">
        <v>0</v>
      </c>
      <c r="G24" s="165">
        <f t="shared" ref="G24" si="4">$B$8*0.001</f>
        <v>4.5999999999999999E-3</v>
      </c>
      <c r="I24" s="193">
        <v>20</v>
      </c>
      <c r="J24" s="155">
        <v>0</v>
      </c>
      <c r="K24" s="156" t="s">
        <v>56</v>
      </c>
    </row>
    <row r="25" spans="1:17" s="10" customFormat="1" ht="15.5" x14ac:dyDescent="0.35">
      <c r="A25" s="160" t="s">
        <v>191</v>
      </c>
      <c r="B25" s="148">
        <v>2.8999999999999998E-3</v>
      </c>
      <c r="C25" s="163">
        <v>19</v>
      </c>
      <c r="D25" s="148">
        <v>1.5E-3</v>
      </c>
      <c r="E25" s="137">
        <v>10000</v>
      </c>
      <c r="F25" s="153">
        <v>50</v>
      </c>
      <c r="G25" s="165">
        <f>$B$8*0.001</f>
        <v>4.5999999999999999E-3</v>
      </c>
      <c r="I25" s="193">
        <v>20</v>
      </c>
      <c r="J25" s="155">
        <v>0</v>
      </c>
      <c r="K25" s="156" t="s">
        <v>56</v>
      </c>
    </row>
    <row r="26" spans="1:17" s="10" customFormat="1" ht="15.5" x14ac:dyDescent="0.35">
      <c r="A26" s="160" t="s">
        <v>181</v>
      </c>
      <c r="B26" s="148">
        <v>2.8999999999999998E-3</v>
      </c>
      <c r="C26" s="163">
        <v>19</v>
      </c>
      <c r="D26" s="148">
        <v>4.0000000000000002E-4</v>
      </c>
      <c r="E26" s="137">
        <v>500000</v>
      </c>
      <c r="F26" s="153">
        <v>0</v>
      </c>
      <c r="G26" s="165">
        <v>8.0000000000000002E-3</v>
      </c>
      <c r="I26" s="193">
        <f>15</f>
        <v>15</v>
      </c>
      <c r="J26" s="195">
        <f>30</f>
        <v>30</v>
      </c>
      <c r="K26" s="157">
        <v>5.0000000000000001E-3</v>
      </c>
    </row>
    <row r="27" spans="1:17" ht="16" thickBot="1" x14ac:dyDescent="0.4">
      <c r="A27" s="185" t="s">
        <v>182</v>
      </c>
      <c r="B27" s="149">
        <v>2.8999999999999998E-3</v>
      </c>
      <c r="C27" s="164">
        <v>29</v>
      </c>
      <c r="D27" s="186">
        <v>4.0000000000000002E-4</v>
      </c>
      <c r="E27" s="187">
        <v>0</v>
      </c>
      <c r="F27" s="154">
        <v>0</v>
      </c>
      <c r="G27" s="166">
        <v>8.0000000000000002E-3</v>
      </c>
      <c r="I27" s="194">
        <f>15</f>
        <v>15</v>
      </c>
      <c r="J27" s="196">
        <v>30</v>
      </c>
      <c r="K27" s="192">
        <v>5.0000000000000001E-3</v>
      </c>
      <c r="L27" s="10"/>
      <c r="M27" s="197"/>
    </row>
    <row r="28" spans="1:17" s="10" customFormat="1" ht="19" customHeight="1" x14ac:dyDescent="0.35">
      <c r="A28" s="199" t="s">
        <v>194</v>
      </c>
      <c r="B28" s="200">
        <v>2.8999999999999998E-3</v>
      </c>
      <c r="C28" s="201">
        <v>19</v>
      </c>
      <c r="D28" s="200">
        <v>1.5E-3</v>
      </c>
      <c r="E28" s="202">
        <v>500000</v>
      </c>
      <c r="F28" s="203">
        <v>0</v>
      </c>
      <c r="G28" s="204">
        <f t="shared" ref="G28:G29" si="5">$B$8*0.001</f>
        <v>4.5999999999999999E-3</v>
      </c>
      <c r="I28" s="205">
        <f>15</f>
        <v>15</v>
      </c>
      <c r="J28" s="206">
        <v>0</v>
      </c>
      <c r="K28" s="207" t="s">
        <v>56</v>
      </c>
    </row>
    <row r="29" spans="1:17" s="10" customFormat="1" ht="16" thickBot="1" x14ac:dyDescent="0.4">
      <c r="A29" s="162" t="s">
        <v>192</v>
      </c>
      <c r="B29" s="149">
        <v>2.8999999999999998E-3</v>
      </c>
      <c r="C29" s="164">
        <v>19</v>
      </c>
      <c r="D29" s="149">
        <v>1.5E-3</v>
      </c>
      <c r="E29" s="150">
        <v>500000</v>
      </c>
      <c r="F29" s="154">
        <v>0</v>
      </c>
      <c r="G29" s="166">
        <f t="shared" si="5"/>
        <v>4.5999999999999999E-3</v>
      </c>
      <c r="I29" s="208">
        <f>15</f>
        <v>15</v>
      </c>
      <c r="J29" s="158">
        <v>0</v>
      </c>
      <c r="K29" s="159" t="s">
        <v>56</v>
      </c>
    </row>
    <row r="30" spans="1:17" s="13" customFormat="1" ht="15.5" x14ac:dyDescent="0.35">
      <c r="A30" s="169"/>
      <c r="B30" s="167"/>
      <c r="C30" s="190"/>
      <c r="D30" s="167"/>
      <c r="E30" s="170"/>
      <c r="F30" s="14"/>
      <c r="G30" s="168"/>
      <c r="I30" s="191"/>
      <c r="J30" s="14"/>
      <c r="K30" s="188"/>
    </row>
    <row r="31" spans="1:17" x14ac:dyDescent="0.3">
      <c r="A31" s="6" t="s">
        <v>196</v>
      </c>
      <c r="L31" s="10"/>
    </row>
    <row r="32" spans="1:17" x14ac:dyDescent="0.3">
      <c r="A32" s="6" t="s">
        <v>197</v>
      </c>
      <c r="L32" s="10"/>
    </row>
    <row r="33" spans="1:10" x14ac:dyDescent="0.3">
      <c r="A33" s="6" t="s">
        <v>198</v>
      </c>
    </row>
    <row r="37" spans="1:10" x14ac:dyDescent="0.3">
      <c r="G37" s="198"/>
    </row>
    <row r="38" spans="1:10" x14ac:dyDescent="0.3">
      <c r="J38" s="6">
        <f>15*4.6</f>
        <v>69</v>
      </c>
    </row>
  </sheetData>
  <mergeCells count="13">
    <mergeCell ref="A22:A23"/>
    <mergeCell ref="N12:O12"/>
    <mergeCell ref="P12:Q12"/>
    <mergeCell ref="N11:Q11"/>
    <mergeCell ref="B22:C22"/>
    <mergeCell ref="D22:E22"/>
    <mergeCell ref="J22:K22"/>
    <mergeCell ref="F22:F23"/>
    <mergeCell ref="G22:G23"/>
    <mergeCell ref="I22:I23"/>
    <mergeCell ref="K12:L12"/>
    <mergeCell ref="I12:J12"/>
    <mergeCell ref="I11:L11"/>
  </mergeCells>
  <pageMargins left="0.7" right="0.7" top="0.75" bottom="0.75" header="0.3" footer="0.3"/>
  <pageSetup paperSize="9" orientation="portrait" verticalDpi="300" r:id="rId1"/>
  <ignoredErrors>
    <ignoredError sqref="E13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A7C12EA-837C-49A4-89E9-50EF609F52E8}">
          <x14:formula1>
            <xm:f>listy!$G$6:$G$7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K13"/>
  <sheetViews>
    <sheetView zoomScaleNormal="5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9" sqref="F9"/>
    </sheetView>
  </sheetViews>
  <sheetFormatPr defaultColWidth="8.81640625" defaultRowHeight="25" x14ac:dyDescent="0.5"/>
  <cols>
    <col min="1" max="1" width="4.1796875" style="19" customWidth="1"/>
    <col min="2" max="2" width="18.36328125" style="17" customWidth="1"/>
    <col min="3" max="3" width="7.81640625" style="19" customWidth="1"/>
    <col min="4" max="4" width="10.1796875" style="19" customWidth="1"/>
    <col min="5" max="5" width="14.36328125" style="6" customWidth="1"/>
    <col min="6" max="6" width="34.1796875" style="19" customWidth="1"/>
    <col min="7" max="7" width="33.453125" style="19" customWidth="1"/>
    <col min="8" max="8" width="14.6328125" style="19" customWidth="1"/>
    <col min="9" max="9" width="22.36328125" style="19" customWidth="1"/>
    <col min="10" max="10" width="17.6328125" style="19" customWidth="1"/>
    <col min="11" max="11" width="13.1796875" style="19" customWidth="1"/>
    <col min="12" max="12" width="27.36328125" style="19" customWidth="1"/>
    <col min="13" max="13" width="64.453125" style="19" customWidth="1"/>
    <col min="14" max="14" width="19.81640625" style="19" customWidth="1"/>
    <col min="15" max="15" width="26.453125" style="19" customWidth="1"/>
    <col min="16" max="16" width="19.1796875" style="19" customWidth="1"/>
    <col min="17" max="17" width="17.453125" style="19" customWidth="1"/>
    <col min="18" max="18" width="16.1796875" style="19" customWidth="1"/>
    <col min="19" max="19" width="16.453125" style="6" customWidth="1"/>
    <col min="20" max="20" width="20.453125" style="19" customWidth="1"/>
    <col min="21" max="21" width="24.6328125" style="19" customWidth="1"/>
    <col min="22" max="22" width="14.6328125" style="6" customWidth="1"/>
    <col min="23" max="23" width="14.453125" style="19" customWidth="1"/>
    <col min="24" max="24" width="19.1796875" style="19" customWidth="1"/>
    <col min="25" max="25" width="18.81640625" style="6" customWidth="1"/>
    <col min="26" max="26" width="46.36328125" style="21" customWidth="1"/>
    <col min="27" max="27" width="25.453125" style="21" customWidth="1"/>
    <col min="28" max="28" width="15.6328125" style="19" customWidth="1"/>
    <col min="29" max="29" width="17.1796875" style="19" customWidth="1"/>
    <col min="30" max="31" width="20.81640625" style="19" customWidth="1"/>
    <col min="32" max="32" width="17.453125" style="19" customWidth="1"/>
    <col min="33" max="33" width="20.453125" style="19" customWidth="1"/>
    <col min="34" max="35" width="8.81640625" style="6"/>
    <col min="36" max="36" width="19.453125" style="19" customWidth="1"/>
    <col min="37" max="16384" width="8.81640625" style="19"/>
  </cols>
  <sheetData>
    <row r="1" spans="2:37" ht="25.5" thickBot="1" x14ac:dyDescent="0.55000000000000004">
      <c r="C1" s="18" t="s">
        <v>136</v>
      </c>
      <c r="E1" s="20"/>
      <c r="S1" s="20"/>
      <c r="V1" s="20"/>
      <c r="Y1" s="20"/>
    </row>
    <row r="2" spans="2:37" ht="20.5" thickBot="1" x14ac:dyDescent="0.45">
      <c r="B2" s="229" t="s">
        <v>0</v>
      </c>
      <c r="C2" s="230"/>
      <c r="D2" s="231"/>
      <c r="E2" s="22" t="s">
        <v>118</v>
      </c>
      <c r="F2" s="232" t="s">
        <v>2</v>
      </c>
      <c r="G2" s="233"/>
      <c r="H2" s="233"/>
      <c r="I2" s="233"/>
      <c r="J2" s="234"/>
      <c r="K2" s="226" t="s">
        <v>1</v>
      </c>
      <c r="L2" s="227"/>
      <c r="M2" s="228"/>
      <c r="N2" s="232" t="s">
        <v>159</v>
      </c>
      <c r="O2" s="233"/>
      <c r="P2" s="233"/>
      <c r="Q2" s="233"/>
      <c r="R2" s="233"/>
      <c r="S2" s="234"/>
      <c r="T2" s="235" t="s">
        <v>3</v>
      </c>
      <c r="U2" s="236"/>
      <c r="V2" s="236"/>
      <c r="W2" s="236"/>
      <c r="X2" s="236"/>
      <c r="Y2" s="237"/>
      <c r="Z2" s="238" t="s">
        <v>4</v>
      </c>
      <c r="AA2" s="239"/>
      <c r="AB2" s="240"/>
      <c r="AC2" s="226" t="s">
        <v>5</v>
      </c>
      <c r="AD2" s="227"/>
      <c r="AE2" s="227"/>
      <c r="AF2" s="227"/>
      <c r="AG2" s="228"/>
    </row>
    <row r="3" spans="2:37" s="25" customFormat="1" hidden="1" x14ac:dyDescent="0.35">
      <c r="B3" s="23"/>
      <c r="C3" s="24"/>
      <c r="D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2:37" s="25" customFormat="1" ht="17.25" hidden="1" customHeight="1" x14ac:dyDescent="0.5">
      <c r="B4" s="26"/>
      <c r="C4" s="27" t="s">
        <v>6</v>
      </c>
      <c r="D4" s="27" t="s">
        <v>6</v>
      </c>
      <c r="F4" s="27" t="s">
        <v>6</v>
      </c>
      <c r="G4" s="27" t="s">
        <v>6</v>
      </c>
      <c r="H4" s="27" t="s">
        <v>6</v>
      </c>
      <c r="I4" s="27" t="s">
        <v>6</v>
      </c>
      <c r="J4" s="27" t="s">
        <v>6</v>
      </c>
      <c r="K4" s="27" t="s">
        <v>6</v>
      </c>
      <c r="L4" s="27" t="s">
        <v>6</v>
      </c>
      <c r="M4" s="27" t="s">
        <v>6</v>
      </c>
      <c r="N4" s="27" t="s">
        <v>6</v>
      </c>
      <c r="O4" s="27" t="s">
        <v>6</v>
      </c>
      <c r="P4" s="27" t="s">
        <v>6</v>
      </c>
      <c r="Q4" s="27" t="s">
        <v>6</v>
      </c>
      <c r="R4" s="27" t="s">
        <v>6</v>
      </c>
      <c r="S4" s="27" t="s">
        <v>6</v>
      </c>
      <c r="T4" s="27" t="s">
        <v>6</v>
      </c>
      <c r="U4" s="27" t="s">
        <v>6</v>
      </c>
      <c r="V4" s="27" t="s">
        <v>6</v>
      </c>
      <c r="W4" s="27" t="s">
        <v>6</v>
      </c>
      <c r="X4" s="27" t="s">
        <v>6</v>
      </c>
      <c r="Y4" s="27" t="s">
        <v>6</v>
      </c>
      <c r="Z4" s="27" t="s">
        <v>6</v>
      </c>
      <c r="AA4" s="27" t="s">
        <v>6</v>
      </c>
      <c r="AB4" s="27" t="s">
        <v>6</v>
      </c>
      <c r="AC4" s="27" t="s">
        <v>6</v>
      </c>
      <c r="AD4" s="27" t="s">
        <v>6</v>
      </c>
      <c r="AE4" s="27" t="s">
        <v>6</v>
      </c>
      <c r="AF4" s="27" t="s">
        <v>6</v>
      </c>
      <c r="AG4" s="27" t="s">
        <v>6</v>
      </c>
    </row>
    <row r="5" spans="2:37" s="30" customFormat="1" ht="157" customHeight="1" x14ac:dyDescent="0.5">
      <c r="B5" s="28" t="s">
        <v>156</v>
      </c>
      <c r="C5" s="29" t="s">
        <v>7</v>
      </c>
      <c r="D5" s="29" t="s">
        <v>8</v>
      </c>
      <c r="E5" s="29" t="s">
        <v>160</v>
      </c>
      <c r="F5" s="29" t="s">
        <v>12</v>
      </c>
      <c r="G5" s="29" t="s">
        <v>13</v>
      </c>
      <c r="H5" s="29" t="s">
        <v>14</v>
      </c>
      <c r="I5" s="29" t="s">
        <v>15</v>
      </c>
      <c r="J5" s="29" t="s">
        <v>16</v>
      </c>
      <c r="K5" s="29" t="s">
        <v>9</v>
      </c>
      <c r="L5" s="29" t="s">
        <v>10</v>
      </c>
      <c r="M5" s="29" t="s">
        <v>11</v>
      </c>
      <c r="N5" s="29" t="s">
        <v>17</v>
      </c>
      <c r="O5" s="29" t="s">
        <v>18</v>
      </c>
      <c r="P5" s="29" t="s">
        <v>19</v>
      </c>
      <c r="Q5" s="29" t="s">
        <v>20</v>
      </c>
      <c r="R5" s="29" t="s">
        <v>21</v>
      </c>
      <c r="S5" s="29" t="s">
        <v>22</v>
      </c>
      <c r="T5" s="29" t="s">
        <v>23</v>
      </c>
      <c r="U5" s="29" t="s">
        <v>24</v>
      </c>
      <c r="V5" s="29" t="s">
        <v>25</v>
      </c>
      <c r="W5" s="29" t="s">
        <v>26</v>
      </c>
      <c r="X5" s="29" t="s">
        <v>27</v>
      </c>
      <c r="Y5" s="29" t="s">
        <v>28</v>
      </c>
      <c r="Z5" s="29" t="s">
        <v>29</v>
      </c>
      <c r="AA5" s="29" t="s">
        <v>30</v>
      </c>
      <c r="AB5" s="29" t="s">
        <v>31</v>
      </c>
      <c r="AC5" s="29" t="s">
        <v>32</v>
      </c>
      <c r="AD5" s="29" t="s">
        <v>33</v>
      </c>
      <c r="AE5" s="29" t="s">
        <v>34</v>
      </c>
      <c r="AF5" s="29" t="s">
        <v>35</v>
      </c>
      <c r="AG5" s="29" t="s">
        <v>36</v>
      </c>
      <c r="AK5" s="30" t="s">
        <v>37</v>
      </c>
    </row>
    <row r="6" spans="2:37" ht="201.5" x14ac:dyDescent="0.35">
      <c r="B6" s="31" t="s">
        <v>161</v>
      </c>
      <c r="C6" s="32" t="s">
        <v>84</v>
      </c>
      <c r="D6" s="33" t="s">
        <v>38</v>
      </c>
      <c r="E6" s="34">
        <v>3</v>
      </c>
      <c r="F6" s="35" t="s">
        <v>162</v>
      </c>
      <c r="G6" s="35" t="s">
        <v>162</v>
      </c>
      <c r="H6" s="36" t="s">
        <v>39</v>
      </c>
      <c r="I6" s="36" t="s">
        <v>39</v>
      </c>
      <c r="J6" s="36" t="s">
        <v>40</v>
      </c>
      <c r="K6" s="32">
        <v>0</v>
      </c>
      <c r="L6" s="32">
        <v>0</v>
      </c>
      <c r="M6" s="16" t="s">
        <v>163</v>
      </c>
      <c r="N6" s="32">
        <v>0</v>
      </c>
      <c r="O6" s="32">
        <v>0</v>
      </c>
      <c r="P6" s="32" t="s">
        <v>41</v>
      </c>
      <c r="Q6" s="32" t="s">
        <v>41</v>
      </c>
      <c r="R6" s="32" t="s">
        <v>41</v>
      </c>
      <c r="S6" s="32" t="s">
        <v>41</v>
      </c>
      <c r="T6" s="32">
        <v>0</v>
      </c>
      <c r="U6" s="32">
        <v>0</v>
      </c>
      <c r="V6" s="32" t="s">
        <v>41</v>
      </c>
      <c r="W6" s="32" t="s">
        <v>41</v>
      </c>
      <c r="X6" s="32" t="s">
        <v>41</v>
      </c>
      <c r="Y6" s="32" t="s">
        <v>41</v>
      </c>
      <c r="Z6" s="37" t="s">
        <v>42</v>
      </c>
      <c r="AA6" s="37" t="s">
        <v>43</v>
      </c>
      <c r="AB6" s="32" t="s">
        <v>44</v>
      </c>
      <c r="AC6" s="37" t="s">
        <v>45</v>
      </c>
      <c r="AD6" s="38" t="s">
        <v>46</v>
      </c>
      <c r="AE6" s="39" t="s">
        <v>47</v>
      </c>
      <c r="AF6" s="40" t="s">
        <v>48</v>
      </c>
      <c r="AG6" s="39" t="s">
        <v>49</v>
      </c>
      <c r="AH6" s="41"/>
      <c r="AI6" s="41"/>
      <c r="AJ6" s="42"/>
      <c r="AK6" s="25"/>
    </row>
    <row r="7" spans="2:37" ht="193.5" x14ac:dyDescent="0.35">
      <c r="B7" s="43" t="s">
        <v>164</v>
      </c>
      <c r="C7" s="32" t="s">
        <v>84</v>
      </c>
      <c r="D7" s="33" t="s">
        <v>38</v>
      </c>
      <c r="E7" s="34">
        <v>1</v>
      </c>
      <c r="F7" s="35" t="s">
        <v>165</v>
      </c>
      <c r="G7" s="35" t="s">
        <v>165</v>
      </c>
      <c r="H7" s="36" t="s">
        <v>39</v>
      </c>
      <c r="I7" s="36" t="s">
        <v>39</v>
      </c>
      <c r="J7" s="36" t="s">
        <v>40</v>
      </c>
      <c r="K7" s="32">
        <v>0</v>
      </c>
      <c r="L7" s="16" t="s">
        <v>166</v>
      </c>
      <c r="M7" s="16" t="s">
        <v>167</v>
      </c>
      <c r="N7" s="32">
        <v>0</v>
      </c>
      <c r="O7" s="32">
        <v>0</v>
      </c>
      <c r="P7" s="32" t="s">
        <v>50</v>
      </c>
      <c r="Q7" s="32" t="s">
        <v>50</v>
      </c>
      <c r="R7" s="32" t="s">
        <v>50</v>
      </c>
      <c r="S7" s="32" t="s">
        <v>50</v>
      </c>
      <c r="T7" s="32">
        <v>0</v>
      </c>
      <c r="U7" s="32">
        <v>0</v>
      </c>
      <c r="V7" s="39" t="s">
        <v>50</v>
      </c>
      <c r="W7" s="39" t="s">
        <v>50</v>
      </c>
      <c r="X7" s="39" t="s">
        <v>50</v>
      </c>
      <c r="Y7" s="39" t="s">
        <v>50</v>
      </c>
      <c r="Z7" s="37" t="s">
        <v>51</v>
      </c>
      <c r="AA7" s="37" t="s">
        <v>52</v>
      </c>
      <c r="AB7" s="32" t="s">
        <v>53</v>
      </c>
      <c r="AC7" s="37" t="s">
        <v>45</v>
      </c>
      <c r="AD7" s="37" t="s">
        <v>54</v>
      </c>
      <c r="AE7" s="39" t="s">
        <v>47</v>
      </c>
      <c r="AF7" s="40" t="s">
        <v>55</v>
      </c>
      <c r="AG7" s="39" t="s">
        <v>49</v>
      </c>
      <c r="AH7" s="25"/>
      <c r="AI7" s="25"/>
      <c r="AJ7" s="25"/>
      <c r="AK7" s="25"/>
    </row>
    <row r="8" spans="2:37" s="25" customFormat="1" ht="182" customHeight="1" x14ac:dyDescent="0.35">
      <c r="B8" s="43" t="s">
        <v>57</v>
      </c>
      <c r="C8" s="32" t="s">
        <v>84</v>
      </c>
      <c r="D8" s="33" t="s">
        <v>38</v>
      </c>
      <c r="E8" s="34">
        <v>2</v>
      </c>
      <c r="F8" s="44" t="s">
        <v>168</v>
      </c>
      <c r="G8" s="44" t="s">
        <v>168</v>
      </c>
      <c r="H8" s="45" t="s">
        <v>58</v>
      </c>
      <c r="I8" s="45" t="s">
        <v>58</v>
      </c>
      <c r="J8" s="46" t="s">
        <v>59</v>
      </c>
      <c r="K8" s="32">
        <v>0</v>
      </c>
      <c r="L8" s="32">
        <v>0</v>
      </c>
      <c r="M8" s="47" t="s">
        <v>169</v>
      </c>
      <c r="N8" s="32">
        <v>150</v>
      </c>
      <c r="O8" s="39" t="s">
        <v>170</v>
      </c>
      <c r="P8" s="32">
        <v>150</v>
      </c>
      <c r="Q8" s="32" t="s">
        <v>60</v>
      </c>
      <c r="R8" s="32" t="s">
        <v>60</v>
      </c>
      <c r="S8" s="32" t="s">
        <v>60</v>
      </c>
      <c r="T8" s="32" t="s">
        <v>60</v>
      </c>
      <c r="U8" s="16" t="s">
        <v>61</v>
      </c>
      <c r="V8" s="32" t="s">
        <v>60</v>
      </c>
      <c r="W8" s="32" t="s">
        <v>60</v>
      </c>
      <c r="X8" s="32" t="s">
        <v>60</v>
      </c>
      <c r="Y8" s="32" t="s">
        <v>60</v>
      </c>
      <c r="Z8" s="37" t="s">
        <v>62</v>
      </c>
      <c r="AA8" s="48" t="s">
        <v>63</v>
      </c>
      <c r="AB8" s="32" t="s">
        <v>64</v>
      </c>
      <c r="AC8" s="37" t="s">
        <v>45</v>
      </c>
      <c r="AD8" s="49" t="s">
        <v>65</v>
      </c>
      <c r="AE8" s="40" t="s">
        <v>66</v>
      </c>
      <c r="AF8" s="50" t="s">
        <v>67</v>
      </c>
      <c r="AG8" s="51"/>
      <c r="AJ8" s="52"/>
    </row>
    <row r="9" spans="2:37" s="59" customFormat="1" ht="153" customHeight="1" x14ac:dyDescent="0.35">
      <c r="B9" s="43" t="s">
        <v>70</v>
      </c>
      <c r="C9" s="32" t="s">
        <v>71</v>
      </c>
      <c r="D9" s="32" t="s">
        <v>38</v>
      </c>
      <c r="E9" s="53">
        <v>4</v>
      </c>
      <c r="F9" s="54" t="s">
        <v>171</v>
      </c>
      <c r="G9" s="37" t="s">
        <v>172</v>
      </c>
      <c r="H9" s="46" t="s">
        <v>72</v>
      </c>
      <c r="I9" s="46" t="s">
        <v>72</v>
      </c>
      <c r="J9" s="36" t="s">
        <v>73</v>
      </c>
      <c r="K9" s="32">
        <v>0</v>
      </c>
      <c r="L9" s="32">
        <v>0</v>
      </c>
      <c r="M9" s="37" t="s">
        <v>173</v>
      </c>
      <c r="N9" s="32">
        <v>150</v>
      </c>
      <c r="O9" s="37" t="s">
        <v>74</v>
      </c>
      <c r="P9" s="55">
        <v>150</v>
      </c>
      <c r="Q9" s="37" t="s">
        <v>75</v>
      </c>
      <c r="R9" s="37" t="s">
        <v>76</v>
      </c>
      <c r="S9" s="56" t="s">
        <v>77</v>
      </c>
      <c r="T9" s="37" t="s">
        <v>76</v>
      </c>
      <c r="U9" s="37" t="s">
        <v>78</v>
      </c>
      <c r="V9" s="37" t="s">
        <v>76</v>
      </c>
      <c r="W9" s="37" t="s">
        <v>79</v>
      </c>
      <c r="X9" s="37" t="s">
        <v>76</v>
      </c>
      <c r="Y9" s="37" t="s">
        <v>80</v>
      </c>
      <c r="Z9" s="37" t="s">
        <v>81</v>
      </c>
      <c r="AA9" s="56" t="s">
        <v>38</v>
      </c>
      <c r="AB9" s="37" t="s">
        <v>82</v>
      </c>
      <c r="AC9" s="37" t="s">
        <v>45</v>
      </c>
      <c r="AD9" s="37" t="s">
        <v>128</v>
      </c>
      <c r="AE9" s="57" t="s">
        <v>119</v>
      </c>
      <c r="AF9" s="58"/>
      <c r="AG9" s="37" t="s">
        <v>83</v>
      </c>
      <c r="AJ9" s="60"/>
    </row>
    <row r="10" spans="2:37" s="25" customFormat="1" x14ac:dyDescent="0.5">
      <c r="B10" s="17"/>
      <c r="V10" s="61"/>
      <c r="Z10" s="62"/>
      <c r="AA10" s="62"/>
    </row>
    <row r="11" spans="2:37" s="18" customFormat="1" x14ac:dyDescent="0.5">
      <c r="B11" s="63"/>
      <c r="C11" s="18" t="s">
        <v>127</v>
      </c>
      <c r="Z11" s="64"/>
      <c r="AA11" s="64"/>
    </row>
    <row r="12" spans="2:37" s="41" customFormat="1" ht="130.5" customHeight="1" x14ac:dyDescent="0.35">
      <c r="B12" s="31" t="s">
        <v>174</v>
      </c>
      <c r="C12" s="32" t="s">
        <v>84</v>
      </c>
      <c r="D12" s="33" t="s">
        <v>38</v>
      </c>
      <c r="E12" s="34">
        <v>3</v>
      </c>
      <c r="F12" s="35" t="s">
        <v>162</v>
      </c>
      <c r="G12" s="35" t="s">
        <v>162</v>
      </c>
      <c r="H12" s="36" t="s">
        <v>39</v>
      </c>
      <c r="I12" s="36" t="s">
        <v>39</v>
      </c>
      <c r="J12" s="36" t="s">
        <v>40</v>
      </c>
      <c r="K12" s="32">
        <v>0</v>
      </c>
      <c r="L12" s="32">
        <v>0</v>
      </c>
      <c r="M12" s="39" t="s">
        <v>175</v>
      </c>
      <c r="N12" s="32">
        <v>0</v>
      </c>
      <c r="O12" s="32">
        <v>0</v>
      </c>
      <c r="P12" s="32" t="s">
        <v>41</v>
      </c>
      <c r="Q12" s="32" t="s">
        <v>41</v>
      </c>
      <c r="R12" s="32" t="s">
        <v>41</v>
      </c>
      <c r="S12" s="32" t="s">
        <v>41</v>
      </c>
      <c r="T12" s="32">
        <v>0</v>
      </c>
      <c r="U12" s="32">
        <v>0</v>
      </c>
      <c r="V12" s="32" t="s">
        <v>41</v>
      </c>
      <c r="W12" s="32" t="s">
        <v>41</v>
      </c>
      <c r="X12" s="32" t="s">
        <v>41</v>
      </c>
      <c r="Y12" s="32" t="s">
        <v>41</v>
      </c>
      <c r="Z12" s="37" t="s">
        <v>42</v>
      </c>
      <c r="AA12" s="37" t="s">
        <v>43</v>
      </c>
      <c r="AB12" s="32" t="s">
        <v>44</v>
      </c>
      <c r="AC12" s="37" t="s">
        <v>45</v>
      </c>
      <c r="AD12" s="38" t="s">
        <v>46</v>
      </c>
      <c r="AE12" s="39" t="s">
        <v>47</v>
      </c>
      <c r="AF12" s="40" t="s">
        <v>48</v>
      </c>
      <c r="AG12" s="39" t="s">
        <v>49</v>
      </c>
      <c r="AJ12" s="42"/>
      <c r="AK12" s="25"/>
    </row>
    <row r="13" spans="2:37" s="25" customFormat="1" ht="153.5" customHeight="1" x14ac:dyDescent="0.35">
      <c r="B13" s="43" t="s">
        <v>176</v>
      </c>
      <c r="C13" s="32" t="s">
        <v>84</v>
      </c>
      <c r="D13" s="33" t="s">
        <v>38</v>
      </c>
      <c r="E13" s="34">
        <v>1</v>
      </c>
      <c r="F13" s="35" t="s">
        <v>165</v>
      </c>
      <c r="G13" s="35" t="s">
        <v>165</v>
      </c>
      <c r="H13" s="36" t="s">
        <v>39</v>
      </c>
      <c r="I13" s="36" t="s">
        <v>39</v>
      </c>
      <c r="J13" s="36" t="s">
        <v>40</v>
      </c>
      <c r="K13" s="32">
        <v>0</v>
      </c>
      <c r="L13" s="32">
        <v>0</v>
      </c>
      <c r="M13" s="32" t="s">
        <v>177</v>
      </c>
      <c r="N13" s="32">
        <v>0</v>
      </c>
      <c r="O13" s="32">
        <v>0</v>
      </c>
      <c r="P13" s="32" t="s">
        <v>50</v>
      </c>
      <c r="Q13" s="32" t="s">
        <v>50</v>
      </c>
      <c r="R13" s="32" t="s">
        <v>50</v>
      </c>
      <c r="S13" s="32" t="s">
        <v>50</v>
      </c>
      <c r="T13" s="32">
        <v>0</v>
      </c>
      <c r="U13" s="32">
        <v>0</v>
      </c>
      <c r="V13" s="39" t="s">
        <v>50</v>
      </c>
      <c r="W13" s="39" t="s">
        <v>50</v>
      </c>
      <c r="X13" s="39" t="s">
        <v>50</v>
      </c>
      <c r="Y13" s="39" t="s">
        <v>50</v>
      </c>
      <c r="Z13" s="37" t="s">
        <v>51</v>
      </c>
      <c r="AA13" s="37" t="s">
        <v>52</v>
      </c>
      <c r="AB13" s="32" t="s">
        <v>53</v>
      </c>
      <c r="AC13" s="37" t="s">
        <v>45</v>
      </c>
      <c r="AD13" s="37" t="s">
        <v>54</v>
      </c>
      <c r="AE13" s="39" t="s">
        <v>47</v>
      </c>
      <c r="AF13" s="40" t="s">
        <v>55</v>
      </c>
      <c r="AG13" s="39" t="s">
        <v>49</v>
      </c>
    </row>
  </sheetData>
  <mergeCells count="7">
    <mergeCell ref="AC2:AG2"/>
    <mergeCell ref="B2:D2"/>
    <mergeCell ref="K2:M2"/>
    <mergeCell ref="F2:J2"/>
    <mergeCell ref="N2:S2"/>
    <mergeCell ref="T2:Y2"/>
    <mergeCell ref="Z2:AB2"/>
  </mergeCells>
  <hyperlinks>
    <hyperlink ref="AE8" r:id="rId1" xr:uid="{3D724A65-A230-4367-9447-1E577C9E7693}"/>
    <hyperlink ref="AD8" r:id="rId2" xr:uid="{002332D1-BD64-4CFC-ABDB-F8E9FA7D9DD0}"/>
    <hyperlink ref="AF8" r:id="rId3" xr:uid="{B4C31012-8462-4C7A-8C0E-BC91F5794883}"/>
    <hyperlink ref="AD12" r:id="rId4" xr:uid="{46F97153-139F-40AC-A6E7-F26C1AEA1FFC}"/>
    <hyperlink ref="AF13" r:id="rId5" xr:uid="{CEFA2B0D-DBB9-4241-B7CD-00FB79B64C68}"/>
    <hyperlink ref="AF12" r:id="rId6" display="https://www.mbank.pl/indywidualny/inwestycje/gielda/ikze-emakler/" xr:uid="{9AD29529-CC65-49CD-892E-517BA6CD306C}"/>
    <hyperlink ref="AE9" r:id="rId7" xr:uid="{273A9378-CDF1-4FF7-9A1C-0205A2AE77D4}"/>
    <hyperlink ref="AD6" r:id="rId8" xr:uid="{46F97153-139F-40AC-A6E7-F26C1AEA1FFC}"/>
    <hyperlink ref="AF7" r:id="rId9" xr:uid="{CEFA2B0D-DBB9-4241-B7CD-00FB79B64C68}"/>
    <hyperlink ref="AF6" r:id="rId10" display="https://www.mbank.pl/indywidualny/inwestycje/gielda/ikze-emakler/" xr:uid="{9AD29529-CC65-49CD-892E-517BA6CD306C}"/>
  </hyperlinks>
  <pageMargins left="0.7" right="0.7" top="0.75" bottom="0.75" header="0.3" footer="0.3"/>
  <pageSetup paperSize="9" orientation="portrait" verticalDpi="300" r:id="rId11"/>
  <legacy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A2501-6200-4263-9A11-4EB352F79FCE}">
  <dimension ref="A3:R45"/>
  <sheetViews>
    <sheetView topLeftCell="A34" workbookViewId="0">
      <selection activeCell="A28" sqref="A1:XFD1048576"/>
    </sheetView>
  </sheetViews>
  <sheetFormatPr defaultColWidth="8.81640625" defaultRowHeight="14" x14ac:dyDescent="0.3"/>
  <cols>
    <col min="1" max="1" width="30.453125" style="6" customWidth="1"/>
    <col min="2" max="2" width="12" style="6" customWidth="1"/>
    <col min="3" max="3" width="12.36328125" style="6" customWidth="1"/>
    <col min="4" max="4" width="12" style="6" customWidth="1"/>
    <col min="5" max="5" width="10.6328125" style="6" customWidth="1"/>
    <col min="6" max="6" width="12" style="6" customWidth="1"/>
    <col min="7" max="7" width="12.36328125" style="6" customWidth="1"/>
    <col min="8" max="8" width="12" style="6" customWidth="1"/>
    <col min="9" max="9" width="12.36328125" style="6" customWidth="1"/>
    <col min="10" max="10" width="12" style="6" customWidth="1"/>
    <col min="11" max="11" width="12.36328125" style="6" customWidth="1"/>
    <col min="12" max="12" width="12" style="6" customWidth="1"/>
    <col min="13" max="13" width="12.36328125" style="6" customWidth="1"/>
    <col min="14" max="14" width="14.1796875" style="6" bestFit="1" customWidth="1"/>
    <col min="15" max="15" width="11.1796875" style="6" bestFit="1" customWidth="1"/>
    <col min="16" max="16" width="12.1796875" style="6" bestFit="1" customWidth="1"/>
    <col min="17" max="17" width="11.1796875" style="6" bestFit="1" customWidth="1"/>
    <col min="18" max="18" width="12.1796875" style="6" bestFit="1" customWidth="1"/>
    <col min="19" max="19" width="12.1796875" style="6" customWidth="1"/>
    <col min="20" max="20" width="10.1796875" style="6" bestFit="1" customWidth="1"/>
    <col min="21" max="22" width="11.1796875" style="6" bestFit="1" customWidth="1"/>
    <col min="23" max="27" width="12.1796875" style="6" bestFit="1" customWidth="1"/>
    <col min="28" max="16384" width="8.81640625" style="6"/>
  </cols>
  <sheetData>
    <row r="3" spans="1:15" ht="25.5" thickBot="1" x14ac:dyDescent="0.55000000000000004">
      <c r="A3" s="65" t="s">
        <v>91</v>
      </c>
    </row>
    <row r="4" spans="1:15" ht="38" customHeight="1" thickBot="1" x14ac:dyDescent="0.35">
      <c r="B4" s="241" t="s">
        <v>121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3"/>
    </row>
    <row r="5" spans="1:15" ht="18" x14ac:dyDescent="0.4">
      <c r="A5" s="244" t="s">
        <v>90</v>
      </c>
      <c r="B5" s="66" t="s">
        <v>115</v>
      </c>
      <c r="C5" s="67">
        <v>100</v>
      </c>
      <c r="D5" s="66" t="str">
        <f>B5</f>
        <v>Transakcja:</v>
      </c>
      <c r="E5" s="67">
        <v>500</v>
      </c>
      <c r="F5" s="66" t="str">
        <f>B5</f>
        <v>Transakcja:</v>
      </c>
      <c r="G5" s="67">
        <v>1000</v>
      </c>
      <c r="H5" s="66" t="str">
        <f>B5</f>
        <v>Transakcja:</v>
      </c>
      <c r="I5" s="67">
        <v>2000</v>
      </c>
      <c r="J5" s="66" t="str">
        <f>H5</f>
        <v>Transakcja:</v>
      </c>
      <c r="K5" s="67">
        <v>6310.8</v>
      </c>
      <c r="L5" s="66" t="str">
        <f>B5</f>
        <v>Transakcja:</v>
      </c>
      <c r="M5" s="67">
        <v>15777</v>
      </c>
      <c r="N5" s="15" t="s">
        <v>92</v>
      </c>
    </row>
    <row r="6" spans="1:15" ht="50.5" customHeight="1" x14ac:dyDescent="0.3">
      <c r="A6" s="245"/>
      <c r="B6" s="68" t="s">
        <v>86</v>
      </c>
      <c r="C6" s="69" t="s">
        <v>114</v>
      </c>
      <c r="D6" s="68" t="s">
        <v>86</v>
      </c>
      <c r="E6" s="69" t="s">
        <v>114</v>
      </c>
      <c r="F6" s="68" t="s">
        <v>86</v>
      </c>
      <c r="G6" s="69" t="s">
        <v>114</v>
      </c>
      <c r="H6" s="68" t="s">
        <v>86</v>
      </c>
      <c r="I6" s="69" t="s">
        <v>114</v>
      </c>
      <c r="J6" s="68" t="s">
        <v>86</v>
      </c>
      <c r="K6" s="69" t="s">
        <v>114</v>
      </c>
      <c r="L6" s="68" t="s">
        <v>86</v>
      </c>
      <c r="M6" s="69" t="s">
        <v>114</v>
      </c>
    </row>
    <row r="7" spans="1:15" ht="25.5" customHeight="1" x14ac:dyDescent="0.3">
      <c r="A7" s="70" t="s">
        <v>111</v>
      </c>
      <c r="B7" s="71">
        <f>MAX(C$5*'Dane robocze'!$E6,'Dane robocze'!$F6)</f>
        <v>19</v>
      </c>
      <c r="C7" s="72">
        <f>B7/C$5</f>
        <v>0.19</v>
      </c>
      <c r="D7" s="71">
        <f>MAX(E$5*'Dane robocze'!$E6,'Dane robocze'!$F6)</f>
        <v>19</v>
      </c>
      <c r="E7" s="73">
        <f>D7/E$5</f>
        <v>3.7999999999999999E-2</v>
      </c>
      <c r="F7" s="71">
        <f>MAX(G$5*'Dane robocze'!$E6,'Dane robocze'!$F6)</f>
        <v>19</v>
      </c>
      <c r="G7" s="73">
        <f>F7/G$5</f>
        <v>1.9E-2</v>
      </c>
      <c r="H7" s="71">
        <f>MAX(I$5*'Dane robocze'!$E6,'Dane robocze'!$F6)</f>
        <v>19</v>
      </c>
      <c r="I7" s="73">
        <f>H7/I$5</f>
        <v>9.4999999999999998E-3</v>
      </c>
      <c r="J7" s="71">
        <f>MAX(K$5*'Dane robocze'!$E6,'Dane robocze'!$F6)</f>
        <v>19</v>
      </c>
      <c r="K7" s="73">
        <f>J7/K$5</f>
        <v>3.0107117956518982E-3</v>
      </c>
      <c r="L7" s="71">
        <f>MAX(M$5*'Dane robocze'!$E6,'Dane robocze'!$F6)</f>
        <v>45.753299999999996</v>
      </c>
      <c r="M7" s="73">
        <f>L7/M$5</f>
        <v>2.8999999999999998E-3</v>
      </c>
    </row>
    <row r="8" spans="1:15" ht="25.5" customHeight="1" x14ac:dyDescent="0.3">
      <c r="A8" s="70" t="s">
        <v>117</v>
      </c>
      <c r="B8" s="71">
        <f>MAX(C$5*'Dane robocze'!$E7,'Dane robocze'!$F7)</f>
        <v>19</v>
      </c>
      <c r="C8" s="72">
        <f t="shared" ref="C8:C10" si="0">B8/C$5</f>
        <v>0.19</v>
      </c>
      <c r="D8" s="71">
        <f>MAX(E$5*'Dane robocze'!$E7,'Dane robocze'!$F7)</f>
        <v>19</v>
      </c>
      <c r="E8" s="73">
        <f t="shared" ref="E8:G11" si="1">D8/E$5</f>
        <v>3.7999999999999999E-2</v>
      </c>
      <c r="F8" s="71">
        <f>MAX(G$5*'Dane robocze'!$E7,'Dane robocze'!$F7)</f>
        <v>19</v>
      </c>
      <c r="G8" s="73">
        <f t="shared" si="1"/>
        <v>1.9E-2</v>
      </c>
      <c r="H8" s="71">
        <f>MAX(I$5*'Dane robocze'!$E7,'Dane robocze'!$F7)</f>
        <v>19</v>
      </c>
      <c r="I8" s="73">
        <f t="shared" ref="I8" si="2">H8/I$5</f>
        <v>9.4999999999999998E-3</v>
      </c>
      <c r="J8" s="71">
        <f>MAX(K$5*'Dane robocze'!$E7,'Dane robocze'!$F7)</f>
        <v>19</v>
      </c>
      <c r="K8" s="73">
        <f t="shared" ref="K8" si="3">J8/K$5</f>
        <v>3.0107117956518982E-3</v>
      </c>
      <c r="L8" s="71">
        <f>MAX(M$5*'Dane robocze'!$E7,'Dane robocze'!$F7)</f>
        <v>45.753299999999996</v>
      </c>
      <c r="M8" s="73">
        <f t="shared" ref="M8" si="4">L8/M$5</f>
        <v>2.8999999999999998E-3</v>
      </c>
    </row>
    <row r="9" spans="1:15" ht="25.5" customHeight="1" x14ac:dyDescent="0.3">
      <c r="A9" s="70" t="s">
        <v>87</v>
      </c>
      <c r="B9" s="71">
        <f>MAX(C$5*'Dane robocze'!$E8,'Dane robocze'!$F8)</f>
        <v>19</v>
      </c>
      <c r="C9" s="72">
        <f>B9/C$5</f>
        <v>0.19</v>
      </c>
      <c r="D9" s="71">
        <f>MAX(E$5*'Dane robocze'!$E8,'Dane robocze'!$F8)</f>
        <v>19</v>
      </c>
      <c r="E9" s="73">
        <f t="shared" si="1"/>
        <v>3.7999999999999999E-2</v>
      </c>
      <c r="F9" s="71">
        <f>MAX(G$5*'Dane robocze'!$E8,'Dane robocze'!$F8)</f>
        <v>19</v>
      </c>
      <c r="G9" s="73">
        <f t="shared" si="1"/>
        <v>1.9E-2</v>
      </c>
      <c r="H9" s="71">
        <f>MAX(I$5*'Dane robocze'!$E8,'Dane robocze'!$F8)</f>
        <v>19</v>
      </c>
      <c r="I9" s="73">
        <f t="shared" ref="I9" si="5">H9/I$5</f>
        <v>9.4999999999999998E-3</v>
      </c>
      <c r="J9" s="71">
        <f>MAX(K$5*'Dane robocze'!$E8,'Dane robocze'!$F8)</f>
        <v>19</v>
      </c>
      <c r="K9" s="73">
        <f t="shared" ref="K9" si="6">J9/K$5</f>
        <v>3.0107117956518982E-3</v>
      </c>
      <c r="L9" s="71">
        <f>MAX(M$5*'Dane robocze'!$E8,'Dane robocze'!$F8)</f>
        <v>45.753299999999996</v>
      </c>
      <c r="M9" s="73">
        <f t="shared" ref="M9" si="7">L9/M$5</f>
        <v>2.8999999999999998E-3</v>
      </c>
    </row>
    <row r="10" spans="1:15" ht="25.5" customHeight="1" x14ac:dyDescent="0.3">
      <c r="A10" s="70" t="s">
        <v>88</v>
      </c>
      <c r="B10" s="71">
        <f>MAX(C$5*'Dane robocze'!$E9,'Dane robocze'!$F9)</f>
        <v>29</v>
      </c>
      <c r="C10" s="72">
        <f t="shared" si="0"/>
        <v>0.28999999999999998</v>
      </c>
      <c r="D10" s="71">
        <f>MAX(E$5*'Dane robocze'!$E9,'Dane robocze'!$F9)</f>
        <v>29</v>
      </c>
      <c r="E10" s="73">
        <f t="shared" si="1"/>
        <v>5.8000000000000003E-2</v>
      </c>
      <c r="F10" s="71">
        <f>MAX(G$5*'Dane robocze'!$E9,'Dane robocze'!$F9)</f>
        <v>29</v>
      </c>
      <c r="G10" s="73">
        <f t="shared" si="1"/>
        <v>2.9000000000000001E-2</v>
      </c>
      <c r="H10" s="71">
        <f>MAX(I$5*'Dane robocze'!$E9,'Dane robocze'!$F9)</f>
        <v>29</v>
      </c>
      <c r="I10" s="73">
        <f t="shared" ref="I10" si="8">H10/I$5</f>
        <v>1.4500000000000001E-2</v>
      </c>
      <c r="J10" s="71">
        <f>MAX(K$5*'Dane robocze'!$E9,'Dane robocze'!$F9)</f>
        <v>29</v>
      </c>
      <c r="K10" s="73">
        <f t="shared" ref="K10" si="9">J10/K$5</f>
        <v>4.5952969512581604E-3</v>
      </c>
      <c r="L10" s="71">
        <f>MAX(M$5*'Dane robocze'!$E9,'Dane robocze'!$F9)</f>
        <v>45.753299999999996</v>
      </c>
      <c r="M10" s="73">
        <f t="shared" ref="M10" si="10">L10/M$5</f>
        <v>2.8999999999999998E-3</v>
      </c>
      <c r="O10" s="74"/>
    </row>
    <row r="11" spans="1:15" ht="25.5" customHeight="1" x14ac:dyDescent="0.3">
      <c r="A11" s="70" t="s">
        <v>116</v>
      </c>
      <c r="B11" s="71">
        <f>MAX(C$5*'Dane robocze'!$E10,'Dane robocze'!$F10)</f>
        <v>56.04</v>
      </c>
      <c r="C11" s="72">
        <f>B11/C$5</f>
        <v>0.56040000000000001</v>
      </c>
      <c r="D11" s="71">
        <f>MAX(E$5*'Dane robocze'!$E10,'Dane robocze'!$F10)</f>
        <v>56.04</v>
      </c>
      <c r="E11" s="73">
        <f t="shared" si="1"/>
        <v>0.11208</v>
      </c>
      <c r="F11" s="71">
        <f>MAX(G$5*'Dane robocze'!$E10,'Dane robocze'!$F10)</f>
        <v>56.04</v>
      </c>
      <c r="G11" s="73">
        <f>F11/G$5</f>
        <v>5.604E-2</v>
      </c>
      <c r="H11" s="71">
        <f>MAX(I$5*'Dane robocze'!$E10,'Dane robocze'!$F10)</f>
        <v>56.04</v>
      </c>
      <c r="I11" s="73">
        <f>H11/I$5</f>
        <v>2.802E-2</v>
      </c>
      <c r="J11" s="71">
        <f>MAX(K$5*'Dane robocze'!$E10,'Dane robocze'!$F10)</f>
        <v>56.04</v>
      </c>
      <c r="K11" s="73">
        <f>J11/K$5</f>
        <v>8.8800152120174936E-3</v>
      </c>
      <c r="L11" s="71">
        <f>MAX(M$5*'Dane robocze'!$E10,'Dane robocze'!$F10)</f>
        <v>61.530299999999997</v>
      </c>
      <c r="M11" s="73">
        <f>L11/M$5</f>
        <v>3.8999999999999998E-3</v>
      </c>
    </row>
    <row r="15" spans="1:15" x14ac:dyDescent="0.3">
      <c r="H15" s="7"/>
      <c r="I15" s="7"/>
      <c r="J15" s="7"/>
    </row>
    <row r="16" spans="1:15" ht="18.5" thickBot="1" x14ac:dyDescent="0.35">
      <c r="B16" s="75" t="s">
        <v>178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</row>
    <row r="17" spans="1:18" ht="18" x14ac:dyDescent="0.4">
      <c r="B17" s="76" t="s">
        <v>101</v>
      </c>
      <c r="C17" s="77">
        <v>6310</v>
      </c>
      <c r="D17" s="78"/>
      <c r="E17" s="79" t="s">
        <v>101</v>
      </c>
      <c r="F17" s="77">
        <v>15777</v>
      </c>
      <c r="G17" s="78"/>
      <c r="H17" s="246" t="s">
        <v>107</v>
      </c>
      <c r="I17" s="80"/>
      <c r="J17" s="81"/>
      <c r="L17" s="82"/>
      <c r="M17" s="82"/>
      <c r="N17" s="82"/>
      <c r="O17" s="82"/>
      <c r="P17" s="82"/>
      <c r="Q17" s="7"/>
      <c r="R17" s="7"/>
    </row>
    <row r="18" spans="1:18" ht="62" x14ac:dyDescent="0.35">
      <c r="A18" s="83"/>
      <c r="B18" s="84" t="s">
        <v>102</v>
      </c>
      <c r="C18" s="85" t="s">
        <v>103</v>
      </c>
      <c r="D18" s="86" t="s">
        <v>104</v>
      </c>
      <c r="E18" s="84" t="s">
        <v>102</v>
      </c>
      <c r="F18" s="85" t="s">
        <v>103</v>
      </c>
      <c r="G18" s="86" t="s">
        <v>104</v>
      </c>
      <c r="H18" s="246"/>
      <c r="I18" s="87"/>
      <c r="J18" s="88"/>
      <c r="K18" s="89"/>
      <c r="L18" s="90"/>
      <c r="M18" s="89"/>
      <c r="N18" s="90"/>
      <c r="O18" s="89"/>
      <c r="P18" s="90"/>
      <c r="Q18" s="7"/>
      <c r="R18" s="7"/>
    </row>
    <row r="19" spans="1:18" ht="15.5" x14ac:dyDescent="0.35">
      <c r="A19" s="91" t="s">
        <v>105</v>
      </c>
      <c r="B19" s="92">
        <v>12</v>
      </c>
      <c r="C19" s="93">
        <v>4</v>
      </c>
      <c r="D19" s="94">
        <v>1</v>
      </c>
      <c r="E19" s="92">
        <v>12</v>
      </c>
      <c r="F19" s="93">
        <v>4</v>
      </c>
      <c r="G19" s="94">
        <v>1</v>
      </c>
      <c r="H19" s="95"/>
      <c r="I19" s="95"/>
      <c r="J19" s="95"/>
      <c r="K19" s="89"/>
      <c r="L19" s="90"/>
      <c r="M19" s="89"/>
      <c r="N19" s="90"/>
      <c r="O19" s="89"/>
      <c r="P19" s="90"/>
      <c r="Q19" s="7"/>
      <c r="R19" s="7"/>
    </row>
    <row r="20" spans="1:18" ht="15.5" x14ac:dyDescent="0.35">
      <c r="A20" s="91" t="s">
        <v>106</v>
      </c>
      <c r="B20" s="96">
        <f>C17/12</f>
        <v>525.83333333333337</v>
      </c>
      <c r="C20" s="97">
        <f>C17/C19</f>
        <v>1577.5</v>
      </c>
      <c r="D20" s="98">
        <f>C17/D19</f>
        <v>6310</v>
      </c>
      <c r="E20" s="96">
        <f>F17/12</f>
        <v>1314.75</v>
      </c>
      <c r="F20" s="97">
        <f>F17/F19</f>
        <v>3944.25</v>
      </c>
      <c r="G20" s="98">
        <f>F17/G19</f>
        <v>15777</v>
      </c>
      <c r="H20" s="99"/>
      <c r="I20" s="99"/>
      <c r="J20" s="99"/>
      <c r="K20" s="89"/>
      <c r="L20" s="90"/>
      <c r="M20" s="89"/>
      <c r="N20" s="90"/>
      <c r="O20" s="89"/>
      <c r="P20" s="90"/>
      <c r="Q20" s="7"/>
      <c r="R20" s="7"/>
    </row>
    <row r="21" spans="1:18" ht="31" x14ac:dyDescent="0.3">
      <c r="A21" s="70" t="s">
        <v>111</v>
      </c>
      <c r="B21" s="100">
        <f>MAX(B$19*B$20*'Dane robocze'!$E6,B$19*'Dane robocze'!$F6)</f>
        <v>228</v>
      </c>
      <c r="C21" s="101">
        <f>MAX(C$19*C$20*'Dane robocze'!$E6,C$19*'Dane robocze'!$F6)</f>
        <v>76</v>
      </c>
      <c r="D21" s="102">
        <f>MAX(D$19*D$20*'Dane robocze'!$E6,D$19*'Dane robocze'!$F6)</f>
        <v>19</v>
      </c>
      <c r="E21" s="100">
        <f>MAX(E$19*E$20*'Dane robocze'!$E6,E$19*'Dane robocze'!$F6)</f>
        <v>228</v>
      </c>
      <c r="F21" s="101">
        <f>MAX(F$19*F$20*'Dane robocze'!$E6,F$19*'Dane robocze'!$F6)</f>
        <v>76</v>
      </c>
      <c r="G21" s="102">
        <f>MAX(G$19*G$20*'Dane robocze'!$E6,G$19*'Dane robocze'!$F6)</f>
        <v>45.753299999999996</v>
      </c>
      <c r="H21" s="103"/>
      <c r="I21" s="103"/>
      <c r="J21" s="103"/>
      <c r="K21" s="103"/>
      <c r="L21" s="104"/>
      <c r="M21" s="103"/>
      <c r="N21" s="104"/>
      <c r="O21" s="103"/>
      <c r="P21" s="104"/>
      <c r="Q21" s="7"/>
      <c r="R21" s="7"/>
    </row>
    <row r="22" spans="1:18" ht="15.5" x14ac:dyDescent="0.3">
      <c r="A22" s="70" t="s">
        <v>117</v>
      </c>
      <c r="B22" s="100">
        <f>MAX(B$19*B$20*'Dane robocze'!$E7,B$19*'Dane robocze'!$F7)</f>
        <v>228</v>
      </c>
      <c r="C22" s="101">
        <f>MAX(C$19*C$20*'Dane robocze'!$E7,C$19*'Dane robocze'!$F7)</f>
        <v>76</v>
      </c>
      <c r="D22" s="102">
        <f>MAX(D$19*D$20*'Dane robocze'!$E7,D$19*'Dane robocze'!$F7)</f>
        <v>19</v>
      </c>
      <c r="E22" s="100">
        <f>MAX(E$19*E$20*'Dane robocze'!$E7,E$19*'Dane robocze'!$F7)</f>
        <v>228</v>
      </c>
      <c r="F22" s="101">
        <f>MAX(F$19*F$20*'Dane robocze'!$E7,F$19*'Dane robocze'!$F7)</f>
        <v>76</v>
      </c>
      <c r="G22" s="102">
        <f>MAX(G$19*G$20*'Dane robocze'!$E7,G$19*'Dane robocze'!$F7)</f>
        <v>45.753299999999996</v>
      </c>
      <c r="H22" s="103"/>
      <c r="I22" s="103"/>
      <c r="J22" s="103"/>
      <c r="K22" s="103"/>
      <c r="L22" s="104"/>
      <c r="M22" s="103"/>
      <c r="N22" s="104"/>
      <c r="O22" s="103"/>
      <c r="P22" s="104"/>
      <c r="Q22" s="7"/>
      <c r="R22" s="7"/>
    </row>
    <row r="23" spans="1:18" ht="15.5" x14ac:dyDescent="0.3">
      <c r="A23" s="70" t="s">
        <v>87</v>
      </c>
      <c r="B23" s="100">
        <f>MAX(B$19*B$20*'Dane robocze'!$E8,B$19*'Dane robocze'!$F8)</f>
        <v>228</v>
      </c>
      <c r="C23" s="101">
        <f>MAX(C$19*C$20*'Dane robocze'!$E8,C$19*'Dane robocze'!$F8)</f>
        <v>76</v>
      </c>
      <c r="D23" s="102">
        <f>MAX(D$19*D$20*'Dane robocze'!$E8,D$19*'Dane robocze'!$F8)</f>
        <v>19</v>
      </c>
      <c r="E23" s="100">
        <f>MAX(E$19*E$20*'Dane robocze'!$E8,E$19*'Dane robocze'!$F8)</f>
        <v>228</v>
      </c>
      <c r="F23" s="101">
        <f>MAX(F$19*F$20*'Dane robocze'!$E8,F$19*'Dane robocze'!$F8)</f>
        <v>76</v>
      </c>
      <c r="G23" s="102">
        <f>MAX(G$19*G$20*'Dane robocze'!$E8,G$19*'Dane robocze'!$F8)</f>
        <v>45.753299999999996</v>
      </c>
      <c r="H23" s="103"/>
      <c r="I23" s="103"/>
      <c r="J23" s="103"/>
      <c r="K23" s="103"/>
      <c r="L23" s="104"/>
      <c r="M23" s="103"/>
      <c r="N23" s="104"/>
      <c r="O23" s="103"/>
      <c r="P23" s="104"/>
      <c r="Q23" s="7"/>
      <c r="R23" s="7"/>
    </row>
    <row r="24" spans="1:18" ht="15.5" x14ac:dyDescent="0.3">
      <c r="A24" s="70" t="s">
        <v>88</v>
      </c>
      <c r="B24" s="100">
        <f>MAX(B$19*B$20*'Dane robocze'!$E9,B$19*'Dane robocze'!$F9)</f>
        <v>348</v>
      </c>
      <c r="C24" s="101">
        <f>MAX(C$19*C$20*'Dane robocze'!$E9,C$19*'Dane robocze'!$F9)</f>
        <v>116</v>
      </c>
      <c r="D24" s="102">
        <f>MAX(D$19*D$20*'Dane robocze'!$E9,D$19*'Dane robocze'!$F9)</f>
        <v>29</v>
      </c>
      <c r="E24" s="100">
        <f>MAX(E$19*E$20*'Dane robocze'!$E9,E$19*'Dane robocze'!$F9)</f>
        <v>348</v>
      </c>
      <c r="F24" s="101">
        <f>MAX(F$19*F$20*'Dane robocze'!$E9,F$19*'Dane robocze'!$F9)</f>
        <v>116</v>
      </c>
      <c r="G24" s="102">
        <f>MAX(G$19*G$20*'Dane robocze'!$E9,G$19*'Dane robocze'!$F9)</f>
        <v>45.753299999999996</v>
      </c>
      <c r="H24" s="103"/>
      <c r="I24" s="103"/>
      <c r="J24" s="103"/>
      <c r="K24" s="103"/>
      <c r="L24" s="104"/>
      <c r="M24" s="103"/>
      <c r="N24" s="104"/>
      <c r="O24" s="103"/>
      <c r="P24" s="104"/>
      <c r="Q24" s="7"/>
      <c r="R24" s="7"/>
    </row>
    <row r="25" spans="1:18" ht="16" thickBot="1" x14ac:dyDescent="0.35">
      <c r="A25" s="70" t="s">
        <v>116</v>
      </c>
      <c r="B25" s="100">
        <f>MAX(B$19*B$20*'Dane robocze'!$E10,B$19*'Dane robocze'!$F10)</f>
        <v>672.48</v>
      </c>
      <c r="C25" s="105">
        <f>MAX(C$19*C$20*'Dane robocze'!$E10,C$19*'Dane robocze'!$F10)</f>
        <v>224.16</v>
      </c>
      <c r="D25" s="106">
        <f>MAX(D$19*D$20*'Dane robocze'!$E10,D$19*'Dane robocze'!$F10)</f>
        <v>56.04</v>
      </c>
      <c r="E25" s="107">
        <f>MAX(E$19*E$20*'Dane robocze'!$E10,E$19*'Dane robocze'!$F10)</f>
        <v>672.48</v>
      </c>
      <c r="F25" s="105">
        <f>MAX(F$19*F$20*'Dane robocze'!$E10,F$19*'Dane robocze'!$F10)</f>
        <v>224.16</v>
      </c>
      <c r="G25" s="106">
        <f>MAX(G$19*G$20*'Dane robocze'!$E10,G$19*'Dane robocze'!$F10)</f>
        <v>61.530299999999997</v>
      </c>
      <c r="H25" s="103"/>
      <c r="I25" s="103"/>
      <c r="J25" s="103"/>
      <c r="K25" s="103"/>
      <c r="L25" s="104"/>
      <c r="M25" s="103"/>
      <c r="N25" s="104"/>
      <c r="O25" s="103"/>
      <c r="P25" s="104"/>
      <c r="Q25" s="7"/>
      <c r="R25" s="7"/>
    </row>
    <row r="26" spans="1:18" x14ac:dyDescent="0.3"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x14ac:dyDescent="0.3">
      <c r="C27" s="108"/>
    </row>
    <row r="28" spans="1:18" s="7" customFormat="1" ht="15.5" x14ac:dyDescent="0.3">
      <c r="B28" s="89"/>
      <c r="C28" s="89"/>
      <c r="D28" s="89"/>
      <c r="E28" s="89"/>
      <c r="F28" s="89"/>
      <c r="O28" s="109"/>
    </row>
    <row r="29" spans="1:18" s="7" customFormat="1" ht="15.5" x14ac:dyDescent="0.3">
      <c r="A29" s="109"/>
      <c r="B29" s="110"/>
      <c r="C29" s="110"/>
      <c r="D29" s="103"/>
      <c r="E29" s="103"/>
      <c r="F29" s="103"/>
      <c r="G29" s="111"/>
      <c r="H29" s="111"/>
      <c r="I29" s="111"/>
      <c r="J29" s="111"/>
      <c r="K29" s="111"/>
      <c r="L29" s="111"/>
      <c r="M29" s="111"/>
      <c r="N29" s="111"/>
      <c r="O29" s="112"/>
    </row>
    <row r="30" spans="1:18" ht="25" x14ac:dyDescent="0.5">
      <c r="A30" s="65" t="s">
        <v>98</v>
      </c>
    </row>
    <row r="31" spans="1:18" ht="43.5" customHeight="1" x14ac:dyDescent="0.3">
      <c r="A31" s="113" t="s">
        <v>93</v>
      </c>
      <c r="B31" s="114">
        <v>2.8999999999999998E-3</v>
      </c>
      <c r="C31" s="115" t="s">
        <v>94</v>
      </c>
    </row>
    <row r="32" spans="1:18" ht="26.5" customHeight="1" x14ac:dyDescent="0.3">
      <c r="A32" s="113" t="s">
        <v>85</v>
      </c>
      <c r="B32" s="116">
        <v>19</v>
      </c>
      <c r="C32" s="6" t="s">
        <v>95</v>
      </c>
    </row>
    <row r="33" spans="1:15" ht="40" customHeight="1" x14ac:dyDescent="0.3">
      <c r="A33" s="117" t="s">
        <v>99</v>
      </c>
      <c r="B33" s="118">
        <f>B32/B31</f>
        <v>6551.7241379310353</v>
      </c>
    </row>
    <row r="34" spans="1:15" ht="26.5" customHeight="1" x14ac:dyDescent="0.3"/>
    <row r="35" spans="1:15" ht="26.5" customHeight="1" x14ac:dyDescent="0.3">
      <c r="A35" s="7"/>
      <c r="B35" s="7"/>
    </row>
    <row r="36" spans="1:15" ht="48.5" customHeight="1" x14ac:dyDescent="0.3">
      <c r="A36" s="119" t="s">
        <v>100</v>
      </c>
      <c r="B36" s="119" t="s">
        <v>86</v>
      </c>
      <c r="C36" s="119" t="s">
        <v>89</v>
      </c>
    </row>
    <row r="37" spans="1:15" ht="22" customHeight="1" x14ac:dyDescent="0.3">
      <c r="A37" s="120">
        <v>100</v>
      </c>
      <c r="B37" s="121">
        <f t="shared" ref="B37:B45" si="11">MAX($A37*$B$31,$B$32)</f>
        <v>19</v>
      </c>
      <c r="C37" s="122">
        <f t="shared" ref="C37:C45" si="12">B37/A37</f>
        <v>0.19</v>
      </c>
    </row>
    <row r="38" spans="1:15" ht="22" customHeight="1" x14ac:dyDescent="0.3">
      <c r="A38" s="120">
        <v>300</v>
      </c>
      <c r="B38" s="121">
        <f t="shared" si="11"/>
        <v>19</v>
      </c>
      <c r="C38" s="122">
        <f t="shared" si="12"/>
        <v>6.3333333333333339E-2</v>
      </c>
    </row>
    <row r="39" spans="1:15" ht="22" customHeight="1" x14ac:dyDescent="0.3">
      <c r="A39" s="120">
        <v>500</v>
      </c>
      <c r="B39" s="121">
        <f t="shared" si="11"/>
        <v>19</v>
      </c>
      <c r="C39" s="122">
        <f t="shared" si="12"/>
        <v>3.7999999999999999E-2</v>
      </c>
    </row>
    <row r="40" spans="1:15" ht="22" customHeight="1" x14ac:dyDescent="0.3">
      <c r="A40" s="120">
        <v>700</v>
      </c>
      <c r="B40" s="121">
        <f t="shared" si="11"/>
        <v>19</v>
      </c>
      <c r="C40" s="122">
        <f t="shared" si="12"/>
        <v>2.7142857142857142E-2</v>
      </c>
    </row>
    <row r="41" spans="1:15" ht="22" customHeight="1" x14ac:dyDescent="0.3">
      <c r="A41" s="120">
        <v>1000</v>
      </c>
      <c r="B41" s="121">
        <f t="shared" si="11"/>
        <v>19</v>
      </c>
      <c r="C41" s="122">
        <f t="shared" si="12"/>
        <v>1.9E-2</v>
      </c>
    </row>
    <row r="42" spans="1:15" ht="22" customHeight="1" x14ac:dyDescent="0.3">
      <c r="A42" s="120">
        <v>1500</v>
      </c>
      <c r="B42" s="121">
        <f t="shared" si="11"/>
        <v>19</v>
      </c>
      <c r="C42" s="122">
        <f t="shared" si="12"/>
        <v>1.2666666666666666E-2</v>
      </c>
    </row>
    <row r="43" spans="1:15" ht="22" customHeight="1" x14ac:dyDescent="0.3">
      <c r="A43" s="120">
        <v>2000</v>
      </c>
      <c r="B43" s="121">
        <f t="shared" si="11"/>
        <v>19</v>
      </c>
      <c r="C43" s="122">
        <f t="shared" si="12"/>
        <v>9.4999999999999998E-3</v>
      </c>
      <c r="G43" s="7"/>
      <c r="H43" s="7"/>
      <c r="I43" s="7"/>
      <c r="J43" s="7"/>
      <c r="K43" s="7"/>
      <c r="L43" s="7"/>
      <c r="M43" s="7"/>
      <c r="N43" s="7"/>
      <c r="O43" s="7"/>
    </row>
    <row r="44" spans="1:15" ht="22" customHeight="1" x14ac:dyDescent="0.3">
      <c r="A44" s="120">
        <v>3000</v>
      </c>
      <c r="B44" s="121">
        <f t="shared" si="11"/>
        <v>19</v>
      </c>
      <c r="C44" s="122">
        <f t="shared" si="12"/>
        <v>6.3333333333333332E-3</v>
      </c>
    </row>
    <row r="45" spans="1:15" ht="22" customHeight="1" x14ac:dyDescent="0.3">
      <c r="A45" s="120">
        <v>6000</v>
      </c>
      <c r="B45" s="121">
        <f t="shared" si="11"/>
        <v>19</v>
      </c>
      <c r="C45" s="122">
        <f t="shared" si="12"/>
        <v>3.1666666666666666E-3</v>
      </c>
    </row>
  </sheetData>
  <mergeCells count="3">
    <mergeCell ref="B4:M4"/>
    <mergeCell ref="A5:A6"/>
    <mergeCell ref="H17:H18"/>
  </mergeCells>
  <conditionalFormatting sqref="B21:D2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1:K25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1:M25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1:O25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:B11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1:G25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1:J25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7:D11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:F11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:H1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7:J11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7:L1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1:E2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1:H2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1">
    <dataValidation type="list" allowBlank="1" showInputMessage="1" showErrorMessage="1" sqref="B35" xr:uid="{F750D12C-97A0-48C1-AEA2-C174D20B72D2}">
      <formula1>"początkiem,końcem"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01DF4-1609-46B3-9E9D-4D6CFFB4A74A}">
  <dimension ref="A4:Q29"/>
  <sheetViews>
    <sheetView topLeftCell="A10" workbookViewId="0">
      <selection sqref="A1:XFD1048576"/>
    </sheetView>
  </sheetViews>
  <sheetFormatPr defaultColWidth="8.81640625" defaultRowHeight="14" x14ac:dyDescent="0.3"/>
  <cols>
    <col min="1" max="1" width="19.453125" style="6" customWidth="1"/>
    <col min="2" max="2" width="8.81640625" style="6"/>
    <col min="3" max="3" width="11.1796875" style="6" customWidth="1"/>
    <col min="4" max="4" width="14.81640625" style="6" customWidth="1"/>
    <col min="5" max="11" width="11.1796875" style="6" customWidth="1"/>
    <col min="12" max="12" width="15.1796875" style="6" customWidth="1"/>
    <col min="13" max="13" width="11.1796875" style="6" customWidth="1"/>
    <col min="14" max="14" width="14.453125" style="6" customWidth="1"/>
    <col min="15" max="15" width="11.1796875" style="6" customWidth="1"/>
    <col min="16" max="16" width="13.81640625" style="6" customWidth="1"/>
    <col min="17" max="16384" width="8.81640625" style="6"/>
  </cols>
  <sheetData>
    <row r="4" spans="1:16" ht="18" x14ac:dyDescent="0.4">
      <c r="E4" s="248" t="s">
        <v>122</v>
      </c>
      <c r="F4" s="248"/>
      <c r="G4" s="248"/>
      <c r="H4" s="249" t="s">
        <v>123</v>
      </c>
      <c r="I4" s="249"/>
      <c r="J4" s="249"/>
      <c r="K4" s="250" t="s">
        <v>124</v>
      </c>
      <c r="L4" s="250"/>
      <c r="M4" s="251" t="s">
        <v>125</v>
      </c>
      <c r="N4" s="251"/>
      <c r="O4" s="247" t="s">
        <v>126</v>
      </c>
      <c r="P4" s="247"/>
    </row>
    <row r="5" spans="1:16" s="129" customFormat="1" ht="38.5" customHeight="1" x14ac:dyDescent="0.35">
      <c r="A5" s="123" t="s">
        <v>96</v>
      </c>
      <c r="B5" s="123" t="s">
        <v>71</v>
      </c>
      <c r="C5" s="123" t="s">
        <v>201</v>
      </c>
      <c r="D5" s="123" t="s">
        <v>97</v>
      </c>
      <c r="E5" s="124" t="s">
        <v>202</v>
      </c>
      <c r="F5" s="124" t="s">
        <v>203</v>
      </c>
      <c r="G5" s="124" t="s">
        <v>204</v>
      </c>
      <c r="H5" s="125" t="s">
        <v>202</v>
      </c>
      <c r="I5" s="125" t="s">
        <v>203</v>
      </c>
      <c r="J5" s="125" t="s">
        <v>204</v>
      </c>
      <c r="K5" s="126" t="s">
        <v>202</v>
      </c>
      <c r="L5" s="126" t="s">
        <v>203</v>
      </c>
      <c r="M5" s="127" t="s">
        <v>202</v>
      </c>
      <c r="N5" s="127" t="s">
        <v>203</v>
      </c>
      <c r="O5" s="128" t="s">
        <v>202</v>
      </c>
      <c r="P5" s="128" t="s">
        <v>203</v>
      </c>
    </row>
    <row r="6" spans="1:16" ht="36" customHeight="1" x14ac:dyDescent="0.3">
      <c r="A6" s="70" t="s">
        <v>108</v>
      </c>
      <c r="B6" s="130" t="s">
        <v>38</v>
      </c>
      <c r="C6" s="130" t="s">
        <v>38</v>
      </c>
      <c r="D6" s="130" t="s">
        <v>38</v>
      </c>
      <c r="E6" s="131">
        <v>2.8999999999999998E-3</v>
      </c>
      <c r="F6" s="132">
        <v>19</v>
      </c>
      <c r="G6" s="133">
        <v>4.0685224839400425</v>
      </c>
      <c r="H6" s="131">
        <v>2.8999999999999998E-3</v>
      </c>
      <c r="I6" s="132">
        <v>19</v>
      </c>
      <c r="J6" s="133">
        <v>4.0685224839400425</v>
      </c>
      <c r="K6" s="131">
        <v>3.8999999999999998E-3</v>
      </c>
      <c r="L6" s="132">
        <v>5</v>
      </c>
      <c r="M6" s="131">
        <v>3.8999999999999998E-3</v>
      </c>
      <c r="N6" s="132">
        <v>5</v>
      </c>
      <c r="O6" s="131">
        <v>1.9E-3</v>
      </c>
      <c r="P6" s="132">
        <v>5</v>
      </c>
    </row>
    <row r="7" spans="1:16" ht="36" customHeight="1" x14ac:dyDescent="0.3">
      <c r="A7" s="70" t="s">
        <v>111</v>
      </c>
      <c r="B7" s="130" t="s">
        <v>38</v>
      </c>
      <c r="C7" s="130" t="s">
        <v>38</v>
      </c>
      <c r="D7" s="130" t="s">
        <v>38</v>
      </c>
      <c r="E7" s="131">
        <v>2.8999999999999998E-3</v>
      </c>
      <c r="F7" s="132">
        <v>19</v>
      </c>
      <c r="G7" s="134">
        <v>5</v>
      </c>
      <c r="H7" s="131">
        <v>2.8999999999999998E-3</v>
      </c>
      <c r="I7" s="132">
        <v>19</v>
      </c>
      <c r="J7" s="134">
        <v>5</v>
      </c>
      <c r="K7" s="131">
        <v>3.8999999999999998E-3</v>
      </c>
      <c r="L7" s="132">
        <v>5</v>
      </c>
      <c r="M7" s="131">
        <v>3.8999999999999998E-3</v>
      </c>
      <c r="N7" s="132">
        <v>5</v>
      </c>
      <c r="O7" s="131">
        <v>1.9E-3</v>
      </c>
      <c r="P7" s="132">
        <v>5</v>
      </c>
    </row>
    <row r="8" spans="1:16" ht="36" customHeight="1" x14ac:dyDescent="0.3">
      <c r="A8" s="70" t="s">
        <v>87</v>
      </c>
      <c r="B8" s="130" t="s">
        <v>38</v>
      </c>
      <c r="C8" s="130" t="s">
        <v>38</v>
      </c>
      <c r="D8" s="130" t="s">
        <v>38</v>
      </c>
      <c r="E8" s="131">
        <v>2.8999999999999998E-3</v>
      </c>
      <c r="F8" s="132">
        <v>19</v>
      </c>
      <c r="G8" s="134">
        <v>5</v>
      </c>
      <c r="H8" s="131">
        <v>2.8999999999999998E-3</v>
      </c>
      <c r="I8" s="132">
        <v>19</v>
      </c>
      <c r="J8" s="134">
        <v>5</v>
      </c>
      <c r="K8" s="131">
        <v>3.8E-3</v>
      </c>
      <c r="L8" s="132">
        <v>5</v>
      </c>
      <c r="M8" s="131">
        <v>2.5000000000000001E-3</v>
      </c>
      <c r="N8" s="132">
        <v>5</v>
      </c>
      <c r="O8" s="131">
        <v>1.9E-3</v>
      </c>
      <c r="P8" s="132">
        <v>5</v>
      </c>
    </row>
    <row r="9" spans="1:16" ht="36" customHeight="1" x14ac:dyDescent="0.3">
      <c r="A9" s="70" t="s">
        <v>88</v>
      </c>
      <c r="B9" s="130" t="s">
        <v>38</v>
      </c>
      <c r="C9" s="130" t="s">
        <v>38</v>
      </c>
      <c r="D9" s="130" t="s">
        <v>38</v>
      </c>
      <c r="E9" s="131">
        <v>2.8999999999999998E-3</v>
      </c>
      <c r="F9" s="132">
        <v>29</v>
      </c>
      <c r="G9" s="134">
        <v>7</v>
      </c>
      <c r="H9" s="131">
        <v>2.8999999999999998E-3</v>
      </c>
      <c r="I9" s="132">
        <v>29</v>
      </c>
      <c r="J9" s="134">
        <v>7</v>
      </c>
      <c r="K9" s="131">
        <v>3.8E-3</v>
      </c>
      <c r="L9" s="132">
        <v>5</v>
      </c>
      <c r="M9" s="131">
        <v>3.8E-3</v>
      </c>
      <c r="N9" s="132">
        <v>5</v>
      </c>
      <c r="O9" s="131">
        <v>1.9E-3</v>
      </c>
      <c r="P9" s="132">
        <v>5</v>
      </c>
    </row>
    <row r="10" spans="1:16" ht="36" customHeight="1" x14ac:dyDescent="0.3">
      <c r="A10" s="70" t="s">
        <v>116</v>
      </c>
      <c r="B10" s="130" t="s">
        <v>38</v>
      </c>
      <c r="C10" s="130" t="s">
        <v>45</v>
      </c>
      <c r="D10" s="130" t="s">
        <v>38</v>
      </c>
      <c r="E10" s="131">
        <v>3.8999999999999998E-3</v>
      </c>
      <c r="F10" s="135">
        <v>56.04</v>
      </c>
      <c r="G10" s="134">
        <v>12</v>
      </c>
      <c r="H10" s="131">
        <v>3.8999999999999998E-3</v>
      </c>
      <c r="I10" s="135">
        <v>56.04</v>
      </c>
      <c r="J10" s="134">
        <v>12</v>
      </c>
      <c r="K10" s="131">
        <v>3.8999999999999998E-3</v>
      </c>
      <c r="L10" s="132">
        <v>5</v>
      </c>
      <c r="M10" s="131">
        <v>3.8999999999999998E-3</v>
      </c>
      <c r="N10" s="132">
        <v>5</v>
      </c>
      <c r="O10" s="131">
        <v>1.9E-3</v>
      </c>
      <c r="P10" s="132">
        <v>5</v>
      </c>
    </row>
    <row r="11" spans="1:16" ht="36" customHeight="1" x14ac:dyDescent="0.3">
      <c r="A11" s="70" t="s">
        <v>69</v>
      </c>
      <c r="B11" s="130" t="s">
        <v>38</v>
      </c>
      <c r="C11" s="130" t="s">
        <v>45</v>
      </c>
      <c r="D11" s="130" t="s">
        <v>45</v>
      </c>
      <c r="E11" s="131" t="s">
        <v>56</v>
      </c>
      <c r="F11" s="131" t="s">
        <v>56</v>
      </c>
      <c r="G11" s="131" t="s">
        <v>56</v>
      </c>
      <c r="H11" s="131" t="s">
        <v>56</v>
      </c>
      <c r="I11" s="131" t="s">
        <v>56</v>
      </c>
      <c r="J11" s="131" t="s">
        <v>56</v>
      </c>
      <c r="K11" s="131">
        <v>3.8999999999999998E-3</v>
      </c>
      <c r="L11" s="132">
        <v>5</v>
      </c>
      <c r="M11" s="131">
        <v>3.8999999999999998E-3</v>
      </c>
      <c r="N11" s="132">
        <v>5</v>
      </c>
      <c r="O11" s="131">
        <v>2E-3</v>
      </c>
      <c r="P11" s="132">
        <v>5</v>
      </c>
    </row>
    <row r="12" spans="1:16" ht="36" customHeight="1" x14ac:dyDescent="0.3">
      <c r="A12" s="70" t="s">
        <v>68</v>
      </c>
      <c r="B12" s="130" t="s">
        <v>45</v>
      </c>
      <c r="C12" s="130" t="s">
        <v>38</v>
      </c>
      <c r="D12" s="130" t="s">
        <v>45</v>
      </c>
      <c r="E12" s="131" t="s">
        <v>56</v>
      </c>
      <c r="F12" s="131" t="s">
        <v>56</v>
      </c>
      <c r="G12" s="131" t="s">
        <v>56</v>
      </c>
      <c r="H12" s="131" t="s">
        <v>56</v>
      </c>
      <c r="I12" s="131" t="s">
        <v>56</v>
      </c>
      <c r="J12" s="131" t="s">
        <v>56</v>
      </c>
      <c r="K12" s="131">
        <v>3.8E-3</v>
      </c>
      <c r="L12" s="132">
        <v>4.9000000000000004</v>
      </c>
      <c r="M12" s="131">
        <v>3.8E-3</v>
      </c>
      <c r="N12" s="132">
        <v>4.9000000000000004</v>
      </c>
      <c r="O12" s="131">
        <v>2E-3</v>
      </c>
      <c r="P12" s="132">
        <v>4.9000000000000004</v>
      </c>
    </row>
    <row r="13" spans="1:16" ht="36" customHeight="1" x14ac:dyDescent="0.3">
      <c r="A13" s="70" t="s">
        <v>112</v>
      </c>
      <c r="B13" s="130" t="s">
        <v>38</v>
      </c>
      <c r="C13" s="130" t="s">
        <v>38</v>
      </c>
      <c r="D13" s="130" t="s">
        <v>45</v>
      </c>
      <c r="E13" s="131" t="s">
        <v>56</v>
      </c>
      <c r="F13" s="132" t="s">
        <v>56</v>
      </c>
      <c r="G13" s="134" t="s">
        <v>56</v>
      </c>
      <c r="H13" s="134" t="s">
        <v>56</v>
      </c>
      <c r="I13" s="134" t="s">
        <v>56</v>
      </c>
      <c r="J13" s="134" t="s">
        <v>56</v>
      </c>
      <c r="K13" s="131">
        <v>1.9E-3</v>
      </c>
      <c r="L13" s="132">
        <v>5</v>
      </c>
      <c r="M13" s="131">
        <v>1.9E-3</v>
      </c>
      <c r="N13" s="132">
        <v>5</v>
      </c>
      <c r="O13" s="131">
        <v>1.5E-3</v>
      </c>
      <c r="P13" s="132">
        <v>5</v>
      </c>
    </row>
    <row r="14" spans="1:16" ht="36" customHeight="1" x14ac:dyDescent="0.3">
      <c r="A14" s="70" t="s">
        <v>113</v>
      </c>
      <c r="B14" s="130" t="s">
        <v>38</v>
      </c>
      <c r="C14" s="130" t="s">
        <v>38</v>
      </c>
      <c r="D14" s="130" t="s">
        <v>38</v>
      </c>
      <c r="E14" s="131" t="s">
        <v>56</v>
      </c>
      <c r="F14" s="132" t="s">
        <v>56</v>
      </c>
      <c r="G14" s="134" t="s">
        <v>56</v>
      </c>
      <c r="H14" s="134" t="s">
        <v>56</v>
      </c>
      <c r="I14" s="134" t="s">
        <v>56</v>
      </c>
      <c r="J14" s="134" t="s">
        <v>56</v>
      </c>
      <c r="K14" s="131">
        <v>3.8E-3</v>
      </c>
      <c r="L14" s="132">
        <v>10</v>
      </c>
      <c r="M14" s="131">
        <v>3.8E-3</v>
      </c>
      <c r="N14" s="132">
        <v>10</v>
      </c>
      <c r="O14" s="131">
        <v>2E-3</v>
      </c>
      <c r="P14" s="132">
        <v>5</v>
      </c>
    </row>
    <row r="15" spans="1:16" ht="36" customHeight="1" x14ac:dyDescent="0.3">
      <c r="A15" s="70" t="s">
        <v>109</v>
      </c>
      <c r="B15" s="130" t="s">
        <v>38</v>
      </c>
      <c r="C15" s="130" t="s">
        <v>38</v>
      </c>
      <c r="D15" s="130" t="s">
        <v>45</v>
      </c>
      <c r="E15" s="131" t="s">
        <v>56</v>
      </c>
      <c r="F15" s="131" t="s">
        <v>56</v>
      </c>
      <c r="G15" s="131" t="s">
        <v>56</v>
      </c>
      <c r="H15" s="131" t="s">
        <v>56</v>
      </c>
      <c r="I15" s="131" t="s">
        <v>56</v>
      </c>
      <c r="J15" s="131" t="s">
        <v>56</v>
      </c>
      <c r="K15" s="131">
        <v>2.8E-3</v>
      </c>
      <c r="L15" s="132">
        <v>5.95</v>
      </c>
      <c r="M15" s="131">
        <v>2.8E-3</v>
      </c>
      <c r="N15" s="132">
        <v>5.95</v>
      </c>
      <c r="O15" s="131">
        <v>1.8E-3</v>
      </c>
      <c r="P15" s="132">
        <v>5.95</v>
      </c>
    </row>
    <row r="16" spans="1:16" ht="36" customHeight="1" x14ac:dyDescent="0.3">
      <c r="A16" s="70" t="s">
        <v>110</v>
      </c>
      <c r="B16" s="130" t="s">
        <v>38</v>
      </c>
      <c r="C16" s="130" t="s">
        <v>38</v>
      </c>
      <c r="D16" s="130" t="s">
        <v>45</v>
      </c>
      <c r="E16" s="131" t="s">
        <v>56</v>
      </c>
      <c r="F16" s="132" t="s">
        <v>56</v>
      </c>
      <c r="G16" s="134" t="s">
        <v>56</v>
      </c>
      <c r="H16" s="134" t="s">
        <v>56</v>
      </c>
      <c r="I16" s="134" t="s">
        <v>56</v>
      </c>
      <c r="J16" s="134" t="s">
        <v>56</v>
      </c>
      <c r="K16" s="131">
        <v>1.2999999999999999E-3</v>
      </c>
      <c r="L16" s="132">
        <v>3</v>
      </c>
      <c r="M16" s="131">
        <v>1.2999999999999999E-3</v>
      </c>
      <c r="N16" s="132">
        <v>3</v>
      </c>
      <c r="O16" s="131">
        <v>1.2999999999999999E-3</v>
      </c>
      <c r="P16" s="132">
        <v>3</v>
      </c>
    </row>
    <row r="17" spans="3:17" x14ac:dyDescent="0.3">
      <c r="C17" s="15">
        <v>4.59</v>
      </c>
      <c r="D17" s="6" t="s">
        <v>120</v>
      </c>
      <c r="Q17" s="136"/>
    </row>
    <row r="18" spans="3:17" x14ac:dyDescent="0.3">
      <c r="Q18" s="136"/>
    </row>
    <row r="19" spans="3:17" x14ac:dyDescent="0.3">
      <c r="Q19" s="136"/>
    </row>
    <row r="20" spans="3:17" ht="16.5" x14ac:dyDescent="0.45">
      <c r="Q20" s="136"/>
    </row>
    <row r="21" spans="3:17" ht="16.5" x14ac:dyDescent="0.45">
      <c r="Q21" s="136"/>
    </row>
    <row r="22" spans="3:17" ht="24" customHeight="1" x14ac:dyDescent="0.45">
      <c r="Q22" s="136"/>
    </row>
    <row r="23" spans="3:17" ht="16.5" x14ac:dyDescent="0.45">
      <c r="Q23" s="136"/>
    </row>
    <row r="24" spans="3:17" ht="16.5" x14ac:dyDescent="0.45">
      <c r="Q24" s="136"/>
    </row>
    <row r="25" spans="3:17" ht="16.5" x14ac:dyDescent="0.45">
      <c r="Q25" s="136"/>
    </row>
    <row r="26" spans="3:17" ht="16.5" x14ac:dyDescent="0.45">
      <c r="Q26" s="136"/>
    </row>
    <row r="27" spans="3:17" ht="16.5" x14ac:dyDescent="0.45">
      <c r="Q27" s="136"/>
    </row>
    <row r="29" spans="3:17" s="7" customFormat="1" ht="16.5" x14ac:dyDescent="0.45"/>
  </sheetData>
  <mergeCells count="5">
    <mergeCell ref="O4:P4"/>
    <mergeCell ref="E4:G4"/>
    <mergeCell ref="H4:J4"/>
    <mergeCell ref="K4:L4"/>
    <mergeCell ref="M4:N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B2F74-A19A-4F52-B914-38381CA07FCA}">
  <dimension ref="G6:G7"/>
  <sheetViews>
    <sheetView workbookViewId="0">
      <selection activeCell="L9" sqref="L9"/>
    </sheetView>
  </sheetViews>
  <sheetFormatPr defaultColWidth="8.81640625" defaultRowHeight="14.5" x14ac:dyDescent="0.35"/>
  <sheetData>
    <row r="6" spans="7:7" x14ac:dyDescent="0.35">
      <c r="G6" t="s">
        <v>38</v>
      </c>
    </row>
    <row r="7" spans="7:7" x14ac:dyDescent="0.35">
      <c r="G7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KALKULATOR</vt:lpstr>
      <vt:lpstr>Tabele opłat_IKE i IKZE w DM</vt:lpstr>
      <vt:lpstr>PROWIZJE</vt:lpstr>
      <vt:lpstr>Dane robocze</vt:lpstr>
      <vt:lpstr>listy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Iwuc</dc:creator>
  <cp:lastModifiedBy>Katarzyna Iwuc</cp:lastModifiedBy>
  <dcterms:created xsi:type="dcterms:W3CDTF">2015-06-05T18:19:34Z</dcterms:created>
  <dcterms:modified xsi:type="dcterms:W3CDTF">2022-11-28T23:45:34Z</dcterms:modified>
</cp:coreProperties>
</file>