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FBO/Wakacje kredytowe/"/>
    </mc:Choice>
  </mc:AlternateContent>
  <xr:revisionPtr revIDLastSave="1" documentId="8_{964450FE-E23D-4CFE-9B32-33A5D50DD3BC}" xr6:coauthVersionLast="47" xr6:coauthVersionMax="47" xr10:uidLastSave="{F899A3BC-D640-40A5-8E3D-D2632D997DBB}"/>
  <bookViews>
    <workbookView xWindow="-110" yWindow="-110" windowWidth="19420" windowHeight="10420" xr2:uid="{00000000-000D-0000-FFFF-FFFF00000000}"/>
  </bookViews>
  <sheets>
    <sheet name="RZĄDOWY PROGRAM" sheetId="17" r:id="rId1"/>
    <sheet name="listy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17" l="1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75" i="17"/>
  <c r="W76" i="17"/>
  <c r="W77" i="17"/>
  <c r="W78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W96" i="17"/>
  <c r="W97" i="17"/>
  <c r="W98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W135" i="17"/>
  <c r="W136" i="17"/>
  <c r="W137" i="17"/>
  <c r="W138" i="17"/>
  <c r="W139" i="17"/>
  <c r="W140" i="17"/>
  <c r="W141" i="17"/>
  <c r="W142" i="17"/>
  <c r="W143" i="17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57" i="17"/>
  <c r="W158" i="17"/>
  <c r="W159" i="17"/>
  <c r="W160" i="17"/>
  <c r="W161" i="17"/>
  <c r="W162" i="17"/>
  <c r="W163" i="17"/>
  <c r="W164" i="17"/>
  <c r="W165" i="17"/>
  <c r="W166" i="17"/>
  <c r="W167" i="17"/>
  <c r="W168" i="17"/>
  <c r="W169" i="17"/>
  <c r="W170" i="17"/>
  <c r="W171" i="17"/>
  <c r="W172" i="17"/>
  <c r="W173" i="17"/>
  <c r="W174" i="17"/>
  <c r="W175" i="17"/>
  <c r="W176" i="17"/>
  <c r="W177" i="17"/>
  <c r="W178" i="17"/>
  <c r="W179" i="17"/>
  <c r="W180" i="17"/>
  <c r="W181" i="17"/>
  <c r="W182" i="17"/>
  <c r="W183" i="17"/>
  <c r="W184" i="17"/>
  <c r="W185" i="17"/>
  <c r="W186" i="17"/>
  <c r="W187" i="17"/>
  <c r="W188" i="17"/>
  <c r="W189" i="17"/>
  <c r="W190" i="17"/>
  <c r="W191" i="17"/>
  <c r="W192" i="17"/>
  <c r="W193" i="17"/>
  <c r="W194" i="17"/>
  <c r="W195" i="17"/>
  <c r="W196" i="17"/>
  <c r="W197" i="17"/>
  <c r="W198" i="17"/>
  <c r="W199" i="17"/>
  <c r="W200" i="17"/>
  <c r="W201" i="17"/>
  <c r="W202" i="17"/>
  <c r="W203" i="17"/>
  <c r="W204" i="17"/>
  <c r="W205" i="17"/>
  <c r="W206" i="17"/>
  <c r="W207" i="17"/>
  <c r="W208" i="17"/>
  <c r="W209" i="17"/>
  <c r="W210" i="17"/>
  <c r="W211" i="17"/>
  <c r="W212" i="17"/>
  <c r="W213" i="17"/>
  <c r="W214" i="17"/>
  <c r="W215" i="17"/>
  <c r="W216" i="17"/>
  <c r="W217" i="17"/>
  <c r="W218" i="17"/>
  <c r="W219" i="17"/>
  <c r="W220" i="17"/>
  <c r="W221" i="17"/>
  <c r="W222" i="17"/>
  <c r="W223" i="17"/>
  <c r="W224" i="17"/>
  <c r="W225" i="17"/>
  <c r="W226" i="17"/>
  <c r="W227" i="17"/>
  <c r="W228" i="17"/>
  <c r="W229" i="17"/>
  <c r="W230" i="17"/>
  <c r="W231" i="17"/>
  <c r="W232" i="17"/>
  <c r="W233" i="17"/>
  <c r="W234" i="17"/>
  <c r="W235" i="17"/>
  <c r="W236" i="17"/>
  <c r="W237" i="17"/>
  <c r="W238" i="17"/>
  <c r="W239" i="17"/>
  <c r="W240" i="17"/>
  <c r="W241" i="17"/>
  <c r="W242" i="17"/>
  <c r="W243" i="17"/>
  <c r="W244" i="17"/>
  <c r="W245" i="17"/>
  <c r="W246" i="17"/>
  <c r="W247" i="17"/>
  <c r="W248" i="17"/>
  <c r="W249" i="17"/>
  <c r="W250" i="17"/>
  <c r="W251" i="17"/>
  <c r="W252" i="17"/>
  <c r="W253" i="17"/>
  <c r="W254" i="17"/>
  <c r="W255" i="17"/>
  <c r="W256" i="17"/>
  <c r="W257" i="17"/>
  <c r="W258" i="17"/>
  <c r="W259" i="17"/>
  <c r="W260" i="17"/>
  <c r="W261" i="17"/>
  <c r="W262" i="17"/>
  <c r="W263" i="17"/>
  <c r="W264" i="17"/>
  <c r="W265" i="17"/>
  <c r="W266" i="17"/>
  <c r="W267" i="17"/>
  <c r="W268" i="17"/>
  <c r="W269" i="17"/>
  <c r="W270" i="17"/>
  <c r="W271" i="17"/>
  <c r="W272" i="17"/>
  <c r="W273" i="17"/>
  <c r="W274" i="17"/>
  <c r="W275" i="17"/>
  <c r="W276" i="17"/>
  <c r="W277" i="17"/>
  <c r="W278" i="17"/>
  <c r="W279" i="17"/>
  <c r="W280" i="17"/>
  <c r="W281" i="17"/>
  <c r="W282" i="17"/>
  <c r="W283" i="17"/>
  <c r="W284" i="17"/>
  <c r="W285" i="17"/>
  <c r="W286" i="17"/>
  <c r="W287" i="17"/>
  <c r="W288" i="17"/>
  <c r="W289" i="17"/>
  <c r="W290" i="17"/>
  <c r="W291" i="17"/>
  <c r="W292" i="17"/>
  <c r="W293" i="17"/>
  <c r="W294" i="17"/>
  <c r="W295" i="17"/>
  <c r="W296" i="17"/>
  <c r="W297" i="17"/>
  <c r="W298" i="17"/>
  <c r="W299" i="17"/>
  <c r="W300" i="17"/>
  <c r="W301" i="17"/>
  <c r="W302" i="17"/>
  <c r="W303" i="17"/>
  <c r="W304" i="17"/>
  <c r="W305" i="17"/>
  <c r="W306" i="17"/>
  <c r="W307" i="17"/>
  <c r="W308" i="17"/>
  <c r="W309" i="17"/>
  <c r="W310" i="17"/>
  <c r="W311" i="17"/>
  <c r="W312" i="17"/>
  <c r="W313" i="17"/>
  <c r="W314" i="17"/>
  <c r="W315" i="17"/>
  <c r="W316" i="17"/>
  <c r="W317" i="17"/>
  <c r="W318" i="17"/>
  <c r="W319" i="17"/>
  <c r="W320" i="17"/>
  <c r="W321" i="17"/>
  <c r="W322" i="17"/>
  <c r="W323" i="17"/>
  <c r="W324" i="17"/>
  <c r="W325" i="17"/>
  <c r="W326" i="17"/>
  <c r="W327" i="17"/>
  <c r="W328" i="17"/>
  <c r="W329" i="17"/>
  <c r="W330" i="17"/>
  <c r="W331" i="17"/>
  <c r="W332" i="17"/>
  <c r="W333" i="17"/>
  <c r="W334" i="17"/>
  <c r="W335" i="17"/>
  <c r="W336" i="17"/>
  <c r="W337" i="17"/>
  <c r="W338" i="17"/>
  <c r="W339" i="17"/>
  <c r="W340" i="17"/>
  <c r="W341" i="17"/>
  <c r="W342" i="17"/>
  <c r="W343" i="17"/>
  <c r="W344" i="17"/>
  <c r="W345" i="17"/>
  <c r="W346" i="17"/>
  <c r="W347" i="17"/>
  <c r="W348" i="17"/>
  <c r="W349" i="17"/>
  <c r="W350" i="17"/>
  <c r="W351" i="17"/>
  <c r="W352" i="17"/>
  <c r="W353" i="17"/>
  <c r="W354" i="17"/>
  <c r="W355" i="17"/>
  <c r="W356" i="17"/>
  <c r="W357" i="17"/>
  <c r="W358" i="17"/>
  <c r="W359" i="17"/>
  <c r="W360" i="17"/>
  <c r="W361" i="17"/>
  <c r="W362" i="17"/>
  <c r="W363" i="17"/>
  <c r="W364" i="17"/>
  <c r="W365" i="17"/>
  <c r="W366" i="17"/>
  <c r="W367" i="17"/>
  <c r="W368" i="17"/>
  <c r="W369" i="17"/>
  <c r="W370" i="17"/>
  <c r="W371" i="17"/>
  <c r="W372" i="17"/>
  <c r="W373" i="17"/>
  <c r="W374" i="17"/>
  <c r="W375" i="17"/>
  <c r="W376" i="17"/>
  <c r="W377" i="17"/>
  <c r="W378" i="17"/>
  <c r="W379" i="17"/>
  <c r="W380" i="17"/>
  <c r="W381" i="17"/>
  <c r="W382" i="17"/>
  <c r="W383" i="17"/>
  <c r="W384" i="17"/>
  <c r="W385" i="17"/>
  <c r="W386" i="17"/>
  <c r="W387" i="17"/>
  <c r="W388" i="17"/>
  <c r="W389" i="17"/>
  <c r="W390" i="17"/>
  <c r="W391" i="17"/>
  <c r="W392" i="17"/>
  <c r="W393" i="17"/>
  <c r="W394" i="17"/>
  <c r="W395" i="17"/>
  <c r="W28" i="17"/>
  <c r="I28" i="17"/>
  <c r="I9" i="17"/>
  <c r="I8" i="17"/>
  <c r="I7" i="17"/>
  <c r="BM33" i="17"/>
  <c r="BM35" i="17"/>
  <c r="BM36" i="17"/>
  <c r="BM38" i="17"/>
  <c r="BM39" i="17"/>
  <c r="BM41" i="17"/>
  <c r="BM42" i="17"/>
  <c r="BM44" i="17"/>
  <c r="BM45" i="17"/>
  <c r="BM46" i="17"/>
  <c r="BM47" i="17"/>
  <c r="BM48" i="17"/>
  <c r="BM49" i="17"/>
  <c r="BM50" i="17"/>
  <c r="BK27" i="17"/>
  <c r="BF28" i="17" s="1"/>
  <c r="BZ27" i="17" l="1"/>
  <c r="BU28" i="17" s="1"/>
  <c r="AV27" i="17"/>
  <c r="AQ28" i="17" s="1"/>
  <c r="BQ28" i="17" l="1"/>
  <c r="BR28" i="17"/>
  <c r="BC28" i="17"/>
  <c r="BB28" i="17"/>
  <c r="I10" i="17" l="1"/>
  <c r="I6" i="17"/>
  <c r="I5" i="17"/>
  <c r="I4" i="17"/>
  <c r="O28" i="17"/>
  <c r="T27" i="17"/>
  <c r="B28" i="17"/>
  <c r="CJ27" i="17"/>
  <c r="AG27" i="17"/>
  <c r="F27" i="17"/>
  <c r="F7" i="17"/>
  <c r="O29" i="17" l="1"/>
  <c r="AB28" i="17"/>
  <c r="X28" i="17"/>
  <c r="K28" i="17"/>
  <c r="Y28" i="17"/>
  <c r="U28" i="17"/>
  <c r="V28" i="17"/>
  <c r="J28" i="17"/>
  <c r="B29" i="17"/>
  <c r="G28" i="17"/>
  <c r="H28" i="17"/>
  <c r="N29" i="17" l="1"/>
  <c r="X29" i="17"/>
  <c r="AU28" i="17"/>
  <c r="O30" i="17"/>
  <c r="CJ28" i="17"/>
  <c r="CK28" i="17" s="1"/>
  <c r="AN28" i="17"/>
  <c r="AM28" i="17"/>
  <c r="A29" i="17"/>
  <c r="Z28" i="17"/>
  <c r="L28" i="17"/>
  <c r="V29" i="17"/>
  <c r="U29" i="17"/>
  <c r="B30" i="17"/>
  <c r="J29" i="17"/>
  <c r="H29" i="17"/>
  <c r="G29" i="17"/>
  <c r="I29" i="17" s="1"/>
  <c r="O31" i="17" l="1"/>
  <c r="X30" i="17"/>
  <c r="N30" i="17"/>
  <c r="BJ28" i="17"/>
  <c r="AX28" i="17"/>
  <c r="S28" i="17"/>
  <c r="AF28" i="17"/>
  <c r="AI28" i="17"/>
  <c r="A30" i="17"/>
  <c r="J30" i="17"/>
  <c r="H30" i="17"/>
  <c r="G30" i="17"/>
  <c r="I30" i="17" s="1"/>
  <c r="B31" i="17"/>
  <c r="V30" i="17"/>
  <c r="U30" i="17"/>
  <c r="E28" i="17"/>
  <c r="N31" i="17" l="1"/>
  <c r="O32" i="17"/>
  <c r="X31" i="17"/>
  <c r="G31" i="17"/>
  <c r="A31" i="17"/>
  <c r="H31" i="17"/>
  <c r="J31" i="17"/>
  <c r="B32" i="17"/>
  <c r="V31" i="17"/>
  <c r="U31" i="17"/>
  <c r="I31" i="17" l="1"/>
  <c r="O33" i="17"/>
  <c r="X32" i="17"/>
  <c r="N32" i="17"/>
  <c r="B33" i="17"/>
  <c r="H32" i="17"/>
  <c r="A32" i="17"/>
  <c r="J32" i="17"/>
  <c r="G32" i="17"/>
  <c r="I32" i="17" s="1"/>
  <c r="V32" i="17"/>
  <c r="U32" i="17"/>
  <c r="N33" i="17" l="1"/>
  <c r="B34" i="17"/>
  <c r="H34" i="17" s="1"/>
  <c r="O34" i="17"/>
  <c r="X33" i="17"/>
  <c r="G33" i="17"/>
  <c r="I33" i="17" s="1"/>
  <c r="H33" i="17"/>
  <c r="J33" i="17"/>
  <c r="A33" i="17"/>
  <c r="V33" i="17"/>
  <c r="U33" i="17"/>
  <c r="Y29" i="17"/>
  <c r="N34" i="17" l="1"/>
  <c r="J34" i="17"/>
  <c r="B35" i="17"/>
  <c r="H35" i="17" s="1"/>
  <c r="G34" i="17"/>
  <c r="O35" i="17"/>
  <c r="X34" i="17"/>
  <c r="I34" i="17"/>
  <c r="A34" i="17"/>
  <c r="Z29" i="17"/>
  <c r="U34" i="17"/>
  <c r="V34" i="17"/>
  <c r="G35" i="17"/>
  <c r="I35" i="17" s="1"/>
  <c r="B36" i="17"/>
  <c r="N35" i="17" l="1"/>
  <c r="J35" i="17"/>
  <c r="O36" i="17"/>
  <c r="X35" i="17"/>
  <c r="A35" i="17"/>
  <c r="A36" i="17" s="1"/>
  <c r="J36" i="17"/>
  <c r="U35" i="17"/>
  <c r="V35" i="17"/>
  <c r="B37" i="17"/>
  <c r="H36" i="17"/>
  <c r="G36" i="17"/>
  <c r="I36" i="17" s="1"/>
  <c r="N36" i="17" l="1"/>
  <c r="N37" i="17" s="1"/>
  <c r="I37" i="17"/>
  <c r="O37" i="17"/>
  <c r="X36" i="17"/>
  <c r="A37" i="17"/>
  <c r="J37" i="17"/>
  <c r="Y30" i="17"/>
  <c r="U36" i="17"/>
  <c r="V36" i="17"/>
  <c r="B38" i="17"/>
  <c r="H37" i="17"/>
  <c r="G37" i="17"/>
  <c r="I38" i="17" l="1"/>
  <c r="O38" i="17"/>
  <c r="X37" i="17"/>
  <c r="Z30" i="17"/>
  <c r="A38" i="17"/>
  <c r="J38" i="17"/>
  <c r="V37" i="17"/>
  <c r="U37" i="17"/>
  <c r="H38" i="17"/>
  <c r="G38" i="17"/>
  <c r="B39" i="17"/>
  <c r="I39" i="17" l="1"/>
  <c r="O39" i="17"/>
  <c r="X38" i="17"/>
  <c r="N38" i="17"/>
  <c r="A39" i="17"/>
  <c r="J39" i="17"/>
  <c r="V38" i="17"/>
  <c r="U38" i="17"/>
  <c r="G39" i="17"/>
  <c r="B40" i="17"/>
  <c r="H39" i="17"/>
  <c r="N39" i="17" l="1"/>
  <c r="X39" i="17"/>
  <c r="O40" i="17"/>
  <c r="A40" i="17"/>
  <c r="J40" i="17"/>
  <c r="V39" i="17"/>
  <c r="U39" i="17"/>
  <c r="B41" i="17"/>
  <c r="H40" i="17"/>
  <c r="G40" i="17"/>
  <c r="I40" i="17" s="1"/>
  <c r="N40" i="17" l="1"/>
  <c r="I41" i="17"/>
  <c r="X40" i="17"/>
  <c r="O41" i="17"/>
  <c r="A41" i="17"/>
  <c r="J41" i="17"/>
  <c r="V40" i="17"/>
  <c r="U40" i="17"/>
  <c r="B42" i="17"/>
  <c r="I42" i="17" s="1"/>
  <c r="H41" i="17"/>
  <c r="G41" i="17"/>
  <c r="X41" i="17" l="1"/>
  <c r="O42" i="17"/>
  <c r="N41" i="17"/>
  <c r="A42" i="17"/>
  <c r="J42" i="17"/>
  <c r="V41" i="17"/>
  <c r="U41" i="17"/>
  <c r="H42" i="17"/>
  <c r="G42" i="17"/>
  <c r="B43" i="17"/>
  <c r="I43" i="17" s="1"/>
  <c r="X42" i="17" l="1"/>
  <c r="N42" i="17"/>
  <c r="O43" i="17"/>
  <c r="A43" i="17"/>
  <c r="J43" i="17"/>
  <c r="U42" i="17"/>
  <c r="V42" i="17"/>
  <c r="G43" i="17"/>
  <c r="B44" i="17"/>
  <c r="I44" i="17" s="1"/>
  <c r="H43" i="17"/>
  <c r="X43" i="17" l="1"/>
  <c r="N43" i="17"/>
  <c r="O44" i="17"/>
  <c r="A44" i="17"/>
  <c r="J44" i="17"/>
  <c r="V43" i="17"/>
  <c r="U43" i="17"/>
  <c r="B45" i="17"/>
  <c r="I45" i="17" s="1"/>
  <c r="H44" i="17"/>
  <c r="G44" i="17"/>
  <c r="X44" i="17" l="1"/>
  <c r="N44" i="17"/>
  <c r="O45" i="17"/>
  <c r="A45" i="17"/>
  <c r="J45" i="17"/>
  <c r="U44" i="17"/>
  <c r="V44" i="17"/>
  <c r="B46" i="17"/>
  <c r="I46" i="17" s="1"/>
  <c r="H45" i="17"/>
  <c r="G45" i="17"/>
  <c r="X45" i="17" l="1"/>
  <c r="O46" i="17"/>
  <c r="N45" i="17"/>
  <c r="A46" i="17"/>
  <c r="J46" i="17"/>
  <c r="V45" i="17"/>
  <c r="U45" i="17"/>
  <c r="H46" i="17"/>
  <c r="G46" i="17"/>
  <c r="B47" i="17"/>
  <c r="I47" i="17" s="1"/>
  <c r="X46" i="17" l="1"/>
  <c r="O47" i="17"/>
  <c r="N46" i="17"/>
  <c r="A47" i="17"/>
  <c r="J47" i="17"/>
  <c r="V46" i="17"/>
  <c r="U46" i="17"/>
  <c r="G47" i="17"/>
  <c r="B48" i="17"/>
  <c r="I48" i="17" s="1"/>
  <c r="H47" i="17"/>
  <c r="X47" i="17" l="1"/>
  <c r="O48" i="17"/>
  <c r="N47" i="17"/>
  <c r="A48" i="17"/>
  <c r="J48" i="17"/>
  <c r="V47" i="17"/>
  <c r="U47" i="17"/>
  <c r="B49" i="17"/>
  <c r="I49" i="17" s="1"/>
  <c r="H48" i="17"/>
  <c r="G48" i="17"/>
  <c r="X48" i="17" l="1"/>
  <c r="O49" i="17"/>
  <c r="N48" i="17"/>
  <c r="A49" i="17"/>
  <c r="J49" i="17"/>
  <c r="V48" i="17"/>
  <c r="U48" i="17"/>
  <c r="B50" i="17"/>
  <c r="I50" i="17" s="1"/>
  <c r="H49" i="17"/>
  <c r="G49" i="17"/>
  <c r="X49" i="17" l="1"/>
  <c r="O50" i="17"/>
  <c r="N49" i="17"/>
  <c r="A50" i="17"/>
  <c r="J50" i="17"/>
  <c r="V49" i="17"/>
  <c r="U49" i="17"/>
  <c r="H50" i="17"/>
  <c r="G50" i="17"/>
  <c r="B51" i="17"/>
  <c r="I51" i="17" s="1"/>
  <c r="X50" i="17" l="1"/>
  <c r="N50" i="17"/>
  <c r="O51" i="17"/>
  <c r="A51" i="17"/>
  <c r="J51" i="17"/>
  <c r="U50" i="17"/>
  <c r="V50" i="17"/>
  <c r="G51" i="17"/>
  <c r="B52" i="17"/>
  <c r="H51" i="17"/>
  <c r="X51" i="17" l="1"/>
  <c r="O52" i="17"/>
  <c r="N51" i="17"/>
  <c r="A52" i="17"/>
  <c r="J52" i="17"/>
  <c r="V51" i="17"/>
  <c r="U51" i="17"/>
  <c r="B53" i="17"/>
  <c r="H52" i="17"/>
  <c r="G52" i="17"/>
  <c r="I52" i="17" s="1"/>
  <c r="X52" i="17" l="1"/>
  <c r="N52" i="17"/>
  <c r="O53" i="17"/>
  <c r="A53" i="17"/>
  <c r="J53" i="17"/>
  <c r="U52" i="17"/>
  <c r="V52" i="17"/>
  <c r="B54" i="17"/>
  <c r="H53" i="17"/>
  <c r="G53" i="17"/>
  <c r="I53" i="17" s="1"/>
  <c r="X53" i="17" l="1"/>
  <c r="O54" i="17"/>
  <c r="N53" i="17"/>
  <c r="A54" i="17"/>
  <c r="J54" i="17"/>
  <c r="V53" i="17"/>
  <c r="U53" i="17"/>
  <c r="H54" i="17"/>
  <c r="G54" i="17"/>
  <c r="I54" i="17" s="1"/>
  <c r="B55" i="17"/>
  <c r="X54" i="17" l="1"/>
  <c r="N54" i="17"/>
  <c r="O55" i="17"/>
  <c r="A55" i="17"/>
  <c r="J55" i="17"/>
  <c r="V54" i="17"/>
  <c r="U54" i="17"/>
  <c r="G55" i="17"/>
  <c r="B56" i="17"/>
  <c r="H55" i="17"/>
  <c r="I55" i="17" l="1"/>
  <c r="X55" i="17"/>
  <c r="N55" i="17"/>
  <c r="O56" i="17"/>
  <c r="A56" i="17"/>
  <c r="J56" i="17"/>
  <c r="V55" i="17"/>
  <c r="U55" i="17"/>
  <c r="B57" i="17"/>
  <c r="H56" i="17"/>
  <c r="G56" i="17"/>
  <c r="I56" i="17" s="1"/>
  <c r="X56" i="17" l="1"/>
  <c r="O57" i="17"/>
  <c r="N56" i="17"/>
  <c r="A57" i="17"/>
  <c r="J57" i="17"/>
  <c r="V56" i="17"/>
  <c r="U56" i="17"/>
  <c r="B58" i="17"/>
  <c r="H57" i="17"/>
  <c r="I57" i="17" s="1"/>
  <c r="G57" i="17"/>
  <c r="X57" i="17" l="1"/>
  <c r="N57" i="17"/>
  <c r="O58" i="17"/>
  <c r="A58" i="17"/>
  <c r="J58" i="17"/>
  <c r="U57" i="17"/>
  <c r="V57" i="17"/>
  <c r="H58" i="17"/>
  <c r="G58" i="17"/>
  <c r="B59" i="17"/>
  <c r="I58" i="17" l="1"/>
  <c r="X58" i="17"/>
  <c r="N58" i="17"/>
  <c r="O59" i="17"/>
  <c r="A59" i="17"/>
  <c r="J59" i="17"/>
  <c r="V58" i="17"/>
  <c r="U58" i="17"/>
  <c r="G59" i="17"/>
  <c r="B60" i="17"/>
  <c r="H59" i="17"/>
  <c r="I59" i="17" l="1"/>
  <c r="X59" i="17"/>
  <c r="N59" i="17"/>
  <c r="O60" i="17"/>
  <c r="A60" i="17"/>
  <c r="J60" i="17"/>
  <c r="V59" i="17"/>
  <c r="U59" i="17"/>
  <c r="B61" i="17"/>
  <c r="H60" i="17"/>
  <c r="G60" i="17"/>
  <c r="I60" i="17" s="1"/>
  <c r="X60" i="17" l="1"/>
  <c r="N60" i="17"/>
  <c r="O61" i="17"/>
  <c r="A61" i="17"/>
  <c r="J61" i="17"/>
  <c r="V60" i="17"/>
  <c r="U60" i="17"/>
  <c r="B62" i="17"/>
  <c r="H61" i="17"/>
  <c r="G61" i="17"/>
  <c r="I61" i="17" s="1"/>
  <c r="X61" i="17" l="1"/>
  <c r="N61" i="17"/>
  <c r="O62" i="17"/>
  <c r="A62" i="17"/>
  <c r="J62" i="17"/>
  <c r="V61" i="17"/>
  <c r="U61" i="17"/>
  <c r="B63" i="17"/>
  <c r="G62" i="17"/>
  <c r="H62" i="17"/>
  <c r="I62" i="17" l="1"/>
  <c r="X62" i="17"/>
  <c r="N62" i="17"/>
  <c r="O63" i="17"/>
  <c r="A63" i="17"/>
  <c r="J63" i="17"/>
  <c r="U62" i="17"/>
  <c r="V62" i="17"/>
  <c r="H63" i="17"/>
  <c r="G63" i="17"/>
  <c r="B64" i="17"/>
  <c r="I63" i="17" l="1"/>
  <c r="X63" i="17"/>
  <c r="O64" i="17"/>
  <c r="N63" i="17"/>
  <c r="A64" i="17"/>
  <c r="J64" i="17"/>
  <c r="V63" i="17"/>
  <c r="U63" i="17"/>
  <c r="B65" i="17"/>
  <c r="H64" i="17"/>
  <c r="G64" i="17"/>
  <c r="I64" i="17" s="1"/>
  <c r="X64" i="17" l="1"/>
  <c r="N64" i="17"/>
  <c r="O65" i="17"/>
  <c r="A65" i="17"/>
  <c r="J65" i="17"/>
  <c r="V64" i="17"/>
  <c r="U64" i="17"/>
  <c r="B66" i="17"/>
  <c r="H65" i="17"/>
  <c r="G65" i="17"/>
  <c r="I65" i="17" s="1"/>
  <c r="O66" i="17" l="1"/>
  <c r="X65" i="17"/>
  <c r="N65" i="17"/>
  <c r="A66" i="17"/>
  <c r="J66" i="17"/>
  <c r="V65" i="17"/>
  <c r="U65" i="17"/>
  <c r="B67" i="17"/>
  <c r="G66" i="17"/>
  <c r="H66" i="17"/>
  <c r="I66" i="17" l="1"/>
  <c r="X66" i="17"/>
  <c r="O67" i="17"/>
  <c r="N66" i="17"/>
  <c r="A67" i="17"/>
  <c r="J67" i="17"/>
  <c r="V66" i="17"/>
  <c r="U66" i="17"/>
  <c r="H67" i="17"/>
  <c r="G67" i="17"/>
  <c r="B68" i="17"/>
  <c r="I67" i="17" l="1"/>
  <c r="X67" i="17"/>
  <c r="O68" i="17"/>
  <c r="N67" i="17"/>
  <c r="A68" i="17"/>
  <c r="J68" i="17"/>
  <c r="V67" i="17"/>
  <c r="U67" i="17"/>
  <c r="H68" i="17"/>
  <c r="B69" i="17"/>
  <c r="G68" i="17"/>
  <c r="I68" i="17" l="1"/>
  <c r="X68" i="17"/>
  <c r="O69" i="17"/>
  <c r="N68" i="17"/>
  <c r="A69" i="17"/>
  <c r="J69" i="17"/>
  <c r="V68" i="17"/>
  <c r="U68" i="17"/>
  <c r="B70" i="17"/>
  <c r="H69" i="17"/>
  <c r="G69" i="17"/>
  <c r="I69" i="17" s="1"/>
  <c r="X69" i="17" l="1"/>
  <c r="N69" i="17"/>
  <c r="O70" i="17"/>
  <c r="A70" i="17"/>
  <c r="J70" i="17"/>
  <c r="U69" i="17"/>
  <c r="V69" i="17"/>
  <c r="B71" i="17"/>
  <c r="H70" i="17"/>
  <c r="G70" i="17"/>
  <c r="I70" i="17" s="1"/>
  <c r="X70" i="17" l="1"/>
  <c r="O71" i="17"/>
  <c r="N70" i="17"/>
  <c r="A71" i="17"/>
  <c r="J71" i="17"/>
  <c r="U70" i="17"/>
  <c r="V70" i="17"/>
  <c r="H71" i="17"/>
  <c r="G71" i="17"/>
  <c r="B72" i="17"/>
  <c r="I71" i="17" l="1"/>
  <c r="X71" i="17"/>
  <c r="N71" i="17"/>
  <c r="O72" i="17"/>
  <c r="A72" i="17"/>
  <c r="J72" i="17"/>
  <c r="U71" i="17"/>
  <c r="V71" i="17"/>
  <c r="B73" i="17"/>
  <c r="H72" i="17"/>
  <c r="G72" i="17"/>
  <c r="I72" i="17" s="1"/>
  <c r="X72" i="17" l="1"/>
  <c r="N72" i="17"/>
  <c r="O73" i="17"/>
  <c r="A73" i="17"/>
  <c r="J73" i="17"/>
  <c r="V72" i="17"/>
  <c r="U72" i="17"/>
  <c r="B74" i="17"/>
  <c r="H73" i="17"/>
  <c r="G73" i="17"/>
  <c r="I73" i="17" s="1"/>
  <c r="X73" i="17" l="1"/>
  <c r="N73" i="17"/>
  <c r="O74" i="17"/>
  <c r="A74" i="17"/>
  <c r="J74" i="17"/>
  <c r="U73" i="17"/>
  <c r="V73" i="17"/>
  <c r="B75" i="17"/>
  <c r="H74" i="17"/>
  <c r="G74" i="17"/>
  <c r="I74" i="17" s="1"/>
  <c r="X74" i="17" l="1"/>
  <c r="N74" i="17"/>
  <c r="O75" i="17"/>
  <c r="A75" i="17"/>
  <c r="J75" i="17"/>
  <c r="V74" i="17"/>
  <c r="U74" i="17"/>
  <c r="H75" i="17"/>
  <c r="G75" i="17"/>
  <c r="B76" i="17"/>
  <c r="I75" i="17" l="1"/>
  <c r="X75" i="17"/>
  <c r="O76" i="17"/>
  <c r="N75" i="17"/>
  <c r="A76" i="17"/>
  <c r="J76" i="17"/>
  <c r="V75" i="17"/>
  <c r="U75" i="17"/>
  <c r="B77" i="17"/>
  <c r="H76" i="17"/>
  <c r="G76" i="17"/>
  <c r="I76" i="17" s="1"/>
  <c r="X76" i="17" l="1"/>
  <c r="N76" i="17"/>
  <c r="O77" i="17"/>
  <c r="A77" i="17"/>
  <c r="J77" i="17"/>
  <c r="V76" i="17"/>
  <c r="U76" i="17"/>
  <c r="B78" i="17"/>
  <c r="H77" i="17"/>
  <c r="G77" i="17"/>
  <c r="I77" i="17" s="1"/>
  <c r="X77" i="17" l="1"/>
  <c r="N77" i="17"/>
  <c r="O78" i="17"/>
  <c r="A78" i="17"/>
  <c r="J78" i="17"/>
  <c r="V77" i="17"/>
  <c r="U77" i="17"/>
  <c r="B79" i="17"/>
  <c r="H78" i="17"/>
  <c r="G78" i="17"/>
  <c r="I78" i="17" s="1"/>
  <c r="X78" i="17" l="1"/>
  <c r="N78" i="17"/>
  <c r="O79" i="17"/>
  <c r="A79" i="17"/>
  <c r="J79" i="17"/>
  <c r="U78" i="17"/>
  <c r="V78" i="17"/>
  <c r="H79" i="17"/>
  <c r="G79" i="17"/>
  <c r="B80" i="17"/>
  <c r="I79" i="17" l="1"/>
  <c r="O80" i="17"/>
  <c r="N79" i="17"/>
  <c r="X79" i="17"/>
  <c r="A80" i="17"/>
  <c r="J80" i="17"/>
  <c r="V79" i="17"/>
  <c r="U79" i="17"/>
  <c r="B81" i="17"/>
  <c r="H80" i="17"/>
  <c r="G80" i="17"/>
  <c r="I80" i="17" s="1"/>
  <c r="X80" i="17" l="1"/>
  <c r="N80" i="17"/>
  <c r="O81" i="17"/>
  <c r="A81" i="17"/>
  <c r="J81" i="17"/>
  <c r="V80" i="17"/>
  <c r="U80" i="17"/>
  <c r="B82" i="17"/>
  <c r="H81" i="17"/>
  <c r="G81" i="17"/>
  <c r="I81" i="17" s="1"/>
  <c r="X81" i="17" l="1"/>
  <c r="N81" i="17"/>
  <c r="O82" i="17"/>
  <c r="A82" i="17"/>
  <c r="J82" i="17"/>
  <c r="V81" i="17"/>
  <c r="U81" i="17"/>
  <c r="B83" i="17"/>
  <c r="H82" i="17"/>
  <c r="G82" i="17"/>
  <c r="I82" i="17" s="1"/>
  <c r="X82" i="17" l="1"/>
  <c r="O83" i="17"/>
  <c r="N82" i="17"/>
  <c r="A83" i="17"/>
  <c r="J83" i="17"/>
  <c r="V82" i="17"/>
  <c r="U82" i="17"/>
  <c r="H83" i="17"/>
  <c r="G83" i="17"/>
  <c r="B84" i="17"/>
  <c r="I83" i="17" l="1"/>
  <c r="X83" i="17"/>
  <c r="N83" i="17"/>
  <c r="O84" i="17"/>
  <c r="A84" i="17"/>
  <c r="J84" i="17"/>
  <c r="V83" i="17"/>
  <c r="U83" i="17"/>
  <c r="B85" i="17"/>
  <c r="H84" i="17"/>
  <c r="G84" i="17"/>
  <c r="I84" i="17" s="1"/>
  <c r="X84" i="17" l="1"/>
  <c r="O85" i="17"/>
  <c r="N84" i="17"/>
  <c r="A85" i="17"/>
  <c r="J85" i="17"/>
  <c r="V84" i="17"/>
  <c r="U84" i="17"/>
  <c r="B86" i="17"/>
  <c r="H85" i="17"/>
  <c r="G85" i="17"/>
  <c r="I85" i="17" s="1"/>
  <c r="X85" i="17" l="1"/>
  <c r="N85" i="17"/>
  <c r="O86" i="17"/>
  <c r="A86" i="17"/>
  <c r="J86" i="17"/>
  <c r="V85" i="17"/>
  <c r="U85" i="17"/>
  <c r="B87" i="17"/>
  <c r="H86" i="17"/>
  <c r="G86" i="17"/>
  <c r="I86" i="17" l="1"/>
  <c r="X86" i="17"/>
  <c r="O87" i="17"/>
  <c r="N86" i="17"/>
  <c r="A87" i="17"/>
  <c r="J87" i="17"/>
  <c r="U86" i="17"/>
  <c r="V86" i="17"/>
  <c r="H87" i="17"/>
  <c r="G87" i="17"/>
  <c r="B88" i="17"/>
  <c r="I87" i="17" l="1"/>
  <c r="X87" i="17"/>
  <c r="N87" i="17"/>
  <c r="O88" i="17"/>
  <c r="A88" i="17"/>
  <c r="J88" i="17"/>
  <c r="V87" i="17"/>
  <c r="U87" i="17"/>
  <c r="B89" i="17"/>
  <c r="H88" i="17"/>
  <c r="G88" i="17"/>
  <c r="I88" i="17" s="1"/>
  <c r="X88" i="17" l="1"/>
  <c r="N88" i="17"/>
  <c r="O89" i="17"/>
  <c r="A89" i="17"/>
  <c r="J89" i="17"/>
  <c r="V88" i="17"/>
  <c r="U88" i="17"/>
  <c r="B90" i="17"/>
  <c r="H89" i="17"/>
  <c r="G89" i="17"/>
  <c r="I89" i="17" s="1"/>
  <c r="X89" i="17" l="1"/>
  <c r="N89" i="17"/>
  <c r="O90" i="17"/>
  <c r="A90" i="17"/>
  <c r="J90" i="17"/>
  <c r="V89" i="17"/>
  <c r="U89" i="17"/>
  <c r="B91" i="17"/>
  <c r="H90" i="17"/>
  <c r="G90" i="17"/>
  <c r="I90" i="17" s="1"/>
  <c r="X90" i="17" l="1"/>
  <c r="N90" i="17"/>
  <c r="O91" i="17"/>
  <c r="I91" i="17"/>
  <c r="A91" i="17"/>
  <c r="J91" i="17"/>
  <c r="V90" i="17"/>
  <c r="U90" i="17"/>
  <c r="H91" i="17"/>
  <c r="G91" i="17"/>
  <c r="B92" i="17"/>
  <c r="X91" i="17" l="1"/>
  <c r="N91" i="17"/>
  <c r="O92" i="17"/>
  <c r="A92" i="17"/>
  <c r="J92" i="17"/>
  <c r="V91" i="17"/>
  <c r="U91" i="17"/>
  <c r="B93" i="17"/>
  <c r="H92" i="17"/>
  <c r="G92" i="17"/>
  <c r="I92" i="17" s="1"/>
  <c r="X92" i="17" l="1"/>
  <c r="O93" i="17"/>
  <c r="N92" i="17"/>
  <c r="A93" i="17"/>
  <c r="J93" i="17"/>
  <c r="U92" i="17"/>
  <c r="V92" i="17"/>
  <c r="B94" i="17"/>
  <c r="H93" i="17"/>
  <c r="G93" i="17"/>
  <c r="I93" i="17" s="1"/>
  <c r="X93" i="17" l="1"/>
  <c r="O94" i="17"/>
  <c r="N93" i="17"/>
  <c r="A94" i="17"/>
  <c r="J94" i="17"/>
  <c r="V93" i="17"/>
  <c r="U93" i="17"/>
  <c r="B95" i="17"/>
  <c r="H94" i="17"/>
  <c r="G94" i="17"/>
  <c r="I94" i="17" s="1"/>
  <c r="X94" i="17" l="1"/>
  <c r="O95" i="17"/>
  <c r="N94" i="17"/>
  <c r="A95" i="17"/>
  <c r="J95" i="17"/>
  <c r="U94" i="17"/>
  <c r="V94" i="17"/>
  <c r="H95" i="17"/>
  <c r="G95" i="17"/>
  <c r="B96" i="17"/>
  <c r="I95" i="17" l="1"/>
  <c r="X95" i="17"/>
  <c r="O96" i="17"/>
  <c r="N95" i="17"/>
  <c r="A96" i="17"/>
  <c r="J96" i="17"/>
  <c r="V95" i="17"/>
  <c r="U95" i="17"/>
  <c r="B97" i="17"/>
  <c r="H96" i="17"/>
  <c r="G96" i="17"/>
  <c r="I96" i="17" s="1"/>
  <c r="X96" i="17" l="1"/>
  <c r="O97" i="17"/>
  <c r="N96" i="17"/>
  <c r="A97" i="17"/>
  <c r="J97" i="17"/>
  <c r="V96" i="17"/>
  <c r="U96" i="17"/>
  <c r="B98" i="17"/>
  <c r="H97" i="17"/>
  <c r="G97" i="17"/>
  <c r="I97" i="17" s="1"/>
  <c r="X97" i="17" l="1"/>
  <c r="O98" i="17"/>
  <c r="N97" i="17"/>
  <c r="A98" i="17"/>
  <c r="J98" i="17"/>
  <c r="V97" i="17"/>
  <c r="U97" i="17"/>
  <c r="B99" i="17"/>
  <c r="H98" i="17"/>
  <c r="G98" i="17"/>
  <c r="I98" i="17" s="1"/>
  <c r="X98" i="17" l="1"/>
  <c r="N98" i="17"/>
  <c r="O99" i="17"/>
  <c r="A99" i="17"/>
  <c r="J99" i="17"/>
  <c r="V98" i="17"/>
  <c r="U98" i="17"/>
  <c r="H99" i="17"/>
  <c r="G99" i="17"/>
  <c r="B100" i="17"/>
  <c r="I99" i="17" l="1"/>
  <c r="X99" i="17"/>
  <c r="N99" i="17"/>
  <c r="O100" i="17"/>
  <c r="A100" i="17"/>
  <c r="J100" i="17"/>
  <c r="V99" i="17"/>
  <c r="U99" i="17"/>
  <c r="B101" i="17"/>
  <c r="H100" i="17"/>
  <c r="G100" i="17"/>
  <c r="I100" i="17" l="1"/>
  <c r="X100" i="17"/>
  <c r="N100" i="17"/>
  <c r="O101" i="17"/>
  <c r="A101" i="17"/>
  <c r="J101" i="17"/>
  <c r="U100" i="17"/>
  <c r="V100" i="17"/>
  <c r="B102" i="17"/>
  <c r="H101" i="17"/>
  <c r="G101" i="17"/>
  <c r="I101" i="17" s="1"/>
  <c r="X101" i="17" l="1"/>
  <c r="O102" i="17"/>
  <c r="N101" i="17"/>
  <c r="A102" i="17"/>
  <c r="J102" i="17"/>
  <c r="V101" i="17"/>
  <c r="U101" i="17"/>
  <c r="B103" i="17"/>
  <c r="H102" i="17"/>
  <c r="G102" i="17"/>
  <c r="I102" i="17" s="1"/>
  <c r="X102" i="17" l="1"/>
  <c r="O103" i="17"/>
  <c r="N102" i="17"/>
  <c r="A103" i="17"/>
  <c r="J103" i="17"/>
  <c r="U102" i="17"/>
  <c r="V102" i="17"/>
  <c r="H103" i="17"/>
  <c r="G103" i="17"/>
  <c r="B104" i="17"/>
  <c r="I103" i="17" l="1"/>
  <c r="X103" i="17"/>
  <c r="O104" i="17"/>
  <c r="N103" i="17"/>
  <c r="A104" i="17"/>
  <c r="J104" i="17"/>
  <c r="V103" i="17"/>
  <c r="U103" i="17"/>
  <c r="B105" i="17"/>
  <c r="G104" i="17"/>
  <c r="H104" i="17"/>
  <c r="I104" i="17" s="1"/>
  <c r="X104" i="17" l="1"/>
  <c r="N104" i="17"/>
  <c r="O105" i="17"/>
  <c r="A105" i="17"/>
  <c r="J105" i="17"/>
  <c r="V104" i="17"/>
  <c r="U104" i="17"/>
  <c r="H105" i="17"/>
  <c r="G105" i="17"/>
  <c r="B106" i="17"/>
  <c r="I105" i="17" l="1"/>
  <c r="X105" i="17"/>
  <c r="O106" i="17"/>
  <c r="N105" i="17"/>
  <c r="A106" i="17"/>
  <c r="J106" i="17"/>
  <c r="V105" i="17"/>
  <c r="U105" i="17"/>
  <c r="G106" i="17"/>
  <c r="B107" i="17"/>
  <c r="H106" i="17"/>
  <c r="I106" i="17" l="1"/>
  <c r="X106" i="17"/>
  <c r="N106" i="17"/>
  <c r="O107" i="17"/>
  <c r="I107" i="17"/>
  <c r="A107" i="17"/>
  <c r="J107" i="17"/>
  <c r="V106" i="17"/>
  <c r="U106" i="17"/>
  <c r="B108" i="17"/>
  <c r="H107" i="17"/>
  <c r="G107" i="17"/>
  <c r="X107" i="17" l="1"/>
  <c r="O108" i="17"/>
  <c r="N107" i="17"/>
  <c r="A108" i="17"/>
  <c r="J108" i="17"/>
  <c r="U107" i="17"/>
  <c r="V107" i="17"/>
  <c r="B109" i="17"/>
  <c r="G108" i="17"/>
  <c r="H108" i="17"/>
  <c r="I108" i="17" l="1"/>
  <c r="X108" i="17"/>
  <c r="N108" i="17"/>
  <c r="O109" i="17"/>
  <c r="A109" i="17"/>
  <c r="J109" i="17"/>
  <c r="V108" i="17"/>
  <c r="U108" i="17"/>
  <c r="H109" i="17"/>
  <c r="G109" i="17"/>
  <c r="B110" i="17"/>
  <c r="I109" i="17" l="1"/>
  <c r="X109" i="17"/>
  <c r="N109" i="17"/>
  <c r="O110" i="17"/>
  <c r="I110" i="17"/>
  <c r="A110" i="17"/>
  <c r="J110" i="17"/>
  <c r="V109" i="17"/>
  <c r="U109" i="17"/>
  <c r="G110" i="17"/>
  <c r="H110" i="17"/>
  <c r="B111" i="17"/>
  <c r="X110" i="17" l="1"/>
  <c r="N110" i="17"/>
  <c r="O111" i="17"/>
  <c r="A111" i="17"/>
  <c r="J111" i="17"/>
  <c r="U110" i="17"/>
  <c r="V110" i="17"/>
  <c r="H111" i="17"/>
  <c r="G111" i="17"/>
  <c r="B112" i="17"/>
  <c r="I111" i="17" l="1"/>
  <c r="O112" i="17"/>
  <c r="N111" i="17"/>
  <c r="X111" i="17"/>
  <c r="A112" i="17"/>
  <c r="J112" i="17"/>
  <c r="V111" i="17"/>
  <c r="U111" i="17"/>
  <c r="B113" i="17"/>
  <c r="G112" i="17"/>
  <c r="H112" i="17"/>
  <c r="I112" i="17" s="1"/>
  <c r="X112" i="17" l="1"/>
  <c r="O113" i="17"/>
  <c r="N112" i="17"/>
  <c r="A113" i="17"/>
  <c r="J113" i="17"/>
  <c r="V112" i="17"/>
  <c r="U112" i="17"/>
  <c r="H113" i="17"/>
  <c r="G113" i="17"/>
  <c r="B114" i="17"/>
  <c r="I113" i="17" l="1"/>
  <c r="X113" i="17"/>
  <c r="N113" i="17"/>
  <c r="O114" i="17"/>
  <c r="I114" i="17"/>
  <c r="A114" i="17"/>
  <c r="J114" i="17"/>
  <c r="V113" i="17"/>
  <c r="U113" i="17"/>
  <c r="G114" i="17"/>
  <c r="B115" i="17"/>
  <c r="H114" i="17"/>
  <c r="X114" i="17" l="1"/>
  <c r="N114" i="17"/>
  <c r="O115" i="17"/>
  <c r="A115" i="17"/>
  <c r="J115" i="17"/>
  <c r="V114" i="17"/>
  <c r="U114" i="17"/>
  <c r="B116" i="17"/>
  <c r="H115" i="17"/>
  <c r="G115" i="17"/>
  <c r="I115" i="17" s="1"/>
  <c r="X115" i="17" l="1"/>
  <c r="N115" i="17"/>
  <c r="O116" i="17"/>
  <c r="A116" i="17"/>
  <c r="J116" i="17"/>
  <c r="U115" i="17"/>
  <c r="V115" i="17"/>
  <c r="B117" i="17"/>
  <c r="H116" i="17"/>
  <c r="G116" i="17"/>
  <c r="I116" i="17" l="1"/>
  <c r="X116" i="17"/>
  <c r="O117" i="17"/>
  <c r="N116" i="17"/>
  <c r="A117" i="17"/>
  <c r="J117" i="17"/>
  <c r="V116" i="17"/>
  <c r="U116" i="17"/>
  <c r="H117" i="17"/>
  <c r="G117" i="17"/>
  <c r="B118" i="17"/>
  <c r="I117" i="17" l="1"/>
  <c r="X117" i="17"/>
  <c r="N117" i="17"/>
  <c r="O118" i="17"/>
  <c r="A118" i="17"/>
  <c r="J118" i="17"/>
  <c r="V117" i="17"/>
  <c r="U117" i="17"/>
  <c r="G118" i="17"/>
  <c r="B119" i="17"/>
  <c r="H118" i="17"/>
  <c r="I118" i="17" l="1"/>
  <c r="X118" i="17"/>
  <c r="O119" i="17"/>
  <c r="N118" i="17"/>
  <c r="A119" i="17"/>
  <c r="J119" i="17"/>
  <c r="V118" i="17"/>
  <c r="U118" i="17"/>
  <c r="B120" i="17"/>
  <c r="H119" i="17"/>
  <c r="G119" i="17"/>
  <c r="I119" i="17" s="1"/>
  <c r="X119" i="17" l="1"/>
  <c r="N119" i="17"/>
  <c r="O120" i="17"/>
  <c r="A120" i="17"/>
  <c r="J120" i="17"/>
  <c r="V119" i="17"/>
  <c r="U119" i="17"/>
  <c r="B121" i="17"/>
  <c r="H120" i="17"/>
  <c r="G120" i="17"/>
  <c r="I120" i="17" l="1"/>
  <c r="X120" i="17"/>
  <c r="O121" i="17"/>
  <c r="N120" i="17"/>
  <c r="A121" i="17"/>
  <c r="J121" i="17"/>
  <c r="V120" i="17"/>
  <c r="U120" i="17"/>
  <c r="H121" i="17"/>
  <c r="G121" i="17"/>
  <c r="I121" i="17" s="1"/>
  <c r="B122" i="17"/>
  <c r="X121" i="17" l="1"/>
  <c r="O122" i="17"/>
  <c r="N121" i="17"/>
  <c r="A122" i="17"/>
  <c r="J122" i="17"/>
  <c r="V121" i="17"/>
  <c r="U121" i="17"/>
  <c r="G122" i="17"/>
  <c r="B123" i="17"/>
  <c r="H122" i="17"/>
  <c r="I122" i="17" l="1"/>
  <c r="X122" i="17"/>
  <c r="O123" i="17"/>
  <c r="N122" i="17"/>
  <c r="A123" i="17"/>
  <c r="J123" i="17"/>
  <c r="V122" i="17"/>
  <c r="U122" i="17"/>
  <c r="B124" i="17"/>
  <c r="H123" i="17"/>
  <c r="G123" i="17"/>
  <c r="I123" i="17" s="1"/>
  <c r="X123" i="17" l="1"/>
  <c r="O124" i="17"/>
  <c r="N123" i="17"/>
  <c r="A124" i="17"/>
  <c r="J124" i="17"/>
  <c r="U123" i="17"/>
  <c r="V123" i="17"/>
  <c r="B125" i="17"/>
  <c r="H124" i="17"/>
  <c r="G124" i="17"/>
  <c r="I124" i="17" s="1"/>
  <c r="X124" i="17" l="1"/>
  <c r="O125" i="17"/>
  <c r="N124" i="17"/>
  <c r="A125" i="17"/>
  <c r="J125" i="17"/>
  <c r="V124" i="17"/>
  <c r="U124" i="17"/>
  <c r="H125" i="17"/>
  <c r="G125" i="17"/>
  <c r="B126" i="17"/>
  <c r="I125" i="17" l="1"/>
  <c r="X125" i="17"/>
  <c r="O126" i="17"/>
  <c r="N125" i="17"/>
  <c r="A126" i="17"/>
  <c r="J126" i="17"/>
  <c r="V125" i="17"/>
  <c r="U125" i="17"/>
  <c r="G126" i="17"/>
  <c r="B127" i="17"/>
  <c r="H126" i="17"/>
  <c r="I126" i="17" l="1"/>
  <c r="X126" i="17"/>
  <c r="N126" i="17"/>
  <c r="O127" i="17"/>
  <c r="A127" i="17"/>
  <c r="J127" i="17"/>
  <c r="V126" i="17"/>
  <c r="U126" i="17"/>
  <c r="B128" i="17"/>
  <c r="H127" i="17"/>
  <c r="G127" i="17"/>
  <c r="I127" i="17" s="1"/>
  <c r="X127" i="17" l="1"/>
  <c r="O128" i="17"/>
  <c r="N127" i="17"/>
  <c r="A128" i="17"/>
  <c r="J128" i="17"/>
  <c r="V127" i="17"/>
  <c r="U127" i="17"/>
  <c r="B129" i="17"/>
  <c r="H128" i="17"/>
  <c r="G128" i="17"/>
  <c r="I128" i="17" s="1"/>
  <c r="X128" i="17" l="1"/>
  <c r="N128" i="17"/>
  <c r="O129" i="17"/>
  <c r="A129" i="17"/>
  <c r="J129" i="17"/>
  <c r="V128" i="17"/>
  <c r="U128" i="17"/>
  <c r="H129" i="17"/>
  <c r="G129" i="17"/>
  <c r="B130" i="17"/>
  <c r="I129" i="17" l="1"/>
  <c r="X129" i="17"/>
  <c r="N129" i="17"/>
  <c r="O130" i="17"/>
  <c r="A130" i="17"/>
  <c r="J130" i="17"/>
  <c r="V129" i="17"/>
  <c r="U129" i="17"/>
  <c r="G130" i="17"/>
  <c r="B131" i="17"/>
  <c r="H130" i="17"/>
  <c r="I130" i="17" l="1"/>
  <c r="X130" i="17"/>
  <c r="N130" i="17"/>
  <c r="O131" i="17"/>
  <c r="A131" i="17"/>
  <c r="J131" i="17"/>
  <c r="V130" i="17"/>
  <c r="U130" i="17"/>
  <c r="B132" i="17"/>
  <c r="H131" i="17"/>
  <c r="G131" i="17"/>
  <c r="I131" i="17" s="1"/>
  <c r="X131" i="17" l="1"/>
  <c r="N131" i="17"/>
  <c r="O132" i="17"/>
  <c r="A132" i="17"/>
  <c r="J132" i="17"/>
  <c r="U131" i="17"/>
  <c r="V131" i="17"/>
  <c r="B133" i="17"/>
  <c r="H132" i="17"/>
  <c r="G132" i="17"/>
  <c r="I132" i="17" s="1"/>
  <c r="X132" i="17" l="1"/>
  <c r="N132" i="17"/>
  <c r="O133" i="17"/>
  <c r="A133" i="17"/>
  <c r="J133" i="17"/>
  <c r="V132" i="17"/>
  <c r="U132" i="17"/>
  <c r="B134" i="17"/>
  <c r="H133" i="17"/>
  <c r="G133" i="17"/>
  <c r="I133" i="17" s="1"/>
  <c r="X133" i="17" l="1"/>
  <c r="N133" i="17"/>
  <c r="O134" i="17"/>
  <c r="A134" i="17"/>
  <c r="J134" i="17"/>
  <c r="V133" i="17"/>
  <c r="U133" i="17"/>
  <c r="B135" i="17"/>
  <c r="H134" i="17"/>
  <c r="G134" i="17"/>
  <c r="I134" i="17" s="1"/>
  <c r="X134" i="17" l="1"/>
  <c r="O135" i="17"/>
  <c r="N134" i="17"/>
  <c r="A135" i="17"/>
  <c r="J135" i="17"/>
  <c r="V134" i="17"/>
  <c r="U134" i="17"/>
  <c r="H135" i="17"/>
  <c r="G135" i="17"/>
  <c r="B136" i="17"/>
  <c r="I135" i="17" l="1"/>
  <c r="X135" i="17"/>
  <c r="O136" i="17"/>
  <c r="N135" i="17"/>
  <c r="A136" i="17"/>
  <c r="J136" i="17"/>
  <c r="V135" i="17"/>
  <c r="U135" i="17"/>
  <c r="B137" i="17"/>
  <c r="H136" i="17"/>
  <c r="G136" i="17"/>
  <c r="I136" i="17" s="1"/>
  <c r="X136" i="17" l="1"/>
  <c r="N136" i="17"/>
  <c r="O137" i="17"/>
  <c r="A137" i="17"/>
  <c r="J137" i="17"/>
  <c r="V136" i="17"/>
  <c r="U136" i="17"/>
  <c r="B138" i="17"/>
  <c r="H137" i="17"/>
  <c r="G137" i="17"/>
  <c r="I137" i="17" s="1"/>
  <c r="X137" i="17" l="1"/>
  <c r="O138" i="17"/>
  <c r="N137" i="17"/>
  <c r="A138" i="17"/>
  <c r="J138" i="17"/>
  <c r="V137" i="17"/>
  <c r="U137" i="17"/>
  <c r="B139" i="17"/>
  <c r="H138" i="17"/>
  <c r="G138" i="17"/>
  <c r="I138" i="17" s="1"/>
  <c r="X138" i="17" l="1"/>
  <c r="N138" i="17"/>
  <c r="O139" i="17"/>
  <c r="A139" i="17"/>
  <c r="J139" i="17"/>
  <c r="V138" i="17"/>
  <c r="U138" i="17"/>
  <c r="H139" i="17"/>
  <c r="G139" i="17"/>
  <c r="B140" i="17"/>
  <c r="I139" i="17" l="1"/>
  <c r="X139" i="17"/>
  <c r="N139" i="17"/>
  <c r="O140" i="17"/>
  <c r="A140" i="17"/>
  <c r="J140" i="17"/>
  <c r="U139" i="17"/>
  <c r="V139" i="17"/>
  <c r="B141" i="17"/>
  <c r="H140" i="17"/>
  <c r="G140" i="17"/>
  <c r="I140" i="17" s="1"/>
  <c r="X140" i="17" l="1"/>
  <c r="N140" i="17"/>
  <c r="O141" i="17"/>
  <c r="A141" i="17"/>
  <c r="J141" i="17"/>
  <c r="V140" i="17"/>
  <c r="U140" i="17"/>
  <c r="B142" i="17"/>
  <c r="H141" i="17"/>
  <c r="G141" i="17"/>
  <c r="I141" i="17" s="1"/>
  <c r="X141" i="17" l="1"/>
  <c r="O142" i="17"/>
  <c r="N141" i="17"/>
  <c r="A142" i="17"/>
  <c r="J142" i="17"/>
  <c r="U141" i="17"/>
  <c r="V141" i="17"/>
  <c r="B143" i="17"/>
  <c r="H142" i="17"/>
  <c r="G142" i="17"/>
  <c r="I142" i="17" s="1"/>
  <c r="X142" i="17" l="1"/>
  <c r="N142" i="17"/>
  <c r="O143" i="17"/>
  <c r="I143" i="17"/>
  <c r="A143" i="17"/>
  <c r="J143" i="17"/>
  <c r="U142" i="17"/>
  <c r="V142" i="17"/>
  <c r="H143" i="17"/>
  <c r="G143" i="17"/>
  <c r="B144" i="17"/>
  <c r="X143" i="17" l="1"/>
  <c r="N143" i="17"/>
  <c r="O144" i="17"/>
  <c r="A144" i="17"/>
  <c r="J144" i="17"/>
  <c r="U143" i="17"/>
  <c r="V143" i="17"/>
  <c r="B145" i="17"/>
  <c r="H144" i="17"/>
  <c r="G144" i="17"/>
  <c r="I144" i="17" s="1"/>
  <c r="X144" i="17" l="1"/>
  <c r="N144" i="17"/>
  <c r="O145" i="17"/>
  <c r="A145" i="17"/>
  <c r="J145" i="17"/>
  <c r="V144" i="17"/>
  <c r="U144" i="17"/>
  <c r="B146" i="17"/>
  <c r="H145" i="17"/>
  <c r="G145" i="17"/>
  <c r="I145" i="17" s="1"/>
  <c r="X145" i="17" l="1"/>
  <c r="O146" i="17"/>
  <c r="N145" i="17"/>
  <c r="I146" i="17"/>
  <c r="A146" i="17"/>
  <c r="J146" i="17"/>
  <c r="U145" i="17"/>
  <c r="V145" i="17"/>
  <c r="B147" i="17"/>
  <c r="H146" i="17"/>
  <c r="G146" i="17"/>
  <c r="X146" i="17" l="1"/>
  <c r="N146" i="17"/>
  <c r="O147" i="17"/>
  <c r="A147" i="17"/>
  <c r="J147" i="17"/>
  <c r="V146" i="17"/>
  <c r="U146" i="17"/>
  <c r="H147" i="17"/>
  <c r="G147" i="17"/>
  <c r="B148" i="17"/>
  <c r="I147" i="17" l="1"/>
  <c r="X147" i="17"/>
  <c r="N147" i="17"/>
  <c r="O148" i="17"/>
  <c r="A148" i="17"/>
  <c r="J148" i="17"/>
  <c r="V147" i="17"/>
  <c r="U147" i="17"/>
  <c r="B149" i="17"/>
  <c r="H148" i="17"/>
  <c r="G148" i="17"/>
  <c r="I148" i="17" s="1"/>
  <c r="X148" i="17" l="1"/>
  <c r="N148" i="17"/>
  <c r="O149" i="17"/>
  <c r="I149" i="17"/>
  <c r="A149" i="17"/>
  <c r="J149" i="17"/>
  <c r="V148" i="17"/>
  <c r="U148" i="17"/>
  <c r="H149" i="17"/>
  <c r="G149" i="17"/>
  <c r="B150" i="17"/>
  <c r="X149" i="17" l="1"/>
  <c r="O150" i="17"/>
  <c r="N149" i="17"/>
  <c r="A150" i="17"/>
  <c r="J150" i="17"/>
  <c r="V149" i="17"/>
  <c r="U149" i="17"/>
  <c r="B151" i="17"/>
  <c r="H150" i="17"/>
  <c r="G150" i="17"/>
  <c r="I150" i="17" s="1"/>
  <c r="X150" i="17" l="1"/>
  <c r="O151" i="17"/>
  <c r="N150" i="17"/>
  <c r="A151" i="17"/>
  <c r="J151" i="17"/>
  <c r="U150" i="17"/>
  <c r="V150" i="17"/>
  <c r="H151" i="17"/>
  <c r="G151" i="17"/>
  <c r="I151" i="17" s="1"/>
  <c r="B152" i="17"/>
  <c r="X151" i="17" l="1"/>
  <c r="O152" i="17"/>
  <c r="N151" i="17"/>
  <c r="A152" i="17"/>
  <c r="J152" i="17"/>
  <c r="V151" i="17"/>
  <c r="U151" i="17"/>
  <c r="B153" i="17"/>
  <c r="H152" i="17"/>
  <c r="G152" i="17"/>
  <c r="I152" i="17" s="1"/>
  <c r="X152" i="17" l="1"/>
  <c r="N152" i="17"/>
  <c r="O153" i="17"/>
  <c r="A153" i="17"/>
  <c r="J153" i="17"/>
  <c r="V152" i="17"/>
  <c r="U152" i="17"/>
  <c r="B154" i="17"/>
  <c r="H153" i="17"/>
  <c r="G153" i="17"/>
  <c r="I153" i="17" s="1"/>
  <c r="X153" i="17" l="1"/>
  <c r="O154" i="17"/>
  <c r="N153" i="17"/>
  <c r="A154" i="17"/>
  <c r="J154" i="17"/>
  <c r="V153" i="17"/>
  <c r="U153" i="17"/>
  <c r="B155" i="17"/>
  <c r="H154" i="17"/>
  <c r="G154" i="17"/>
  <c r="I154" i="17" s="1"/>
  <c r="X154" i="17" l="1"/>
  <c r="O155" i="17"/>
  <c r="N154" i="17"/>
  <c r="A155" i="17"/>
  <c r="J155" i="17"/>
  <c r="U154" i="17"/>
  <c r="V154" i="17"/>
  <c r="H155" i="17"/>
  <c r="G155" i="17"/>
  <c r="B156" i="17"/>
  <c r="I155" i="17" l="1"/>
  <c r="X155" i="17"/>
  <c r="N155" i="17"/>
  <c r="O156" i="17"/>
  <c r="I156" i="17"/>
  <c r="A156" i="17"/>
  <c r="J156" i="17"/>
  <c r="V155" i="17"/>
  <c r="U155" i="17"/>
  <c r="H156" i="17"/>
  <c r="G156" i="17"/>
  <c r="B157" i="17"/>
  <c r="X156" i="17" l="1"/>
  <c r="N156" i="17"/>
  <c r="O157" i="17"/>
  <c r="A157" i="17"/>
  <c r="J157" i="17"/>
  <c r="U156" i="17"/>
  <c r="V156" i="17"/>
  <c r="B158" i="17"/>
  <c r="H157" i="17"/>
  <c r="G157" i="17"/>
  <c r="I157" i="17" s="1"/>
  <c r="X157" i="17" l="1"/>
  <c r="O158" i="17"/>
  <c r="N157" i="17"/>
  <c r="A158" i="17"/>
  <c r="J158" i="17"/>
  <c r="V157" i="17"/>
  <c r="U157" i="17"/>
  <c r="H158" i="17"/>
  <c r="G158" i="17"/>
  <c r="B159" i="17"/>
  <c r="I158" i="17" l="1"/>
  <c r="X158" i="17"/>
  <c r="N158" i="17"/>
  <c r="O159" i="17"/>
  <c r="I159" i="17"/>
  <c r="A159" i="17"/>
  <c r="J159" i="17"/>
  <c r="U158" i="17"/>
  <c r="V158" i="17"/>
  <c r="B160" i="17"/>
  <c r="H159" i="17"/>
  <c r="G159" i="17"/>
  <c r="X159" i="17" l="1"/>
  <c r="O160" i="17"/>
  <c r="N159" i="17"/>
  <c r="A160" i="17"/>
  <c r="J160" i="17"/>
  <c r="V159" i="17"/>
  <c r="U159" i="17"/>
  <c r="H160" i="17"/>
  <c r="G160" i="17"/>
  <c r="B161" i="17"/>
  <c r="I160" i="17" l="1"/>
  <c r="X160" i="17"/>
  <c r="N160" i="17"/>
  <c r="O161" i="17"/>
  <c r="A161" i="17"/>
  <c r="J161" i="17"/>
  <c r="V160" i="17"/>
  <c r="U160" i="17"/>
  <c r="B162" i="17"/>
  <c r="G161" i="17"/>
  <c r="H161" i="17"/>
  <c r="I161" i="17" l="1"/>
  <c r="X161" i="17"/>
  <c r="N161" i="17"/>
  <c r="O162" i="17"/>
  <c r="A162" i="17"/>
  <c r="J162" i="17"/>
  <c r="V161" i="17"/>
  <c r="U161" i="17"/>
  <c r="H162" i="17"/>
  <c r="B163" i="17"/>
  <c r="G162" i="17"/>
  <c r="I162" i="17" s="1"/>
  <c r="X162" i="17" l="1"/>
  <c r="O163" i="17"/>
  <c r="N162" i="17"/>
  <c r="A163" i="17"/>
  <c r="J163" i="17"/>
  <c r="U162" i="17"/>
  <c r="V162" i="17"/>
  <c r="B164" i="17"/>
  <c r="H163" i="17"/>
  <c r="G163" i="17"/>
  <c r="I163" i="17" s="1"/>
  <c r="X163" i="17" l="1"/>
  <c r="O164" i="17"/>
  <c r="N163" i="17"/>
  <c r="A164" i="17"/>
  <c r="J164" i="17"/>
  <c r="V163" i="17"/>
  <c r="U163" i="17"/>
  <c r="H164" i="17"/>
  <c r="G164" i="17"/>
  <c r="B165" i="17"/>
  <c r="I164" i="17" l="1"/>
  <c r="X164" i="17"/>
  <c r="N164" i="17"/>
  <c r="O165" i="17"/>
  <c r="A165" i="17"/>
  <c r="J165" i="17"/>
  <c r="U164" i="17"/>
  <c r="V164" i="17"/>
  <c r="B166" i="17"/>
  <c r="H165" i="17"/>
  <c r="G165" i="17"/>
  <c r="I165" i="17" s="1"/>
  <c r="X165" i="17" l="1"/>
  <c r="O166" i="17"/>
  <c r="N165" i="17"/>
  <c r="I166" i="17"/>
  <c r="A166" i="17"/>
  <c r="J166" i="17"/>
  <c r="V165" i="17"/>
  <c r="U165" i="17"/>
  <c r="H166" i="17"/>
  <c r="B167" i="17"/>
  <c r="G166" i="17"/>
  <c r="X166" i="17" l="1"/>
  <c r="N166" i="17"/>
  <c r="O167" i="17"/>
  <c r="A167" i="17"/>
  <c r="J167" i="17"/>
  <c r="U166" i="17"/>
  <c r="V166" i="17"/>
  <c r="B168" i="17"/>
  <c r="G167" i="17"/>
  <c r="H167" i="17"/>
  <c r="I167" i="17" l="1"/>
  <c r="X167" i="17"/>
  <c r="O168" i="17"/>
  <c r="N167" i="17"/>
  <c r="A168" i="17"/>
  <c r="J168" i="17"/>
  <c r="V167" i="17"/>
  <c r="U167" i="17"/>
  <c r="H168" i="17"/>
  <c r="G168" i="17"/>
  <c r="I168" i="17" s="1"/>
  <c r="B169" i="17"/>
  <c r="X168" i="17" l="1"/>
  <c r="N168" i="17"/>
  <c r="O169" i="17"/>
  <c r="A169" i="17"/>
  <c r="J169" i="17"/>
  <c r="V168" i="17"/>
  <c r="U168" i="17"/>
  <c r="B170" i="17"/>
  <c r="H169" i="17"/>
  <c r="G169" i="17"/>
  <c r="I169" i="17" s="1"/>
  <c r="X169" i="17" l="1"/>
  <c r="N169" i="17"/>
  <c r="O170" i="17"/>
  <c r="A170" i="17"/>
  <c r="J170" i="17"/>
  <c r="V169" i="17"/>
  <c r="U169" i="17"/>
  <c r="H170" i="17"/>
  <c r="G170" i="17"/>
  <c r="B171" i="17"/>
  <c r="I170" i="17" l="1"/>
  <c r="X170" i="17"/>
  <c r="N170" i="17"/>
  <c r="O171" i="17"/>
  <c r="A171" i="17"/>
  <c r="J171" i="17"/>
  <c r="V170" i="17"/>
  <c r="U170" i="17"/>
  <c r="B172" i="17"/>
  <c r="H171" i="17"/>
  <c r="G171" i="17"/>
  <c r="I171" i="17" s="1"/>
  <c r="X171" i="17" l="1"/>
  <c r="O172" i="17"/>
  <c r="N171" i="17"/>
  <c r="I172" i="17"/>
  <c r="A172" i="17"/>
  <c r="J172" i="17"/>
  <c r="V171" i="17"/>
  <c r="U171" i="17"/>
  <c r="H172" i="17"/>
  <c r="G172" i="17"/>
  <c r="B173" i="17"/>
  <c r="X172" i="17" l="1"/>
  <c r="O173" i="17"/>
  <c r="N172" i="17"/>
  <c r="A173" i="17"/>
  <c r="J173" i="17"/>
  <c r="V172" i="17"/>
  <c r="U172" i="17"/>
  <c r="B174" i="17"/>
  <c r="H173" i="17"/>
  <c r="G173" i="17"/>
  <c r="I173" i="17" s="1"/>
  <c r="X173" i="17" l="1"/>
  <c r="O174" i="17"/>
  <c r="N173" i="17"/>
  <c r="A174" i="17"/>
  <c r="J174" i="17"/>
  <c r="U173" i="17"/>
  <c r="V173" i="17"/>
  <c r="B175" i="17"/>
  <c r="H174" i="17"/>
  <c r="G174" i="17"/>
  <c r="I174" i="17" s="1"/>
  <c r="X174" i="17" l="1"/>
  <c r="N174" i="17"/>
  <c r="O175" i="17"/>
  <c r="A175" i="17"/>
  <c r="J175" i="17"/>
  <c r="U174" i="17"/>
  <c r="V174" i="17"/>
  <c r="B176" i="17"/>
  <c r="H175" i="17"/>
  <c r="G175" i="17"/>
  <c r="I175" i="17" s="1"/>
  <c r="X175" i="17" l="1"/>
  <c r="O176" i="17"/>
  <c r="N175" i="17"/>
  <c r="A176" i="17"/>
  <c r="J176" i="17"/>
  <c r="U175" i="17"/>
  <c r="V175" i="17"/>
  <c r="H176" i="17"/>
  <c r="G176" i="17"/>
  <c r="B177" i="17"/>
  <c r="I176" i="17" l="1"/>
  <c r="X176" i="17"/>
  <c r="N176" i="17"/>
  <c r="O177" i="17"/>
  <c r="A177" i="17"/>
  <c r="J177" i="17"/>
  <c r="V176" i="17"/>
  <c r="U176" i="17"/>
  <c r="B178" i="17"/>
  <c r="H177" i="17"/>
  <c r="G177" i="17"/>
  <c r="I177" i="17" s="1"/>
  <c r="X177" i="17" l="1"/>
  <c r="O178" i="17"/>
  <c r="N177" i="17"/>
  <c r="A178" i="17"/>
  <c r="J178" i="17"/>
  <c r="U177" i="17"/>
  <c r="V177" i="17"/>
  <c r="B179" i="17"/>
  <c r="H178" i="17"/>
  <c r="G178" i="17"/>
  <c r="I178" i="17" s="1"/>
  <c r="X178" i="17" l="1"/>
  <c r="O179" i="17"/>
  <c r="N178" i="17"/>
  <c r="A179" i="17"/>
  <c r="J179" i="17"/>
  <c r="V178" i="17"/>
  <c r="U178" i="17"/>
  <c r="B180" i="17"/>
  <c r="H179" i="17"/>
  <c r="G179" i="17"/>
  <c r="I179" i="17" s="1"/>
  <c r="X179" i="17" l="1"/>
  <c r="O180" i="17"/>
  <c r="N179" i="17"/>
  <c r="I180" i="17"/>
  <c r="A180" i="17"/>
  <c r="J180" i="17"/>
  <c r="V179" i="17"/>
  <c r="U179" i="17"/>
  <c r="H180" i="17"/>
  <c r="G180" i="17"/>
  <c r="B181" i="17"/>
  <c r="X180" i="17" l="1"/>
  <c r="O181" i="17"/>
  <c r="N180" i="17"/>
  <c r="A181" i="17"/>
  <c r="J181" i="17"/>
  <c r="V180" i="17"/>
  <c r="U180" i="17"/>
  <c r="B182" i="17"/>
  <c r="H181" i="17"/>
  <c r="G181" i="17"/>
  <c r="I181" i="17" s="1"/>
  <c r="X181" i="17" l="1"/>
  <c r="O182" i="17"/>
  <c r="N181" i="17"/>
  <c r="A182" i="17"/>
  <c r="J182" i="17"/>
  <c r="V181" i="17"/>
  <c r="U181" i="17"/>
  <c r="B183" i="17"/>
  <c r="H182" i="17"/>
  <c r="G182" i="17"/>
  <c r="I182" i="17" s="1"/>
  <c r="X182" i="17" l="1"/>
  <c r="O183" i="17"/>
  <c r="N182" i="17"/>
  <c r="A183" i="17"/>
  <c r="J183" i="17"/>
  <c r="U182" i="17"/>
  <c r="V182" i="17"/>
  <c r="B184" i="17"/>
  <c r="H183" i="17"/>
  <c r="G183" i="17"/>
  <c r="I183" i="17" s="1"/>
  <c r="X183" i="17" l="1"/>
  <c r="N183" i="17"/>
  <c r="O184" i="17"/>
  <c r="A184" i="17"/>
  <c r="J184" i="17"/>
  <c r="V183" i="17"/>
  <c r="U183" i="17"/>
  <c r="H184" i="17"/>
  <c r="G184" i="17"/>
  <c r="B185" i="17"/>
  <c r="I184" i="17" l="1"/>
  <c r="X184" i="17"/>
  <c r="O185" i="17"/>
  <c r="N184" i="17"/>
  <c r="A185" i="17"/>
  <c r="J185" i="17"/>
  <c r="V184" i="17"/>
  <c r="U184" i="17"/>
  <c r="B186" i="17"/>
  <c r="H185" i="17"/>
  <c r="G185" i="17"/>
  <c r="I185" i="17" s="1"/>
  <c r="X185" i="17" l="1"/>
  <c r="O186" i="17"/>
  <c r="N185" i="17"/>
  <c r="A186" i="17"/>
  <c r="J186" i="17"/>
  <c r="V185" i="17"/>
  <c r="U185" i="17"/>
  <c r="B187" i="17"/>
  <c r="H186" i="17"/>
  <c r="G186" i="17"/>
  <c r="I186" i="17" s="1"/>
  <c r="X186" i="17" l="1"/>
  <c r="N186" i="17"/>
  <c r="O187" i="17"/>
  <c r="A187" i="17"/>
  <c r="J187" i="17"/>
  <c r="U186" i="17"/>
  <c r="V186" i="17"/>
  <c r="B188" i="17"/>
  <c r="H187" i="17"/>
  <c r="G187" i="17"/>
  <c r="I187" i="17" s="1"/>
  <c r="X187" i="17" l="1"/>
  <c r="N187" i="17"/>
  <c r="O188" i="17"/>
  <c r="I188" i="17"/>
  <c r="A188" i="17"/>
  <c r="J188" i="17"/>
  <c r="V187" i="17"/>
  <c r="U187" i="17"/>
  <c r="H188" i="17"/>
  <c r="G188" i="17"/>
  <c r="B189" i="17"/>
  <c r="X188" i="17" l="1"/>
  <c r="N188" i="17"/>
  <c r="O189" i="17"/>
  <c r="A189" i="17"/>
  <c r="J189" i="17"/>
  <c r="U188" i="17"/>
  <c r="V188" i="17"/>
  <c r="B190" i="17"/>
  <c r="H189" i="17"/>
  <c r="G189" i="17"/>
  <c r="I189" i="17" s="1"/>
  <c r="X189" i="17" l="1"/>
  <c r="N189" i="17"/>
  <c r="O190" i="17"/>
  <c r="A190" i="17"/>
  <c r="J190" i="17"/>
  <c r="V189" i="17"/>
  <c r="U189" i="17"/>
  <c r="B191" i="17"/>
  <c r="H190" i="17"/>
  <c r="G190" i="17"/>
  <c r="I190" i="17" s="1"/>
  <c r="X190" i="17" l="1"/>
  <c r="O191" i="17"/>
  <c r="N190" i="17"/>
  <c r="A191" i="17"/>
  <c r="J191" i="17"/>
  <c r="V190" i="17"/>
  <c r="U190" i="17"/>
  <c r="B192" i="17"/>
  <c r="H191" i="17"/>
  <c r="G191" i="17"/>
  <c r="I191" i="17" s="1"/>
  <c r="X191" i="17" l="1"/>
  <c r="N191" i="17"/>
  <c r="O192" i="17"/>
  <c r="A192" i="17"/>
  <c r="J192" i="17"/>
  <c r="V191" i="17"/>
  <c r="U191" i="17"/>
  <c r="H192" i="17"/>
  <c r="G192" i="17"/>
  <c r="B193" i="17"/>
  <c r="I192" i="17" l="1"/>
  <c r="X192" i="17"/>
  <c r="N192" i="17"/>
  <c r="O193" i="17"/>
  <c r="A193" i="17"/>
  <c r="J193" i="17"/>
  <c r="V192" i="17"/>
  <c r="U192" i="17"/>
  <c r="B194" i="17"/>
  <c r="H193" i="17"/>
  <c r="G193" i="17"/>
  <c r="I193" i="17" s="1"/>
  <c r="X193" i="17" l="1"/>
  <c r="N193" i="17"/>
  <c r="O194" i="17"/>
  <c r="A194" i="17"/>
  <c r="J194" i="17"/>
  <c r="V193" i="17"/>
  <c r="U193" i="17"/>
  <c r="B195" i="17"/>
  <c r="H194" i="17"/>
  <c r="G194" i="17"/>
  <c r="I194" i="17" s="1"/>
  <c r="X194" i="17" l="1"/>
  <c r="O195" i="17"/>
  <c r="N194" i="17"/>
  <c r="A195" i="17"/>
  <c r="J195" i="17"/>
  <c r="V194" i="17"/>
  <c r="U194" i="17"/>
  <c r="H195" i="17"/>
  <c r="B196" i="17"/>
  <c r="G195" i="17"/>
  <c r="I195" i="17" l="1"/>
  <c r="X195" i="17"/>
  <c r="N195" i="17"/>
  <c r="O196" i="17"/>
  <c r="A196" i="17"/>
  <c r="J196" i="17"/>
  <c r="V195" i="17"/>
  <c r="U195" i="17"/>
  <c r="G196" i="17"/>
  <c r="B197" i="17"/>
  <c r="H196" i="17"/>
  <c r="I196" i="17" l="1"/>
  <c r="X196" i="17"/>
  <c r="N196" i="17"/>
  <c r="O197" i="17"/>
  <c r="A197" i="17"/>
  <c r="J197" i="17"/>
  <c r="U196" i="17"/>
  <c r="V196" i="17"/>
  <c r="B198" i="17"/>
  <c r="H197" i="17"/>
  <c r="G197" i="17"/>
  <c r="I197" i="17" s="1"/>
  <c r="X197" i="17" l="1"/>
  <c r="N197" i="17"/>
  <c r="O198" i="17"/>
  <c r="A198" i="17"/>
  <c r="J198" i="17"/>
  <c r="V197" i="17"/>
  <c r="U197" i="17"/>
  <c r="B199" i="17"/>
  <c r="G198" i="17"/>
  <c r="H198" i="17"/>
  <c r="I198" i="17" l="1"/>
  <c r="X198" i="17"/>
  <c r="O199" i="17"/>
  <c r="N198" i="17"/>
  <c r="A199" i="17"/>
  <c r="J199" i="17"/>
  <c r="V198" i="17"/>
  <c r="U198" i="17"/>
  <c r="H199" i="17"/>
  <c r="G199" i="17"/>
  <c r="I199" i="17" s="1"/>
  <c r="B200" i="17"/>
  <c r="X199" i="17" l="1"/>
  <c r="N199" i="17"/>
  <c r="O200" i="17"/>
  <c r="A200" i="17"/>
  <c r="J200" i="17"/>
  <c r="V199" i="17"/>
  <c r="U199" i="17"/>
  <c r="G200" i="17"/>
  <c r="H200" i="17"/>
  <c r="B201" i="17"/>
  <c r="I200" i="17" l="1"/>
  <c r="X200" i="17"/>
  <c r="N200" i="17"/>
  <c r="O201" i="17"/>
  <c r="A201" i="17"/>
  <c r="J201" i="17"/>
  <c r="U200" i="17"/>
  <c r="V200" i="17"/>
  <c r="H201" i="17"/>
  <c r="G201" i="17"/>
  <c r="I201" i="17" s="1"/>
  <c r="B202" i="17"/>
  <c r="X201" i="17" l="1"/>
  <c r="O202" i="17"/>
  <c r="N201" i="17"/>
  <c r="A202" i="17"/>
  <c r="J202" i="17"/>
  <c r="V201" i="17"/>
  <c r="U201" i="17"/>
  <c r="B203" i="17"/>
  <c r="G202" i="17"/>
  <c r="H202" i="17"/>
  <c r="I202" i="17" l="1"/>
  <c r="X202" i="17"/>
  <c r="N202" i="17"/>
  <c r="O203" i="17"/>
  <c r="A203" i="17"/>
  <c r="J203" i="17"/>
  <c r="U202" i="17"/>
  <c r="V202" i="17"/>
  <c r="H203" i="17"/>
  <c r="B204" i="17"/>
  <c r="G203" i="17"/>
  <c r="I203" i="17" s="1"/>
  <c r="X203" i="17" l="1"/>
  <c r="O204" i="17"/>
  <c r="N203" i="17"/>
  <c r="A204" i="17"/>
  <c r="J204" i="17"/>
  <c r="V203" i="17"/>
  <c r="U203" i="17"/>
  <c r="G204" i="17"/>
  <c r="B205" i="17"/>
  <c r="H204" i="17"/>
  <c r="I204" i="17" l="1"/>
  <c r="X204" i="17"/>
  <c r="N204" i="17"/>
  <c r="O205" i="17"/>
  <c r="A205" i="17"/>
  <c r="J205" i="17"/>
  <c r="U204" i="17"/>
  <c r="V204" i="17"/>
  <c r="B206" i="17"/>
  <c r="H205" i="17"/>
  <c r="G205" i="17"/>
  <c r="I205" i="17" s="1"/>
  <c r="X205" i="17" l="1"/>
  <c r="O206" i="17"/>
  <c r="N205" i="17"/>
  <c r="A206" i="17"/>
  <c r="J206" i="17"/>
  <c r="V205" i="17"/>
  <c r="U205" i="17"/>
  <c r="B207" i="17"/>
  <c r="H206" i="17"/>
  <c r="G206" i="17"/>
  <c r="I206" i="17" s="1"/>
  <c r="X206" i="17" l="1"/>
  <c r="N206" i="17"/>
  <c r="O207" i="17"/>
  <c r="A207" i="17"/>
  <c r="J207" i="17"/>
  <c r="U206" i="17"/>
  <c r="V206" i="17"/>
  <c r="H207" i="17"/>
  <c r="G207" i="17"/>
  <c r="B208" i="17"/>
  <c r="I207" i="17" l="1"/>
  <c r="X207" i="17"/>
  <c r="O208" i="17"/>
  <c r="N207" i="17"/>
  <c r="A208" i="17"/>
  <c r="J208" i="17"/>
  <c r="U207" i="17"/>
  <c r="V207" i="17"/>
  <c r="G208" i="17"/>
  <c r="B209" i="17"/>
  <c r="H208" i="17"/>
  <c r="I208" i="17" s="1"/>
  <c r="X208" i="17" l="1"/>
  <c r="N208" i="17"/>
  <c r="O209" i="17"/>
  <c r="A209" i="17"/>
  <c r="J209" i="17"/>
  <c r="U208" i="17"/>
  <c r="V208" i="17"/>
  <c r="B210" i="17"/>
  <c r="H209" i="17"/>
  <c r="G209" i="17"/>
  <c r="I209" i="17" s="1"/>
  <c r="X209" i="17" l="1"/>
  <c r="O210" i="17"/>
  <c r="N209" i="17"/>
  <c r="I210" i="17"/>
  <c r="A210" i="17"/>
  <c r="J210" i="17"/>
  <c r="V209" i="17"/>
  <c r="U209" i="17"/>
  <c r="B211" i="17"/>
  <c r="H210" i="17"/>
  <c r="G210" i="17"/>
  <c r="X210" i="17" l="1"/>
  <c r="O211" i="17"/>
  <c r="N210" i="17"/>
  <c r="I211" i="17"/>
  <c r="A211" i="17"/>
  <c r="J211" i="17"/>
  <c r="U210" i="17"/>
  <c r="V210" i="17"/>
  <c r="H211" i="17"/>
  <c r="G211" i="17"/>
  <c r="B212" i="17"/>
  <c r="X211" i="17" l="1"/>
  <c r="O212" i="17"/>
  <c r="N211" i="17"/>
  <c r="A212" i="17"/>
  <c r="J212" i="17"/>
  <c r="V211" i="17"/>
  <c r="U211" i="17"/>
  <c r="G212" i="17"/>
  <c r="B213" i="17"/>
  <c r="H212" i="17"/>
  <c r="I212" i="17" l="1"/>
  <c r="X212" i="17"/>
  <c r="N212" i="17"/>
  <c r="O213" i="17"/>
  <c r="A213" i="17"/>
  <c r="J213" i="17"/>
  <c r="V212" i="17"/>
  <c r="U212" i="17"/>
  <c r="B214" i="17"/>
  <c r="H213" i="17"/>
  <c r="G213" i="17"/>
  <c r="I213" i="17" s="1"/>
  <c r="X213" i="17" l="1"/>
  <c r="O214" i="17"/>
  <c r="N213" i="17"/>
  <c r="A214" i="17"/>
  <c r="J214" i="17"/>
  <c r="V213" i="17"/>
  <c r="U213" i="17"/>
  <c r="B215" i="17"/>
  <c r="H214" i="17"/>
  <c r="G214" i="17"/>
  <c r="I214" i="17" s="1"/>
  <c r="X214" i="17" l="1"/>
  <c r="N214" i="17"/>
  <c r="O215" i="17"/>
  <c r="I215" i="17"/>
  <c r="A215" i="17"/>
  <c r="J215" i="17"/>
  <c r="V214" i="17"/>
  <c r="U214" i="17"/>
  <c r="H215" i="17"/>
  <c r="G215" i="17"/>
  <c r="B216" i="17"/>
  <c r="X215" i="17" l="1"/>
  <c r="O216" i="17"/>
  <c r="N215" i="17"/>
  <c r="A216" i="17"/>
  <c r="J216" i="17"/>
  <c r="V215" i="17"/>
  <c r="U215" i="17"/>
  <c r="G216" i="17"/>
  <c r="B217" i="17"/>
  <c r="H216" i="17"/>
  <c r="I216" i="17" l="1"/>
  <c r="X216" i="17"/>
  <c r="N216" i="17"/>
  <c r="O217" i="17"/>
  <c r="A217" i="17"/>
  <c r="J217" i="17"/>
  <c r="U216" i="17"/>
  <c r="V216" i="17"/>
  <c r="B218" i="17"/>
  <c r="H217" i="17"/>
  <c r="G217" i="17"/>
  <c r="I217" i="17" s="1"/>
  <c r="X217" i="17" l="1"/>
  <c r="N217" i="17"/>
  <c r="O218" i="17"/>
  <c r="A218" i="17"/>
  <c r="J218" i="17"/>
  <c r="V217" i="17"/>
  <c r="U217" i="17"/>
  <c r="B219" i="17"/>
  <c r="H218" i="17"/>
  <c r="G218" i="17"/>
  <c r="I218" i="17" s="1"/>
  <c r="X218" i="17" l="1"/>
  <c r="O219" i="17"/>
  <c r="N218" i="17"/>
  <c r="I219" i="17"/>
  <c r="A219" i="17"/>
  <c r="J219" i="17"/>
  <c r="U218" i="17"/>
  <c r="V218" i="17"/>
  <c r="H219" i="17"/>
  <c r="G219" i="17"/>
  <c r="B220" i="17"/>
  <c r="X219" i="17" l="1"/>
  <c r="N219" i="17"/>
  <c r="O220" i="17"/>
  <c r="A220" i="17"/>
  <c r="J220" i="17"/>
  <c r="V219" i="17"/>
  <c r="U219" i="17"/>
  <c r="B221" i="17"/>
  <c r="G220" i="17"/>
  <c r="H220" i="17"/>
  <c r="I220" i="17" l="1"/>
  <c r="X220" i="17"/>
  <c r="N220" i="17"/>
  <c r="O221" i="17"/>
  <c r="A221" i="17"/>
  <c r="J221" i="17"/>
  <c r="V220" i="17"/>
  <c r="U220" i="17"/>
  <c r="H221" i="17"/>
  <c r="B222" i="17"/>
  <c r="G221" i="17"/>
  <c r="I221" i="17" s="1"/>
  <c r="X221" i="17" l="1"/>
  <c r="O222" i="17"/>
  <c r="N221" i="17"/>
  <c r="A222" i="17"/>
  <c r="J222" i="17"/>
  <c r="V221" i="17"/>
  <c r="U221" i="17"/>
  <c r="H222" i="17"/>
  <c r="B223" i="17"/>
  <c r="G222" i="17"/>
  <c r="I222" i="17" l="1"/>
  <c r="X222" i="17"/>
  <c r="N222" i="17"/>
  <c r="O223" i="17"/>
  <c r="A223" i="17"/>
  <c r="J223" i="17"/>
  <c r="U222" i="17"/>
  <c r="V222" i="17"/>
  <c r="B224" i="17"/>
  <c r="G223" i="17"/>
  <c r="H223" i="17"/>
  <c r="I223" i="17" l="1"/>
  <c r="X223" i="17"/>
  <c r="O224" i="17"/>
  <c r="N223" i="17"/>
  <c r="A224" i="17"/>
  <c r="J224" i="17"/>
  <c r="V223" i="17"/>
  <c r="U223" i="17"/>
  <c r="B225" i="17"/>
  <c r="H224" i="17"/>
  <c r="G224" i="17"/>
  <c r="I224" i="17" s="1"/>
  <c r="X224" i="17" l="1"/>
  <c r="N224" i="17"/>
  <c r="O225" i="17"/>
  <c r="A225" i="17"/>
  <c r="J225" i="17"/>
  <c r="U224" i="17"/>
  <c r="V224" i="17"/>
  <c r="H225" i="17"/>
  <c r="B226" i="17"/>
  <c r="G225" i="17"/>
  <c r="I225" i="17" l="1"/>
  <c r="X225" i="17"/>
  <c r="N225" i="17"/>
  <c r="O226" i="17"/>
  <c r="A226" i="17"/>
  <c r="J226" i="17"/>
  <c r="V225" i="17"/>
  <c r="U225" i="17"/>
  <c r="H226" i="17"/>
  <c r="G226" i="17"/>
  <c r="I226" i="17" s="1"/>
  <c r="B227" i="17"/>
  <c r="X226" i="17" l="1"/>
  <c r="O227" i="17"/>
  <c r="N226" i="17"/>
  <c r="A227" i="17"/>
  <c r="J227" i="17"/>
  <c r="U226" i="17"/>
  <c r="V226" i="17"/>
  <c r="B228" i="17"/>
  <c r="G227" i="17"/>
  <c r="H227" i="17"/>
  <c r="I227" i="17" l="1"/>
  <c r="X227" i="17"/>
  <c r="O228" i="17"/>
  <c r="N227" i="17"/>
  <c r="A228" i="17"/>
  <c r="J228" i="17"/>
  <c r="U227" i="17"/>
  <c r="V227" i="17"/>
  <c r="B229" i="17"/>
  <c r="H228" i="17"/>
  <c r="G228" i="17"/>
  <c r="I228" i="17" s="1"/>
  <c r="X228" i="17" l="1"/>
  <c r="N228" i="17"/>
  <c r="O229" i="17"/>
  <c r="A229" i="17"/>
  <c r="J229" i="17"/>
  <c r="V228" i="17"/>
  <c r="U228" i="17"/>
  <c r="H229" i="17"/>
  <c r="B230" i="17"/>
  <c r="G229" i="17"/>
  <c r="I229" i="17" l="1"/>
  <c r="X229" i="17"/>
  <c r="O230" i="17"/>
  <c r="N229" i="17"/>
  <c r="A230" i="17"/>
  <c r="J230" i="17"/>
  <c r="V229" i="17"/>
  <c r="U229" i="17"/>
  <c r="H230" i="17"/>
  <c r="B231" i="17"/>
  <c r="G230" i="17"/>
  <c r="I230" i="17" s="1"/>
  <c r="X230" i="17" l="1"/>
  <c r="N230" i="17"/>
  <c r="O231" i="17"/>
  <c r="A231" i="17"/>
  <c r="J231" i="17"/>
  <c r="V230" i="17"/>
  <c r="U230" i="17"/>
  <c r="B232" i="17"/>
  <c r="G231" i="17"/>
  <c r="H231" i="17"/>
  <c r="I231" i="17" l="1"/>
  <c r="X231" i="17"/>
  <c r="N231" i="17"/>
  <c r="O232" i="17"/>
  <c r="A232" i="17"/>
  <c r="J232" i="17"/>
  <c r="V231" i="17"/>
  <c r="U231" i="17"/>
  <c r="B233" i="17"/>
  <c r="H232" i="17"/>
  <c r="G232" i="17"/>
  <c r="I232" i="17" s="1"/>
  <c r="X232" i="17" l="1"/>
  <c r="N232" i="17"/>
  <c r="O233" i="17"/>
  <c r="A233" i="17"/>
  <c r="J233" i="17"/>
  <c r="U232" i="17"/>
  <c r="V232" i="17"/>
  <c r="H233" i="17"/>
  <c r="B234" i="17"/>
  <c r="G233" i="17"/>
  <c r="I233" i="17" l="1"/>
  <c r="X233" i="17"/>
  <c r="N233" i="17"/>
  <c r="O234" i="17"/>
  <c r="A234" i="17"/>
  <c r="J234" i="17"/>
  <c r="U233" i="17"/>
  <c r="V233" i="17"/>
  <c r="G234" i="17"/>
  <c r="B235" i="17"/>
  <c r="H234" i="17"/>
  <c r="I234" i="17" l="1"/>
  <c r="X234" i="17"/>
  <c r="N234" i="17"/>
  <c r="O235" i="17"/>
  <c r="A235" i="17"/>
  <c r="J235" i="17"/>
  <c r="U234" i="17"/>
  <c r="V234" i="17"/>
  <c r="B236" i="17"/>
  <c r="H235" i="17"/>
  <c r="G235" i="17"/>
  <c r="I235" i="17" l="1"/>
  <c r="X235" i="17"/>
  <c r="O236" i="17"/>
  <c r="N235" i="17"/>
  <c r="A236" i="17"/>
  <c r="J236" i="17"/>
  <c r="U235" i="17"/>
  <c r="V235" i="17"/>
  <c r="G236" i="17"/>
  <c r="H236" i="17"/>
  <c r="B237" i="17"/>
  <c r="I236" i="17" l="1"/>
  <c r="X236" i="17"/>
  <c r="N236" i="17"/>
  <c r="O237" i="17"/>
  <c r="A237" i="17"/>
  <c r="J237" i="17"/>
  <c r="V236" i="17"/>
  <c r="U236" i="17"/>
  <c r="B238" i="17"/>
  <c r="H237" i="17"/>
  <c r="G237" i="17"/>
  <c r="I237" i="17" s="1"/>
  <c r="X237" i="17" l="1"/>
  <c r="N237" i="17"/>
  <c r="O238" i="17"/>
  <c r="I238" i="17"/>
  <c r="A238" i="17"/>
  <c r="J238" i="17"/>
  <c r="V237" i="17"/>
  <c r="U237" i="17"/>
  <c r="B239" i="17"/>
  <c r="H238" i="17"/>
  <c r="G238" i="17"/>
  <c r="X238" i="17" l="1"/>
  <c r="O239" i="17"/>
  <c r="N238" i="17"/>
  <c r="A239" i="17"/>
  <c r="J239" i="17"/>
  <c r="V238" i="17"/>
  <c r="U238" i="17"/>
  <c r="H239" i="17"/>
  <c r="B240" i="17"/>
  <c r="G239" i="17"/>
  <c r="I239" i="17" l="1"/>
  <c r="X239" i="17"/>
  <c r="N239" i="17"/>
  <c r="O240" i="17"/>
  <c r="A240" i="17"/>
  <c r="J240" i="17"/>
  <c r="V239" i="17"/>
  <c r="U239" i="17"/>
  <c r="G240" i="17"/>
  <c r="B241" i="17"/>
  <c r="H240" i="17"/>
  <c r="I240" i="17" l="1"/>
  <c r="X240" i="17"/>
  <c r="O241" i="17"/>
  <c r="N240" i="17"/>
  <c r="A241" i="17"/>
  <c r="J241" i="17"/>
  <c r="U240" i="17"/>
  <c r="V240" i="17"/>
  <c r="B242" i="17"/>
  <c r="G241" i="17"/>
  <c r="H241" i="17"/>
  <c r="I241" i="17" l="1"/>
  <c r="X241" i="17"/>
  <c r="N241" i="17"/>
  <c r="O242" i="17"/>
  <c r="A242" i="17"/>
  <c r="J242" i="17"/>
  <c r="V241" i="17"/>
  <c r="U241" i="17"/>
  <c r="B243" i="17"/>
  <c r="H242" i="17"/>
  <c r="G242" i="17"/>
  <c r="I242" i="17" l="1"/>
  <c r="X242" i="17"/>
  <c r="N242" i="17"/>
  <c r="O243" i="17"/>
  <c r="A243" i="17"/>
  <c r="J243" i="17"/>
  <c r="U242" i="17"/>
  <c r="V242" i="17"/>
  <c r="H243" i="17"/>
  <c r="B244" i="17"/>
  <c r="G243" i="17"/>
  <c r="I243" i="17" s="1"/>
  <c r="X243" i="17" l="1"/>
  <c r="O244" i="17"/>
  <c r="N243" i="17"/>
  <c r="A244" i="17"/>
  <c r="J244" i="17"/>
  <c r="U243" i="17"/>
  <c r="V243" i="17"/>
  <c r="G244" i="17"/>
  <c r="B245" i="17"/>
  <c r="H244" i="17"/>
  <c r="I244" i="17" l="1"/>
  <c r="X244" i="17"/>
  <c r="O245" i="17"/>
  <c r="N244" i="17"/>
  <c r="A245" i="17"/>
  <c r="J245" i="17"/>
  <c r="V244" i="17"/>
  <c r="U244" i="17"/>
  <c r="B246" i="17"/>
  <c r="H245" i="17"/>
  <c r="G245" i="17"/>
  <c r="I245" i="17" s="1"/>
  <c r="X245" i="17" l="1"/>
  <c r="N245" i="17"/>
  <c r="O246" i="17"/>
  <c r="A246" i="17"/>
  <c r="J246" i="17"/>
  <c r="V245" i="17"/>
  <c r="U245" i="17"/>
  <c r="B247" i="17"/>
  <c r="H246" i="17"/>
  <c r="G246" i="17"/>
  <c r="I246" i="17" s="1"/>
  <c r="X246" i="17" l="1"/>
  <c r="N246" i="17"/>
  <c r="O247" i="17"/>
  <c r="I247" i="17"/>
  <c r="A247" i="17"/>
  <c r="J247" i="17"/>
  <c r="V246" i="17"/>
  <c r="U246" i="17"/>
  <c r="H247" i="17"/>
  <c r="G247" i="17"/>
  <c r="B248" i="17"/>
  <c r="X247" i="17" l="1"/>
  <c r="O248" i="17"/>
  <c r="N247" i="17"/>
  <c r="A248" i="17"/>
  <c r="J248" i="17"/>
  <c r="V247" i="17"/>
  <c r="U247" i="17"/>
  <c r="G248" i="17"/>
  <c r="B249" i="17"/>
  <c r="H248" i="17"/>
  <c r="I248" i="17" l="1"/>
  <c r="X248" i="17"/>
  <c r="O249" i="17"/>
  <c r="N248" i="17"/>
  <c r="A249" i="17"/>
  <c r="J249" i="17"/>
  <c r="U248" i="17"/>
  <c r="V248" i="17"/>
  <c r="B250" i="17"/>
  <c r="H249" i="17"/>
  <c r="G249" i="17"/>
  <c r="I249" i="17" s="1"/>
  <c r="X249" i="17" l="1"/>
  <c r="O250" i="17"/>
  <c r="N249" i="17"/>
  <c r="A250" i="17"/>
  <c r="J250" i="17"/>
  <c r="V249" i="17"/>
  <c r="U249" i="17"/>
  <c r="B251" i="17"/>
  <c r="H250" i="17"/>
  <c r="G250" i="17"/>
  <c r="I250" i="17" s="1"/>
  <c r="X250" i="17" l="1"/>
  <c r="O251" i="17"/>
  <c r="N250" i="17"/>
  <c r="A251" i="17"/>
  <c r="J251" i="17"/>
  <c r="U250" i="17"/>
  <c r="V250" i="17"/>
  <c r="H251" i="17"/>
  <c r="G251" i="17"/>
  <c r="B252" i="17"/>
  <c r="I251" i="17" l="1"/>
  <c r="X251" i="17"/>
  <c r="O252" i="17"/>
  <c r="N251" i="17"/>
  <c r="A252" i="17"/>
  <c r="J252" i="17"/>
  <c r="V251" i="17"/>
  <c r="U251" i="17"/>
  <c r="G252" i="17"/>
  <c r="B253" i="17"/>
  <c r="H252" i="17"/>
  <c r="I252" i="17" l="1"/>
  <c r="X252" i="17"/>
  <c r="N252" i="17"/>
  <c r="O253" i="17"/>
  <c r="A253" i="17"/>
  <c r="J253" i="17"/>
  <c r="V252" i="17"/>
  <c r="U252" i="17"/>
  <c r="G253" i="17"/>
  <c r="H253" i="17"/>
  <c r="B254" i="17"/>
  <c r="I253" i="17" l="1"/>
  <c r="X253" i="17"/>
  <c r="O254" i="17"/>
  <c r="N253" i="17"/>
  <c r="A254" i="17"/>
  <c r="J254" i="17"/>
  <c r="V253" i="17"/>
  <c r="U253" i="17"/>
  <c r="B255" i="17"/>
  <c r="H254" i="17"/>
  <c r="G254" i="17"/>
  <c r="I254" i="17" s="1"/>
  <c r="X254" i="17" l="1"/>
  <c r="N254" i="17"/>
  <c r="O255" i="17"/>
  <c r="A255" i="17"/>
  <c r="J255" i="17"/>
  <c r="V254" i="17"/>
  <c r="U254" i="17"/>
  <c r="B256" i="17"/>
  <c r="H255" i="17"/>
  <c r="G255" i="17"/>
  <c r="I255" i="17" s="1"/>
  <c r="X255" i="17" l="1"/>
  <c r="N255" i="17"/>
  <c r="O256" i="17"/>
  <c r="A256" i="17"/>
  <c r="J256" i="17"/>
  <c r="V255" i="17"/>
  <c r="U255" i="17"/>
  <c r="H256" i="17"/>
  <c r="B257" i="17"/>
  <c r="G256" i="17"/>
  <c r="I256" i="17" s="1"/>
  <c r="X256" i="17" l="1"/>
  <c r="N256" i="17"/>
  <c r="O257" i="17"/>
  <c r="A257" i="17"/>
  <c r="J257" i="17"/>
  <c r="U256" i="17"/>
  <c r="V256" i="17"/>
  <c r="G257" i="17"/>
  <c r="B258" i="17"/>
  <c r="H257" i="17"/>
  <c r="I257" i="17" l="1"/>
  <c r="X257" i="17"/>
  <c r="N257" i="17"/>
  <c r="O258" i="17"/>
  <c r="A258" i="17"/>
  <c r="J258" i="17"/>
  <c r="V257" i="17"/>
  <c r="U257" i="17"/>
  <c r="B259" i="17"/>
  <c r="H258" i="17"/>
  <c r="G258" i="17"/>
  <c r="I258" i="17" s="1"/>
  <c r="X258" i="17" l="1"/>
  <c r="N258" i="17"/>
  <c r="O259" i="17"/>
  <c r="A259" i="17"/>
  <c r="J259" i="17"/>
  <c r="U258" i="17"/>
  <c r="V258" i="17"/>
  <c r="H259" i="17"/>
  <c r="B260" i="17"/>
  <c r="G259" i="17"/>
  <c r="I259" i="17" l="1"/>
  <c r="X259" i="17"/>
  <c r="N259" i="17"/>
  <c r="O260" i="17"/>
  <c r="A260" i="17"/>
  <c r="J260" i="17"/>
  <c r="V259" i="17"/>
  <c r="U259" i="17"/>
  <c r="H260" i="17"/>
  <c r="B261" i="17"/>
  <c r="G260" i="17"/>
  <c r="I260" i="17" s="1"/>
  <c r="X260" i="17" l="1"/>
  <c r="N260" i="17"/>
  <c r="O261" i="17"/>
  <c r="A261" i="17"/>
  <c r="J261" i="17"/>
  <c r="V260" i="17"/>
  <c r="U260" i="17"/>
  <c r="G261" i="17"/>
  <c r="B262" i="17"/>
  <c r="H261" i="17"/>
  <c r="I261" i="17" l="1"/>
  <c r="X261" i="17"/>
  <c r="O262" i="17"/>
  <c r="N261" i="17"/>
  <c r="A262" i="17"/>
  <c r="J262" i="17"/>
  <c r="V261" i="17"/>
  <c r="U261" i="17"/>
  <c r="B263" i="17"/>
  <c r="H262" i="17"/>
  <c r="G262" i="17"/>
  <c r="I262" i="17" s="1"/>
  <c r="X262" i="17" l="1"/>
  <c r="O263" i="17"/>
  <c r="N262" i="17"/>
  <c r="A263" i="17"/>
  <c r="J263" i="17"/>
  <c r="V262" i="17"/>
  <c r="U262" i="17"/>
  <c r="B264" i="17"/>
  <c r="H263" i="17"/>
  <c r="G263" i="17"/>
  <c r="I263" i="17" s="1"/>
  <c r="X263" i="17" l="1"/>
  <c r="N263" i="17"/>
  <c r="O264" i="17"/>
  <c r="A264" i="17"/>
  <c r="J264" i="17"/>
  <c r="V263" i="17"/>
  <c r="U263" i="17"/>
  <c r="H264" i="17"/>
  <c r="G264" i="17"/>
  <c r="B265" i="17"/>
  <c r="I264" i="17" l="1"/>
  <c r="X264" i="17"/>
  <c r="N264" i="17"/>
  <c r="O265" i="17"/>
  <c r="A265" i="17"/>
  <c r="J265" i="17"/>
  <c r="U264" i="17"/>
  <c r="V264" i="17"/>
  <c r="H265" i="17"/>
  <c r="G265" i="17"/>
  <c r="I265" i="17" s="1"/>
  <c r="B266" i="17"/>
  <c r="X265" i="17" l="1"/>
  <c r="O266" i="17"/>
  <c r="N265" i="17"/>
  <c r="A266" i="17"/>
  <c r="J266" i="17"/>
  <c r="U265" i="17"/>
  <c r="V265" i="17"/>
  <c r="H266" i="17"/>
  <c r="I266" i="17" s="1"/>
  <c r="G266" i="17"/>
  <c r="B267" i="17"/>
  <c r="X266" i="17" l="1"/>
  <c r="N266" i="17"/>
  <c r="O267" i="17"/>
  <c r="B268" i="17"/>
  <c r="I267" i="17"/>
  <c r="A267" i="17"/>
  <c r="J267" i="17"/>
  <c r="U266" i="17"/>
  <c r="V266" i="17"/>
  <c r="H267" i="17"/>
  <c r="G267" i="17"/>
  <c r="B269" i="17" l="1"/>
  <c r="K269" i="17" s="1"/>
  <c r="H268" i="17"/>
  <c r="X267" i="17"/>
  <c r="V267" i="17"/>
  <c r="N267" i="17"/>
  <c r="O268" i="17"/>
  <c r="U267" i="17"/>
  <c r="K268" i="17"/>
  <c r="G268" i="17"/>
  <c r="I268" i="17" s="1"/>
  <c r="A268" i="17"/>
  <c r="J268" i="17"/>
  <c r="G269" i="17" l="1"/>
  <c r="H269" i="17"/>
  <c r="J269" i="17"/>
  <c r="A269" i="17"/>
  <c r="L268" i="17"/>
  <c r="X268" i="17"/>
  <c r="U268" i="17"/>
  <c r="O269" i="17"/>
  <c r="N268" i="17"/>
  <c r="V268" i="17"/>
  <c r="B270" i="17"/>
  <c r="K270" i="17" s="1"/>
  <c r="I269" i="17"/>
  <c r="L269" i="17"/>
  <c r="X269" i="17" l="1"/>
  <c r="V269" i="17"/>
  <c r="U269" i="17"/>
  <c r="O270" i="17"/>
  <c r="N269" i="17"/>
  <c r="B271" i="17"/>
  <c r="K271" i="17" s="1"/>
  <c r="I270" i="17"/>
  <c r="G270" i="17"/>
  <c r="J270" i="17"/>
  <c r="A270" i="17"/>
  <c r="H270" i="17"/>
  <c r="L270" i="17"/>
  <c r="B272" i="17" l="1"/>
  <c r="J272" i="17" s="1"/>
  <c r="X270" i="17"/>
  <c r="V270" i="17"/>
  <c r="N270" i="17"/>
  <c r="O271" i="17"/>
  <c r="U270" i="17"/>
  <c r="J271" i="17"/>
  <c r="L271" i="17" s="1"/>
  <c r="G271" i="17"/>
  <c r="I271" i="17" s="1"/>
  <c r="A271" i="17"/>
  <c r="H271" i="17"/>
  <c r="A272" i="17" l="1"/>
  <c r="H272" i="17"/>
  <c r="G272" i="17"/>
  <c r="K272" i="17"/>
  <c r="X271" i="17"/>
  <c r="U271" i="17"/>
  <c r="N271" i="17"/>
  <c r="O272" i="17"/>
  <c r="V271" i="17"/>
  <c r="B273" i="17"/>
  <c r="I272" i="17"/>
  <c r="L272" i="17"/>
  <c r="X272" i="17" l="1"/>
  <c r="V272" i="17"/>
  <c r="N272" i="17"/>
  <c r="U272" i="17"/>
  <c r="O273" i="17"/>
  <c r="B274" i="17"/>
  <c r="I273" i="17"/>
  <c r="K273" i="17"/>
  <c r="L273" i="17" s="1"/>
  <c r="H273" i="17"/>
  <c r="G273" i="17"/>
  <c r="J273" i="17"/>
  <c r="A273" i="17"/>
  <c r="B275" i="17" l="1"/>
  <c r="G275" i="17" s="1"/>
  <c r="A274" i="17"/>
  <c r="X273" i="17"/>
  <c r="U273" i="17"/>
  <c r="V273" i="17"/>
  <c r="O274" i="17"/>
  <c r="N273" i="17"/>
  <c r="H274" i="17"/>
  <c r="G274" i="17"/>
  <c r="I274" i="17" s="1"/>
  <c r="K274" i="17"/>
  <c r="J274" i="17"/>
  <c r="J275" i="17"/>
  <c r="K275" i="17" l="1"/>
  <c r="A275" i="17"/>
  <c r="H275" i="17"/>
  <c r="L274" i="17"/>
  <c r="X274" i="17"/>
  <c r="U274" i="17"/>
  <c r="V274" i="17"/>
  <c r="N274" i="17"/>
  <c r="O275" i="17"/>
  <c r="B276" i="17"/>
  <c r="K276" i="17" s="1"/>
  <c r="I275" i="17"/>
  <c r="L275" i="17"/>
  <c r="N275" i="17" l="1"/>
  <c r="V275" i="17"/>
  <c r="X275" i="17"/>
  <c r="O276" i="17"/>
  <c r="U275" i="17"/>
  <c r="A276" i="17"/>
  <c r="H276" i="17"/>
  <c r="B277" i="17"/>
  <c r="H277" i="17" s="1"/>
  <c r="J276" i="17"/>
  <c r="L276" i="17" s="1"/>
  <c r="G276" i="17"/>
  <c r="I276" i="17" s="1"/>
  <c r="BN276" i="17" l="1"/>
  <c r="BO276" i="17"/>
  <c r="BP276" i="17"/>
  <c r="CE276" i="17"/>
  <c r="CD276" i="17"/>
  <c r="CC276" i="17"/>
  <c r="K277" i="17"/>
  <c r="J277" i="17"/>
  <c r="G277" i="17"/>
  <c r="O277" i="17"/>
  <c r="Y276" i="17"/>
  <c r="N276" i="17"/>
  <c r="CL276" i="17" s="1"/>
  <c r="X276" i="17"/>
  <c r="V276" i="17"/>
  <c r="U276" i="17"/>
  <c r="Z276" i="17"/>
  <c r="B278" i="17"/>
  <c r="G278" i="17" s="1"/>
  <c r="I277" i="17"/>
  <c r="A277" i="17"/>
  <c r="L277" i="17"/>
  <c r="BN277" i="17" l="1"/>
  <c r="BO277" i="17"/>
  <c r="BP277" i="17"/>
  <c r="CD277" i="17"/>
  <c r="CC277" i="17"/>
  <c r="CE277" i="17"/>
  <c r="J278" i="17"/>
  <c r="A278" i="17"/>
  <c r="H278" i="17"/>
  <c r="K278" i="17"/>
  <c r="U277" i="17"/>
  <c r="V277" i="17"/>
  <c r="O278" i="17"/>
  <c r="X277" i="17"/>
  <c r="N277" i="17"/>
  <c r="CL277" i="17" s="1"/>
  <c r="Y277" i="17"/>
  <c r="Z277" i="17" s="1"/>
  <c r="B279" i="17"/>
  <c r="H279" i="17" s="1"/>
  <c r="I278" i="17"/>
  <c r="L278" i="17"/>
  <c r="K29" i="17"/>
  <c r="BP278" i="17" l="1"/>
  <c r="BN278" i="17"/>
  <c r="BO278" i="17"/>
  <c r="A279" i="17"/>
  <c r="CD278" i="17"/>
  <c r="CC278" i="17"/>
  <c r="CE278" i="17"/>
  <c r="G279" i="17"/>
  <c r="K279" i="17"/>
  <c r="L279" i="17" s="1"/>
  <c r="J279" i="17"/>
  <c r="V278" i="17"/>
  <c r="N278" i="17"/>
  <c r="CL278" i="17" s="1"/>
  <c r="Y278" i="17"/>
  <c r="O279" i="17"/>
  <c r="X278" i="17"/>
  <c r="U278" i="17"/>
  <c r="B280" i="17"/>
  <c r="G280" i="17" s="1"/>
  <c r="I279" i="17"/>
  <c r="L29" i="17"/>
  <c r="BN279" i="17" l="1"/>
  <c r="BP279" i="17"/>
  <c r="BO279" i="17"/>
  <c r="CD279" i="17"/>
  <c r="CC279" i="17"/>
  <c r="CE279" i="17"/>
  <c r="K280" i="17"/>
  <c r="L280" i="17" s="1"/>
  <c r="J280" i="17"/>
  <c r="A280" i="17"/>
  <c r="H280" i="17"/>
  <c r="Z278" i="17"/>
  <c r="O280" i="17"/>
  <c r="X279" i="17"/>
  <c r="Y279" i="17"/>
  <c r="Z279" i="17" s="1"/>
  <c r="U279" i="17"/>
  <c r="V279" i="17"/>
  <c r="N279" i="17"/>
  <c r="CL279" i="17" s="1"/>
  <c r="B281" i="17"/>
  <c r="K281" i="17" s="1"/>
  <c r="I280" i="17"/>
  <c r="Y31" i="17"/>
  <c r="BO280" i="17" l="1"/>
  <c r="BP280" i="17"/>
  <c r="BN280" i="17"/>
  <c r="H281" i="17"/>
  <c r="CE280" i="17"/>
  <c r="CD280" i="17"/>
  <c r="CC280" i="17"/>
  <c r="A281" i="17"/>
  <c r="J281" i="17"/>
  <c r="G281" i="17"/>
  <c r="V280" i="17"/>
  <c r="X280" i="17"/>
  <c r="Y280" i="17"/>
  <c r="Z280" i="17" s="1"/>
  <c r="O281" i="17"/>
  <c r="U280" i="17"/>
  <c r="N280" i="17"/>
  <c r="CL280" i="17" s="1"/>
  <c r="L281" i="17"/>
  <c r="B282" i="17"/>
  <c r="J282" i="17" s="1"/>
  <c r="I281" i="17"/>
  <c r="Z31" i="17"/>
  <c r="Y32" i="17"/>
  <c r="Z32" i="17" s="1"/>
  <c r="K30" i="17"/>
  <c r="BP281" i="17" l="1"/>
  <c r="BO281" i="17"/>
  <c r="BN281" i="17"/>
  <c r="CE281" i="17"/>
  <c r="CC281" i="17"/>
  <c r="CD281" i="17"/>
  <c r="K282" i="17"/>
  <c r="H282" i="17"/>
  <c r="G282" i="17"/>
  <c r="A282" i="17"/>
  <c r="U281" i="17"/>
  <c r="O282" i="17"/>
  <c r="X281" i="17"/>
  <c r="N281" i="17"/>
  <c r="CL281" i="17" s="1"/>
  <c r="V281" i="17"/>
  <c r="Y281" i="17"/>
  <c r="Z281" i="17" s="1"/>
  <c r="B283" i="17"/>
  <c r="K283" i="17" s="1"/>
  <c r="I282" i="17"/>
  <c r="L282" i="17"/>
  <c r="L30" i="17"/>
  <c r="Y33" i="17"/>
  <c r="Z33" i="17" s="1"/>
  <c r="BO282" i="17" l="1"/>
  <c r="BP282" i="17"/>
  <c r="BN282" i="17"/>
  <c r="CE282" i="17"/>
  <c r="CD282" i="17"/>
  <c r="CC282" i="17"/>
  <c r="H283" i="17"/>
  <c r="J283" i="17"/>
  <c r="A283" i="17"/>
  <c r="G283" i="17"/>
  <c r="X282" i="17"/>
  <c r="U282" i="17"/>
  <c r="Y282" i="17"/>
  <c r="Z282" i="17" s="1"/>
  <c r="N282" i="17"/>
  <c r="CL282" i="17" s="1"/>
  <c r="V282" i="17"/>
  <c r="O283" i="17"/>
  <c r="B284" i="17"/>
  <c r="A284" i="17" s="1"/>
  <c r="I283" i="17"/>
  <c r="L283" i="17"/>
  <c r="BP283" i="17" l="1"/>
  <c r="BN283" i="17"/>
  <c r="BO283" i="17"/>
  <c r="K284" i="17"/>
  <c r="CE283" i="17"/>
  <c r="CD283" i="17"/>
  <c r="CC283" i="17"/>
  <c r="G284" i="17"/>
  <c r="J284" i="17"/>
  <c r="H284" i="17"/>
  <c r="L284" i="17"/>
  <c r="B285" i="17"/>
  <c r="H285" i="17" s="1"/>
  <c r="I284" i="17"/>
  <c r="N283" i="17"/>
  <c r="CL283" i="17" s="1"/>
  <c r="Y283" i="17"/>
  <c r="O284" i="17"/>
  <c r="U283" i="17"/>
  <c r="X283" i="17"/>
  <c r="V283" i="17"/>
  <c r="K31" i="17"/>
  <c r="BN284" i="17" l="1"/>
  <c r="BO284" i="17"/>
  <c r="BP284" i="17"/>
  <c r="J285" i="17"/>
  <c r="A285" i="17"/>
  <c r="CE284" i="17"/>
  <c r="CD284" i="17"/>
  <c r="CC284" i="17"/>
  <c r="K285" i="17"/>
  <c r="G285" i="17"/>
  <c r="O285" i="17"/>
  <c r="U284" i="17"/>
  <c r="Y284" i="17"/>
  <c r="N284" i="17"/>
  <c r="CL284" i="17" s="1"/>
  <c r="V284" i="17"/>
  <c r="X284" i="17"/>
  <c r="B286" i="17"/>
  <c r="A286" i="17" s="1"/>
  <c r="I285" i="17"/>
  <c r="Z283" i="17"/>
  <c r="L285" i="17"/>
  <c r="Y34" i="17"/>
  <c r="L31" i="17"/>
  <c r="BN285" i="17" l="1"/>
  <c r="BO285" i="17"/>
  <c r="BP285" i="17"/>
  <c r="CD285" i="17"/>
  <c r="CC285" i="17"/>
  <c r="CE285" i="17"/>
  <c r="G286" i="17"/>
  <c r="H286" i="17"/>
  <c r="K286" i="17"/>
  <c r="J286" i="17"/>
  <c r="Z284" i="17"/>
  <c r="Y285" i="17"/>
  <c r="U285" i="17"/>
  <c r="X285" i="17"/>
  <c r="V285" i="17"/>
  <c r="O286" i="17"/>
  <c r="N285" i="17"/>
  <c r="CL285" i="17" s="1"/>
  <c r="Z285" i="17"/>
  <c r="B287" i="17"/>
  <c r="K287" i="17" s="1"/>
  <c r="I286" i="17"/>
  <c r="L286" i="17"/>
  <c r="Y35" i="17"/>
  <c r="Z35" i="17" s="1"/>
  <c r="Z34" i="17"/>
  <c r="BP286" i="17" l="1"/>
  <c r="BN286" i="17"/>
  <c r="BO286" i="17"/>
  <c r="CD286" i="17"/>
  <c r="CE286" i="17"/>
  <c r="CC286" i="17"/>
  <c r="A287" i="17"/>
  <c r="H287" i="17"/>
  <c r="J287" i="17"/>
  <c r="G287" i="17"/>
  <c r="L287" i="17"/>
  <c r="X286" i="17"/>
  <c r="V286" i="17"/>
  <c r="O287" i="17"/>
  <c r="U286" i="17"/>
  <c r="Y286" i="17"/>
  <c r="N286" i="17"/>
  <c r="CL286" i="17" s="1"/>
  <c r="B288" i="17"/>
  <c r="H288" i="17" s="1"/>
  <c r="I287" i="17"/>
  <c r="K32" i="17"/>
  <c r="BP287" i="17" l="1"/>
  <c r="BN287" i="17"/>
  <c r="BO287" i="17"/>
  <c r="A288" i="17"/>
  <c r="J288" i="17"/>
  <c r="K288" i="17"/>
  <c r="CD287" i="17"/>
  <c r="CC287" i="17"/>
  <c r="CE287" i="17"/>
  <c r="G288" i="17"/>
  <c r="Z286" i="17"/>
  <c r="N287" i="17"/>
  <c r="CL287" i="17" s="1"/>
  <c r="O288" i="17"/>
  <c r="U287" i="17"/>
  <c r="X287" i="17"/>
  <c r="V287" i="17"/>
  <c r="Y287" i="17"/>
  <c r="B289" i="17"/>
  <c r="J289" i="17" s="1"/>
  <c r="I288" i="17"/>
  <c r="L288" i="17"/>
  <c r="L32" i="17"/>
  <c r="BO288" i="17" l="1"/>
  <c r="BP288" i="17"/>
  <c r="BN288" i="17"/>
  <c r="CE288" i="17"/>
  <c r="CD288" i="17"/>
  <c r="CC288" i="17"/>
  <c r="G289" i="17"/>
  <c r="A289" i="17"/>
  <c r="K289" i="17"/>
  <c r="H289" i="17"/>
  <c r="Z287" i="17"/>
  <c r="L289" i="17"/>
  <c r="Y288" i="17"/>
  <c r="N288" i="17"/>
  <c r="CL288" i="17" s="1"/>
  <c r="U288" i="17"/>
  <c r="X288" i="17"/>
  <c r="O289" i="17"/>
  <c r="V288" i="17"/>
  <c r="B290" i="17"/>
  <c r="K290" i="17" s="1"/>
  <c r="I289" i="17"/>
  <c r="Y36" i="17"/>
  <c r="BO289" i="17" l="1"/>
  <c r="BP289" i="17"/>
  <c r="BN289" i="17"/>
  <c r="CE289" i="17"/>
  <c r="CC289" i="17"/>
  <c r="CD289" i="17"/>
  <c r="A290" i="17"/>
  <c r="G290" i="17"/>
  <c r="H290" i="17"/>
  <c r="Z288" i="17"/>
  <c r="N289" i="17"/>
  <c r="CL289" i="17" s="1"/>
  <c r="X289" i="17"/>
  <c r="V289" i="17"/>
  <c r="Y289" i="17"/>
  <c r="Z289" i="17" s="1"/>
  <c r="U289" i="17"/>
  <c r="O290" i="17"/>
  <c r="B291" i="17"/>
  <c r="G291" i="17" s="1"/>
  <c r="I290" i="17"/>
  <c r="J290" i="17"/>
  <c r="L290" i="17" s="1"/>
  <c r="Z36" i="17"/>
  <c r="K33" i="17"/>
  <c r="BO290" i="17" l="1"/>
  <c r="BP290" i="17"/>
  <c r="BN290" i="17"/>
  <c r="CE290" i="17"/>
  <c r="CD290" i="17"/>
  <c r="CC290" i="17"/>
  <c r="A291" i="17"/>
  <c r="J291" i="17"/>
  <c r="K291" i="17"/>
  <c r="H291" i="17"/>
  <c r="Y290" i="17"/>
  <c r="Z290" i="17" s="1"/>
  <c r="X290" i="17"/>
  <c r="U290" i="17"/>
  <c r="V290" i="17"/>
  <c r="O291" i="17"/>
  <c r="N290" i="17"/>
  <c r="CL290" i="17" s="1"/>
  <c r="B292" i="17"/>
  <c r="I291" i="17"/>
  <c r="L291" i="17"/>
  <c r="L33" i="17"/>
  <c r="BP291" i="17" l="1"/>
  <c r="BO291" i="17"/>
  <c r="BN291" i="17"/>
  <c r="CE291" i="17"/>
  <c r="CD291" i="17"/>
  <c r="CC291" i="17"/>
  <c r="B293" i="17"/>
  <c r="J293" i="17" s="1"/>
  <c r="X291" i="17"/>
  <c r="N291" i="17"/>
  <c r="CL291" i="17" s="1"/>
  <c r="O292" i="17"/>
  <c r="Y291" i="17"/>
  <c r="U291" i="17"/>
  <c r="V291" i="17"/>
  <c r="K292" i="17"/>
  <c r="J292" i="17"/>
  <c r="A292" i="17"/>
  <c r="G292" i="17"/>
  <c r="I292" i="17" s="1"/>
  <c r="H292" i="17"/>
  <c r="Y37" i="17"/>
  <c r="BN292" i="17" l="1"/>
  <c r="BO292" i="17"/>
  <c r="BP292" i="17"/>
  <c r="CE292" i="17"/>
  <c r="CD292" i="17"/>
  <c r="CC292" i="17"/>
  <c r="G293" i="17"/>
  <c r="K293" i="17"/>
  <c r="H293" i="17"/>
  <c r="A293" i="17"/>
  <c r="L292" i="17"/>
  <c r="N292" i="17"/>
  <c r="CL292" i="17" s="1"/>
  <c r="U292" i="17"/>
  <c r="X292" i="17"/>
  <c r="O293" i="17"/>
  <c r="Y292" i="17"/>
  <c r="Z292" i="17" s="1"/>
  <c r="V292" i="17"/>
  <c r="Z291" i="17"/>
  <c r="B294" i="17"/>
  <c r="J294" i="17" s="1"/>
  <c r="I293" i="17"/>
  <c r="L293" i="17"/>
  <c r="K34" i="17"/>
  <c r="L34" i="17" s="1"/>
  <c r="Y38" i="17"/>
  <c r="Z38" i="17" s="1"/>
  <c r="Z37" i="17"/>
  <c r="BN293" i="17" l="1"/>
  <c r="BO293" i="17"/>
  <c r="BP293" i="17"/>
  <c r="H294" i="17"/>
  <c r="G294" i="17"/>
  <c r="CD293" i="17"/>
  <c r="CC293" i="17"/>
  <c r="CE293" i="17"/>
  <c r="A294" i="17"/>
  <c r="K294" i="17"/>
  <c r="L294" i="17" s="1"/>
  <c r="Y293" i="17"/>
  <c r="N293" i="17"/>
  <c r="CL293" i="17" s="1"/>
  <c r="U293" i="17"/>
  <c r="O294" i="17"/>
  <c r="V293" i="17"/>
  <c r="X293" i="17"/>
  <c r="B295" i="17"/>
  <c r="K295" i="17" s="1"/>
  <c r="I294" i="17"/>
  <c r="K35" i="17"/>
  <c r="L35" i="17" s="1"/>
  <c r="Y39" i="17"/>
  <c r="Z39" i="17" s="1"/>
  <c r="BP294" i="17" l="1"/>
  <c r="BN294" i="17"/>
  <c r="BO294" i="17"/>
  <c r="CD294" i="17"/>
  <c r="CC294" i="17"/>
  <c r="CE294" i="17"/>
  <c r="A295" i="17"/>
  <c r="H295" i="17"/>
  <c r="J295" i="17"/>
  <c r="G295" i="17"/>
  <c r="Z293" i="17"/>
  <c r="N294" i="17"/>
  <c r="CL294" i="17" s="1"/>
  <c r="X294" i="17"/>
  <c r="O295" i="17"/>
  <c r="U294" i="17"/>
  <c r="V294" i="17"/>
  <c r="Y294" i="17"/>
  <c r="Z294" i="17" s="1"/>
  <c r="B296" i="17"/>
  <c r="A296" i="17" s="1"/>
  <c r="I295" i="17"/>
  <c r="L295" i="17"/>
  <c r="K36" i="17"/>
  <c r="L36" i="17" s="1"/>
  <c r="Y40" i="17"/>
  <c r="Z40" i="17" s="1"/>
  <c r="BN295" i="17" l="1"/>
  <c r="BO295" i="17"/>
  <c r="BP295" i="17"/>
  <c r="CD295" i="17"/>
  <c r="CC295" i="17"/>
  <c r="CE295" i="17"/>
  <c r="G296" i="17"/>
  <c r="H296" i="17"/>
  <c r="J296" i="17"/>
  <c r="K296" i="17"/>
  <c r="Y295" i="17"/>
  <c r="U295" i="17"/>
  <c r="X295" i="17"/>
  <c r="V295" i="17"/>
  <c r="N295" i="17"/>
  <c r="CL295" i="17" s="1"/>
  <c r="O296" i="17"/>
  <c r="B297" i="17"/>
  <c r="I296" i="17"/>
  <c r="L296" i="17"/>
  <c r="K37" i="17"/>
  <c r="L37" i="17" s="1"/>
  <c r="Y41" i="17"/>
  <c r="Z41" i="17" s="1"/>
  <c r="BO296" i="17" l="1"/>
  <c r="BN296" i="17"/>
  <c r="BP296" i="17"/>
  <c r="CE296" i="17"/>
  <c r="CD296" i="17"/>
  <c r="CC296" i="17"/>
  <c r="Z295" i="17"/>
  <c r="B298" i="17"/>
  <c r="J298" i="17" s="1"/>
  <c r="G297" i="17"/>
  <c r="I297" i="17" s="1"/>
  <c r="J297" i="17"/>
  <c r="H297" i="17"/>
  <c r="A297" i="17"/>
  <c r="U296" i="17"/>
  <c r="O297" i="17"/>
  <c r="V296" i="17"/>
  <c r="X296" i="17"/>
  <c r="Y296" i="17"/>
  <c r="Z296" i="17" s="1"/>
  <c r="N296" i="17"/>
  <c r="CL296" i="17" s="1"/>
  <c r="K297" i="17"/>
  <c r="L297" i="17" s="1"/>
  <c r="K38" i="17"/>
  <c r="L38" i="17" s="1"/>
  <c r="BO297" i="17" l="1"/>
  <c r="BN297" i="17"/>
  <c r="BP297" i="17"/>
  <c r="G298" i="17"/>
  <c r="K298" i="17"/>
  <c r="CE297" i="17"/>
  <c r="CD297" i="17"/>
  <c r="CC297" i="17"/>
  <c r="A298" i="17"/>
  <c r="H298" i="17"/>
  <c r="N297" i="17"/>
  <c r="CL297" i="17" s="1"/>
  <c r="X297" i="17"/>
  <c r="Y297" i="17"/>
  <c r="Z297" i="17" s="1"/>
  <c r="U297" i="17"/>
  <c r="V297" i="17"/>
  <c r="O298" i="17"/>
  <c r="B299" i="17"/>
  <c r="I298" i="17"/>
  <c r="L298" i="17"/>
  <c r="K39" i="17"/>
  <c r="L39" i="17" s="1"/>
  <c r="BO298" i="17" l="1"/>
  <c r="BP298" i="17"/>
  <c r="BN298" i="17"/>
  <c r="CE298" i="17"/>
  <c r="CD298" i="17"/>
  <c r="CC298" i="17"/>
  <c r="B300" i="17"/>
  <c r="J300" i="17" s="1"/>
  <c r="G299" i="17"/>
  <c r="I299" i="17" s="1"/>
  <c r="H299" i="17"/>
  <c r="K299" i="17"/>
  <c r="L299" i="17" s="1"/>
  <c r="J299" i="17"/>
  <c r="Y298" i="17"/>
  <c r="Z298" i="17" s="1"/>
  <c r="O299" i="17"/>
  <c r="X298" i="17"/>
  <c r="N298" i="17"/>
  <c r="CL298" i="17" s="1"/>
  <c r="U298" i="17"/>
  <c r="V298" i="17"/>
  <c r="A299" i="17"/>
  <c r="Y43" i="17"/>
  <c r="Z43" i="17" s="1"/>
  <c r="Y44" i="17"/>
  <c r="Z44" i="17" s="1"/>
  <c r="BO299" i="17" l="1"/>
  <c r="BP299" i="17"/>
  <c r="BN299" i="17"/>
  <c r="A300" i="17"/>
  <c r="CE299" i="17"/>
  <c r="CD299" i="17"/>
  <c r="CC299" i="17"/>
  <c r="G300" i="17"/>
  <c r="H300" i="17"/>
  <c r="K300" i="17"/>
  <c r="N299" i="17"/>
  <c r="CL299" i="17" s="1"/>
  <c r="U299" i="17"/>
  <c r="V299" i="17"/>
  <c r="Y299" i="17"/>
  <c r="O300" i="17"/>
  <c r="X299" i="17"/>
  <c r="B301" i="17"/>
  <c r="H301" i="17" s="1"/>
  <c r="I300" i="17"/>
  <c r="L300" i="17"/>
  <c r="K40" i="17"/>
  <c r="BO300" i="17" l="1"/>
  <c r="BP300" i="17"/>
  <c r="BN300" i="17"/>
  <c r="CE300" i="17"/>
  <c r="CD300" i="17"/>
  <c r="CC300" i="17"/>
  <c r="A301" i="17"/>
  <c r="J301" i="17"/>
  <c r="K301" i="17"/>
  <c r="G301" i="17"/>
  <c r="Z299" i="17"/>
  <c r="V300" i="17"/>
  <c r="N300" i="17"/>
  <c r="CL300" i="17" s="1"/>
  <c r="Y300" i="17"/>
  <c r="Z300" i="17" s="1"/>
  <c r="X300" i="17"/>
  <c r="O301" i="17"/>
  <c r="U300" i="17"/>
  <c r="B302" i="17"/>
  <c r="G302" i="17" s="1"/>
  <c r="I301" i="17"/>
  <c r="L301" i="17"/>
  <c r="Y45" i="17"/>
  <c r="Z45" i="17" s="1"/>
  <c r="L40" i="17"/>
  <c r="BN301" i="17" l="1"/>
  <c r="BP301" i="17"/>
  <c r="BO301" i="17"/>
  <c r="CD301" i="17"/>
  <c r="CC301" i="17"/>
  <c r="CE301" i="17"/>
  <c r="J302" i="17"/>
  <c r="K302" i="17"/>
  <c r="L302" i="17" s="1"/>
  <c r="H302" i="17"/>
  <c r="A302" i="17"/>
  <c r="U301" i="17"/>
  <c r="O302" i="17"/>
  <c r="V301" i="17"/>
  <c r="X301" i="17"/>
  <c r="N301" i="17"/>
  <c r="CL301" i="17" s="1"/>
  <c r="Y301" i="17"/>
  <c r="Z301" i="17" s="1"/>
  <c r="B303" i="17"/>
  <c r="G303" i="17" s="1"/>
  <c r="I302" i="17"/>
  <c r="Y46" i="17"/>
  <c r="Z46" i="17" s="1"/>
  <c r="BP302" i="17" l="1"/>
  <c r="BN302" i="17"/>
  <c r="BO302" i="17"/>
  <c r="A303" i="17"/>
  <c r="H303" i="17"/>
  <c r="K303" i="17"/>
  <c r="J303" i="17"/>
  <c r="CD302" i="17"/>
  <c r="CC302" i="17"/>
  <c r="CE302" i="17"/>
  <c r="Y302" i="17"/>
  <c r="N302" i="17"/>
  <c r="CL302" i="17" s="1"/>
  <c r="U302" i="17"/>
  <c r="X302" i="17"/>
  <c r="O303" i="17"/>
  <c r="V302" i="17"/>
  <c r="B304" i="17"/>
  <c r="I303" i="17"/>
  <c r="L303" i="17"/>
  <c r="K41" i="17"/>
  <c r="BP303" i="17" l="1"/>
  <c r="BN303" i="17"/>
  <c r="BO303" i="17"/>
  <c r="CD303" i="17"/>
  <c r="CC303" i="17"/>
  <c r="CE303" i="17"/>
  <c r="B305" i="17"/>
  <c r="J305" i="17" s="1"/>
  <c r="Y303" i="17"/>
  <c r="Z303" i="17" s="1"/>
  <c r="V303" i="17"/>
  <c r="U303" i="17"/>
  <c r="N303" i="17"/>
  <c r="O304" i="17"/>
  <c r="X303" i="17"/>
  <c r="J304" i="17"/>
  <c r="L304" i="17" s="1"/>
  <c r="K304" i="17"/>
  <c r="H304" i="17"/>
  <c r="Z302" i="17"/>
  <c r="A304" i="17"/>
  <c r="G304" i="17"/>
  <c r="I304" i="17" s="1"/>
  <c r="Y47" i="17"/>
  <c r="Z47" i="17" s="1"/>
  <c r="L41" i="17"/>
  <c r="BO304" i="17" l="1"/>
  <c r="BP304" i="17"/>
  <c r="BN304" i="17"/>
  <c r="A305" i="17"/>
  <c r="H305" i="17"/>
  <c r="K305" i="17"/>
  <c r="CE304" i="17"/>
  <c r="CD304" i="17"/>
  <c r="CC304" i="17"/>
  <c r="G305" i="17"/>
  <c r="CL303" i="17"/>
  <c r="V304" i="17"/>
  <c r="Y304" i="17"/>
  <c r="Z304" i="17" s="1"/>
  <c r="N304" i="17"/>
  <c r="CL304" i="17" s="1"/>
  <c r="X304" i="17"/>
  <c r="U304" i="17"/>
  <c r="O305" i="17"/>
  <c r="B306" i="17"/>
  <c r="H306" i="17" s="1"/>
  <c r="I305" i="17"/>
  <c r="L305" i="17"/>
  <c r="Y48" i="17"/>
  <c r="BO305" i="17" l="1"/>
  <c r="BN305" i="17"/>
  <c r="BP305" i="17"/>
  <c r="CE305" i="17"/>
  <c r="CC305" i="17"/>
  <c r="CD305" i="17"/>
  <c r="G306" i="17"/>
  <c r="B307" i="17"/>
  <c r="A307" i="17" s="1"/>
  <c r="I306" i="17"/>
  <c r="O306" i="17"/>
  <c r="Y305" i="17"/>
  <c r="Z305" i="17" s="1"/>
  <c r="X305" i="17"/>
  <c r="U305" i="17"/>
  <c r="N305" i="17"/>
  <c r="V305" i="17"/>
  <c r="A306" i="17"/>
  <c r="J306" i="17"/>
  <c r="K306" i="17"/>
  <c r="Z48" i="17"/>
  <c r="K42" i="17"/>
  <c r="BO306" i="17" l="1"/>
  <c r="BP306" i="17"/>
  <c r="BN306" i="17"/>
  <c r="CE306" i="17"/>
  <c r="CD306" i="17"/>
  <c r="CC306" i="17"/>
  <c r="H307" i="17"/>
  <c r="CL305" i="17"/>
  <c r="G307" i="17"/>
  <c r="K307" i="17"/>
  <c r="L307" i="17" s="1"/>
  <c r="J307" i="17"/>
  <c r="L306" i="17"/>
  <c r="V306" i="17"/>
  <c r="U306" i="17"/>
  <c r="X306" i="17"/>
  <c r="O307" i="17"/>
  <c r="N306" i="17"/>
  <c r="CL306" i="17" s="1"/>
  <c r="Y306" i="17"/>
  <c r="B308" i="17"/>
  <c r="A308" i="17" s="1"/>
  <c r="I307" i="17"/>
  <c r="L42" i="17"/>
  <c r="BP307" i="17" l="1"/>
  <c r="BO307" i="17"/>
  <c r="BN307" i="17"/>
  <c r="G308" i="17"/>
  <c r="H308" i="17"/>
  <c r="J308" i="17"/>
  <c r="CE307" i="17"/>
  <c r="CD307" i="17"/>
  <c r="CC307" i="17"/>
  <c r="K308" i="17"/>
  <c r="L308" i="17" s="1"/>
  <c r="Z306" i="17"/>
  <c r="N307" i="17"/>
  <c r="V307" i="17"/>
  <c r="X307" i="17"/>
  <c r="Y307" i="17"/>
  <c r="U307" i="17"/>
  <c r="O308" i="17"/>
  <c r="B309" i="17"/>
  <c r="I308" i="17"/>
  <c r="Y49" i="17"/>
  <c r="BN308" i="17" l="1"/>
  <c r="BO308" i="17"/>
  <c r="BP308" i="17"/>
  <c r="CE308" i="17"/>
  <c r="CD308" i="17"/>
  <c r="CC308" i="17"/>
  <c r="CL307" i="17"/>
  <c r="B310" i="17"/>
  <c r="J310" i="17" s="1"/>
  <c r="V308" i="17"/>
  <c r="N308" i="17"/>
  <c r="CL308" i="17" s="1"/>
  <c r="Y308" i="17"/>
  <c r="Z308" i="17" s="1"/>
  <c r="X308" i="17"/>
  <c r="O309" i="17"/>
  <c r="U308" i="17"/>
  <c r="G309" i="17"/>
  <c r="I309" i="17" s="1"/>
  <c r="H309" i="17"/>
  <c r="Z307" i="17"/>
  <c r="J309" i="17"/>
  <c r="A309" i="17"/>
  <c r="K309" i="17"/>
  <c r="L309" i="17" s="1"/>
  <c r="Z49" i="17"/>
  <c r="K43" i="17"/>
  <c r="BN309" i="17" l="1"/>
  <c r="BO309" i="17"/>
  <c r="BP309" i="17"/>
  <c r="G310" i="17"/>
  <c r="K310" i="17"/>
  <c r="L310" i="17" s="1"/>
  <c r="CD309" i="17"/>
  <c r="CC309" i="17"/>
  <c r="CE309" i="17"/>
  <c r="H310" i="17"/>
  <c r="A310" i="17"/>
  <c r="N309" i="17"/>
  <c r="CL309" i="17" s="1"/>
  <c r="X309" i="17"/>
  <c r="U309" i="17"/>
  <c r="V309" i="17"/>
  <c r="Y309" i="17"/>
  <c r="Z309" i="17" s="1"/>
  <c r="O310" i="17"/>
  <c r="B311" i="17"/>
  <c r="K311" i="17" s="1"/>
  <c r="I310" i="17"/>
  <c r="L43" i="17"/>
  <c r="BP310" i="17" l="1"/>
  <c r="BN310" i="17"/>
  <c r="BO310" i="17"/>
  <c r="CD310" i="17"/>
  <c r="CC310" i="17"/>
  <c r="CE310" i="17"/>
  <c r="A311" i="17"/>
  <c r="J311" i="17"/>
  <c r="H311" i="17"/>
  <c r="G311" i="17"/>
  <c r="V310" i="17"/>
  <c r="N310" i="17"/>
  <c r="CL310" i="17" s="1"/>
  <c r="Y310" i="17"/>
  <c r="Z310" i="17" s="1"/>
  <c r="U310" i="17"/>
  <c r="X310" i="17"/>
  <c r="O311" i="17"/>
  <c r="L311" i="17"/>
  <c r="B312" i="17"/>
  <c r="A312" i="17" s="1"/>
  <c r="I311" i="17"/>
  <c r="Y50" i="17"/>
  <c r="BN311" i="17" l="1"/>
  <c r="BP311" i="17"/>
  <c r="BO311" i="17"/>
  <c r="CD311" i="17"/>
  <c r="CC311" i="17"/>
  <c r="CE311" i="17"/>
  <c r="K312" i="17"/>
  <c r="H312" i="17"/>
  <c r="G312" i="17"/>
  <c r="J312" i="17"/>
  <c r="U311" i="17"/>
  <c r="N311" i="17"/>
  <c r="CL311" i="17" s="1"/>
  <c r="V311" i="17"/>
  <c r="X311" i="17"/>
  <c r="O312" i="17"/>
  <c r="Y311" i="17"/>
  <c r="Z311" i="17" s="1"/>
  <c r="L312" i="17"/>
  <c r="B313" i="17"/>
  <c r="J313" i="17" s="1"/>
  <c r="I312" i="17"/>
  <c r="K44" i="17"/>
  <c r="Z50" i="17"/>
  <c r="BO312" i="17" l="1"/>
  <c r="BN312" i="17"/>
  <c r="BP312" i="17"/>
  <c r="CE312" i="17"/>
  <c r="CD312" i="17"/>
  <c r="CC312" i="17"/>
  <c r="H313" i="17"/>
  <c r="G313" i="17"/>
  <c r="K313" i="17"/>
  <c r="L313" i="17" s="1"/>
  <c r="A313" i="17"/>
  <c r="V312" i="17"/>
  <c r="N312" i="17"/>
  <c r="CL312" i="17" s="1"/>
  <c r="U312" i="17"/>
  <c r="Y312" i="17"/>
  <c r="Z312" i="17" s="1"/>
  <c r="O313" i="17"/>
  <c r="X312" i="17"/>
  <c r="B314" i="17"/>
  <c r="I313" i="17"/>
  <c r="L44" i="17"/>
  <c r="BP313" i="17" l="1"/>
  <c r="BO313" i="17"/>
  <c r="BN313" i="17"/>
  <c r="CE313" i="17"/>
  <c r="CD313" i="17"/>
  <c r="CC313" i="17"/>
  <c r="B315" i="17"/>
  <c r="H315" i="17" s="1"/>
  <c r="N313" i="17"/>
  <c r="CL313" i="17" s="1"/>
  <c r="Y313" i="17"/>
  <c r="X313" i="17"/>
  <c r="U313" i="17"/>
  <c r="V313" i="17"/>
  <c r="O314" i="17"/>
  <c r="A314" i="17"/>
  <c r="J314" i="17"/>
  <c r="K314" i="17"/>
  <c r="H314" i="17"/>
  <c r="G314" i="17"/>
  <c r="I314" i="17" s="1"/>
  <c r="Y51" i="17"/>
  <c r="BO314" i="17" l="1"/>
  <c r="BP314" i="17"/>
  <c r="BN314" i="17"/>
  <c r="G315" i="17"/>
  <c r="K315" i="17"/>
  <c r="J315" i="17"/>
  <c r="A315" i="17"/>
  <c r="CE314" i="17"/>
  <c r="CD314" i="17"/>
  <c r="CC314" i="17"/>
  <c r="Z313" i="17"/>
  <c r="L314" i="17"/>
  <c r="O315" i="17"/>
  <c r="N314" i="17"/>
  <c r="CL314" i="17" s="1"/>
  <c r="U314" i="17"/>
  <c r="Y314" i="17"/>
  <c r="V314" i="17"/>
  <c r="X314" i="17"/>
  <c r="B316" i="17"/>
  <c r="J316" i="17" s="1"/>
  <c r="I315" i="17"/>
  <c r="L315" i="17"/>
  <c r="Z51" i="17"/>
  <c r="K45" i="17"/>
  <c r="L45" i="17" s="1"/>
  <c r="BP315" i="17" l="1"/>
  <c r="BO315" i="17"/>
  <c r="BN315" i="17"/>
  <c r="K316" i="17"/>
  <c r="A316" i="17"/>
  <c r="G316" i="17"/>
  <c r="CE315" i="17"/>
  <c r="CD315" i="17"/>
  <c r="CC315" i="17"/>
  <c r="Z314" i="17"/>
  <c r="Y315" i="17"/>
  <c r="X315" i="17"/>
  <c r="U315" i="17"/>
  <c r="O316" i="17"/>
  <c r="V315" i="17"/>
  <c r="N315" i="17"/>
  <c r="CL315" i="17" s="1"/>
  <c r="Z315" i="17"/>
  <c r="B317" i="17"/>
  <c r="J317" i="17" s="1"/>
  <c r="I316" i="17"/>
  <c r="H316" i="17"/>
  <c r="L316" i="17"/>
  <c r="K46" i="17"/>
  <c r="L46" i="17" s="1"/>
  <c r="Y52" i="17"/>
  <c r="BN316" i="17" l="1"/>
  <c r="BO316" i="17"/>
  <c r="BP316" i="17"/>
  <c r="K317" i="17"/>
  <c r="A317" i="17"/>
  <c r="G317" i="17"/>
  <c r="CE316" i="17"/>
  <c r="CD316" i="17"/>
  <c r="CC316" i="17"/>
  <c r="H317" i="17"/>
  <c r="U316" i="17"/>
  <c r="X316" i="17"/>
  <c r="Y316" i="17"/>
  <c r="Z316" i="17" s="1"/>
  <c r="O317" i="17"/>
  <c r="V316" i="17"/>
  <c r="N316" i="17"/>
  <c r="CL316" i="17" s="1"/>
  <c r="B318" i="17"/>
  <c r="J318" i="17" s="1"/>
  <c r="I317" i="17"/>
  <c r="L317" i="17"/>
  <c r="Z52" i="17"/>
  <c r="BN317" i="17" l="1"/>
  <c r="BO317" i="17"/>
  <c r="BP317" i="17"/>
  <c r="CD317" i="17"/>
  <c r="CC317" i="17"/>
  <c r="CE317" i="17"/>
  <c r="K318" i="17"/>
  <c r="H318" i="17"/>
  <c r="A318" i="17"/>
  <c r="G318" i="17"/>
  <c r="Y317" i="17"/>
  <c r="X317" i="17"/>
  <c r="U317" i="17"/>
  <c r="N317" i="17"/>
  <c r="CL317" i="17" s="1"/>
  <c r="V317" i="17"/>
  <c r="O318" i="17"/>
  <c r="Z317" i="17"/>
  <c r="B319" i="17"/>
  <c r="J319" i="17" s="1"/>
  <c r="I318" i="17"/>
  <c r="L318" i="17"/>
  <c r="K47" i="17"/>
  <c r="L47" i="17" s="1"/>
  <c r="BP318" i="17" l="1"/>
  <c r="BN318" i="17"/>
  <c r="BO318" i="17"/>
  <c r="CD318" i="17"/>
  <c r="CC318" i="17"/>
  <c r="CE318" i="17"/>
  <c r="A319" i="17"/>
  <c r="H319" i="17"/>
  <c r="G319" i="17"/>
  <c r="K319" i="17"/>
  <c r="Y318" i="17"/>
  <c r="U318" i="17"/>
  <c r="V318" i="17"/>
  <c r="O319" i="17"/>
  <c r="N318" i="17"/>
  <c r="CL318" i="17" s="1"/>
  <c r="X318" i="17"/>
  <c r="Z318" i="17" s="1"/>
  <c r="B320" i="17"/>
  <c r="I319" i="17"/>
  <c r="L319" i="17"/>
  <c r="Y53" i="17"/>
  <c r="Z53" i="17" s="1"/>
  <c r="BP319" i="17" l="1"/>
  <c r="BN319" i="17"/>
  <c r="BO319" i="17"/>
  <c r="CD319" i="17"/>
  <c r="CC319" i="17"/>
  <c r="CE319" i="17"/>
  <c r="B321" i="17"/>
  <c r="K321" i="17" s="1"/>
  <c r="V319" i="17"/>
  <c r="X319" i="17"/>
  <c r="Y319" i="17"/>
  <c r="U319" i="17"/>
  <c r="O320" i="17"/>
  <c r="N319" i="17"/>
  <c r="CL319" i="17" s="1"/>
  <c r="A320" i="17"/>
  <c r="J320" i="17"/>
  <c r="K320" i="17"/>
  <c r="L320" i="17" s="1"/>
  <c r="H320" i="17"/>
  <c r="G320" i="17"/>
  <c r="I320" i="17" s="1"/>
  <c r="Y54" i="17"/>
  <c r="Z54" i="17" s="1"/>
  <c r="K48" i="17"/>
  <c r="L48" i="17" s="1"/>
  <c r="BO320" i="17" l="1"/>
  <c r="BP320" i="17"/>
  <c r="BN320" i="17"/>
  <c r="G321" i="17"/>
  <c r="A321" i="17"/>
  <c r="J321" i="17"/>
  <c r="H321" i="17"/>
  <c r="CE320" i="17"/>
  <c r="CD320" i="17"/>
  <c r="CC320" i="17"/>
  <c r="Z319" i="17"/>
  <c r="V320" i="17"/>
  <c r="Y320" i="17"/>
  <c r="Z320" i="17" s="1"/>
  <c r="X320" i="17"/>
  <c r="U320" i="17"/>
  <c r="N320" i="17"/>
  <c r="CL320" i="17" s="1"/>
  <c r="O321" i="17"/>
  <c r="B322" i="17"/>
  <c r="I321" i="17"/>
  <c r="L321" i="17"/>
  <c r="Y55" i="17"/>
  <c r="Z55" i="17" s="1"/>
  <c r="K49" i="17"/>
  <c r="L49" i="17" s="1"/>
  <c r="BO321" i="17" l="1"/>
  <c r="BN321" i="17"/>
  <c r="BP321" i="17"/>
  <c r="CE321" i="17"/>
  <c r="CD321" i="17"/>
  <c r="CC321" i="17"/>
  <c r="B323" i="17"/>
  <c r="H323" i="17" s="1"/>
  <c r="O322" i="17"/>
  <c r="U321" i="17"/>
  <c r="X321" i="17"/>
  <c r="N321" i="17"/>
  <c r="CL321" i="17" s="1"/>
  <c r="V321" i="17"/>
  <c r="Y321" i="17"/>
  <c r="G322" i="17"/>
  <c r="I322" i="17" s="1"/>
  <c r="H322" i="17"/>
  <c r="A322" i="17"/>
  <c r="J322" i="17"/>
  <c r="K322" i="17"/>
  <c r="Y56" i="17"/>
  <c r="Z56" i="17" s="1"/>
  <c r="BO322" i="17" l="1"/>
  <c r="BP322" i="17"/>
  <c r="BN322" i="17"/>
  <c r="K323" i="17"/>
  <c r="CE322" i="17"/>
  <c r="CC322" i="17"/>
  <c r="CD322" i="17"/>
  <c r="G323" i="17"/>
  <c r="J323" i="17"/>
  <c r="A323" i="17"/>
  <c r="Z321" i="17"/>
  <c r="L322" i="17"/>
  <c r="O323" i="17"/>
  <c r="N322" i="17"/>
  <c r="CL322" i="17" s="1"/>
  <c r="U322" i="17"/>
  <c r="Y322" i="17"/>
  <c r="V322" i="17"/>
  <c r="X322" i="17"/>
  <c r="L323" i="17"/>
  <c r="B324" i="17"/>
  <c r="K324" i="17" s="1"/>
  <c r="I323" i="17"/>
  <c r="Y57" i="17"/>
  <c r="Z57" i="17" s="1"/>
  <c r="K50" i="17"/>
  <c r="L50" i="17" s="1"/>
  <c r="BP323" i="17" l="1"/>
  <c r="BN323" i="17"/>
  <c r="BO323" i="17"/>
  <c r="G324" i="17"/>
  <c r="J324" i="17"/>
  <c r="A324" i="17"/>
  <c r="H324" i="17"/>
  <c r="CE323" i="17"/>
  <c r="CD323" i="17"/>
  <c r="CC323" i="17"/>
  <c r="Z322" i="17"/>
  <c r="L324" i="17"/>
  <c r="B325" i="17"/>
  <c r="A325" i="17" s="1"/>
  <c r="I324" i="17"/>
  <c r="O324" i="17"/>
  <c r="N323" i="17"/>
  <c r="CL323" i="17" s="1"/>
  <c r="U323" i="17"/>
  <c r="X323" i="17"/>
  <c r="V323" i="17"/>
  <c r="Y323" i="17"/>
  <c r="Y58" i="17"/>
  <c r="Z58" i="17" s="1"/>
  <c r="BO324" i="17" l="1"/>
  <c r="BP324" i="17"/>
  <c r="BN324" i="17"/>
  <c r="CE324" i="17"/>
  <c r="CD324" i="17"/>
  <c r="CC324" i="17"/>
  <c r="J325" i="17"/>
  <c r="H325" i="17"/>
  <c r="G325" i="17"/>
  <c r="K325" i="17"/>
  <c r="Z323" i="17"/>
  <c r="O325" i="17"/>
  <c r="X324" i="17"/>
  <c r="V324" i="17"/>
  <c r="U324" i="17"/>
  <c r="N324" i="17"/>
  <c r="CL324" i="17" s="1"/>
  <c r="Y324" i="17"/>
  <c r="Z324" i="17" s="1"/>
  <c r="B326" i="17"/>
  <c r="I325" i="17"/>
  <c r="L325" i="17"/>
  <c r="K51" i="17"/>
  <c r="L51" i="17" s="1"/>
  <c r="BN325" i="17" l="1"/>
  <c r="BO325" i="17"/>
  <c r="BP325" i="17"/>
  <c r="CD325" i="17"/>
  <c r="CC325" i="17"/>
  <c r="CE325" i="17"/>
  <c r="B327" i="17"/>
  <c r="H327" i="17" s="1"/>
  <c r="K326" i="17"/>
  <c r="G326" i="17"/>
  <c r="I326" i="17" s="1"/>
  <c r="J326" i="17"/>
  <c r="H326" i="17"/>
  <c r="A326" i="17"/>
  <c r="U325" i="17"/>
  <c r="V325" i="17"/>
  <c r="O326" i="17"/>
  <c r="X325" i="17"/>
  <c r="N325" i="17"/>
  <c r="CL325" i="17" s="1"/>
  <c r="Y325" i="17"/>
  <c r="Z325" i="17" s="1"/>
  <c r="Y59" i="17"/>
  <c r="Z59" i="17" s="1"/>
  <c r="BP326" i="17" l="1"/>
  <c r="BN326" i="17"/>
  <c r="BO326" i="17"/>
  <c r="K327" i="17"/>
  <c r="J327" i="17"/>
  <c r="G327" i="17"/>
  <c r="CD326" i="17"/>
  <c r="CC326" i="17"/>
  <c r="CE326" i="17"/>
  <c r="A327" i="17"/>
  <c r="L326" i="17"/>
  <c r="V326" i="17"/>
  <c r="Y326" i="17"/>
  <c r="N326" i="17"/>
  <c r="CL326" i="17" s="1"/>
  <c r="U326" i="17"/>
  <c r="X326" i="17"/>
  <c r="O327" i="17"/>
  <c r="B328" i="17"/>
  <c r="J328" i="17" s="1"/>
  <c r="I327" i="17"/>
  <c r="L327" i="17"/>
  <c r="Y60" i="17"/>
  <c r="Z60" i="17" s="1"/>
  <c r="K52" i="17"/>
  <c r="L52" i="17" s="1"/>
  <c r="BN327" i="17" l="1"/>
  <c r="BP327" i="17"/>
  <c r="BO327" i="17"/>
  <c r="CD327" i="17"/>
  <c r="CC327" i="17"/>
  <c r="CE327" i="17"/>
  <c r="K328" i="17"/>
  <c r="H328" i="17"/>
  <c r="G328" i="17"/>
  <c r="A328" i="17"/>
  <c r="Z326" i="17"/>
  <c r="Y327" i="17"/>
  <c r="O328" i="17"/>
  <c r="X327" i="17"/>
  <c r="V327" i="17"/>
  <c r="U327" i="17"/>
  <c r="N327" i="17"/>
  <c r="CL327" i="17" s="1"/>
  <c r="Z327" i="17"/>
  <c r="B329" i="17"/>
  <c r="J329" i="17" s="1"/>
  <c r="I328" i="17"/>
  <c r="L328" i="17"/>
  <c r="Y61" i="17"/>
  <c r="Z61" i="17" s="1"/>
  <c r="BO328" i="17" l="1"/>
  <c r="BP328" i="17"/>
  <c r="BN328" i="17"/>
  <c r="H329" i="17"/>
  <c r="CE328" i="17"/>
  <c r="CD328" i="17"/>
  <c r="CC328" i="17"/>
  <c r="A329" i="17"/>
  <c r="K329" i="17"/>
  <c r="G329" i="17"/>
  <c r="Y328" i="17"/>
  <c r="Z328" i="17" s="1"/>
  <c r="X328" i="17"/>
  <c r="U328" i="17"/>
  <c r="V328" i="17"/>
  <c r="N328" i="17"/>
  <c r="CL328" i="17" s="1"/>
  <c r="O329" i="17"/>
  <c r="B330" i="17"/>
  <c r="I329" i="17"/>
  <c r="L329" i="17"/>
  <c r="Y62" i="17"/>
  <c r="Z62" i="17" s="1"/>
  <c r="K53" i="17"/>
  <c r="L53" i="17" s="1"/>
  <c r="BO329" i="17" l="1"/>
  <c r="BP329" i="17"/>
  <c r="BN329" i="17"/>
  <c r="CE329" i="17"/>
  <c r="CD329" i="17"/>
  <c r="CC329" i="17"/>
  <c r="B331" i="17"/>
  <c r="J331" i="17" s="1"/>
  <c r="G330" i="17"/>
  <c r="I330" i="17" s="1"/>
  <c r="J330" i="17"/>
  <c r="H330" i="17"/>
  <c r="K330" i="17"/>
  <c r="L330" i="17" s="1"/>
  <c r="O330" i="17"/>
  <c r="Y329" i="17"/>
  <c r="Z329" i="17" s="1"/>
  <c r="V329" i="17"/>
  <c r="N329" i="17"/>
  <c r="CL329" i="17" s="1"/>
  <c r="X329" i="17"/>
  <c r="U329" i="17"/>
  <c r="A330" i="17"/>
  <c r="Y63" i="17"/>
  <c r="Z63" i="17" s="1"/>
  <c r="K54" i="17"/>
  <c r="L54" i="17" s="1"/>
  <c r="BO330" i="17" l="1"/>
  <c r="BP330" i="17"/>
  <c r="BN330" i="17"/>
  <c r="A331" i="17"/>
  <c r="CE330" i="17"/>
  <c r="CD330" i="17"/>
  <c r="CC330" i="17"/>
  <c r="G331" i="17"/>
  <c r="H331" i="17"/>
  <c r="K331" i="17"/>
  <c r="L331" i="17" s="1"/>
  <c r="X330" i="17"/>
  <c r="N330" i="17"/>
  <c r="CL330" i="17" s="1"/>
  <c r="V330" i="17"/>
  <c r="Y330" i="17"/>
  <c r="Z330" i="17" s="1"/>
  <c r="U330" i="17"/>
  <c r="O331" i="17"/>
  <c r="B332" i="17"/>
  <c r="I331" i="17"/>
  <c r="Y64" i="17"/>
  <c r="Z64" i="17" s="1"/>
  <c r="BO331" i="17" l="1"/>
  <c r="BP331" i="17"/>
  <c r="BN331" i="17"/>
  <c r="CE331" i="17"/>
  <c r="CD331" i="17"/>
  <c r="CC331" i="17"/>
  <c r="B333" i="17"/>
  <c r="G333" i="17" s="1"/>
  <c r="H332" i="17"/>
  <c r="A332" i="17"/>
  <c r="G332" i="17"/>
  <c r="I332" i="17" s="1"/>
  <c r="X331" i="17"/>
  <c r="Z331" i="17" s="1"/>
  <c r="O332" i="17"/>
  <c r="V331" i="17"/>
  <c r="Y331" i="17"/>
  <c r="U331" i="17"/>
  <c r="N331" i="17"/>
  <c r="CL331" i="17" s="1"/>
  <c r="J332" i="17"/>
  <c r="K332" i="17"/>
  <c r="K55" i="17"/>
  <c r="L55" i="17" s="1"/>
  <c r="BN332" i="17" l="1"/>
  <c r="BO332" i="17"/>
  <c r="BP332" i="17"/>
  <c r="A333" i="17"/>
  <c r="H333" i="17"/>
  <c r="CE332" i="17"/>
  <c r="CD332" i="17"/>
  <c r="CC332" i="17"/>
  <c r="J333" i="17"/>
  <c r="K333" i="17"/>
  <c r="L332" i="17"/>
  <c r="L333" i="17"/>
  <c r="U332" i="17"/>
  <c r="V332" i="17"/>
  <c r="N332" i="17"/>
  <c r="CL332" i="17" s="1"/>
  <c r="O333" i="17"/>
  <c r="X332" i="17"/>
  <c r="Z332" i="17" s="1"/>
  <c r="Y332" i="17"/>
  <c r="B334" i="17"/>
  <c r="H334" i="17" s="1"/>
  <c r="I333" i="17"/>
  <c r="Y65" i="17"/>
  <c r="Z65" i="17" s="1"/>
  <c r="BN333" i="17" l="1"/>
  <c r="BP333" i="17"/>
  <c r="BO333" i="17"/>
  <c r="K334" i="17"/>
  <c r="J334" i="17"/>
  <c r="A334" i="17"/>
  <c r="CD333" i="17"/>
  <c r="CC333" i="17"/>
  <c r="CE333" i="17"/>
  <c r="G334" i="17"/>
  <c r="N333" i="17"/>
  <c r="CL333" i="17" s="1"/>
  <c r="U333" i="17"/>
  <c r="V333" i="17"/>
  <c r="Y333" i="17"/>
  <c r="X333" i="17"/>
  <c r="O334" i="17"/>
  <c r="B335" i="17"/>
  <c r="A335" i="17" s="1"/>
  <c r="I334" i="17"/>
  <c r="L334" i="17"/>
  <c r="Y66" i="17"/>
  <c r="Z66" i="17" s="1"/>
  <c r="K56" i="17"/>
  <c r="L56" i="17" s="1"/>
  <c r="BP334" i="17" l="1"/>
  <c r="BN334" i="17"/>
  <c r="BO334" i="17"/>
  <c r="CD334" i="17"/>
  <c r="CC334" i="17"/>
  <c r="CE334" i="17"/>
  <c r="G335" i="17"/>
  <c r="K335" i="17"/>
  <c r="J335" i="17"/>
  <c r="H335" i="17"/>
  <c r="Z333" i="17"/>
  <c r="L335" i="17"/>
  <c r="Y334" i="17"/>
  <c r="U334" i="17"/>
  <c r="X334" i="17"/>
  <c r="O335" i="17"/>
  <c r="V334" i="17"/>
  <c r="N334" i="17"/>
  <c r="CL334" i="17" s="1"/>
  <c r="B336" i="17"/>
  <c r="J336" i="17" s="1"/>
  <c r="I335" i="17"/>
  <c r="Y67" i="17"/>
  <c r="Z67" i="17" s="1"/>
  <c r="K57" i="17"/>
  <c r="L57" i="17" s="1"/>
  <c r="BO335" i="17" l="1"/>
  <c r="BP335" i="17"/>
  <c r="BN335" i="17"/>
  <c r="CD335" i="17"/>
  <c r="CC335" i="17"/>
  <c r="CE335" i="17"/>
  <c r="H336" i="17"/>
  <c r="G336" i="17"/>
  <c r="A336" i="17"/>
  <c r="K336" i="17"/>
  <c r="Z334" i="17"/>
  <c r="V335" i="17"/>
  <c r="Y335" i="17"/>
  <c r="Z335" i="17" s="1"/>
  <c r="O336" i="17"/>
  <c r="U335" i="17"/>
  <c r="X335" i="17"/>
  <c r="N335" i="17"/>
  <c r="CL335" i="17" s="1"/>
  <c r="B337" i="17"/>
  <c r="H337" i="17" s="1"/>
  <c r="I336" i="17"/>
  <c r="L336" i="17"/>
  <c r="Y68" i="17"/>
  <c r="Z68" i="17" s="1"/>
  <c r="BO336" i="17" l="1"/>
  <c r="BP336" i="17"/>
  <c r="BN336" i="17"/>
  <c r="CE336" i="17"/>
  <c r="CD336" i="17"/>
  <c r="CC336" i="17"/>
  <c r="G337" i="17"/>
  <c r="K337" i="17"/>
  <c r="A337" i="17"/>
  <c r="J337" i="17"/>
  <c r="U336" i="17"/>
  <c r="O337" i="17"/>
  <c r="N336" i="17"/>
  <c r="CL336" i="17" s="1"/>
  <c r="Y336" i="17"/>
  <c r="X336" i="17"/>
  <c r="V336" i="17"/>
  <c r="L337" i="17"/>
  <c r="B338" i="17"/>
  <c r="J338" i="17" s="1"/>
  <c r="I337" i="17"/>
  <c r="Y69" i="17"/>
  <c r="Z69" i="17" s="1"/>
  <c r="K58" i="17"/>
  <c r="L58" i="17" s="1"/>
  <c r="BO337" i="17" l="1"/>
  <c r="BN337" i="17"/>
  <c r="BP337" i="17"/>
  <c r="G338" i="17"/>
  <c r="A338" i="17"/>
  <c r="K338" i="17"/>
  <c r="H338" i="17"/>
  <c r="CE337" i="17"/>
  <c r="CC337" i="17"/>
  <c r="CD337" i="17"/>
  <c r="Z336" i="17"/>
  <c r="V337" i="17"/>
  <c r="X337" i="17"/>
  <c r="Y337" i="17"/>
  <c r="Z337" i="17" s="1"/>
  <c r="U337" i="17"/>
  <c r="O338" i="17"/>
  <c r="N337" i="17"/>
  <c r="CL337" i="17" s="1"/>
  <c r="B339" i="17"/>
  <c r="G339" i="17" s="1"/>
  <c r="I338" i="17"/>
  <c r="L338" i="17"/>
  <c r="Y70" i="17"/>
  <c r="Z70" i="17" s="1"/>
  <c r="BO338" i="17" l="1"/>
  <c r="BP338" i="17"/>
  <c r="BN338" i="17"/>
  <c r="CE338" i="17"/>
  <c r="CD338" i="17"/>
  <c r="CC338" i="17"/>
  <c r="H339" i="17"/>
  <c r="K339" i="17"/>
  <c r="L339" i="17" s="1"/>
  <c r="J339" i="17"/>
  <c r="A339" i="17"/>
  <c r="X338" i="17"/>
  <c r="N338" i="17"/>
  <c r="CL338" i="17" s="1"/>
  <c r="U338" i="17"/>
  <c r="V338" i="17"/>
  <c r="O339" i="17"/>
  <c r="Y338" i="17"/>
  <c r="B340" i="17"/>
  <c r="I339" i="17"/>
  <c r="K59" i="17"/>
  <c r="L59" i="17" s="1"/>
  <c r="BP339" i="17" l="1"/>
  <c r="BO339" i="17"/>
  <c r="BN339" i="17"/>
  <c r="CE339" i="17"/>
  <c r="CD339" i="17"/>
  <c r="CC339" i="17"/>
  <c r="B341" i="17"/>
  <c r="G341" i="17" s="1"/>
  <c r="V339" i="17"/>
  <c r="Y339" i="17"/>
  <c r="Z339" i="17" s="1"/>
  <c r="O340" i="17"/>
  <c r="U339" i="17"/>
  <c r="N339" i="17"/>
  <c r="CL339" i="17" s="1"/>
  <c r="X339" i="17"/>
  <c r="J340" i="17"/>
  <c r="H340" i="17"/>
  <c r="K340" i="17"/>
  <c r="L340" i="17" s="1"/>
  <c r="A340" i="17"/>
  <c r="G340" i="17"/>
  <c r="I340" i="17" s="1"/>
  <c r="Z338" i="17"/>
  <c r="Y71" i="17"/>
  <c r="Z71" i="17" s="1"/>
  <c r="BN340" i="17" l="1"/>
  <c r="BO340" i="17"/>
  <c r="BP340" i="17"/>
  <c r="CE340" i="17"/>
  <c r="CD340" i="17"/>
  <c r="CC340" i="17"/>
  <c r="J341" i="17"/>
  <c r="A341" i="17"/>
  <c r="K341" i="17"/>
  <c r="H341" i="17"/>
  <c r="X340" i="17"/>
  <c r="V340" i="17"/>
  <c r="O341" i="17"/>
  <c r="N340" i="17"/>
  <c r="CL340" i="17" s="1"/>
  <c r="Y340" i="17"/>
  <c r="Z340" i="17" s="1"/>
  <c r="U340" i="17"/>
  <c r="B342" i="17"/>
  <c r="A342" i="17" s="1"/>
  <c r="I341" i="17"/>
  <c r="L341" i="17"/>
  <c r="Y72" i="17"/>
  <c r="Z72" i="17" s="1"/>
  <c r="K60" i="17"/>
  <c r="L60" i="17" s="1"/>
  <c r="BN341" i="17" l="1"/>
  <c r="BO341" i="17"/>
  <c r="BP341" i="17"/>
  <c r="CD341" i="17"/>
  <c r="CC341" i="17"/>
  <c r="CE341" i="17"/>
  <c r="J342" i="17"/>
  <c r="K342" i="17"/>
  <c r="H342" i="17"/>
  <c r="G342" i="17"/>
  <c r="N341" i="17"/>
  <c r="CL341" i="17" s="1"/>
  <c r="V341" i="17"/>
  <c r="Y341" i="17"/>
  <c r="O342" i="17"/>
  <c r="X341" i="17"/>
  <c r="U341" i="17"/>
  <c r="B343" i="17"/>
  <c r="J343" i="17" s="1"/>
  <c r="I342" i="17"/>
  <c r="L342" i="17"/>
  <c r="Y73" i="17"/>
  <c r="Z73" i="17" s="1"/>
  <c r="K61" i="17"/>
  <c r="L61" i="17" s="1"/>
  <c r="BP342" i="17" l="1"/>
  <c r="BN342" i="17"/>
  <c r="BO342" i="17"/>
  <c r="A343" i="17"/>
  <c r="H343" i="17"/>
  <c r="CD342" i="17"/>
  <c r="CC342" i="17"/>
  <c r="CE342" i="17"/>
  <c r="G343" i="17"/>
  <c r="K343" i="17"/>
  <c r="L343" i="17" s="1"/>
  <c r="Z341" i="17"/>
  <c r="U342" i="17"/>
  <c r="Y342" i="17"/>
  <c r="N342" i="17"/>
  <c r="CL342" i="17" s="1"/>
  <c r="O343" i="17"/>
  <c r="V342" i="17"/>
  <c r="X342" i="17"/>
  <c r="B344" i="17"/>
  <c r="I343" i="17"/>
  <c r="Y74" i="17"/>
  <c r="Z74" i="17" s="1"/>
  <c r="BN343" i="17" l="1"/>
  <c r="BP343" i="17"/>
  <c r="BO343" i="17"/>
  <c r="CD343" i="17"/>
  <c r="CC343" i="17"/>
  <c r="CE343" i="17"/>
  <c r="Z342" i="17"/>
  <c r="B345" i="17"/>
  <c r="H345" i="17" s="1"/>
  <c r="V343" i="17"/>
  <c r="O344" i="17"/>
  <c r="Y343" i="17"/>
  <c r="Z343" i="17" s="1"/>
  <c r="X343" i="17"/>
  <c r="N343" i="17"/>
  <c r="CL343" i="17" s="1"/>
  <c r="U343" i="17"/>
  <c r="A344" i="17"/>
  <c r="K344" i="17"/>
  <c r="L344" i="17" s="1"/>
  <c r="J344" i="17"/>
  <c r="G344" i="17"/>
  <c r="I344" i="17" s="1"/>
  <c r="H344" i="17"/>
  <c r="K62" i="17"/>
  <c r="L62" i="17" s="1"/>
  <c r="Y75" i="17"/>
  <c r="BO344" i="17" l="1"/>
  <c r="BN344" i="17"/>
  <c r="BP344" i="17"/>
  <c r="CE344" i="17"/>
  <c r="CD344" i="17"/>
  <c r="CC344" i="17"/>
  <c r="A345" i="17"/>
  <c r="K345" i="17"/>
  <c r="J345" i="17"/>
  <c r="G345" i="17"/>
  <c r="U344" i="17"/>
  <c r="N344" i="17"/>
  <c r="CL344" i="17" s="1"/>
  <c r="O345" i="17"/>
  <c r="Y344" i="17"/>
  <c r="V344" i="17"/>
  <c r="X344" i="17"/>
  <c r="B346" i="17"/>
  <c r="J346" i="17" s="1"/>
  <c r="I345" i="17"/>
  <c r="L345" i="17"/>
  <c r="Z75" i="17"/>
  <c r="BP345" i="17" l="1"/>
  <c r="BO345" i="17"/>
  <c r="BN345" i="17"/>
  <c r="CE345" i="17"/>
  <c r="CD345" i="17"/>
  <c r="CC345" i="17"/>
  <c r="K346" i="17"/>
  <c r="H346" i="17"/>
  <c r="A346" i="17"/>
  <c r="G346" i="17"/>
  <c r="Z344" i="17"/>
  <c r="Y345" i="17"/>
  <c r="O346" i="17"/>
  <c r="U345" i="17"/>
  <c r="N345" i="17"/>
  <c r="CL345" i="17" s="1"/>
  <c r="V345" i="17"/>
  <c r="X345" i="17"/>
  <c r="B347" i="17"/>
  <c r="G347" i="17" s="1"/>
  <c r="I346" i="17"/>
  <c r="L346" i="17"/>
  <c r="K63" i="17"/>
  <c r="L63" i="17" s="1"/>
  <c r="BO346" i="17" l="1"/>
  <c r="BP346" i="17"/>
  <c r="BN346" i="17"/>
  <c r="A347" i="17"/>
  <c r="CE346" i="17"/>
  <c r="CD346" i="17"/>
  <c r="CC346" i="17"/>
  <c r="K347" i="17"/>
  <c r="J347" i="17"/>
  <c r="H347" i="17"/>
  <c r="Z345" i="17"/>
  <c r="L347" i="17"/>
  <c r="V346" i="17"/>
  <c r="N346" i="17"/>
  <c r="CL346" i="17" s="1"/>
  <c r="Y346" i="17"/>
  <c r="O347" i="17"/>
  <c r="U346" i="17"/>
  <c r="X346" i="17"/>
  <c r="B348" i="17"/>
  <c r="K348" i="17" s="1"/>
  <c r="I347" i="17"/>
  <c r="Y76" i="17"/>
  <c r="BP347" i="17" l="1"/>
  <c r="BO347" i="17"/>
  <c r="BN347" i="17"/>
  <c r="CE347" i="17"/>
  <c r="CD347" i="17"/>
  <c r="CC347" i="17"/>
  <c r="A348" i="17"/>
  <c r="H348" i="17"/>
  <c r="J348" i="17"/>
  <c r="G348" i="17"/>
  <c r="Z346" i="17"/>
  <c r="O348" i="17"/>
  <c r="Y347" i="17"/>
  <c r="V347" i="17"/>
  <c r="U347" i="17"/>
  <c r="N347" i="17"/>
  <c r="CL347" i="17" s="1"/>
  <c r="X347" i="17"/>
  <c r="B349" i="17"/>
  <c r="J349" i="17" s="1"/>
  <c r="I348" i="17"/>
  <c r="L348" i="17"/>
  <c r="Z76" i="17"/>
  <c r="K64" i="17"/>
  <c r="L64" i="17" s="1"/>
  <c r="BN348" i="17" l="1"/>
  <c r="BO348" i="17"/>
  <c r="BP348" i="17"/>
  <c r="H349" i="17"/>
  <c r="G349" i="17"/>
  <c r="CE348" i="17"/>
  <c r="CD348" i="17"/>
  <c r="CC348" i="17"/>
  <c r="K349" i="17"/>
  <c r="A349" i="17"/>
  <c r="Z347" i="17"/>
  <c r="Y348" i="17"/>
  <c r="U348" i="17"/>
  <c r="N348" i="17"/>
  <c r="CL348" i="17" s="1"/>
  <c r="O349" i="17"/>
  <c r="V348" i="17"/>
  <c r="X348" i="17"/>
  <c r="B350" i="17"/>
  <c r="I349" i="17"/>
  <c r="L349" i="17"/>
  <c r="Y77" i="17"/>
  <c r="K65" i="17"/>
  <c r="L65" i="17" s="1"/>
  <c r="BN349" i="17" l="1"/>
  <c r="BO349" i="17"/>
  <c r="BP349" i="17"/>
  <c r="CD349" i="17"/>
  <c r="CC349" i="17"/>
  <c r="CE349" i="17"/>
  <c r="B351" i="17"/>
  <c r="J351" i="17" s="1"/>
  <c r="Y349" i="17"/>
  <c r="N349" i="17"/>
  <c r="CL349" i="17" s="1"/>
  <c r="X349" i="17"/>
  <c r="V349" i="17"/>
  <c r="O350" i="17"/>
  <c r="U349" i="17"/>
  <c r="J350" i="17"/>
  <c r="G350" i="17"/>
  <c r="I350" i="17" s="1"/>
  <c r="A350" i="17"/>
  <c r="K350" i="17"/>
  <c r="H350" i="17"/>
  <c r="Z348" i="17"/>
  <c r="Z77" i="17"/>
  <c r="BP350" i="17" l="1"/>
  <c r="BN350" i="17"/>
  <c r="BO350" i="17"/>
  <c r="A351" i="17"/>
  <c r="H351" i="17"/>
  <c r="G351" i="17"/>
  <c r="K351" i="17"/>
  <c r="CD350" i="17"/>
  <c r="CC350" i="17"/>
  <c r="CE350" i="17"/>
  <c r="L350" i="17"/>
  <c r="Z349" i="17"/>
  <c r="U350" i="17"/>
  <c r="V350" i="17"/>
  <c r="O351" i="17"/>
  <c r="Y350" i="17"/>
  <c r="N350" i="17"/>
  <c r="CL350" i="17" s="1"/>
  <c r="X350" i="17"/>
  <c r="B352" i="17"/>
  <c r="A352" i="17" s="1"/>
  <c r="I351" i="17"/>
  <c r="L351" i="17"/>
  <c r="K66" i="17"/>
  <c r="L66" i="17" s="1"/>
  <c r="BP351" i="17" l="1"/>
  <c r="BN351" i="17"/>
  <c r="BO351" i="17"/>
  <c r="G352" i="17"/>
  <c r="H352" i="17"/>
  <c r="J352" i="17"/>
  <c r="K352" i="17"/>
  <c r="CD351" i="17"/>
  <c r="CC351" i="17"/>
  <c r="CE351" i="17"/>
  <c r="Z350" i="17"/>
  <c r="X351" i="17"/>
  <c r="O352" i="17"/>
  <c r="Y351" i="17"/>
  <c r="Z351" i="17" s="1"/>
  <c r="U351" i="17"/>
  <c r="V351" i="17"/>
  <c r="N351" i="17"/>
  <c r="CL351" i="17" s="1"/>
  <c r="B353" i="17"/>
  <c r="K353" i="17" s="1"/>
  <c r="I352" i="17"/>
  <c r="L352" i="17"/>
  <c r="Y78" i="17"/>
  <c r="BO352" i="17" l="1"/>
  <c r="BP352" i="17"/>
  <c r="BN352" i="17"/>
  <c r="CE352" i="17"/>
  <c r="CD352" i="17"/>
  <c r="CC352" i="17"/>
  <c r="J353" i="17"/>
  <c r="L353" i="17" s="1"/>
  <c r="G353" i="17"/>
  <c r="O353" i="17"/>
  <c r="U352" i="17"/>
  <c r="Y352" i="17"/>
  <c r="V352" i="17"/>
  <c r="X352" i="17"/>
  <c r="N352" i="17"/>
  <c r="CL352" i="17" s="1"/>
  <c r="H353" i="17"/>
  <c r="A353" i="17"/>
  <c r="B354" i="17"/>
  <c r="H354" i="17" s="1"/>
  <c r="I353" i="17"/>
  <c r="Z78" i="17"/>
  <c r="K67" i="17"/>
  <c r="BO353" i="17" l="1"/>
  <c r="BN353" i="17"/>
  <c r="BP353" i="17"/>
  <c r="J354" i="17"/>
  <c r="CE353" i="17"/>
  <c r="CC353" i="17"/>
  <c r="CD353" i="17"/>
  <c r="A354" i="17"/>
  <c r="G354" i="17"/>
  <c r="K354" i="17"/>
  <c r="Z352" i="17"/>
  <c r="B355" i="17"/>
  <c r="J355" i="17" s="1"/>
  <c r="I354" i="17"/>
  <c r="O354" i="17"/>
  <c r="V353" i="17"/>
  <c r="X353" i="17"/>
  <c r="Y353" i="17"/>
  <c r="Z353" i="17" s="1"/>
  <c r="U353" i="17"/>
  <c r="N353" i="17"/>
  <c r="CL353" i="17" s="1"/>
  <c r="L354" i="17"/>
  <c r="L67" i="17"/>
  <c r="G355" i="17" l="1"/>
  <c r="H355" i="17"/>
  <c r="A355" i="17"/>
  <c r="BO354" i="17"/>
  <c r="BP354" i="17"/>
  <c r="BN354" i="17"/>
  <c r="CE354" i="17"/>
  <c r="CC354" i="17"/>
  <c r="CD354" i="17"/>
  <c r="K355" i="17"/>
  <c r="O355" i="17"/>
  <c r="V354" i="17"/>
  <c r="U354" i="17"/>
  <c r="X354" i="17"/>
  <c r="N354" i="17"/>
  <c r="CL354" i="17" s="1"/>
  <c r="Y354" i="17"/>
  <c r="Z354" i="17" s="1"/>
  <c r="B356" i="17"/>
  <c r="J356" i="17" s="1"/>
  <c r="I355" i="17"/>
  <c r="L355" i="17"/>
  <c r="Y79" i="17"/>
  <c r="BP355" i="17" l="1"/>
  <c r="BO355" i="17"/>
  <c r="BN355" i="17"/>
  <c r="CE355" i="17"/>
  <c r="CD355" i="17"/>
  <c r="CC355" i="17"/>
  <c r="A356" i="17"/>
  <c r="H356" i="17"/>
  <c r="K356" i="17"/>
  <c r="G356" i="17"/>
  <c r="N355" i="17"/>
  <c r="CL355" i="17" s="1"/>
  <c r="V355" i="17"/>
  <c r="U355" i="17"/>
  <c r="Y355" i="17"/>
  <c r="Z355" i="17" s="1"/>
  <c r="X355" i="17"/>
  <c r="O356" i="17"/>
  <c r="B357" i="17"/>
  <c r="I356" i="17"/>
  <c r="L356" i="17"/>
  <c r="Z79" i="17"/>
  <c r="K68" i="17"/>
  <c r="BO356" i="17" l="1"/>
  <c r="BP356" i="17"/>
  <c r="BN356" i="17"/>
  <c r="CE356" i="17"/>
  <c r="CD356" i="17"/>
  <c r="CC356" i="17"/>
  <c r="B358" i="17"/>
  <c r="H358" i="17" s="1"/>
  <c r="K357" i="17"/>
  <c r="A357" i="17"/>
  <c r="J357" i="17"/>
  <c r="G357" i="17"/>
  <c r="I357" i="17" s="1"/>
  <c r="H357" i="17"/>
  <c r="X356" i="17"/>
  <c r="U356" i="17"/>
  <c r="N356" i="17"/>
  <c r="CL356" i="17" s="1"/>
  <c r="Y356" i="17"/>
  <c r="Z356" i="17" s="1"/>
  <c r="V356" i="17"/>
  <c r="O357" i="17"/>
  <c r="L68" i="17"/>
  <c r="BN357" i="17" l="1"/>
  <c r="BP357" i="17"/>
  <c r="BO357" i="17"/>
  <c r="G358" i="17"/>
  <c r="K358" i="17"/>
  <c r="CD357" i="17"/>
  <c r="CC357" i="17"/>
  <c r="CE357" i="17"/>
  <c r="A358" i="17"/>
  <c r="J358" i="17"/>
  <c r="L357" i="17"/>
  <c r="V357" i="17"/>
  <c r="X357" i="17"/>
  <c r="U357" i="17"/>
  <c r="N357" i="17"/>
  <c r="CL357" i="17" s="1"/>
  <c r="O358" i="17"/>
  <c r="Y357" i="17"/>
  <c r="Z357" i="17" s="1"/>
  <c r="B359" i="17"/>
  <c r="J359" i="17" s="1"/>
  <c r="I358" i="17"/>
  <c r="L358" i="17"/>
  <c r="Y80" i="17"/>
  <c r="BP358" i="17" l="1"/>
  <c r="BN358" i="17"/>
  <c r="BO358" i="17"/>
  <c r="CD358" i="17"/>
  <c r="CC358" i="17"/>
  <c r="CE358" i="17"/>
  <c r="K359" i="17"/>
  <c r="H359" i="17"/>
  <c r="G359" i="17"/>
  <c r="A359" i="17"/>
  <c r="L359" i="17"/>
  <c r="U358" i="17"/>
  <c r="O359" i="17"/>
  <c r="Y358" i="17"/>
  <c r="N358" i="17"/>
  <c r="CL358" i="17" s="1"/>
  <c r="X358" i="17"/>
  <c r="V358" i="17"/>
  <c r="B360" i="17"/>
  <c r="K360" i="17" s="1"/>
  <c r="I359" i="17"/>
  <c r="K69" i="17"/>
  <c r="Z80" i="17"/>
  <c r="BN359" i="17" l="1"/>
  <c r="BP359" i="17"/>
  <c r="BO359" i="17"/>
  <c r="CD359" i="17"/>
  <c r="CC359" i="17"/>
  <c r="CE359" i="17"/>
  <c r="J360" i="17"/>
  <c r="H360" i="17"/>
  <c r="G360" i="17"/>
  <c r="A360" i="17"/>
  <c r="Z358" i="17"/>
  <c r="X359" i="17"/>
  <c r="Y359" i="17"/>
  <c r="Z359" i="17" s="1"/>
  <c r="V359" i="17"/>
  <c r="U359" i="17"/>
  <c r="O360" i="17"/>
  <c r="N359" i="17"/>
  <c r="CL359" i="17" s="1"/>
  <c r="B361" i="17"/>
  <c r="G361" i="17" s="1"/>
  <c r="I360" i="17"/>
  <c r="L360" i="17"/>
  <c r="L69" i="17"/>
  <c r="BO360" i="17" l="1"/>
  <c r="BP360" i="17"/>
  <c r="BN360" i="17"/>
  <c r="K361" i="17"/>
  <c r="H361" i="17"/>
  <c r="CE360" i="17"/>
  <c r="CD360" i="17"/>
  <c r="CC360" i="17"/>
  <c r="J361" i="17"/>
  <c r="A361" i="17"/>
  <c r="N360" i="17"/>
  <c r="CL360" i="17" s="1"/>
  <c r="V360" i="17"/>
  <c r="O361" i="17"/>
  <c r="X360" i="17"/>
  <c r="U360" i="17"/>
  <c r="Y360" i="17"/>
  <c r="Z360" i="17" s="1"/>
  <c r="L361" i="17"/>
  <c r="B362" i="17"/>
  <c r="H362" i="17" s="1"/>
  <c r="I361" i="17"/>
  <c r="Y81" i="17"/>
  <c r="Z81" i="17" s="1"/>
  <c r="BO361" i="17" l="1"/>
  <c r="BN361" i="17"/>
  <c r="BP361" i="17"/>
  <c r="CE361" i="17"/>
  <c r="CC361" i="17"/>
  <c r="CD361" i="17"/>
  <c r="A362" i="17"/>
  <c r="K362" i="17"/>
  <c r="J362" i="17"/>
  <c r="G362" i="17"/>
  <c r="O362" i="17"/>
  <c r="Y361" i="17"/>
  <c r="X361" i="17"/>
  <c r="V361" i="17"/>
  <c r="N361" i="17"/>
  <c r="CL361" i="17" s="1"/>
  <c r="U361" i="17"/>
  <c r="B363" i="17"/>
  <c r="I362" i="17"/>
  <c r="L362" i="17"/>
  <c r="Y82" i="17"/>
  <c r="Z82" i="17" s="1"/>
  <c r="K70" i="17"/>
  <c r="BO362" i="17" l="1"/>
  <c r="BP362" i="17"/>
  <c r="BN362" i="17"/>
  <c r="CE362" i="17"/>
  <c r="CD362" i="17"/>
  <c r="CC362" i="17"/>
  <c r="B364" i="17"/>
  <c r="J364" i="17" s="1"/>
  <c r="G363" i="17"/>
  <c r="I363" i="17" s="1"/>
  <c r="Z361" i="17"/>
  <c r="K363" i="17"/>
  <c r="L363" i="17" s="1"/>
  <c r="H363" i="17"/>
  <c r="J363" i="17"/>
  <c r="A363" i="17"/>
  <c r="O363" i="17"/>
  <c r="V362" i="17"/>
  <c r="N362" i="17"/>
  <c r="CL362" i="17" s="1"/>
  <c r="X362" i="17"/>
  <c r="Y362" i="17"/>
  <c r="Z362" i="17" s="1"/>
  <c r="U362" i="17"/>
  <c r="Y83" i="17"/>
  <c r="Z83" i="17" s="1"/>
  <c r="L70" i="17"/>
  <c r="BP363" i="17" l="1"/>
  <c r="BO363" i="17"/>
  <c r="BN363" i="17"/>
  <c r="CE363" i="17"/>
  <c r="CD363" i="17"/>
  <c r="CC363" i="17"/>
  <c r="H364" i="17"/>
  <c r="K364" i="17"/>
  <c r="A364" i="17"/>
  <c r="G364" i="17"/>
  <c r="Y363" i="17"/>
  <c r="V363" i="17"/>
  <c r="O364" i="17"/>
  <c r="N363" i="17"/>
  <c r="CL363" i="17" s="1"/>
  <c r="X363" i="17"/>
  <c r="U363" i="17"/>
  <c r="B365" i="17"/>
  <c r="K365" i="17" s="1"/>
  <c r="I364" i="17"/>
  <c r="L364" i="17"/>
  <c r="Y84" i="17"/>
  <c r="Z84" i="17" s="1"/>
  <c r="BN364" i="17" l="1"/>
  <c r="BO364" i="17"/>
  <c r="BP364" i="17"/>
  <c r="CE364" i="17"/>
  <c r="CD364" i="17"/>
  <c r="CC364" i="17"/>
  <c r="G365" i="17"/>
  <c r="B366" i="17"/>
  <c r="J366" i="17" s="1"/>
  <c r="A365" i="17"/>
  <c r="X364" i="17"/>
  <c r="Y364" i="17"/>
  <c r="U364" i="17"/>
  <c r="V364" i="17"/>
  <c r="N364" i="17"/>
  <c r="CL364" i="17" s="1"/>
  <c r="O365" i="17"/>
  <c r="J365" i="17"/>
  <c r="L365" i="17" s="1"/>
  <c r="H365" i="17"/>
  <c r="I365" i="17" s="1"/>
  <c r="Z363" i="17"/>
  <c r="Y85" i="17"/>
  <c r="Z85" i="17" s="1"/>
  <c r="K71" i="17"/>
  <c r="BN365" i="17" l="1"/>
  <c r="BO365" i="17"/>
  <c r="BP365" i="17"/>
  <c r="CD365" i="17"/>
  <c r="CC365" i="17"/>
  <c r="CE365" i="17"/>
  <c r="A366" i="17"/>
  <c r="G366" i="17"/>
  <c r="H366" i="17"/>
  <c r="K366" i="17"/>
  <c r="Z364" i="17"/>
  <c r="L366" i="17"/>
  <c r="Y365" i="17"/>
  <c r="O366" i="17"/>
  <c r="N365" i="17"/>
  <c r="CL365" i="17" s="1"/>
  <c r="V365" i="17"/>
  <c r="X365" i="17"/>
  <c r="U365" i="17"/>
  <c r="B367" i="17"/>
  <c r="I366" i="17"/>
  <c r="Y86" i="17"/>
  <c r="Z86" i="17" s="1"/>
  <c r="L71" i="17"/>
  <c r="BP366" i="17" l="1"/>
  <c r="BN366" i="17"/>
  <c r="BO366" i="17"/>
  <c r="CD366" i="17"/>
  <c r="CC366" i="17"/>
  <c r="CE366" i="17"/>
  <c r="B368" i="17"/>
  <c r="K368" i="17" s="1"/>
  <c r="L368" i="17" s="1"/>
  <c r="A367" i="17"/>
  <c r="J367" i="17"/>
  <c r="H367" i="17"/>
  <c r="X366" i="17"/>
  <c r="Z366" i="17" s="1"/>
  <c r="V366" i="17"/>
  <c r="N366" i="17"/>
  <c r="CL366" i="17" s="1"/>
  <c r="Y366" i="17"/>
  <c r="U366" i="17"/>
  <c r="O367" i="17"/>
  <c r="G367" i="17"/>
  <c r="I367" i="17" s="1"/>
  <c r="K367" i="17"/>
  <c r="Z365" i="17"/>
  <c r="Y87" i="17"/>
  <c r="Z87" i="17" s="1"/>
  <c r="BP367" i="17" l="1"/>
  <c r="BN367" i="17"/>
  <c r="BO367" i="17"/>
  <c r="A368" i="17"/>
  <c r="CD367" i="17"/>
  <c r="CC367" i="17"/>
  <c r="CE367" i="17"/>
  <c r="H368" i="17"/>
  <c r="J368" i="17"/>
  <c r="G368" i="17"/>
  <c r="Y367" i="17"/>
  <c r="O368" i="17"/>
  <c r="V367" i="17"/>
  <c r="N367" i="17"/>
  <c r="CL367" i="17" s="1"/>
  <c r="X367" i="17"/>
  <c r="Z367" i="17" s="1"/>
  <c r="U367" i="17"/>
  <c r="L367" i="17"/>
  <c r="B369" i="17"/>
  <c r="J369" i="17" s="1"/>
  <c r="I368" i="17"/>
  <c r="Y88" i="17"/>
  <c r="Z88" i="17" s="1"/>
  <c r="K72" i="17"/>
  <c r="BO368" i="17" l="1"/>
  <c r="BN368" i="17"/>
  <c r="BP368" i="17"/>
  <c r="CE368" i="17"/>
  <c r="CD368" i="17"/>
  <c r="CC368" i="17"/>
  <c r="K369" i="17"/>
  <c r="G369" i="17"/>
  <c r="H369" i="17"/>
  <c r="A369" i="17"/>
  <c r="N368" i="17"/>
  <c r="CL368" i="17" s="1"/>
  <c r="V368" i="17"/>
  <c r="O369" i="17"/>
  <c r="Y368" i="17"/>
  <c r="Z368" i="17" s="1"/>
  <c r="X368" i="17"/>
  <c r="U368" i="17"/>
  <c r="B370" i="17"/>
  <c r="H370" i="17" s="1"/>
  <c r="I369" i="17"/>
  <c r="L369" i="17"/>
  <c r="Y89" i="17"/>
  <c r="Z89" i="17" s="1"/>
  <c r="L72" i="17"/>
  <c r="BO369" i="17" l="1"/>
  <c r="BP369" i="17"/>
  <c r="BN369" i="17"/>
  <c r="G370" i="17"/>
  <c r="CE369" i="17"/>
  <c r="CC369" i="17"/>
  <c r="CD369" i="17"/>
  <c r="J370" i="17"/>
  <c r="K370" i="17"/>
  <c r="A370" i="17"/>
  <c r="Y369" i="17"/>
  <c r="N369" i="17"/>
  <c r="CL369" i="17" s="1"/>
  <c r="V369" i="17"/>
  <c r="U369" i="17"/>
  <c r="O370" i="17"/>
  <c r="X369" i="17"/>
  <c r="Z369" i="17" s="1"/>
  <c r="B371" i="17"/>
  <c r="J371" i="17" s="1"/>
  <c r="I370" i="17"/>
  <c r="L370" i="17"/>
  <c r="Y90" i="17"/>
  <c r="Z90" i="17" s="1"/>
  <c r="BO370" i="17" l="1"/>
  <c r="BP370" i="17"/>
  <c r="BN370" i="17"/>
  <c r="G371" i="17"/>
  <c r="CE370" i="17"/>
  <c r="CD370" i="17"/>
  <c r="CC370" i="17"/>
  <c r="K371" i="17"/>
  <c r="L371" i="17" s="1"/>
  <c r="A371" i="17"/>
  <c r="H371" i="17"/>
  <c r="N370" i="17"/>
  <c r="CL370" i="17" s="1"/>
  <c r="U370" i="17"/>
  <c r="O371" i="17"/>
  <c r="X370" i="17"/>
  <c r="V370" i="17"/>
  <c r="Y370" i="17"/>
  <c r="B372" i="17"/>
  <c r="I371" i="17"/>
  <c r="Y91" i="17"/>
  <c r="Z91" i="17" s="1"/>
  <c r="K73" i="17"/>
  <c r="L73" i="17" s="1"/>
  <c r="BO371" i="17" l="1"/>
  <c r="BP371" i="17"/>
  <c r="BN371" i="17"/>
  <c r="CE371" i="17"/>
  <c r="CD371" i="17"/>
  <c r="CC371" i="17"/>
  <c r="B373" i="17"/>
  <c r="H373" i="17" s="1"/>
  <c r="Z370" i="17"/>
  <c r="H372" i="17"/>
  <c r="G372" i="17"/>
  <c r="I372" i="17" s="1"/>
  <c r="X371" i="17"/>
  <c r="U371" i="17"/>
  <c r="V371" i="17"/>
  <c r="N371" i="17"/>
  <c r="CL371" i="17" s="1"/>
  <c r="Y371" i="17"/>
  <c r="O372" i="17"/>
  <c r="A372" i="17"/>
  <c r="K372" i="17"/>
  <c r="J372" i="17"/>
  <c r="Y92" i="17"/>
  <c r="Z92" i="17" s="1"/>
  <c r="BN372" i="17" l="1"/>
  <c r="BO372" i="17"/>
  <c r="BP372" i="17"/>
  <c r="CE372" i="17"/>
  <c r="CD372" i="17"/>
  <c r="CC372" i="17"/>
  <c r="J373" i="17"/>
  <c r="G373" i="17"/>
  <c r="A373" i="17"/>
  <c r="K373" i="17"/>
  <c r="Z371" i="17"/>
  <c r="L372" i="17"/>
  <c r="V372" i="17"/>
  <c r="Y372" i="17"/>
  <c r="U372" i="17"/>
  <c r="N372" i="17"/>
  <c r="CL372" i="17" s="1"/>
  <c r="X372" i="17"/>
  <c r="Z372" i="17" s="1"/>
  <c r="O373" i="17"/>
  <c r="L373" i="17"/>
  <c r="B374" i="17"/>
  <c r="G374" i="17" s="1"/>
  <c r="I373" i="17"/>
  <c r="Y93" i="17"/>
  <c r="Z93" i="17" s="1"/>
  <c r="K74" i="17"/>
  <c r="L74" i="17" s="1"/>
  <c r="J374" i="17" l="1"/>
  <c r="A374" i="17"/>
  <c r="BN373" i="17"/>
  <c r="BO373" i="17"/>
  <c r="BP373" i="17"/>
  <c r="CD373" i="17"/>
  <c r="CC373" i="17"/>
  <c r="CE373" i="17"/>
  <c r="H374" i="17"/>
  <c r="K374" i="17"/>
  <c r="V373" i="17"/>
  <c r="O374" i="17"/>
  <c r="X373" i="17"/>
  <c r="N373" i="17"/>
  <c r="CL373" i="17" s="1"/>
  <c r="Y373" i="17"/>
  <c r="Z373" i="17" s="1"/>
  <c r="U373" i="17"/>
  <c r="B375" i="17"/>
  <c r="I374" i="17"/>
  <c r="L374" i="17"/>
  <c r="Y94" i="17"/>
  <c r="Z94" i="17" s="1"/>
  <c r="BP374" i="17" l="1"/>
  <c r="BN374" i="17"/>
  <c r="BO374" i="17"/>
  <c r="CD374" i="17"/>
  <c r="CC374" i="17"/>
  <c r="CE374" i="17"/>
  <c r="B376" i="17"/>
  <c r="H376" i="17" s="1"/>
  <c r="J375" i="17"/>
  <c r="K375" i="17"/>
  <c r="Y374" i="17"/>
  <c r="Z374" i="17" s="1"/>
  <c r="N374" i="17"/>
  <c r="CL374" i="17" s="1"/>
  <c r="U374" i="17"/>
  <c r="V374" i="17"/>
  <c r="X374" i="17"/>
  <c r="O375" i="17"/>
  <c r="G375" i="17"/>
  <c r="I375" i="17" s="1"/>
  <c r="H375" i="17"/>
  <c r="A375" i="17"/>
  <c r="Y95" i="17"/>
  <c r="Z95" i="17" s="1"/>
  <c r="K75" i="17"/>
  <c r="L75" i="17" s="1"/>
  <c r="BP375" i="17" l="1"/>
  <c r="BN375" i="17"/>
  <c r="BO375" i="17"/>
  <c r="A376" i="17"/>
  <c r="G376" i="17"/>
  <c r="CD375" i="17"/>
  <c r="CC375" i="17"/>
  <c r="CE375" i="17"/>
  <c r="J376" i="17"/>
  <c r="K376" i="17"/>
  <c r="L375" i="17"/>
  <c r="V375" i="17"/>
  <c r="Y375" i="17"/>
  <c r="N375" i="17"/>
  <c r="CL375" i="17" s="1"/>
  <c r="O376" i="17"/>
  <c r="U375" i="17"/>
  <c r="X375" i="17"/>
  <c r="B377" i="17"/>
  <c r="J377" i="17" s="1"/>
  <c r="I376" i="17"/>
  <c r="L376" i="17"/>
  <c r="Y96" i="17"/>
  <c r="Z96" i="17" s="1"/>
  <c r="BO376" i="17" l="1"/>
  <c r="BP376" i="17"/>
  <c r="BN376" i="17"/>
  <c r="CE376" i="17"/>
  <c r="CD376" i="17"/>
  <c r="CC376" i="17"/>
  <c r="B378" i="17"/>
  <c r="G378" i="17" s="1"/>
  <c r="G377" i="17"/>
  <c r="I377" i="17" s="1"/>
  <c r="U376" i="17"/>
  <c r="V376" i="17"/>
  <c r="Y376" i="17"/>
  <c r="X376" i="17"/>
  <c r="O377" i="17"/>
  <c r="N376" i="17"/>
  <c r="CL376" i="17" s="1"/>
  <c r="Z375" i="17"/>
  <c r="K377" i="17"/>
  <c r="L377" i="17" s="1"/>
  <c r="A377" i="17"/>
  <c r="H377" i="17"/>
  <c r="Y97" i="17"/>
  <c r="Z97" i="17" s="1"/>
  <c r="K76" i="17"/>
  <c r="L76" i="17" s="1"/>
  <c r="BP377" i="17" l="1"/>
  <c r="BO377" i="17"/>
  <c r="BN377" i="17"/>
  <c r="H378" i="17"/>
  <c r="A378" i="17"/>
  <c r="J378" i="17"/>
  <c r="CE377" i="17"/>
  <c r="CD377" i="17"/>
  <c r="CC377" i="17"/>
  <c r="K378" i="17"/>
  <c r="Z376" i="17"/>
  <c r="O378" i="17"/>
  <c r="Y377" i="17"/>
  <c r="V377" i="17"/>
  <c r="X377" i="17"/>
  <c r="N377" i="17"/>
  <c r="CL377" i="17" s="1"/>
  <c r="U377" i="17"/>
  <c r="B379" i="17"/>
  <c r="K379" i="17" s="1"/>
  <c r="I378" i="17"/>
  <c r="L378" i="17"/>
  <c r="Y98" i="17"/>
  <c r="Z98" i="17" s="1"/>
  <c r="BO378" i="17" l="1"/>
  <c r="BP378" i="17"/>
  <c r="BN378" i="17"/>
  <c r="CE378" i="17"/>
  <c r="CC378" i="17"/>
  <c r="CD378" i="17"/>
  <c r="J379" i="17"/>
  <c r="G379" i="17"/>
  <c r="H379" i="17"/>
  <c r="A379" i="17"/>
  <c r="Z377" i="17"/>
  <c r="U378" i="17"/>
  <c r="Y378" i="17"/>
  <c r="O379" i="17"/>
  <c r="X378" i="17"/>
  <c r="V378" i="17"/>
  <c r="N378" i="17"/>
  <c r="CL378" i="17" s="1"/>
  <c r="Z378" i="17"/>
  <c r="B380" i="17"/>
  <c r="H380" i="17" s="1"/>
  <c r="I379" i="17"/>
  <c r="L379" i="17"/>
  <c r="Y99" i="17"/>
  <c r="Z99" i="17" s="1"/>
  <c r="K77" i="17"/>
  <c r="L77" i="17" s="1"/>
  <c r="BP379" i="17" l="1"/>
  <c r="BN379" i="17"/>
  <c r="BO379" i="17"/>
  <c r="CE379" i="17"/>
  <c r="CD379" i="17"/>
  <c r="CC379" i="17"/>
  <c r="K380" i="17"/>
  <c r="G380" i="17"/>
  <c r="A380" i="17"/>
  <c r="J380" i="17"/>
  <c r="L380" i="17"/>
  <c r="U379" i="17"/>
  <c r="V379" i="17"/>
  <c r="Y379" i="17"/>
  <c r="O380" i="17"/>
  <c r="X379" i="17"/>
  <c r="N379" i="17"/>
  <c r="CL379" i="17" s="1"/>
  <c r="B381" i="17"/>
  <c r="I380" i="17"/>
  <c r="Y100" i="17"/>
  <c r="Z100" i="17" s="1"/>
  <c r="BO380" i="17" l="1"/>
  <c r="BP380" i="17"/>
  <c r="BN380" i="17"/>
  <c r="CE380" i="17"/>
  <c r="CD380" i="17"/>
  <c r="CC380" i="17"/>
  <c r="B382" i="17"/>
  <c r="J382" i="17" s="1"/>
  <c r="X380" i="17"/>
  <c r="O381" i="17"/>
  <c r="U380" i="17"/>
  <c r="Y380" i="17"/>
  <c r="V380" i="17"/>
  <c r="N380" i="17"/>
  <c r="CL380" i="17" s="1"/>
  <c r="Z379" i="17"/>
  <c r="K381" i="17"/>
  <c r="G381" i="17"/>
  <c r="I381" i="17" s="1"/>
  <c r="A381" i="17"/>
  <c r="H381" i="17"/>
  <c r="J381" i="17"/>
  <c r="L381" i="17" s="1"/>
  <c r="Y101" i="17"/>
  <c r="Z101" i="17" s="1"/>
  <c r="K78" i="17"/>
  <c r="L78" i="17" s="1"/>
  <c r="BN381" i="17" l="1"/>
  <c r="BO381" i="17"/>
  <c r="BP381" i="17"/>
  <c r="A382" i="17"/>
  <c r="CD381" i="17"/>
  <c r="CC381" i="17"/>
  <c r="CE381" i="17"/>
  <c r="G382" i="17"/>
  <c r="H382" i="17"/>
  <c r="K382" i="17"/>
  <c r="Z380" i="17"/>
  <c r="N381" i="17"/>
  <c r="CL381" i="17" s="1"/>
  <c r="V381" i="17"/>
  <c r="U381" i="17"/>
  <c r="Y381" i="17"/>
  <c r="Z381" i="17" s="1"/>
  <c r="X381" i="17"/>
  <c r="O382" i="17"/>
  <c r="B383" i="17"/>
  <c r="G383" i="17" s="1"/>
  <c r="I382" i="17"/>
  <c r="L382" i="17"/>
  <c r="Y102" i="17"/>
  <c r="Z102" i="17" s="1"/>
  <c r="BP382" i="17" l="1"/>
  <c r="BN382" i="17"/>
  <c r="BO382" i="17"/>
  <c r="CD382" i="17"/>
  <c r="CC382" i="17"/>
  <c r="CE382" i="17"/>
  <c r="H383" i="17"/>
  <c r="B384" i="17"/>
  <c r="H384" i="17" s="1"/>
  <c r="I383" i="17"/>
  <c r="X382" i="17"/>
  <c r="N382" i="17"/>
  <c r="CL382" i="17" s="1"/>
  <c r="U382" i="17"/>
  <c r="Y382" i="17"/>
  <c r="Z382" i="17" s="1"/>
  <c r="O383" i="17"/>
  <c r="V382" i="17"/>
  <c r="A383" i="17"/>
  <c r="K383" i="17"/>
  <c r="L383" i="17" s="1"/>
  <c r="J383" i="17"/>
  <c r="Y103" i="17"/>
  <c r="Z103" i="17" s="1"/>
  <c r="K79" i="17"/>
  <c r="L79" i="17" s="1"/>
  <c r="BP383" i="17" l="1"/>
  <c r="BN383" i="17"/>
  <c r="BO383" i="17"/>
  <c r="CD383" i="17"/>
  <c r="CC383" i="17"/>
  <c r="CE383" i="17"/>
  <c r="A384" i="17"/>
  <c r="G384" i="17"/>
  <c r="J384" i="17"/>
  <c r="K384" i="17"/>
  <c r="U383" i="17"/>
  <c r="N383" i="17"/>
  <c r="CL383" i="17" s="1"/>
  <c r="O384" i="17"/>
  <c r="Y383" i="17"/>
  <c r="V383" i="17"/>
  <c r="X383" i="17"/>
  <c r="B385" i="17"/>
  <c r="G385" i="17" s="1"/>
  <c r="I384" i="17"/>
  <c r="L384" i="17"/>
  <c r="Y104" i="17"/>
  <c r="Z104" i="17" s="1"/>
  <c r="BO384" i="17" l="1"/>
  <c r="BP384" i="17"/>
  <c r="BN384" i="17"/>
  <c r="CE384" i="17"/>
  <c r="CD384" i="17"/>
  <c r="CC384" i="17"/>
  <c r="A385" i="17"/>
  <c r="K385" i="17"/>
  <c r="J385" i="17"/>
  <c r="H385" i="17"/>
  <c r="Z383" i="17"/>
  <c r="X384" i="17"/>
  <c r="Y384" i="17"/>
  <c r="Z384" i="17" s="1"/>
  <c r="O385" i="17"/>
  <c r="U384" i="17"/>
  <c r="V384" i="17"/>
  <c r="N384" i="17"/>
  <c r="CL384" i="17" s="1"/>
  <c r="B386" i="17"/>
  <c r="G386" i="17" s="1"/>
  <c r="I385" i="17"/>
  <c r="L385" i="17"/>
  <c r="Y105" i="17"/>
  <c r="Z105" i="17" s="1"/>
  <c r="K80" i="17"/>
  <c r="L80" i="17" s="1"/>
  <c r="BO385" i="17" l="1"/>
  <c r="BN385" i="17"/>
  <c r="BP385" i="17"/>
  <c r="H386" i="17"/>
  <c r="CE385" i="17"/>
  <c r="CD385" i="17"/>
  <c r="CC385" i="17"/>
  <c r="K386" i="17"/>
  <c r="J386" i="17"/>
  <c r="A386" i="17"/>
  <c r="L386" i="17"/>
  <c r="N385" i="17"/>
  <c r="CL385" i="17" s="1"/>
  <c r="V385" i="17"/>
  <c r="U385" i="17"/>
  <c r="X385" i="17"/>
  <c r="O386" i="17"/>
  <c r="Y385" i="17"/>
  <c r="B387" i="17"/>
  <c r="A387" i="17" s="1"/>
  <c r="I386" i="17"/>
  <c r="Y106" i="17"/>
  <c r="Z106" i="17" s="1"/>
  <c r="BO386" i="17" l="1"/>
  <c r="BP386" i="17"/>
  <c r="BN386" i="17"/>
  <c r="H387" i="17"/>
  <c r="CE386" i="17"/>
  <c r="CD386" i="17"/>
  <c r="CC386" i="17"/>
  <c r="K387" i="17"/>
  <c r="J387" i="17"/>
  <c r="Z385" i="17"/>
  <c r="N386" i="17"/>
  <c r="CL386" i="17" s="1"/>
  <c r="Y386" i="17"/>
  <c r="V386" i="17"/>
  <c r="X386" i="17"/>
  <c r="Z386" i="17" s="1"/>
  <c r="U386" i="17"/>
  <c r="O387" i="17"/>
  <c r="B388" i="17"/>
  <c r="A388" i="17" s="1"/>
  <c r="G387" i="17"/>
  <c r="I387" i="17" s="1"/>
  <c r="L387" i="17"/>
  <c r="Y107" i="17"/>
  <c r="Z107" i="17" s="1"/>
  <c r="K81" i="17"/>
  <c r="L81" i="17" s="1"/>
  <c r="BP387" i="17" l="1"/>
  <c r="BO387" i="17"/>
  <c r="BN387" i="17"/>
  <c r="CE387" i="17"/>
  <c r="CD387" i="17"/>
  <c r="CC387" i="17"/>
  <c r="H388" i="17"/>
  <c r="D388" i="17"/>
  <c r="K388" i="17"/>
  <c r="E388" i="17"/>
  <c r="F388" i="17"/>
  <c r="U387" i="17"/>
  <c r="X387" i="17"/>
  <c r="Y387" i="17"/>
  <c r="O388" i="17"/>
  <c r="V387" i="17"/>
  <c r="N387" i="17"/>
  <c r="CL387" i="17" s="1"/>
  <c r="Z387" i="17"/>
  <c r="C388" i="17"/>
  <c r="J388" i="17"/>
  <c r="L388" i="17"/>
  <c r="G388" i="17"/>
  <c r="B389" i="17"/>
  <c r="L389" i="17" s="1"/>
  <c r="I388" i="17"/>
  <c r="Y108" i="17"/>
  <c r="Z108" i="17" s="1"/>
  <c r="BN388" i="17" l="1"/>
  <c r="BO388" i="17"/>
  <c r="BP388" i="17"/>
  <c r="CE388" i="17"/>
  <c r="CD388" i="17"/>
  <c r="CC388" i="17"/>
  <c r="F389" i="17"/>
  <c r="E389" i="17"/>
  <c r="B390" i="17"/>
  <c r="H390" i="17" s="1"/>
  <c r="I389" i="17"/>
  <c r="U388" i="17"/>
  <c r="X388" i="17"/>
  <c r="V388" i="17"/>
  <c r="O389" i="17"/>
  <c r="N388" i="17"/>
  <c r="CL388" i="17" s="1"/>
  <c r="Y388" i="17"/>
  <c r="G389" i="17"/>
  <c r="A389" i="17"/>
  <c r="J389" i="17"/>
  <c r="D389" i="17"/>
  <c r="C389" i="17"/>
  <c r="H389" i="17"/>
  <c r="K389" i="17"/>
  <c r="Y109" i="17"/>
  <c r="Z109" i="17" s="1"/>
  <c r="K82" i="17"/>
  <c r="L82" i="17" s="1"/>
  <c r="BN389" i="17" l="1"/>
  <c r="BP389" i="17"/>
  <c r="BO389" i="17"/>
  <c r="CD389" i="17"/>
  <c r="CC389" i="17"/>
  <c r="CE389" i="17"/>
  <c r="F390" i="17"/>
  <c r="E390" i="17"/>
  <c r="G390" i="17"/>
  <c r="D390" i="17"/>
  <c r="A390" i="17"/>
  <c r="L390" i="17"/>
  <c r="Z388" i="17"/>
  <c r="B391" i="17"/>
  <c r="E391" i="17" s="1"/>
  <c r="I390" i="17"/>
  <c r="J390" i="17"/>
  <c r="C390" i="17"/>
  <c r="K390" i="17"/>
  <c r="U389" i="17"/>
  <c r="Y389" i="17"/>
  <c r="O390" i="17"/>
  <c r="V389" i="17"/>
  <c r="N389" i="17"/>
  <c r="CL389" i="17" s="1"/>
  <c r="X389" i="17"/>
  <c r="Y110" i="17"/>
  <c r="Z110" i="17" s="1"/>
  <c r="BP390" i="17" l="1"/>
  <c r="BN390" i="17"/>
  <c r="BO390" i="17"/>
  <c r="CD390" i="17"/>
  <c r="CC390" i="17"/>
  <c r="CE390" i="17"/>
  <c r="A391" i="17"/>
  <c r="F391" i="17"/>
  <c r="L391" i="17"/>
  <c r="J391" i="17"/>
  <c r="H391" i="17"/>
  <c r="C391" i="17"/>
  <c r="G391" i="17"/>
  <c r="D391" i="17"/>
  <c r="K391" i="17"/>
  <c r="Z389" i="17"/>
  <c r="U390" i="17"/>
  <c r="Y390" i="17"/>
  <c r="V390" i="17"/>
  <c r="N390" i="17"/>
  <c r="CL390" i="17" s="1"/>
  <c r="O391" i="17"/>
  <c r="X390" i="17"/>
  <c r="B392" i="17"/>
  <c r="J392" i="17" s="1"/>
  <c r="I391" i="17"/>
  <c r="Y111" i="17"/>
  <c r="Z111" i="17" s="1"/>
  <c r="K83" i="17"/>
  <c r="L83" i="17" s="1"/>
  <c r="BP391" i="17" l="1"/>
  <c r="BN391" i="17"/>
  <c r="BO391" i="17"/>
  <c r="G392" i="17"/>
  <c r="F392" i="17"/>
  <c r="A392" i="17"/>
  <c r="D392" i="17"/>
  <c r="H392" i="17"/>
  <c r="C392" i="17"/>
  <c r="E392" i="17"/>
  <c r="CD391" i="17"/>
  <c r="CC391" i="17"/>
  <c r="CE391" i="17"/>
  <c r="K392" i="17"/>
  <c r="X391" i="17"/>
  <c r="O392" i="17"/>
  <c r="V391" i="17"/>
  <c r="U391" i="17"/>
  <c r="N391" i="17"/>
  <c r="CL391" i="17" s="1"/>
  <c r="Y391" i="17"/>
  <c r="Z391" i="17" s="1"/>
  <c r="B393" i="17"/>
  <c r="I392" i="17"/>
  <c r="L392" i="17"/>
  <c r="Z390" i="17"/>
  <c r="Y112" i="17"/>
  <c r="Z112" i="17" s="1"/>
  <c r="BP392" i="17" l="1"/>
  <c r="BO392" i="17"/>
  <c r="BN392" i="17"/>
  <c r="CE392" i="17"/>
  <c r="CD392" i="17"/>
  <c r="CC392" i="17"/>
  <c r="B394" i="17"/>
  <c r="L394" i="17" s="1"/>
  <c r="I393" i="17"/>
  <c r="E393" i="17"/>
  <c r="K393" i="17"/>
  <c r="C393" i="17"/>
  <c r="O393" i="17"/>
  <c r="N392" i="17"/>
  <c r="CL392" i="17" s="1"/>
  <c r="U392" i="17"/>
  <c r="X392" i="17"/>
  <c r="Y392" i="17"/>
  <c r="Z392" i="17" s="1"/>
  <c r="V392" i="17"/>
  <c r="F393" i="17"/>
  <c r="J393" i="17"/>
  <c r="A393" i="17"/>
  <c r="D393" i="17"/>
  <c r="H393" i="17"/>
  <c r="G393" i="17"/>
  <c r="L393" i="17"/>
  <c r="Y113" i="17"/>
  <c r="Z113" i="17" s="1"/>
  <c r="K84" i="17"/>
  <c r="L84" i="17" s="1"/>
  <c r="BO393" i="17" l="1"/>
  <c r="BN393" i="17"/>
  <c r="BP393" i="17"/>
  <c r="H394" i="17"/>
  <c r="G394" i="17"/>
  <c r="E394" i="17"/>
  <c r="K394" i="17"/>
  <c r="F394" i="17"/>
  <c r="J394" i="17"/>
  <c r="A394" i="17"/>
  <c r="D394" i="17"/>
  <c r="C394" i="17"/>
  <c r="CE393" i="17"/>
  <c r="CD393" i="17"/>
  <c r="CC393" i="17"/>
  <c r="O394" i="17"/>
  <c r="V393" i="17"/>
  <c r="Y393" i="17"/>
  <c r="X393" i="17"/>
  <c r="N393" i="17"/>
  <c r="CL393" i="17" s="1"/>
  <c r="U393" i="17"/>
  <c r="B395" i="17"/>
  <c r="I395" i="17" s="1"/>
  <c r="I394" i="17"/>
  <c r="Y114" i="17"/>
  <c r="Z114" i="17" s="1"/>
  <c r="K85" i="17"/>
  <c r="L85" i="17" s="1"/>
  <c r="BO394" i="17" l="1"/>
  <c r="BP394" i="17"/>
  <c r="BN394" i="17"/>
  <c r="CE394" i="17"/>
  <c r="CD394" i="17"/>
  <c r="CC394" i="17"/>
  <c r="K395" i="17"/>
  <c r="E395" i="17"/>
  <c r="H395" i="17"/>
  <c r="Z393" i="17"/>
  <c r="J395" i="17"/>
  <c r="A395" i="17"/>
  <c r="S4" i="17" s="1"/>
  <c r="T4" i="17" s="1"/>
  <c r="F395" i="17"/>
  <c r="C395" i="17"/>
  <c r="D395" i="17"/>
  <c r="L395" i="17"/>
  <c r="G395" i="17"/>
  <c r="X394" i="17"/>
  <c r="U394" i="17"/>
  <c r="Y394" i="17"/>
  <c r="O395" i="17"/>
  <c r="V394" i="17"/>
  <c r="N394" i="17"/>
  <c r="CL394" i="17" s="1"/>
  <c r="Y115" i="17"/>
  <c r="Z115" i="17" s="1"/>
  <c r="BO395" i="17" l="1"/>
  <c r="BP395" i="17"/>
  <c r="CE395" i="17"/>
  <c r="CD395" i="17"/>
  <c r="CC395" i="17"/>
  <c r="U395" i="17"/>
  <c r="Y395" i="17"/>
  <c r="N395" i="17"/>
  <c r="V395" i="17"/>
  <c r="X395" i="17"/>
  <c r="X25" i="17" s="1"/>
  <c r="Z394" i="17"/>
  <c r="Y116" i="17"/>
  <c r="Z116" i="17" s="1"/>
  <c r="K86" i="17"/>
  <c r="L86" i="17" s="1"/>
  <c r="CL395" i="17" l="1"/>
  <c r="S5" i="17"/>
  <c r="T5" i="17" s="1"/>
  <c r="Z395" i="17"/>
  <c r="J25" i="17"/>
  <c r="Y117" i="17"/>
  <c r="Z117" i="17" s="1"/>
  <c r="Y118" i="17" l="1"/>
  <c r="Z118" i="17" s="1"/>
  <c r="K87" i="17"/>
  <c r="L87" i="17" s="1"/>
  <c r="Y119" i="17" l="1"/>
  <c r="Z119" i="17" s="1"/>
  <c r="Y120" i="17" l="1"/>
  <c r="Z120" i="17" s="1"/>
  <c r="K88" i="17"/>
  <c r="L88" i="17" s="1"/>
  <c r="Y121" i="17" l="1"/>
  <c r="Z121" i="17" s="1"/>
  <c r="Y122" i="17" l="1"/>
  <c r="Z122" i="17" s="1"/>
  <c r="K89" i="17"/>
  <c r="L89" i="17" s="1"/>
  <c r="Y123" i="17" l="1"/>
  <c r="Z123" i="17" s="1"/>
  <c r="Y124" i="17" l="1"/>
  <c r="Z124" i="17" s="1"/>
  <c r="K90" i="17"/>
  <c r="L90" i="17" s="1"/>
  <c r="Y125" i="17" l="1"/>
  <c r="Z125" i="17" s="1"/>
  <c r="Y126" i="17" l="1"/>
  <c r="Z126" i="17" s="1"/>
  <c r="K91" i="17"/>
  <c r="L91" i="17" s="1"/>
  <c r="Y127" i="17" l="1"/>
  <c r="Z127" i="17" s="1"/>
  <c r="Y128" i="17" l="1"/>
  <c r="Z128" i="17" s="1"/>
  <c r="K92" i="17"/>
  <c r="L92" i="17" s="1"/>
  <c r="Y129" i="17" l="1"/>
  <c r="Z129" i="17" s="1"/>
  <c r="Y130" i="17" l="1"/>
  <c r="Z130" i="17" s="1"/>
  <c r="K93" i="17"/>
  <c r="L93" i="17" s="1"/>
  <c r="Y131" i="17" l="1"/>
  <c r="Z131" i="17" s="1"/>
  <c r="K94" i="17"/>
  <c r="L94" i="17" s="1"/>
  <c r="Y132" i="17" l="1"/>
  <c r="Z132" i="17" s="1"/>
  <c r="Y133" i="17" l="1"/>
  <c r="Z133" i="17" s="1"/>
  <c r="K95" i="17"/>
  <c r="L95" i="17" s="1"/>
  <c r="Y134" i="17" l="1"/>
  <c r="Z134" i="17" s="1"/>
  <c r="K96" i="17" l="1"/>
  <c r="L96" i="17" s="1"/>
  <c r="Y136" i="17" l="1"/>
  <c r="Z136" i="17" s="1"/>
  <c r="Y137" i="17" l="1"/>
  <c r="Z137" i="17" s="1"/>
  <c r="K97" i="17"/>
  <c r="L97" i="17" s="1"/>
  <c r="Y138" i="17" l="1"/>
  <c r="Z138" i="17" s="1"/>
  <c r="Y139" i="17"/>
  <c r="Z139" i="17" s="1"/>
  <c r="K98" i="17" l="1"/>
  <c r="L98" i="17" s="1"/>
  <c r="Y141" i="17" l="1"/>
  <c r="Z141" i="17" s="1"/>
  <c r="K99" i="17"/>
  <c r="L99" i="17" s="1"/>
  <c r="Y142" i="17" l="1"/>
  <c r="Z142" i="17" s="1"/>
  <c r="Y143" i="17" l="1"/>
  <c r="Z143" i="17" s="1"/>
  <c r="Y144" i="17"/>
  <c r="Z144" i="17" s="1"/>
  <c r="K100" i="17"/>
  <c r="L100" i="17" s="1"/>
  <c r="Y145" i="17" l="1"/>
  <c r="Z145" i="17" s="1"/>
  <c r="K101" i="17" l="1"/>
  <c r="L101" i="17" s="1"/>
  <c r="Y147" i="17" l="1"/>
  <c r="Z147" i="17" s="1"/>
  <c r="K102" i="17"/>
  <c r="L102" i="17" s="1"/>
  <c r="Y148" i="17" l="1"/>
  <c r="Z148" i="17" s="1"/>
  <c r="Y149" i="17" l="1"/>
  <c r="Z149" i="17" s="1"/>
  <c r="K103" i="17"/>
  <c r="L103" i="17" s="1"/>
  <c r="Y151" i="17" l="1"/>
  <c r="Z151" i="17" s="1"/>
  <c r="K104" i="17"/>
  <c r="L104" i="17" s="1"/>
  <c r="Y152" i="17" l="1"/>
  <c r="Z152" i="17" s="1"/>
  <c r="Y153" i="17" l="1"/>
  <c r="Z153" i="17" s="1"/>
  <c r="K105" i="17"/>
  <c r="L105" i="17" s="1"/>
  <c r="Y154" i="17" l="1"/>
  <c r="Z154" i="17" s="1"/>
  <c r="Y155" i="17" l="1"/>
  <c r="Z155" i="17" s="1"/>
  <c r="K106" i="17"/>
  <c r="L106" i="17" s="1"/>
  <c r="Y156" i="17" l="1"/>
  <c r="Z156" i="17" s="1"/>
  <c r="Y157" i="17" l="1"/>
  <c r="Z157" i="17" s="1"/>
  <c r="K107" i="17"/>
  <c r="L107" i="17" s="1"/>
  <c r="Y158" i="17" l="1"/>
  <c r="Z158" i="17" s="1"/>
  <c r="Y159" i="17" l="1"/>
  <c r="Z159" i="17" s="1"/>
  <c r="K108" i="17"/>
  <c r="L108" i="17" s="1"/>
  <c r="Y160" i="17" l="1"/>
  <c r="Z160" i="17" s="1"/>
  <c r="K109" i="17" l="1"/>
  <c r="L109" i="17" s="1"/>
  <c r="K110" i="17" l="1"/>
  <c r="L110" i="17" s="1"/>
  <c r="Y163" i="17"/>
  <c r="Z163" i="17" s="1"/>
  <c r="Y164" i="17" l="1"/>
  <c r="Z164" i="17" s="1"/>
  <c r="Y165" i="17" l="1"/>
  <c r="Z165" i="17" s="1"/>
  <c r="K111" i="17"/>
  <c r="L111" i="17" s="1"/>
  <c r="Y166" i="17" l="1"/>
  <c r="Z166" i="17" s="1"/>
  <c r="K112" i="17"/>
  <c r="L112" i="17" s="1"/>
  <c r="Y167" i="17" l="1"/>
  <c r="Z167" i="17" s="1"/>
  <c r="K113" i="17" l="1"/>
  <c r="L113" i="17" s="1"/>
  <c r="Y170" i="17" l="1"/>
  <c r="Z170" i="17" s="1"/>
  <c r="K114" i="17"/>
  <c r="L114" i="17" s="1"/>
  <c r="Y171" i="17" l="1"/>
  <c r="Z171" i="17" s="1"/>
  <c r="Y172" i="17" l="1"/>
  <c r="Z172" i="17" s="1"/>
  <c r="K115" i="17"/>
  <c r="L115" i="17" s="1"/>
  <c r="Y173" i="17" l="1"/>
  <c r="Z173" i="17" s="1"/>
  <c r="Y174" i="17" l="1"/>
  <c r="Z174" i="17" s="1"/>
  <c r="K116" i="17"/>
  <c r="L116" i="17" s="1"/>
  <c r="Y175" i="17" l="1"/>
  <c r="Z175" i="17" s="1"/>
  <c r="K117" i="17" l="1"/>
  <c r="L117" i="17" s="1"/>
  <c r="K118" i="17" l="1"/>
  <c r="L118" i="17" s="1"/>
  <c r="Y178" i="17"/>
  <c r="Z178" i="17" s="1"/>
  <c r="Y179" i="17" l="1"/>
  <c r="Z179" i="17" s="1"/>
  <c r="K119" i="17"/>
  <c r="L119" i="17" s="1"/>
  <c r="Y180" i="17" l="1"/>
  <c r="Z180" i="17" s="1"/>
  <c r="Y181" i="17" l="1"/>
  <c r="Z181" i="17" s="1"/>
  <c r="K120" i="17"/>
  <c r="L120" i="17" s="1"/>
  <c r="Y182" i="17" l="1"/>
  <c r="Z182" i="17" s="1"/>
  <c r="Y183" i="17" l="1"/>
  <c r="Z183" i="17" s="1"/>
  <c r="K121" i="17"/>
  <c r="L121" i="17" s="1"/>
  <c r="Y184" i="17" l="1"/>
  <c r="Z184" i="17" s="1"/>
  <c r="K122" i="17" l="1"/>
  <c r="L122" i="17" s="1"/>
  <c r="Y185" i="17" l="1"/>
  <c r="Z185" i="17" s="1"/>
  <c r="K123" i="17" l="1"/>
  <c r="L123" i="17" s="1"/>
  <c r="Y188" i="17" l="1"/>
  <c r="Z188" i="17" s="1"/>
  <c r="K124" i="17"/>
  <c r="L124" i="17" s="1"/>
  <c r="Y189" i="17" l="1"/>
  <c r="Z189" i="17" s="1"/>
  <c r="Y190" i="17" l="1"/>
  <c r="Z190" i="17" s="1"/>
  <c r="K125" i="17"/>
  <c r="L125" i="17" s="1"/>
  <c r="Y191" i="17" l="1"/>
  <c r="Z191" i="17" s="1"/>
  <c r="Y192" i="17" l="1"/>
  <c r="Z192" i="17" s="1"/>
  <c r="K126" i="17"/>
  <c r="L126" i="17" s="1"/>
  <c r="Y193" i="17" l="1"/>
  <c r="Z193" i="17" s="1"/>
  <c r="Y194" i="17" l="1"/>
  <c r="Z194" i="17" s="1"/>
  <c r="K127" i="17"/>
  <c r="L127" i="17" s="1"/>
  <c r="Y195" i="17" l="1"/>
  <c r="Z195" i="17" s="1"/>
  <c r="K128" i="17" l="1"/>
  <c r="L128" i="17" s="1"/>
  <c r="Y196" i="17" l="1"/>
  <c r="Z196" i="17" s="1"/>
  <c r="Y197" i="17" l="1"/>
  <c r="Z197" i="17" s="1"/>
  <c r="K129" i="17"/>
  <c r="L129" i="17" s="1"/>
  <c r="Y198" i="17" l="1"/>
  <c r="Z198" i="17" s="1"/>
  <c r="Y199" i="17" l="1"/>
  <c r="Z199" i="17" s="1"/>
  <c r="K130" i="17"/>
  <c r="L130" i="17" s="1"/>
  <c r="Y200" i="17" l="1"/>
  <c r="Z200" i="17" s="1"/>
  <c r="Y201" i="17" l="1"/>
  <c r="Z201" i="17" s="1"/>
  <c r="K131" i="17"/>
  <c r="L131" i="17" s="1"/>
  <c r="Y202" i="17" l="1"/>
  <c r="Z202" i="17" s="1"/>
  <c r="Y203" i="17" l="1"/>
  <c r="Z203" i="17" s="1"/>
  <c r="K132" i="17"/>
  <c r="L132" i="17" s="1"/>
  <c r="K133" i="17" l="1"/>
  <c r="L133" i="17" s="1"/>
  <c r="Y204" i="17"/>
  <c r="Z204" i="17" s="1"/>
  <c r="Y205" i="17" l="1"/>
  <c r="Z205" i="17" s="1"/>
  <c r="Y206" i="17" l="1"/>
  <c r="Z206" i="17" s="1"/>
  <c r="K134" i="17"/>
  <c r="L134" i="17" s="1"/>
  <c r="Y207" i="17" l="1"/>
  <c r="Z207" i="17" s="1"/>
  <c r="Y208" i="17" l="1"/>
  <c r="Z208" i="17" s="1"/>
  <c r="K135" i="17"/>
  <c r="L135" i="17" s="1"/>
  <c r="Y209" i="17" l="1"/>
  <c r="Z209" i="17" s="1"/>
  <c r="K136" i="17"/>
  <c r="L136" i="17" s="1"/>
  <c r="Y210" i="17" l="1"/>
  <c r="Z210" i="17" s="1"/>
  <c r="K137" i="17" l="1"/>
  <c r="L137" i="17" s="1"/>
  <c r="Y212" i="17" l="1"/>
  <c r="Z212" i="17" s="1"/>
  <c r="Y213" i="17" l="1"/>
  <c r="Z213" i="17" s="1"/>
  <c r="K138" i="17"/>
  <c r="L138" i="17" s="1"/>
  <c r="Y214" i="17" l="1"/>
  <c r="Z214" i="17" s="1"/>
  <c r="Y215" i="17" l="1"/>
  <c r="Z215" i="17" s="1"/>
  <c r="K139" i="17"/>
  <c r="L139" i="17" s="1"/>
  <c r="Y216" i="17" l="1"/>
  <c r="Z216" i="17" s="1"/>
  <c r="K140" i="17"/>
  <c r="L140" i="17" s="1"/>
  <c r="Y217" i="17" l="1"/>
  <c r="Z217" i="17" s="1"/>
  <c r="Y218" i="17" l="1"/>
  <c r="Z218" i="17" s="1"/>
  <c r="K141" i="17"/>
  <c r="L141" i="17" s="1"/>
  <c r="Y219" i="17" l="1"/>
  <c r="Z219" i="17" s="1"/>
  <c r="Y220" i="17" l="1"/>
  <c r="Z220" i="17" s="1"/>
  <c r="K142" i="17"/>
  <c r="L142" i="17" s="1"/>
  <c r="Y221" i="17" l="1"/>
  <c r="Z221" i="17" s="1"/>
  <c r="Y222" i="17" l="1"/>
  <c r="Z222" i="17" s="1"/>
  <c r="K143" i="17"/>
  <c r="L143" i="17" s="1"/>
  <c r="Y223" i="17" l="1"/>
  <c r="Z223" i="17" s="1"/>
  <c r="Y224" i="17" l="1"/>
  <c r="Z224" i="17" s="1"/>
  <c r="K144" i="17"/>
  <c r="L144" i="17" s="1"/>
  <c r="Y226" i="17" l="1"/>
  <c r="Z226" i="17" s="1"/>
  <c r="K145" i="17"/>
  <c r="L145" i="17" s="1"/>
  <c r="Y227" i="17" l="1"/>
  <c r="Z227" i="17" s="1"/>
  <c r="K146" i="17" l="1"/>
  <c r="L146" i="17" s="1"/>
  <c r="Y229" i="17" l="1"/>
  <c r="Z229" i="17" s="1"/>
  <c r="K147" i="17" l="1"/>
  <c r="L147" i="17" s="1"/>
  <c r="Y230" i="17"/>
  <c r="Z230" i="17" s="1"/>
  <c r="Y231" i="17" l="1"/>
  <c r="Z231" i="17" s="1"/>
  <c r="Y232" i="17" l="1"/>
  <c r="Z232" i="17" s="1"/>
  <c r="K148" i="17"/>
  <c r="L148" i="17" s="1"/>
  <c r="Y233" i="17" l="1"/>
  <c r="Z233" i="17" s="1"/>
  <c r="Y234" i="17" l="1"/>
  <c r="Z234" i="17" s="1"/>
  <c r="K149" i="17"/>
  <c r="L149" i="17" s="1"/>
  <c r="Y235" i="17" l="1"/>
  <c r="Z235" i="17" s="1"/>
  <c r="Y236" i="17" l="1"/>
  <c r="Z236" i="17" s="1"/>
  <c r="K150" i="17"/>
  <c r="L150" i="17" s="1"/>
  <c r="Y237" i="17" l="1"/>
  <c r="Z237" i="17" s="1"/>
  <c r="Y238" i="17" l="1"/>
  <c r="Z238" i="17" s="1"/>
  <c r="K151" i="17"/>
  <c r="L151" i="17" s="1"/>
  <c r="Y239" i="17" l="1"/>
  <c r="Z239" i="17" s="1"/>
  <c r="Y240" i="17" l="1"/>
  <c r="Z240" i="17" s="1"/>
  <c r="K152" i="17"/>
  <c r="L152" i="17" s="1"/>
  <c r="Y241" i="17" l="1"/>
  <c r="Z241" i="17" s="1"/>
  <c r="Y242" i="17" l="1"/>
  <c r="Z242" i="17" s="1"/>
  <c r="K153" i="17"/>
  <c r="L153" i="17" s="1"/>
  <c r="Y243" i="17" l="1"/>
  <c r="Z243" i="17" s="1"/>
  <c r="Y244" i="17" l="1"/>
  <c r="Z244" i="17" s="1"/>
  <c r="K154" i="17"/>
  <c r="L154" i="17" s="1"/>
  <c r="K155" i="17" l="1"/>
  <c r="L155" i="17" s="1"/>
  <c r="Y246" i="17" l="1"/>
  <c r="Z246" i="17" s="1"/>
  <c r="Y247" i="17" l="1"/>
  <c r="Z247" i="17" s="1"/>
  <c r="K156" i="17"/>
  <c r="L156" i="17" s="1"/>
  <c r="Y248" i="17" l="1"/>
  <c r="Z248" i="17" s="1"/>
  <c r="K157" i="17" l="1"/>
  <c r="L157" i="17" s="1"/>
  <c r="Y250" i="17" l="1"/>
  <c r="Z250" i="17" s="1"/>
  <c r="Y251" i="17" l="1"/>
  <c r="Z251" i="17" s="1"/>
  <c r="Y252" i="17"/>
  <c r="Z252" i="17" s="1"/>
  <c r="K158" i="17"/>
  <c r="L158" i="17" s="1"/>
  <c r="Y253" i="17" l="1"/>
  <c r="Z253" i="17" s="1"/>
  <c r="Y254" i="17" l="1"/>
  <c r="Z254" i="17" s="1"/>
  <c r="K159" i="17"/>
  <c r="L159" i="17" s="1"/>
  <c r="Y255" i="17" l="1"/>
  <c r="Z255" i="17" s="1"/>
  <c r="Y256" i="17" l="1"/>
  <c r="Z256" i="17" s="1"/>
  <c r="K160" i="17"/>
  <c r="L160" i="17" s="1"/>
  <c r="Y257" i="17" l="1"/>
  <c r="Z257" i="17" s="1"/>
  <c r="Y258" i="17" l="1"/>
  <c r="Z258" i="17" s="1"/>
  <c r="K161" i="17"/>
  <c r="L161" i="17" s="1"/>
  <c r="Y259" i="17" l="1"/>
  <c r="Z259" i="17" s="1"/>
  <c r="K162" i="17" l="1"/>
  <c r="L162" i="17" s="1"/>
  <c r="Y260" i="17" l="1"/>
  <c r="Z260" i="17" s="1"/>
  <c r="K163" i="17" l="1"/>
  <c r="L163" i="17" s="1"/>
  <c r="Y262" i="17" l="1"/>
  <c r="Z262" i="17" s="1"/>
  <c r="Y263" i="17" l="1"/>
  <c r="Z263" i="17" s="1"/>
  <c r="K164" i="17"/>
  <c r="L164" i="17" s="1"/>
  <c r="Y264" i="17" l="1"/>
  <c r="Z264" i="17" s="1"/>
  <c r="Y265" i="17" l="1"/>
  <c r="Z265" i="17" s="1"/>
  <c r="K165" i="17"/>
  <c r="L165" i="17" s="1"/>
  <c r="Y266" i="17" l="1"/>
  <c r="Z266" i="17" s="1"/>
  <c r="Y267" i="17" l="1"/>
  <c r="Z267" i="17" s="1"/>
  <c r="K166" i="17"/>
  <c r="L166" i="17" s="1"/>
  <c r="Y269" i="17" l="1"/>
  <c r="Z269" i="17" s="1"/>
  <c r="K167" i="17"/>
  <c r="L167" i="17" s="1"/>
  <c r="Y270" i="17" l="1"/>
  <c r="Z270" i="17" s="1"/>
  <c r="Y271" i="17"/>
  <c r="Z271" i="17" s="1"/>
  <c r="Y272" i="17" l="1"/>
  <c r="Z272" i="17" s="1"/>
  <c r="K168" i="17"/>
  <c r="L168" i="17" s="1"/>
  <c r="Y273" i="17" l="1"/>
  <c r="Z273" i="17" s="1"/>
  <c r="K169" i="17" l="1"/>
  <c r="L169" i="17" s="1"/>
  <c r="Y274" i="17" l="1"/>
  <c r="Z274" i="17" s="1"/>
  <c r="Y275" i="17" l="1"/>
  <c r="Z275" i="17" s="1"/>
  <c r="K170" i="17"/>
  <c r="L170" i="17" s="1"/>
  <c r="K171" i="17" l="1"/>
  <c r="L171" i="17" s="1"/>
  <c r="K172" i="17" l="1"/>
  <c r="L172" i="17" s="1"/>
  <c r="K173" i="17" l="1"/>
  <c r="L173" i="17" s="1"/>
  <c r="K174" i="17" l="1"/>
  <c r="L174" i="17" s="1"/>
  <c r="K175" i="17" l="1"/>
  <c r="L175" i="17" s="1"/>
  <c r="K176" i="17" l="1"/>
  <c r="L176" i="17" s="1"/>
  <c r="K177" i="17" l="1"/>
  <c r="L177" i="17" s="1"/>
  <c r="K178" i="17" l="1"/>
  <c r="L178" i="17" s="1"/>
  <c r="K179" i="17" l="1"/>
  <c r="L179" i="17" s="1"/>
  <c r="K180" i="17" l="1"/>
  <c r="L180" i="17" s="1"/>
  <c r="K181" i="17" l="1"/>
  <c r="L181" i="17" s="1"/>
  <c r="K182" i="17" l="1"/>
  <c r="L182" i="17" s="1"/>
  <c r="K183" i="17" l="1"/>
  <c r="L183" i="17" s="1"/>
  <c r="K184" i="17" l="1"/>
  <c r="L184" i="17" s="1"/>
  <c r="K185" i="17" l="1"/>
  <c r="L185" i="17" s="1"/>
  <c r="K186" i="17" l="1"/>
  <c r="L186" i="17" s="1"/>
  <c r="K187" i="17" l="1"/>
  <c r="L187" i="17" s="1"/>
  <c r="K188" i="17" l="1"/>
  <c r="L188" i="17" s="1"/>
  <c r="K189" i="17" l="1"/>
  <c r="L189" i="17" s="1"/>
  <c r="K190" i="17" l="1"/>
  <c r="L190" i="17" s="1"/>
  <c r="K191" i="17" l="1"/>
  <c r="L191" i="17" s="1"/>
  <c r="K192" i="17" l="1"/>
  <c r="L192" i="17" s="1"/>
  <c r="K193" i="17" l="1"/>
  <c r="L193" i="17" s="1"/>
  <c r="K194" i="17" l="1"/>
  <c r="L194" i="17" s="1"/>
  <c r="K195" i="17" l="1"/>
  <c r="L195" i="17" s="1"/>
  <c r="K196" i="17" l="1"/>
  <c r="L196" i="17" s="1"/>
  <c r="K197" i="17" l="1"/>
  <c r="L197" i="17" s="1"/>
  <c r="K198" i="17" l="1"/>
  <c r="L198" i="17" s="1"/>
  <c r="K199" i="17" l="1"/>
  <c r="L199" i="17" s="1"/>
  <c r="K200" i="17" l="1"/>
  <c r="L200" i="17" s="1"/>
  <c r="K201" i="17" l="1"/>
  <c r="L201" i="17" s="1"/>
  <c r="K202" i="17" l="1"/>
  <c r="L202" i="17" s="1"/>
  <c r="K203" i="17" l="1"/>
  <c r="L203" i="17" s="1"/>
  <c r="K204" i="17" l="1"/>
  <c r="L204" i="17" s="1"/>
  <c r="K205" i="17" l="1"/>
  <c r="L205" i="17" s="1"/>
  <c r="K206" i="17" l="1"/>
  <c r="L206" i="17" s="1"/>
  <c r="K207" i="17" l="1"/>
  <c r="L207" i="17" s="1"/>
  <c r="K208" i="17" l="1"/>
  <c r="L208" i="17" s="1"/>
  <c r="K209" i="17" l="1"/>
  <c r="L209" i="17" s="1"/>
  <c r="K210" i="17" l="1"/>
  <c r="L210" i="17" s="1"/>
  <c r="K211" i="17" l="1"/>
  <c r="L211" i="17" s="1"/>
  <c r="K212" i="17" l="1"/>
  <c r="L212" i="17" s="1"/>
  <c r="K213" i="17" l="1"/>
  <c r="L213" i="17" s="1"/>
  <c r="K214" i="17" l="1"/>
  <c r="L214" i="17" s="1"/>
  <c r="K215" i="17" l="1"/>
  <c r="L215" i="17" s="1"/>
  <c r="K216" i="17" l="1"/>
  <c r="L216" i="17" s="1"/>
  <c r="K217" i="17" l="1"/>
  <c r="L217" i="17" s="1"/>
  <c r="K218" i="17" l="1"/>
  <c r="L218" i="17" s="1"/>
  <c r="K219" i="17" l="1"/>
  <c r="L219" i="17" s="1"/>
  <c r="K220" i="17" l="1"/>
  <c r="L220" i="17" s="1"/>
  <c r="K221" i="17" l="1"/>
  <c r="L221" i="17" s="1"/>
  <c r="K222" i="17" l="1"/>
  <c r="L222" i="17" s="1"/>
  <c r="K223" i="17" l="1"/>
  <c r="L223" i="17" s="1"/>
  <c r="K224" i="17" l="1"/>
  <c r="L224" i="17" s="1"/>
  <c r="K225" i="17" l="1"/>
  <c r="L225" i="17" s="1"/>
  <c r="K226" i="17" l="1"/>
  <c r="L226" i="17" s="1"/>
  <c r="K227" i="17" l="1"/>
  <c r="L227" i="17" s="1"/>
  <c r="K228" i="17" l="1"/>
  <c r="L228" i="17" s="1"/>
  <c r="K229" i="17" l="1"/>
  <c r="L229" i="17" s="1"/>
  <c r="K230" i="17" l="1"/>
  <c r="L230" i="17" s="1"/>
  <c r="K231" i="17" l="1"/>
  <c r="L231" i="17" s="1"/>
  <c r="K232" i="17" l="1"/>
  <c r="L232" i="17" s="1"/>
  <c r="K233" i="17" l="1"/>
  <c r="L233" i="17" s="1"/>
  <c r="K234" i="17" l="1"/>
  <c r="L234" i="17" s="1"/>
  <c r="K235" i="17" l="1"/>
  <c r="L235" i="17" s="1"/>
  <c r="K236" i="17" l="1"/>
  <c r="L236" i="17" s="1"/>
  <c r="K237" i="17" l="1"/>
  <c r="L237" i="17" s="1"/>
  <c r="K238" i="17" l="1"/>
  <c r="L238" i="17" s="1"/>
  <c r="K239" i="17" l="1"/>
  <c r="L239" i="17" s="1"/>
  <c r="K240" i="17" l="1"/>
  <c r="L240" i="17" s="1"/>
  <c r="K241" i="17" l="1"/>
  <c r="L241" i="17" s="1"/>
  <c r="K242" i="17" l="1"/>
  <c r="L242" i="17" s="1"/>
  <c r="K243" i="17" l="1"/>
  <c r="L243" i="17" s="1"/>
  <c r="K244" i="17" l="1"/>
  <c r="L244" i="17" s="1"/>
  <c r="K245" i="17" l="1"/>
  <c r="L245" i="17" s="1"/>
  <c r="K246" i="17" l="1"/>
  <c r="L246" i="17" s="1"/>
  <c r="K247" i="17" l="1"/>
  <c r="L247" i="17" s="1"/>
  <c r="K248" i="17" l="1"/>
  <c r="L248" i="17" s="1"/>
  <c r="K249" i="17" l="1"/>
  <c r="L249" i="17" s="1"/>
  <c r="K250" i="17" l="1"/>
  <c r="L250" i="17" s="1"/>
  <c r="K251" i="17" l="1"/>
  <c r="L251" i="17" s="1"/>
  <c r="K252" i="17" l="1"/>
  <c r="L252" i="17" s="1"/>
  <c r="K253" i="17" l="1"/>
  <c r="L253" i="17" s="1"/>
  <c r="K254" i="17" l="1"/>
  <c r="L254" i="17" s="1"/>
  <c r="K255" i="17" l="1"/>
  <c r="L255" i="17" s="1"/>
  <c r="K256" i="17" l="1"/>
  <c r="L256" i="17" s="1"/>
  <c r="K257" i="17" l="1"/>
  <c r="L257" i="17" s="1"/>
  <c r="K258" i="17" l="1"/>
  <c r="L258" i="17" s="1"/>
  <c r="K259" i="17" l="1"/>
  <c r="L259" i="17" s="1"/>
  <c r="K260" i="17" l="1"/>
  <c r="L260" i="17" s="1"/>
  <c r="K261" i="17" l="1"/>
  <c r="L261" i="17" s="1"/>
  <c r="K262" i="17" l="1"/>
  <c r="L262" i="17" s="1"/>
  <c r="K263" i="17" l="1"/>
  <c r="L263" i="17" s="1"/>
  <c r="K264" i="17" l="1"/>
  <c r="L264" i="17" s="1"/>
  <c r="K265" i="17" l="1"/>
  <c r="L265" i="17" s="1"/>
  <c r="K266" i="17" l="1"/>
  <c r="L266" i="17" s="1"/>
  <c r="K267" i="17" l="1"/>
  <c r="L267" i="17" l="1"/>
  <c r="L25" i="17" s="1"/>
  <c r="K4" i="17" s="1"/>
  <c r="K25" i="17"/>
  <c r="Y42" i="17" l="1"/>
  <c r="Z42" i="17" s="1"/>
  <c r="Y135" i="17"/>
  <c r="Z135" i="17" s="1"/>
  <c r="Y140" i="17"/>
  <c r="Z140" i="17" s="1"/>
  <c r="Y146" i="17"/>
  <c r="Z146" i="17" s="1"/>
  <c r="Y150" i="17"/>
  <c r="Z150" i="17" s="1"/>
  <c r="Y161" i="17"/>
  <c r="Z161" i="17" s="1"/>
  <c r="Y162" i="17"/>
  <c r="Z162" i="17" s="1"/>
  <c r="Y168" i="17"/>
  <c r="Z168" i="17" s="1"/>
  <c r="Y169" i="17"/>
  <c r="Z169" i="17" s="1"/>
  <c r="Y176" i="17"/>
  <c r="Z176" i="17" s="1"/>
  <c r="Y177" i="17"/>
  <c r="Z177" i="17" s="1"/>
  <c r="Y186" i="17"/>
  <c r="Z186" i="17" s="1"/>
  <c r="Y187" i="17"/>
  <c r="Z187" i="17" s="1"/>
  <c r="Y211" i="17"/>
  <c r="Z211" i="17" s="1"/>
  <c r="Y225" i="17"/>
  <c r="Z225" i="17" s="1"/>
  <c r="Y228" i="17"/>
  <c r="Z228" i="17" s="1"/>
  <c r="Y245" i="17"/>
  <c r="Z245" i="17" s="1"/>
  <c r="Y249" i="17"/>
  <c r="Z249" i="17" s="1"/>
  <c r="Y261" i="17"/>
  <c r="Z261" i="17" s="1"/>
  <c r="Y268" i="17"/>
  <c r="Z268" i="17" s="1"/>
  <c r="Y25" i="17" l="1"/>
  <c r="Z25" i="17"/>
  <c r="K5" i="17" l="1"/>
  <c r="K10" i="17"/>
  <c r="CF28" i="17" l="1"/>
  <c r="BY28" i="17"/>
  <c r="CG28" i="17"/>
  <c r="D268" i="17" l="1"/>
  <c r="E268" i="17"/>
  <c r="C268" i="17"/>
  <c r="F268" i="17"/>
  <c r="D269" i="17"/>
  <c r="E269" i="17"/>
  <c r="C269" i="17"/>
  <c r="F269" i="17"/>
  <c r="D270" i="17"/>
  <c r="E270" i="17"/>
  <c r="C270" i="17"/>
  <c r="F270" i="17"/>
  <c r="D271" i="17"/>
  <c r="E271" i="17"/>
  <c r="C271" i="17"/>
  <c r="F271" i="17"/>
  <c r="D272" i="17"/>
  <c r="E272" i="17"/>
  <c r="C272" i="17"/>
  <c r="F272" i="17"/>
  <c r="D273" i="17"/>
  <c r="E273" i="17"/>
  <c r="C273" i="17"/>
  <c r="F273" i="17"/>
  <c r="D274" i="17"/>
  <c r="E274" i="17"/>
  <c r="C274" i="17"/>
  <c r="F274" i="17"/>
  <c r="D275" i="17"/>
  <c r="E275" i="17"/>
  <c r="C275" i="17"/>
  <c r="F275" i="17"/>
  <c r="D276" i="17"/>
  <c r="E276" i="17"/>
  <c r="C276" i="17"/>
  <c r="F276" i="17"/>
  <c r="D277" i="17"/>
  <c r="E277" i="17"/>
  <c r="C277" i="17"/>
  <c r="F277" i="17"/>
  <c r="D278" i="17"/>
  <c r="E278" i="17"/>
  <c r="C278" i="17"/>
  <c r="F278" i="17"/>
  <c r="D279" i="17"/>
  <c r="E279" i="17"/>
  <c r="C279" i="17"/>
  <c r="F279" i="17"/>
  <c r="D280" i="17"/>
  <c r="E280" i="17"/>
  <c r="C280" i="17"/>
  <c r="F280" i="17"/>
  <c r="D281" i="17"/>
  <c r="E281" i="17"/>
  <c r="C281" i="17"/>
  <c r="F281" i="17"/>
  <c r="D282" i="17"/>
  <c r="E282" i="17"/>
  <c r="C282" i="17"/>
  <c r="F282" i="17"/>
  <c r="D283" i="17"/>
  <c r="E283" i="17"/>
  <c r="C283" i="17"/>
  <c r="F283" i="17"/>
  <c r="D284" i="17"/>
  <c r="E284" i="17"/>
  <c r="C284" i="17"/>
  <c r="F284" i="17"/>
  <c r="D285" i="17"/>
  <c r="E285" i="17"/>
  <c r="C285" i="17"/>
  <c r="F285" i="17"/>
  <c r="D286" i="17"/>
  <c r="E286" i="17"/>
  <c r="C286" i="17"/>
  <c r="F286" i="17"/>
  <c r="D287" i="17"/>
  <c r="E287" i="17"/>
  <c r="C287" i="17"/>
  <c r="F287" i="17"/>
  <c r="D288" i="17"/>
  <c r="E288" i="17"/>
  <c r="C288" i="17"/>
  <c r="F288" i="17"/>
  <c r="D289" i="17"/>
  <c r="E289" i="17"/>
  <c r="C289" i="17"/>
  <c r="F289" i="17"/>
  <c r="D290" i="17"/>
  <c r="E290" i="17"/>
  <c r="C290" i="17"/>
  <c r="F290" i="17"/>
  <c r="D291" i="17"/>
  <c r="E291" i="17"/>
  <c r="C291" i="17"/>
  <c r="F291" i="17"/>
  <c r="D292" i="17"/>
  <c r="E292" i="17"/>
  <c r="C292" i="17"/>
  <c r="F292" i="17"/>
  <c r="D293" i="17"/>
  <c r="E293" i="17"/>
  <c r="C293" i="17"/>
  <c r="F293" i="17"/>
  <c r="D294" i="17"/>
  <c r="E294" i="17"/>
  <c r="C294" i="17"/>
  <c r="F294" i="17"/>
  <c r="D295" i="17"/>
  <c r="E295" i="17"/>
  <c r="C295" i="17"/>
  <c r="F295" i="17"/>
  <c r="D296" i="17"/>
  <c r="E296" i="17"/>
  <c r="C296" i="17"/>
  <c r="F296" i="17"/>
  <c r="D297" i="17"/>
  <c r="E297" i="17"/>
  <c r="C297" i="17"/>
  <c r="F297" i="17"/>
  <c r="D298" i="17"/>
  <c r="E298" i="17"/>
  <c r="C298" i="17"/>
  <c r="F298" i="17"/>
  <c r="D299" i="17"/>
  <c r="E299" i="17"/>
  <c r="C299" i="17"/>
  <c r="F299" i="17"/>
  <c r="D300" i="17"/>
  <c r="E300" i="17"/>
  <c r="C300" i="17"/>
  <c r="F300" i="17"/>
  <c r="D301" i="17"/>
  <c r="E301" i="17"/>
  <c r="C301" i="17"/>
  <c r="F301" i="17"/>
  <c r="D302" i="17"/>
  <c r="E302" i="17"/>
  <c r="C302" i="17"/>
  <c r="F302" i="17"/>
  <c r="D303" i="17"/>
  <c r="E303" i="17"/>
  <c r="C303" i="17"/>
  <c r="F303" i="17"/>
  <c r="D304" i="17"/>
  <c r="E304" i="17"/>
  <c r="C304" i="17"/>
  <c r="F304" i="17"/>
  <c r="D305" i="17"/>
  <c r="E305" i="17"/>
  <c r="C305" i="17"/>
  <c r="F305" i="17"/>
  <c r="D306" i="17"/>
  <c r="E306" i="17"/>
  <c r="C306" i="17"/>
  <c r="F306" i="17"/>
  <c r="D307" i="17"/>
  <c r="E307" i="17"/>
  <c r="C307" i="17"/>
  <c r="F307" i="17"/>
  <c r="D308" i="17"/>
  <c r="E308" i="17"/>
  <c r="C308" i="17"/>
  <c r="F308" i="17"/>
  <c r="D309" i="17"/>
  <c r="E309" i="17"/>
  <c r="C309" i="17"/>
  <c r="F309" i="17"/>
  <c r="D310" i="17"/>
  <c r="E310" i="17"/>
  <c r="C310" i="17"/>
  <c r="F310" i="17"/>
  <c r="D311" i="17"/>
  <c r="E311" i="17"/>
  <c r="C311" i="17"/>
  <c r="F311" i="17"/>
  <c r="D312" i="17"/>
  <c r="E312" i="17"/>
  <c r="C312" i="17"/>
  <c r="F312" i="17"/>
  <c r="D313" i="17"/>
  <c r="E313" i="17"/>
  <c r="C313" i="17"/>
  <c r="F313" i="17"/>
  <c r="D314" i="17"/>
  <c r="E314" i="17"/>
  <c r="C314" i="17"/>
  <c r="F314" i="17"/>
  <c r="D315" i="17"/>
  <c r="E315" i="17"/>
  <c r="C315" i="17"/>
  <c r="F315" i="17"/>
  <c r="D316" i="17"/>
  <c r="E316" i="17"/>
  <c r="C316" i="17"/>
  <c r="F316" i="17"/>
  <c r="D317" i="17"/>
  <c r="E317" i="17"/>
  <c r="C317" i="17"/>
  <c r="F317" i="17"/>
  <c r="D318" i="17"/>
  <c r="E318" i="17"/>
  <c r="C318" i="17"/>
  <c r="F318" i="17"/>
  <c r="D319" i="17"/>
  <c r="E319" i="17"/>
  <c r="C319" i="17"/>
  <c r="F319" i="17"/>
  <c r="D320" i="17"/>
  <c r="E320" i="17"/>
  <c r="C320" i="17"/>
  <c r="F320" i="17"/>
  <c r="D321" i="17"/>
  <c r="E321" i="17"/>
  <c r="C321" i="17"/>
  <c r="F321" i="17"/>
  <c r="D322" i="17"/>
  <c r="E322" i="17"/>
  <c r="C322" i="17"/>
  <c r="F322" i="17"/>
  <c r="D323" i="17"/>
  <c r="E323" i="17"/>
  <c r="C323" i="17"/>
  <c r="F323" i="17"/>
  <c r="D324" i="17"/>
  <c r="E324" i="17"/>
  <c r="C324" i="17"/>
  <c r="F324" i="17"/>
  <c r="D325" i="17"/>
  <c r="E325" i="17"/>
  <c r="C325" i="17"/>
  <c r="F325" i="17"/>
  <c r="D326" i="17"/>
  <c r="E326" i="17"/>
  <c r="C326" i="17"/>
  <c r="F326" i="17"/>
  <c r="D327" i="17"/>
  <c r="E327" i="17"/>
  <c r="C327" i="17"/>
  <c r="F327" i="17"/>
  <c r="D328" i="17"/>
  <c r="E328" i="17"/>
  <c r="C328" i="17"/>
  <c r="F328" i="17"/>
  <c r="D329" i="17"/>
  <c r="E329" i="17"/>
  <c r="C329" i="17"/>
  <c r="F329" i="17"/>
  <c r="D330" i="17"/>
  <c r="E330" i="17"/>
  <c r="C330" i="17"/>
  <c r="F330" i="17"/>
  <c r="D331" i="17"/>
  <c r="E331" i="17"/>
  <c r="C331" i="17"/>
  <c r="F331" i="17"/>
  <c r="D332" i="17"/>
  <c r="E332" i="17"/>
  <c r="C332" i="17"/>
  <c r="F332" i="17"/>
  <c r="D333" i="17"/>
  <c r="E333" i="17"/>
  <c r="C333" i="17"/>
  <c r="F333" i="17"/>
  <c r="D334" i="17"/>
  <c r="E334" i="17"/>
  <c r="C334" i="17"/>
  <c r="F334" i="17"/>
  <c r="D335" i="17"/>
  <c r="E335" i="17"/>
  <c r="C335" i="17"/>
  <c r="F335" i="17"/>
  <c r="D336" i="17"/>
  <c r="E336" i="17"/>
  <c r="C336" i="17"/>
  <c r="F336" i="17"/>
  <c r="D337" i="17"/>
  <c r="E337" i="17"/>
  <c r="C337" i="17"/>
  <c r="F337" i="17"/>
  <c r="D338" i="17"/>
  <c r="E338" i="17"/>
  <c r="C338" i="17"/>
  <c r="F338" i="17"/>
  <c r="D339" i="17"/>
  <c r="E339" i="17"/>
  <c r="C339" i="17"/>
  <c r="F339" i="17"/>
  <c r="D340" i="17"/>
  <c r="E340" i="17"/>
  <c r="C340" i="17"/>
  <c r="F340" i="17"/>
  <c r="D341" i="17"/>
  <c r="E341" i="17"/>
  <c r="C341" i="17"/>
  <c r="F341" i="17"/>
  <c r="D342" i="17"/>
  <c r="E342" i="17"/>
  <c r="C342" i="17"/>
  <c r="F342" i="17"/>
  <c r="D343" i="17"/>
  <c r="E343" i="17"/>
  <c r="C343" i="17"/>
  <c r="F343" i="17"/>
  <c r="D344" i="17"/>
  <c r="E344" i="17"/>
  <c r="C344" i="17"/>
  <c r="F344" i="17"/>
  <c r="D345" i="17"/>
  <c r="E345" i="17"/>
  <c r="C345" i="17"/>
  <c r="F345" i="17"/>
  <c r="D346" i="17"/>
  <c r="E346" i="17"/>
  <c r="C346" i="17"/>
  <c r="F346" i="17"/>
  <c r="D347" i="17"/>
  <c r="E347" i="17"/>
  <c r="C347" i="17"/>
  <c r="F347" i="17"/>
  <c r="D348" i="17"/>
  <c r="E348" i="17"/>
  <c r="C348" i="17"/>
  <c r="F348" i="17"/>
  <c r="D349" i="17"/>
  <c r="E349" i="17"/>
  <c r="C349" i="17"/>
  <c r="F349" i="17"/>
  <c r="D350" i="17"/>
  <c r="E350" i="17"/>
  <c r="C350" i="17"/>
  <c r="F350" i="17"/>
  <c r="D351" i="17"/>
  <c r="E351" i="17"/>
  <c r="C351" i="17"/>
  <c r="F351" i="17"/>
  <c r="D352" i="17"/>
  <c r="E352" i="17"/>
  <c r="C352" i="17"/>
  <c r="F352" i="17"/>
  <c r="D353" i="17"/>
  <c r="E353" i="17"/>
  <c r="C353" i="17"/>
  <c r="F353" i="17"/>
  <c r="D354" i="17"/>
  <c r="E354" i="17"/>
  <c r="C354" i="17"/>
  <c r="F354" i="17"/>
  <c r="D355" i="17"/>
  <c r="E355" i="17"/>
  <c r="C355" i="17"/>
  <c r="F355" i="17"/>
  <c r="D356" i="17"/>
  <c r="E356" i="17"/>
  <c r="C356" i="17"/>
  <c r="F356" i="17"/>
  <c r="D357" i="17"/>
  <c r="E357" i="17"/>
  <c r="C357" i="17"/>
  <c r="F357" i="17"/>
  <c r="D358" i="17"/>
  <c r="E358" i="17"/>
  <c r="C358" i="17"/>
  <c r="F358" i="17"/>
  <c r="D359" i="17"/>
  <c r="E359" i="17"/>
  <c r="C359" i="17"/>
  <c r="F359" i="17"/>
  <c r="D360" i="17"/>
  <c r="E360" i="17"/>
  <c r="C360" i="17"/>
  <c r="F360" i="17"/>
  <c r="D361" i="17"/>
  <c r="E361" i="17"/>
  <c r="C361" i="17"/>
  <c r="F361" i="17"/>
  <c r="D362" i="17"/>
  <c r="E362" i="17"/>
  <c r="C362" i="17"/>
  <c r="F362" i="17"/>
  <c r="D363" i="17"/>
  <c r="E363" i="17"/>
  <c r="C363" i="17"/>
  <c r="F363" i="17"/>
  <c r="D364" i="17"/>
  <c r="E364" i="17"/>
  <c r="C364" i="17"/>
  <c r="F364" i="17"/>
  <c r="D365" i="17"/>
  <c r="E365" i="17"/>
  <c r="C365" i="17"/>
  <c r="F365" i="17"/>
  <c r="D366" i="17"/>
  <c r="E366" i="17"/>
  <c r="C366" i="17"/>
  <c r="F366" i="17"/>
  <c r="D367" i="17"/>
  <c r="E367" i="17"/>
  <c r="C367" i="17"/>
  <c r="F367" i="17"/>
  <c r="D368" i="17"/>
  <c r="E368" i="17"/>
  <c r="C368" i="17"/>
  <c r="F368" i="17"/>
  <c r="D369" i="17"/>
  <c r="E369" i="17"/>
  <c r="C369" i="17"/>
  <c r="F369" i="17"/>
  <c r="D370" i="17"/>
  <c r="E370" i="17"/>
  <c r="C370" i="17"/>
  <c r="F370" i="17"/>
  <c r="D371" i="17"/>
  <c r="E371" i="17"/>
  <c r="C371" i="17"/>
  <c r="F371" i="17"/>
  <c r="D372" i="17"/>
  <c r="E372" i="17"/>
  <c r="C372" i="17"/>
  <c r="F372" i="17"/>
  <c r="D373" i="17"/>
  <c r="E373" i="17"/>
  <c r="C373" i="17"/>
  <c r="F373" i="17"/>
  <c r="D374" i="17"/>
  <c r="E374" i="17"/>
  <c r="C374" i="17"/>
  <c r="F374" i="17"/>
  <c r="D375" i="17"/>
  <c r="E375" i="17"/>
  <c r="C375" i="17"/>
  <c r="F375" i="17"/>
  <c r="D376" i="17"/>
  <c r="E376" i="17"/>
  <c r="C376" i="17"/>
  <c r="F376" i="17"/>
  <c r="D377" i="17"/>
  <c r="E377" i="17"/>
  <c r="C377" i="17"/>
  <c r="F377" i="17"/>
  <c r="D378" i="17"/>
  <c r="E378" i="17"/>
  <c r="C378" i="17"/>
  <c r="F378" i="17"/>
  <c r="D379" i="17"/>
  <c r="E379" i="17"/>
  <c r="C379" i="17"/>
  <c r="F379" i="17"/>
  <c r="D380" i="17"/>
  <c r="E380" i="17"/>
  <c r="C380" i="17"/>
  <c r="F380" i="17"/>
  <c r="D381" i="17"/>
  <c r="E381" i="17"/>
  <c r="C381" i="17"/>
  <c r="F381" i="17"/>
  <c r="D382" i="17"/>
  <c r="E382" i="17"/>
  <c r="C382" i="17"/>
  <c r="F382" i="17"/>
  <c r="D383" i="17"/>
  <c r="E383" i="17"/>
  <c r="C383" i="17"/>
  <c r="F383" i="17"/>
  <c r="D384" i="17"/>
  <c r="E384" i="17"/>
  <c r="C384" i="17"/>
  <c r="F384" i="17"/>
  <c r="D385" i="17"/>
  <c r="E385" i="17"/>
  <c r="C385" i="17"/>
  <c r="F385" i="17"/>
  <c r="D386" i="17"/>
  <c r="E386" i="17"/>
  <c r="C386" i="17"/>
  <c r="F386" i="17"/>
  <c r="D387" i="17"/>
  <c r="E387" i="17"/>
  <c r="C387" i="17"/>
  <c r="R276" i="17"/>
  <c r="S276" i="17"/>
  <c r="Q276" i="17"/>
  <c r="T276" i="17"/>
  <c r="R277" i="17"/>
  <c r="S277" i="17"/>
  <c r="Q277" i="17"/>
  <c r="T277" i="17"/>
  <c r="R278" i="17"/>
  <c r="S278" i="17"/>
  <c r="Q278" i="17"/>
  <c r="T278" i="17"/>
  <c r="R279" i="17"/>
  <c r="S279" i="17"/>
  <c r="Q279" i="17"/>
  <c r="T279" i="17"/>
  <c r="R280" i="17"/>
  <c r="S280" i="17"/>
  <c r="Q280" i="17"/>
  <c r="T280" i="17"/>
  <c r="R281" i="17"/>
  <c r="S281" i="17"/>
  <c r="Q281" i="17"/>
  <c r="T281" i="17"/>
  <c r="R282" i="17"/>
  <c r="S282" i="17"/>
  <c r="Q282" i="17"/>
  <c r="T282" i="17"/>
  <c r="R283" i="17"/>
  <c r="S283" i="17"/>
  <c r="Q283" i="17"/>
  <c r="T283" i="17"/>
  <c r="R284" i="17"/>
  <c r="S284" i="17"/>
  <c r="Q284" i="17"/>
  <c r="T284" i="17"/>
  <c r="R285" i="17"/>
  <c r="S285" i="17"/>
  <c r="Q285" i="17"/>
  <c r="T285" i="17"/>
  <c r="R286" i="17"/>
  <c r="S286" i="17"/>
  <c r="Q286" i="17"/>
  <c r="T286" i="17"/>
  <c r="R287" i="17"/>
  <c r="S287" i="17"/>
  <c r="Q287" i="17"/>
  <c r="T287" i="17"/>
  <c r="R288" i="17"/>
  <c r="S288" i="17"/>
  <c r="Q288" i="17"/>
  <c r="T288" i="17"/>
  <c r="R289" i="17"/>
  <c r="S289" i="17"/>
  <c r="Q289" i="17"/>
  <c r="T289" i="17"/>
  <c r="R290" i="17"/>
  <c r="S290" i="17"/>
  <c r="Q290" i="17"/>
  <c r="T290" i="17"/>
  <c r="R291" i="17"/>
  <c r="S291" i="17"/>
  <c r="Q291" i="17"/>
  <c r="T291" i="17"/>
  <c r="R292" i="17"/>
  <c r="S292" i="17"/>
  <c r="Q292" i="17"/>
  <c r="T292" i="17"/>
  <c r="R293" i="17"/>
  <c r="S293" i="17"/>
  <c r="Q293" i="17"/>
  <c r="T293" i="17"/>
  <c r="R294" i="17"/>
  <c r="S294" i="17"/>
  <c r="Q294" i="17"/>
  <c r="T294" i="17"/>
  <c r="R295" i="17"/>
  <c r="S295" i="17"/>
  <c r="Q295" i="17"/>
  <c r="T295" i="17"/>
  <c r="R296" i="17"/>
  <c r="S296" i="17"/>
  <c r="Q296" i="17"/>
  <c r="T296" i="17"/>
  <c r="R297" i="17"/>
  <c r="S297" i="17"/>
  <c r="Q297" i="17"/>
  <c r="T297" i="17"/>
  <c r="R298" i="17"/>
  <c r="S298" i="17"/>
  <c r="Q298" i="17"/>
  <c r="T298" i="17"/>
  <c r="R299" i="17"/>
  <c r="S299" i="17"/>
  <c r="Q299" i="17"/>
  <c r="T299" i="17"/>
  <c r="R300" i="17"/>
  <c r="S300" i="17"/>
  <c r="Q300" i="17"/>
  <c r="T300" i="17"/>
  <c r="R301" i="17"/>
  <c r="S301" i="17"/>
  <c r="Q301" i="17"/>
  <c r="T301" i="17"/>
  <c r="R302" i="17"/>
  <c r="S302" i="17"/>
  <c r="Q302" i="17"/>
  <c r="T302" i="17"/>
  <c r="R303" i="17"/>
  <c r="S303" i="17"/>
  <c r="Q303" i="17"/>
  <c r="T303" i="17"/>
  <c r="R304" i="17"/>
  <c r="S304" i="17"/>
  <c r="Q304" i="17"/>
  <c r="T304" i="17"/>
  <c r="R305" i="17"/>
  <c r="S305" i="17"/>
  <c r="Q305" i="17"/>
  <c r="T305" i="17"/>
  <c r="R306" i="17"/>
  <c r="S306" i="17"/>
  <c r="Q306" i="17"/>
  <c r="T306" i="17"/>
  <c r="R307" i="17"/>
  <c r="S307" i="17"/>
  <c r="Q307" i="17"/>
  <c r="T307" i="17"/>
  <c r="R308" i="17"/>
  <c r="S308" i="17"/>
  <c r="Q308" i="17"/>
  <c r="T308" i="17"/>
  <c r="R309" i="17"/>
  <c r="S309" i="17"/>
  <c r="Q309" i="17"/>
  <c r="T309" i="17"/>
  <c r="R310" i="17"/>
  <c r="S310" i="17"/>
  <c r="Q310" i="17"/>
  <c r="T310" i="17"/>
  <c r="R311" i="17"/>
  <c r="S311" i="17"/>
  <c r="Q311" i="17"/>
  <c r="T311" i="17"/>
  <c r="R312" i="17"/>
  <c r="S312" i="17"/>
  <c r="Q312" i="17"/>
  <c r="T312" i="17"/>
  <c r="R313" i="17"/>
  <c r="S313" i="17"/>
  <c r="Q313" i="17"/>
  <c r="T313" i="17"/>
  <c r="R314" i="17"/>
  <c r="S314" i="17"/>
  <c r="Q314" i="17"/>
  <c r="T314" i="17"/>
  <c r="R315" i="17"/>
  <c r="S315" i="17"/>
  <c r="Q315" i="17"/>
  <c r="T315" i="17"/>
  <c r="R316" i="17"/>
  <c r="S316" i="17"/>
  <c r="Q316" i="17"/>
  <c r="T316" i="17"/>
  <c r="R317" i="17"/>
  <c r="S317" i="17"/>
  <c r="Q317" i="17"/>
  <c r="T317" i="17"/>
  <c r="R318" i="17"/>
  <c r="S318" i="17"/>
  <c r="Q318" i="17"/>
  <c r="T318" i="17"/>
  <c r="R319" i="17"/>
  <c r="S319" i="17"/>
  <c r="Q319" i="17"/>
  <c r="T319" i="17"/>
  <c r="R320" i="17"/>
  <c r="S320" i="17"/>
  <c r="Q320" i="17"/>
  <c r="T320" i="17"/>
  <c r="R321" i="17"/>
  <c r="S321" i="17"/>
  <c r="Q321" i="17"/>
  <c r="T321" i="17"/>
  <c r="R322" i="17"/>
  <c r="S322" i="17"/>
  <c r="Q322" i="17"/>
  <c r="T322" i="17"/>
  <c r="R323" i="17"/>
  <c r="S323" i="17"/>
  <c r="Q323" i="17"/>
  <c r="T323" i="17"/>
  <c r="R324" i="17"/>
  <c r="S324" i="17"/>
  <c r="Q324" i="17"/>
  <c r="T324" i="17"/>
  <c r="R325" i="17"/>
  <c r="S325" i="17"/>
  <c r="Q325" i="17"/>
  <c r="T325" i="17"/>
  <c r="R326" i="17"/>
  <c r="S326" i="17"/>
  <c r="Q326" i="17"/>
  <c r="T326" i="17"/>
  <c r="R327" i="17"/>
  <c r="S327" i="17"/>
  <c r="Q327" i="17"/>
  <c r="T327" i="17"/>
  <c r="R328" i="17"/>
  <c r="S328" i="17"/>
  <c r="Q328" i="17"/>
  <c r="T328" i="17"/>
  <c r="R329" i="17"/>
  <c r="S329" i="17"/>
  <c r="Q329" i="17"/>
  <c r="T329" i="17"/>
  <c r="R330" i="17"/>
  <c r="S330" i="17"/>
  <c r="Q330" i="17"/>
  <c r="T330" i="17"/>
  <c r="R331" i="17"/>
  <c r="S331" i="17"/>
  <c r="Q331" i="17"/>
  <c r="T331" i="17"/>
  <c r="R332" i="17"/>
  <c r="S332" i="17"/>
  <c r="Q332" i="17"/>
  <c r="T332" i="17"/>
  <c r="R333" i="17"/>
  <c r="S333" i="17"/>
  <c r="Q333" i="17"/>
  <c r="T333" i="17"/>
  <c r="R334" i="17"/>
  <c r="S334" i="17"/>
  <c r="Q334" i="17"/>
  <c r="T334" i="17"/>
  <c r="R335" i="17"/>
  <c r="S335" i="17"/>
  <c r="Q335" i="17"/>
  <c r="T335" i="17"/>
  <c r="R336" i="17"/>
  <c r="S336" i="17"/>
  <c r="Q336" i="17"/>
  <c r="T336" i="17"/>
  <c r="R337" i="17"/>
  <c r="S337" i="17"/>
  <c r="Q337" i="17"/>
  <c r="T337" i="17"/>
  <c r="R338" i="17"/>
  <c r="S338" i="17"/>
  <c r="Q338" i="17"/>
  <c r="T338" i="17"/>
  <c r="R339" i="17"/>
  <c r="S339" i="17"/>
  <c r="Q339" i="17"/>
  <c r="T339" i="17"/>
  <c r="R340" i="17"/>
  <c r="S340" i="17"/>
  <c r="Q340" i="17"/>
  <c r="T340" i="17"/>
  <c r="R341" i="17"/>
  <c r="S341" i="17"/>
  <c r="Q341" i="17"/>
  <c r="T341" i="17"/>
  <c r="R342" i="17"/>
  <c r="S342" i="17"/>
  <c r="Q342" i="17"/>
  <c r="T342" i="17"/>
  <c r="R343" i="17"/>
  <c r="S343" i="17"/>
  <c r="Q343" i="17"/>
  <c r="T343" i="17"/>
  <c r="R344" i="17"/>
  <c r="S344" i="17"/>
  <c r="Q344" i="17"/>
  <c r="T344" i="17"/>
  <c r="R345" i="17"/>
  <c r="S345" i="17"/>
  <c r="Q345" i="17"/>
  <c r="T345" i="17"/>
  <c r="R346" i="17"/>
  <c r="S346" i="17"/>
  <c r="Q346" i="17"/>
  <c r="T346" i="17"/>
  <c r="R347" i="17"/>
  <c r="S347" i="17"/>
  <c r="Q347" i="17"/>
  <c r="T347" i="17"/>
  <c r="R348" i="17"/>
  <c r="S348" i="17"/>
  <c r="Q348" i="17"/>
  <c r="T348" i="17"/>
  <c r="R349" i="17"/>
  <c r="S349" i="17"/>
  <c r="Q349" i="17"/>
  <c r="T349" i="17"/>
  <c r="R350" i="17"/>
  <c r="S350" i="17"/>
  <c r="Q350" i="17"/>
  <c r="T350" i="17"/>
  <c r="R351" i="17"/>
  <c r="S351" i="17"/>
  <c r="Q351" i="17"/>
  <c r="T351" i="17"/>
  <c r="R352" i="17"/>
  <c r="S352" i="17"/>
  <c r="Q352" i="17"/>
  <c r="T352" i="17"/>
  <c r="R353" i="17"/>
  <c r="S353" i="17"/>
  <c r="Q353" i="17"/>
  <c r="T353" i="17"/>
  <c r="R354" i="17"/>
  <c r="S354" i="17"/>
  <c r="Q354" i="17"/>
  <c r="T354" i="17"/>
  <c r="R355" i="17"/>
  <c r="S355" i="17"/>
  <c r="Q355" i="17"/>
  <c r="T355" i="17"/>
  <c r="R356" i="17"/>
  <c r="S356" i="17"/>
  <c r="Q356" i="17"/>
  <c r="T356" i="17"/>
  <c r="R357" i="17"/>
  <c r="S357" i="17"/>
  <c r="Q357" i="17"/>
  <c r="T357" i="17"/>
  <c r="R358" i="17"/>
  <c r="S358" i="17"/>
  <c r="Q358" i="17"/>
  <c r="T358" i="17"/>
  <c r="R359" i="17"/>
  <c r="S359" i="17"/>
  <c r="Q359" i="17"/>
  <c r="T359" i="17"/>
  <c r="R360" i="17"/>
  <c r="S360" i="17"/>
  <c r="Q360" i="17"/>
  <c r="T360" i="17"/>
  <c r="R361" i="17"/>
  <c r="S361" i="17"/>
  <c r="Q361" i="17"/>
  <c r="T361" i="17"/>
  <c r="R362" i="17"/>
  <c r="S362" i="17"/>
  <c r="Q362" i="17"/>
  <c r="T362" i="17"/>
  <c r="R363" i="17"/>
  <c r="S363" i="17"/>
  <c r="Q363" i="17"/>
  <c r="T363" i="17"/>
  <c r="R364" i="17"/>
  <c r="S364" i="17"/>
  <c r="Q364" i="17"/>
  <c r="T364" i="17"/>
  <c r="R365" i="17"/>
  <c r="S365" i="17"/>
  <c r="Q365" i="17"/>
  <c r="T365" i="17"/>
  <c r="R366" i="17"/>
  <c r="S366" i="17"/>
  <c r="Q366" i="17"/>
  <c r="T366" i="17"/>
  <c r="R367" i="17"/>
  <c r="S367" i="17"/>
  <c r="Q367" i="17"/>
  <c r="T367" i="17"/>
  <c r="R368" i="17"/>
  <c r="S368" i="17"/>
  <c r="Q368" i="17"/>
  <c r="T368" i="17"/>
  <c r="R369" i="17"/>
  <c r="S369" i="17"/>
  <c r="Q369" i="17"/>
  <c r="T369" i="17"/>
  <c r="R370" i="17"/>
  <c r="S370" i="17"/>
  <c r="Q370" i="17"/>
  <c r="T370" i="17"/>
  <c r="R371" i="17"/>
  <c r="S371" i="17"/>
  <c r="Q371" i="17"/>
  <c r="T371" i="17"/>
  <c r="R372" i="17"/>
  <c r="S372" i="17"/>
  <c r="Q372" i="17"/>
  <c r="T372" i="17"/>
  <c r="R373" i="17"/>
  <c r="S373" i="17"/>
  <c r="Q373" i="17"/>
  <c r="T373" i="17"/>
  <c r="R374" i="17"/>
  <c r="S374" i="17"/>
  <c r="Q374" i="17"/>
  <c r="T374" i="17"/>
  <c r="R375" i="17"/>
  <c r="S375" i="17"/>
  <c r="Q375" i="17"/>
  <c r="T375" i="17"/>
  <c r="R376" i="17"/>
  <c r="S376" i="17"/>
  <c r="Q376" i="17"/>
  <c r="T376" i="17"/>
  <c r="R377" i="17"/>
  <c r="S377" i="17"/>
  <c r="Q377" i="17"/>
  <c r="T377" i="17"/>
  <c r="R378" i="17"/>
  <c r="S378" i="17"/>
  <c r="Q378" i="17"/>
  <c r="T378" i="17"/>
  <c r="R379" i="17"/>
  <c r="S379" i="17"/>
  <c r="Q379" i="17"/>
  <c r="T379" i="17"/>
  <c r="R380" i="17"/>
  <c r="S380" i="17"/>
  <c r="Q380" i="17"/>
  <c r="T380" i="17"/>
  <c r="R381" i="17"/>
  <c r="S381" i="17"/>
  <c r="Q381" i="17"/>
  <c r="T381" i="17"/>
  <c r="R382" i="17"/>
  <c r="S382" i="17"/>
  <c r="Q382" i="17"/>
  <c r="T382" i="17"/>
  <c r="R383" i="17"/>
  <c r="S383" i="17"/>
  <c r="Q383" i="17"/>
  <c r="T383" i="17"/>
  <c r="R384" i="17"/>
  <c r="S384" i="17"/>
  <c r="Q384" i="17"/>
  <c r="T384" i="17"/>
  <c r="R385" i="17"/>
  <c r="S385" i="17"/>
  <c r="Q385" i="17"/>
  <c r="T385" i="17"/>
  <c r="R386" i="17"/>
  <c r="S386" i="17"/>
  <c r="Q386" i="17"/>
  <c r="T386" i="17"/>
  <c r="R387" i="17"/>
  <c r="S387" i="17"/>
  <c r="Q387" i="17"/>
  <c r="T387" i="17"/>
  <c r="S388" i="17"/>
  <c r="R388" i="17"/>
  <c r="T388" i="17"/>
  <c r="S389" i="17"/>
  <c r="R389" i="17"/>
  <c r="T389" i="17"/>
  <c r="S390" i="17"/>
  <c r="R390" i="17"/>
  <c r="T390" i="17"/>
  <c r="S391" i="17"/>
  <c r="R391" i="17"/>
  <c r="T391" i="17"/>
  <c r="S392" i="17"/>
  <c r="R392" i="17"/>
  <c r="T392" i="17"/>
  <c r="S393" i="17"/>
  <c r="R393" i="17"/>
  <c r="T393" i="17"/>
  <c r="S394" i="17"/>
  <c r="R394" i="17"/>
  <c r="T394" i="17"/>
  <c r="S395" i="17"/>
  <c r="R395" i="17"/>
  <c r="F387" i="17"/>
  <c r="Q394" i="17"/>
  <c r="Q392" i="17"/>
  <c r="Q390" i="17"/>
  <c r="Q388" i="17"/>
  <c r="T395" i="17"/>
  <c r="Q395" i="17"/>
  <c r="Q393" i="17"/>
  <c r="Q391" i="17"/>
  <c r="Q389" i="17"/>
  <c r="BW28" i="17" l="1"/>
  <c r="CH28" i="17" l="1"/>
  <c r="BX28" i="17"/>
  <c r="BZ28" i="17" s="1"/>
  <c r="BU29" i="17" s="1"/>
  <c r="CG29" i="17" l="1"/>
  <c r="BZ29" i="17"/>
  <c r="BU30" i="17" s="1"/>
  <c r="CF29" i="17"/>
  <c r="CH29" i="17" l="1"/>
  <c r="CG30" i="17"/>
  <c r="BZ30" i="17"/>
  <c r="BU31" i="17" s="1"/>
  <c r="CF30" i="17"/>
  <c r="CH30" i="17" l="1"/>
  <c r="CF31" i="17"/>
  <c r="CG31" i="17"/>
  <c r="BZ31" i="17"/>
  <c r="BU32" i="17" s="1"/>
  <c r="CF32" i="17" l="1"/>
  <c r="BZ32" i="17"/>
  <c r="BU33" i="17" s="1"/>
  <c r="CG32" i="17"/>
  <c r="CH31" i="17"/>
  <c r="CF33" i="17" l="1"/>
  <c r="CG33" i="17"/>
  <c r="BY33" i="17"/>
  <c r="CH32" i="17"/>
  <c r="BW33" i="17"/>
  <c r="CH33" i="17" l="1"/>
  <c r="BX33" i="17"/>
  <c r="BZ33" i="17" s="1"/>
  <c r="BU34" i="17" s="1"/>
  <c r="BH28" i="17"/>
  <c r="BZ34" i="17" l="1"/>
  <c r="BU35" i="17" s="1"/>
  <c r="CG34" i="17"/>
  <c r="CF34" i="17"/>
  <c r="BS28" i="17"/>
  <c r="BI28" i="17"/>
  <c r="BK28" i="17" s="1"/>
  <c r="BF29" i="17" s="1"/>
  <c r="BQ29" i="17" l="1"/>
  <c r="BR29" i="17"/>
  <c r="BS29" i="17" s="1"/>
  <c r="CH34" i="17"/>
  <c r="CG35" i="17"/>
  <c r="BY35" i="17"/>
  <c r="CF35" i="17"/>
  <c r="BW35" i="17"/>
  <c r="CH35" i="17" l="1"/>
  <c r="BX35" i="17"/>
  <c r="BZ35" i="17" s="1"/>
  <c r="BU36" i="17" s="1"/>
  <c r="CF36" i="17" l="1"/>
  <c r="BY36" i="17"/>
  <c r="CG36" i="17"/>
  <c r="BW36" i="17"/>
  <c r="CH36" i="17" l="1"/>
  <c r="BX36" i="17"/>
  <c r="BZ36" i="17" s="1"/>
  <c r="BU37" i="17" s="1"/>
  <c r="CG37" i="17" l="1"/>
  <c r="CF37" i="17"/>
  <c r="BZ37" i="17"/>
  <c r="BU38" i="17" s="1"/>
  <c r="CG38" i="17" l="1"/>
  <c r="CF38" i="17"/>
  <c r="BY38" i="17"/>
  <c r="CH37" i="17"/>
  <c r="BW38" i="17"/>
  <c r="CH38" i="17" l="1"/>
  <c r="BX38" i="17"/>
  <c r="BZ38" i="17" s="1"/>
  <c r="BU39" i="17" s="1"/>
  <c r="CF39" i="17" l="1"/>
  <c r="CG39" i="17"/>
  <c r="BY39" i="17"/>
  <c r="BW39" i="17"/>
  <c r="CH39" i="17" l="1"/>
  <c r="BX39" i="17"/>
  <c r="BZ39" i="17" s="1"/>
  <c r="BU40" i="17" s="1"/>
  <c r="CG40" i="17" l="1"/>
  <c r="BZ40" i="17"/>
  <c r="BU41" i="17" s="1"/>
  <c r="CF40" i="17"/>
  <c r="CG41" i="17" l="1"/>
  <c r="BY41" i="17"/>
  <c r="CF41" i="17"/>
  <c r="CH40" i="17"/>
  <c r="BW41" i="17"/>
  <c r="CH41" i="17" l="1"/>
  <c r="BX41" i="17"/>
  <c r="BZ41" i="17" s="1"/>
  <c r="BU42" i="17" s="1"/>
  <c r="BW42" i="17" s="1"/>
  <c r="CG42" i="17" l="1"/>
  <c r="CF42" i="17"/>
  <c r="BY42" i="17"/>
  <c r="BX42" i="17" s="1"/>
  <c r="BZ42" i="17" s="1"/>
  <c r="BU43" i="17" s="1"/>
  <c r="C28" i="17"/>
  <c r="D28" i="17" s="1"/>
  <c r="F28" i="17" s="1"/>
  <c r="Q28" i="17"/>
  <c r="R28" i="17" s="1"/>
  <c r="T28" i="17" s="1"/>
  <c r="T29" i="17" s="1"/>
  <c r="T30" i="17" s="1"/>
  <c r="T31" i="17" s="1"/>
  <c r="T32" i="17" s="1"/>
  <c r="AD28" i="17"/>
  <c r="AE28" i="17" s="1"/>
  <c r="AG28" i="17" s="1"/>
  <c r="AB29" i="17" s="1"/>
  <c r="AM29" i="17" s="1"/>
  <c r="AS28" i="17"/>
  <c r="AT28" i="17" s="1"/>
  <c r="AV28" i="17" s="1"/>
  <c r="AQ29" i="17" s="1"/>
  <c r="AX29" i="17" s="1"/>
  <c r="AJ28" i="17" l="1"/>
  <c r="AK28" i="17" s="1"/>
  <c r="AL28" i="17" s="1"/>
  <c r="CC28" i="17"/>
  <c r="CD28" i="17" s="1"/>
  <c r="CE28" i="17" s="1"/>
  <c r="AY28" i="17"/>
  <c r="AZ28" i="17" s="1"/>
  <c r="BA28" i="17" s="1"/>
  <c r="CH42" i="17"/>
  <c r="BB29" i="17"/>
  <c r="BC29" i="17"/>
  <c r="AV29" i="17"/>
  <c r="AQ30" i="17" s="1"/>
  <c r="BD28" i="17"/>
  <c r="AN29" i="17"/>
  <c r="AO28" i="17"/>
  <c r="AI29" i="17"/>
  <c r="AH29" i="17" s="1"/>
  <c r="AG29" i="17" s="1"/>
  <c r="AB30" i="17" s="1"/>
  <c r="CJ29" i="17"/>
  <c r="CK29" i="17" s="1"/>
  <c r="S33" i="17"/>
  <c r="Q33" i="17"/>
  <c r="E29" i="17"/>
  <c r="C29" i="17"/>
  <c r="CL28" i="17"/>
  <c r="CF43" i="17"/>
  <c r="CG43" i="17"/>
  <c r="CJ30" i="17" l="1"/>
  <c r="CK30" i="17"/>
  <c r="AI30" i="17"/>
  <c r="AH30" i="17" s="1"/>
  <c r="AG30" i="17" s="1"/>
  <c r="AB31" i="17" s="1"/>
  <c r="AN30" i="17"/>
  <c r="AM30" i="17"/>
  <c r="D29" i="17"/>
  <c r="CL29" i="17"/>
  <c r="AJ29" i="17"/>
  <c r="AK29" i="17" s="1"/>
  <c r="AL29" i="17" s="1"/>
  <c r="BL29" i="17"/>
  <c r="CC29" i="17"/>
  <c r="CD29" i="17"/>
  <c r="CM28" i="17"/>
  <c r="AY29" i="17"/>
  <c r="AZ29" i="17" s="1"/>
  <c r="BA29" i="17" s="1"/>
  <c r="R33" i="17"/>
  <c r="AV30" i="17"/>
  <c r="AQ31" i="17" s="1"/>
  <c r="BB30" i="17"/>
  <c r="BC30" i="17"/>
  <c r="AX30" i="17"/>
  <c r="CH43" i="17"/>
  <c r="AO29" i="17"/>
  <c r="BD29" i="17"/>
  <c r="BD30" i="17" l="1"/>
  <c r="AI31" i="17"/>
  <c r="AH31" i="17" s="1"/>
  <c r="AG31" i="17" s="1"/>
  <c r="AB32" i="17" s="1"/>
  <c r="CJ31" i="17"/>
  <c r="CK31" i="17" s="1"/>
  <c r="AM31" i="17"/>
  <c r="AN31" i="17"/>
  <c r="BK29" i="17"/>
  <c r="BF30" i="17" s="1"/>
  <c r="BB31" i="17"/>
  <c r="BC31" i="17"/>
  <c r="AV31" i="17"/>
  <c r="AQ32" i="17" s="1"/>
  <c r="AX31" i="17"/>
  <c r="F29" i="17"/>
  <c r="CN28" i="17"/>
  <c r="CM29" i="17"/>
  <c r="CE29" i="17"/>
  <c r="T33" i="17"/>
  <c r="T34" i="17" s="1"/>
  <c r="AO30" i="17"/>
  <c r="CJ32" i="17" l="1"/>
  <c r="CK32" i="17" s="1"/>
  <c r="AI32" i="17"/>
  <c r="AH32" i="17" s="1"/>
  <c r="AG32" i="17" s="1"/>
  <c r="AB33" i="17" s="1"/>
  <c r="AM32" i="17"/>
  <c r="AN32" i="17"/>
  <c r="AO31" i="17"/>
  <c r="CN29" i="17"/>
  <c r="BC32" i="17"/>
  <c r="AV32" i="17"/>
  <c r="AQ33" i="17" s="1"/>
  <c r="BB32" i="17"/>
  <c r="AX32" i="17"/>
  <c r="BD31" i="17"/>
  <c r="E30" i="17"/>
  <c r="C30" i="17"/>
  <c r="BQ30" i="17"/>
  <c r="BR30" i="17"/>
  <c r="S35" i="17"/>
  <c r="Q35" i="17"/>
  <c r="BM29" i="17"/>
  <c r="CJ33" i="17" l="1"/>
  <c r="CK33" i="17"/>
  <c r="AF33" i="17"/>
  <c r="AD33" i="17"/>
  <c r="AE33" i="17" s="1"/>
  <c r="AM33" i="17"/>
  <c r="AN33" i="17"/>
  <c r="AI33" i="17"/>
  <c r="R35" i="17"/>
  <c r="AO32" i="17"/>
  <c r="BS30" i="17"/>
  <c r="BD32" i="17"/>
  <c r="D30" i="17"/>
  <c r="CL30" i="17"/>
  <c r="BL30" i="17"/>
  <c r="CC30" i="17"/>
  <c r="AJ30" i="17"/>
  <c r="AY30" i="17"/>
  <c r="BC33" i="17"/>
  <c r="AU33" i="17"/>
  <c r="AS33" i="17"/>
  <c r="BB33" i="17"/>
  <c r="AX33" i="17"/>
  <c r="AG33" i="17" l="1"/>
  <c r="AB34" i="17" s="1"/>
  <c r="CM30" i="17"/>
  <c r="F30" i="17"/>
  <c r="BK30" i="17"/>
  <c r="BF31" i="17" s="1"/>
  <c r="BD33" i="17"/>
  <c r="AZ30" i="17"/>
  <c r="CD30" i="17"/>
  <c r="AK30" i="17"/>
  <c r="AO33" i="17"/>
  <c r="AT33" i="17"/>
  <c r="T35" i="17"/>
  <c r="BM30" i="17" l="1"/>
  <c r="AV33" i="17"/>
  <c r="AQ34" i="17" s="1"/>
  <c r="E31" i="17"/>
  <c r="C31" i="17"/>
  <c r="CN30" i="17"/>
  <c r="AL30" i="17"/>
  <c r="CJ34" i="17"/>
  <c r="CK34" i="17" s="1"/>
  <c r="AI34" i="17"/>
  <c r="AH34" i="17" s="1"/>
  <c r="AM34" i="17"/>
  <c r="AN34" i="17"/>
  <c r="BA30" i="17"/>
  <c r="BQ31" i="17"/>
  <c r="BR31" i="17"/>
  <c r="Q36" i="17"/>
  <c r="S36" i="17"/>
  <c r="CE30" i="17"/>
  <c r="BS31" i="17" l="1"/>
  <c r="D31" i="17"/>
  <c r="CL31" i="17"/>
  <c r="BL31" i="17"/>
  <c r="CC31" i="17"/>
  <c r="AJ31" i="17"/>
  <c r="AY31" i="17"/>
  <c r="AO34" i="17"/>
  <c r="R36" i="17"/>
  <c r="BB34" i="17"/>
  <c r="BC34" i="17"/>
  <c r="AV34" i="17"/>
  <c r="AQ35" i="17" s="1"/>
  <c r="AX34" i="17"/>
  <c r="AG34" i="17"/>
  <c r="AB35" i="17" s="1"/>
  <c r="AZ31" i="17" l="1"/>
  <c r="AK31" i="17"/>
  <c r="CD31" i="17"/>
  <c r="BK31" i="17"/>
  <c r="BF32" i="17" s="1"/>
  <c r="AU35" i="17"/>
  <c r="AS35" i="17"/>
  <c r="AT35" i="17" s="1"/>
  <c r="BB35" i="17"/>
  <c r="BC35" i="17"/>
  <c r="AX35" i="17"/>
  <c r="CM31" i="17"/>
  <c r="F31" i="17"/>
  <c r="BD34" i="17"/>
  <c r="T36" i="17"/>
  <c r="T37" i="17" s="1"/>
  <c r="CJ35" i="17"/>
  <c r="CK35" i="17" s="1"/>
  <c r="AF35" i="17"/>
  <c r="AD35" i="17"/>
  <c r="AM35" i="17"/>
  <c r="AN35" i="17"/>
  <c r="AI35" i="17"/>
  <c r="AV35" i="17" l="1"/>
  <c r="AQ36" i="17" s="1"/>
  <c r="CE31" i="17"/>
  <c r="CN31" i="17"/>
  <c r="AL31" i="17"/>
  <c r="AO35" i="17"/>
  <c r="Q38" i="17"/>
  <c r="S38" i="17"/>
  <c r="BQ32" i="17"/>
  <c r="BR32" i="17"/>
  <c r="BA31" i="17"/>
  <c r="BD35" i="17"/>
  <c r="AE35" i="17"/>
  <c r="E32" i="17"/>
  <c r="C32" i="17"/>
  <c r="BM31" i="17"/>
  <c r="BS32" i="17" l="1"/>
  <c r="R38" i="17"/>
  <c r="D32" i="17"/>
  <c r="CL32" i="17"/>
  <c r="CM32" i="17" s="1"/>
  <c r="BL32" i="17"/>
  <c r="CC32" i="17"/>
  <c r="AJ32" i="17"/>
  <c r="AY32" i="17"/>
  <c r="AU36" i="17"/>
  <c r="AS36" i="17"/>
  <c r="BB36" i="17"/>
  <c r="BC36" i="17"/>
  <c r="AX36" i="17"/>
  <c r="AG35" i="17"/>
  <c r="AB36" i="17" s="1"/>
  <c r="BK32" i="17" l="1"/>
  <c r="BF33" i="17" s="1"/>
  <c r="CD32" i="17"/>
  <c r="F32" i="17"/>
  <c r="CJ36" i="17"/>
  <c r="CK36" i="17" s="1"/>
  <c r="AN36" i="17"/>
  <c r="AF36" i="17"/>
  <c r="AD36" i="17"/>
  <c r="AM36" i="17"/>
  <c r="AI36" i="17"/>
  <c r="CN32" i="17"/>
  <c r="T38" i="17"/>
  <c r="AZ32" i="17"/>
  <c r="BD36" i="17"/>
  <c r="AT36" i="17"/>
  <c r="AK32" i="17"/>
  <c r="E33" i="17" l="1"/>
  <c r="C33" i="17"/>
  <c r="CE32" i="17"/>
  <c r="AV36" i="17"/>
  <c r="AQ37" i="17" s="1"/>
  <c r="BJ33" i="17"/>
  <c r="BQ33" i="17"/>
  <c r="BR33" i="17"/>
  <c r="AL32" i="17"/>
  <c r="S39" i="17"/>
  <c r="Q39" i="17"/>
  <c r="AO36" i="17"/>
  <c r="BA32" i="17"/>
  <c r="AE36" i="17"/>
  <c r="BM32" i="17"/>
  <c r="BH33" i="17" s="1"/>
  <c r="AG36" i="17" l="1"/>
  <c r="AB37" i="17" s="1"/>
  <c r="BB37" i="17"/>
  <c r="BC37" i="17"/>
  <c r="AV37" i="17"/>
  <c r="AQ38" i="17" s="1"/>
  <c r="AX37" i="17"/>
  <c r="D33" i="17"/>
  <c r="CL33" i="17"/>
  <c r="CM33" i="17" s="1"/>
  <c r="CC33" i="17"/>
  <c r="AJ33" i="17"/>
  <c r="AK33" i="17" s="1"/>
  <c r="AY33" i="17"/>
  <c r="BS33" i="17"/>
  <c r="R39" i="17"/>
  <c r="BI33" i="17"/>
  <c r="AL33" i="17" l="1"/>
  <c r="AS38" i="17"/>
  <c r="BB38" i="17"/>
  <c r="BC38" i="17"/>
  <c r="AU38" i="17"/>
  <c r="AX38" i="17"/>
  <c r="BK33" i="17"/>
  <c r="BF34" i="17" s="1"/>
  <c r="CN33" i="17"/>
  <c r="BD37" i="17"/>
  <c r="CD33" i="17"/>
  <c r="F33" i="17"/>
  <c r="CJ37" i="17"/>
  <c r="CK37" i="17" s="1"/>
  <c r="AI37" i="17"/>
  <c r="AH37" i="17" s="1"/>
  <c r="AG37" i="17" s="1"/>
  <c r="AB38" i="17" s="1"/>
  <c r="AM37" i="17"/>
  <c r="AN37" i="17"/>
  <c r="AZ33" i="17"/>
  <c r="T39" i="17"/>
  <c r="T40" i="17" s="1"/>
  <c r="CJ38" i="17" l="1"/>
  <c r="CK38" i="17"/>
  <c r="AN38" i="17"/>
  <c r="AF38" i="17"/>
  <c r="AD38" i="17"/>
  <c r="AM38" i="17"/>
  <c r="AI38" i="17"/>
  <c r="BQ34" i="17"/>
  <c r="BR34" i="17"/>
  <c r="E34" i="17"/>
  <c r="C34" i="17"/>
  <c r="S41" i="17"/>
  <c r="Q41" i="17"/>
  <c r="R41" i="17" s="1"/>
  <c r="T41" i="17" s="1"/>
  <c r="AO37" i="17"/>
  <c r="BA33" i="17"/>
  <c r="BD38" i="17"/>
  <c r="CE33" i="17"/>
  <c r="AT38" i="17"/>
  <c r="S42" i="17" l="1"/>
  <c r="Q42" i="17"/>
  <c r="R42" i="17" s="1"/>
  <c r="T42" i="17" s="1"/>
  <c r="T43" i="17" s="1"/>
  <c r="CL34" i="17"/>
  <c r="CM34" i="17" s="1"/>
  <c r="D34" i="17"/>
  <c r="F34" i="17" s="1"/>
  <c r="BL34" i="17"/>
  <c r="CC34" i="17"/>
  <c r="CD34" i="17" s="1"/>
  <c r="AJ34" i="17"/>
  <c r="AK34" i="17" s="1"/>
  <c r="AY34" i="17"/>
  <c r="AZ34" i="17" s="1"/>
  <c r="BS34" i="17"/>
  <c r="AV38" i="17"/>
  <c r="AQ39" i="17" s="1"/>
  <c r="AO38" i="17"/>
  <c r="AE38" i="17"/>
  <c r="S44" i="17" l="1"/>
  <c r="Q44" i="17"/>
  <c r="R44" i="17" s="1"/>
  <c r="T44" i="17" s="1"/>
  <c r="CE34" i="17"/>
  <c r="AL34" i="17"/>
  <c r="BK34" i="17"/>
  <c r="BF35" i="17" s="1"/>
  <c r="AS39" i="17"/>
  <c r="AT39" i="17" s="1"/>
  <c r="AV39" i="17" s="1"/>
  <c r="AQ40" i="17" s="1"/>
  <c r="BB39" i="17"/>
  <c r="BC39" i="17"/>
  <c r="AU39" i="17"/>
  <c r="AX39" i="17"/>
  <c r="CN34" i="17"/>
  <c r="AG38" i="17"/>
  <c r="AB39" i="17" s="1"/>
  <c r="E35" i="17"/>
  <c r="C35" i="17"/>
  <c r="BA34" i="17"/>
  <c r="BM34" i="17" l="1"/>
  <c r="AV40" i="17"/>
  <c r="AQ41" i="17" s="1"/>
  <c r="BB40" i="17"/>
  <c r="BC40" i="17"/>
  <c r="AX40" i="17"/>
  <c r="S45" i="17"/>
  <c r="Q45" i="17"/>
  <c r="CJ39" i="17"/>
  <c r="CK39" i="17" s="1"/>
  <c r="AF39" i="17"/>
  <c r="AD39" i="17"/>
  <c r="AE39" i="17" s="1"/>
  <c r="AM39" i="17"/>
  <c r="AN39" i="17"/>
  <c r="AI39" i="17"/>
  <c r="BD39" i="17"/>
  <c r="D35" i="17"/>
  <c r="F35" i="17" s="1"/>
  <c r="CL35" i="17"/>
  <c r="CM35" i="17" s="1"/>
  <c r="CC35" i="17"/>
  <c r="CD35" i="17" s="1"/>
  <c r="AY35" i="17"/>
  <c r="AZ35" i="17" s="1"/>
  <c r="AJ35" i="17"/>
  <c r="AK35" i="17" s="1"/>
  <c r="BJ35" i="17"/>
  <c r="BH35" i="17"/>
  <c r="BQ35" i="17"/>
  <c r="BR35" i="17"/>
  <c r="AG39" i="17" l="1"/>
  <c r="AB40" i="17" s="1"/>
  <c r="BA35" i="17"/>
  <c r="CE35" i="17"/>
  <c r="CN35" i="17"/>
  <c r="BS35" i="17"/>
  <c r="BD40" i="17"/>
  <c r="E36" i="17"/>
  <c r="C36" i="17"/>
  <c r="BI35" i="17"/>
  <c r="AO39" i="17"/>
  <c r="AL35" i="17"/>
  <c r="R45" i="17"/>
  <c r="T45" i="17" s="1"/>
  <c r="AU41" i="17"/>
  <c r="AS41" i="17"/>
  <c r="AT41" i="17" s="1"/>
  <c r="AV41" i="17" s="1"/>
  <c r="AQ42" i="17" s="1"/>
  <c r="BB41" i="17"/>
  <c r="BC41" i="17"/>
  <c r="AX41" i="17"/>
  <c r="AU42" i="17" l="1"/>
  <c r="AS42" i="17"/>
  <c r="BB42" i="17"/>
  <c r="BC42" i="17"/>
  <c r="AX42" i="17"/>
  <c r="BK35" i="17"/>
  <c r="BF36" i="17" s="1"/>
  <c r="BD41" i="17"/>
  <c r="S46" i="17"/>
  <c r="Q46" i="17"/>
  <c r="AI40" i="17"/>
  <c r="AH40" i="17" s="1"/>
  <c r="AG40" i="17" s="1"/>
  <c r="AB41" i="17" s="1"/>
  <c r="CJ40" i="17"/>
  <c r="CK40" i="17"/>
  <c r="AN40" i="17"/>
  <c r="AM40" i="17"/>
  <c r="D36" i="17"/>
  <c r="F36" i="17" s="1"/>
  <c r="CL36" i="17"/>
  <c r="CM36" i="17" s="1"/>
  <c r="CC36" i="17"/>
  <c r="CD36" i="17" s="1"/>
  <c r="AY36" i="17"/>
  <c r="AZ36" i="17" s="1"/>
  <c r="AJ36" i="17"/>
  <c r="AK36" i="17" s="1"/>
  <c r="R46" i="17" l="1"/>
  <c r="T46" i="17" s="1"/>
  <c r="S47" i="17" s="1"/>
  <c r="AO40" i="17"/>
  <c r="CJ41" i="17"/>
  <c r="CK41" i="17" s="1"/>
  <c r="AF41" i="17"/>
  <c r="AD41" i="17"/>
  <c r="AM41" i="17"/>
  <c r="AN41" i="17"/>
  <c r="AI41" i="17"/>
  <c r="Q47" i="17"/>
  <c r="AL36" i="17"/>
  <c r="BA36" i="17"/>
  <c r="BD42" i="17"/>
  <c r="CN36" i="17"/>
  <c r="BJ36" i="17"/>
  <c r="BH36" i="17"/>
  <c r="BQ36" i="17"/>
  <c r="BR36" i="17"/>
  <c r="E37" i="17"/>
  <c r="C37" i="17"/>
  <c r="AT42" i="17"/>
  <c r="AV42" i="17" s="1"/>
  <c r="AQ43" i="17" s="1"/>
  <c r="CE36" i="17"/>
  <c r="R47" i="17" l="1"/>
  <c r="T47" i="17" s="1"/>
  <c r="S48" i="17" s="1"/>
  <c r="AO41" i="17"/>
  <c r="BS36" i="17"/>
  <c r="BI36" i="17"/>
  <c r="BB43" i="17"/>
  <c r="BC43" i="17"/>
  <c r="AX43" i="17"/>
  <c r="D37" i="17"/>
  <c r="F37" i="17" s="1"/>
  <c r="CL37" i="17"/>
  <c r="CM37" i="17" s="1"/>
  <c r="BL37" i="17"/>
  <c r="CC37" i="17"/>
  <c r="CD37" i="17" s="1"/>
  <c r="AY37" i="17"/>
  <c r="AZ37" i="17" s="1"/>
  <c r="AJ37" i="17"/>
  <c r="AK37" i="17" s="1"/>
  <c r="AE41" i="17"/>
  <c r="AG41" i="17" s="1"/>
  <c r="AB42" i="17" s="1"/>
  <c r="Q48" i="17" l="1"/>
  <c r="R48" i="17" s="1"/>
  <c r="T48" i="17" s="1"/>
  <c r="E38" i="17"/>
  <c r="C38" i="17"/>
  <c r="BK36" i="17"/>
  <c r="BF37" i="17" s="1"/>
  <c r="CJ42" i="17"/>
  <c r="CK42" i="17" s="1"/>
  <c r="AD42" i="17"/>
  <c r="AM42" i="17"/>
  <c r="AN42" i="17"/>
  <c r="AF42" i="17"/>
  <c r="AI42" i="17"/>
  <c r="CN37" i="17"/>
  <c r="AL37" i="17"/>
  <c r="BA37" i="17"/>
  <c r="CE37" i="17"/>
  <c r="BD43" i="17"/>
  <c r="Q49" i="17" l="1"/>
  <c r="R49" i="17" s="1"/>
  <c r="T49" i="17" s="1"/>
  <c r="S50" i="17" s="1"/>
  <c r="S49" i="17"/>
  <c r="AO42" i="17"/>
  <c r="CL38" i="17"/>
  <c r="CM38" i="17" s="1"/>
  <c r="D38" i="17"/>
  <c r="F38" i="17" s="1"/>
  <c r="CC38" i="17"/>
  <c r="CD38" i="17" s="1"/>
  <c r="AY38" i="17"/>
  <c r="AZ38" i="17" s="1"/>
  <c r="AJ38" i="17"/>
  <c r="AK38" i="17" s="1"/>
  <c r="BQ37" i="17"/>
  <c r="BR37" i="17"/>
  <c r="BK37" i="17"/>
  <c r="AE42" i="17"/>
  <c r="AG42" i="17" s="1"/>
  <c r="AB43" i="17" s="1"/>
  <c r="Q50" i="17" l="1"/>
  <c r="R50" i="17" s="1"/>
  <c r="T50" i="17" s="1"/>
  <c r="S51" i="17" s="1"/>
  <c r="BA38" i="17"/>
  <c r="E39" i="17"/>
  <c r="C39" i="17"/>
  <c r="AL38" i="17"/>
  <c r="CN38" i="17"/>
  <c r="AI43" i="17"/>
  <c r="AH43" i="17" s="1"/>
  <c r="AH25" i="17" s="1"/>
  <c r="P6" i="17" s="1"/>
  <c r="CJ43" i="17"/>
  <c r="CK43" i="17" s="1"/>
  <c r="AM43" i="17"/>
  <c r="AN43" i="17"/>
  <c r="BF38" i="17"/>
  <c r="BM37" i="17"/>
  <c r="CE38" i="17"/>
  <c r="BS37" i="17"/>
  <c r="Q51" i="17" l="1"/>
  <c r="R51" i="17" s="1"/>
  <c r="T51" i="17" s="1"/>
  <c r="S52" i="17" s="1"/>
  <c r="D39" i="17"/>
  <c r="F39" i="17" s="1"/>
  <c r="CL39" i="17"/>
  <c r="CM39" i="17" s="1"/>
  <c r="CC39" i="17"/>
  <c r="CD39" i="17" s="1"/>
  <c r="AY39" i="17"/>
  <c r="AZ39" i="17" s="1"/>
  <c r="AJ39" i="17"/>
  <c r="AK39" i="17" s="1"/>
  <c r="AG43" i="17"/>
  <c r="AB44" i="17" s="1"/>
  <c r="BJ38" i="17"/>
  <c r="BH38" i="17"/>
  <c r="BQ38" i="17"/>
  <c r="BR38" i="17"/>
  <c r="AO43" i="17"/>
  <c r="Q52" i="17" l="1"/>
  <c r="R52" i="17" s="1"/>
  <c r="T52" i="17" s="1"/>
  <c r="S53" i="17" s="1"/>
  <c r="BA39" i="17"/>
  <c r="CE39" i="17"/>
  <c r="BS38" i="17"/>
  <c r="AL39" i="17"/>
  <c r="CN39" i="17"/>
  <c r="BI38" i="17"/>
  <c r="E40" i="17"/>
  <c r="C40" i="17"/>
  <c r="CJ44" i="17"/>
  <c r="CK44" i="17" s="1"/>
  <c r="AD44" i="17"/>
  <c r="AM44" i="17"/>
  <c r="AN44" i="17"/>
  <c r="AF44" i="17"/>
  <c r="AI44" i="17"/>
  <c r="Q53" i="17" l="1"/>
  <c r="R53" i="17" s="1"/>
  <c r="T53" i="17" s="1"/>
  <c r="S54" i="17" s="1"/>
  <c r="AO44" i="17"/>
  <c r="BK38" i="17"/>
  <c r="BF39" i="17" s="1"/>
  <c r="CL40" i="17"/>
  <c r="CM40" i="17" s="1"/>
  <c r="D40" i="17"/>
  <c r="F40" i="17" s="1"/>
  <c r="BL40" i="17"/>
  <c r="CC40" i="17"/>
  <c r="CD40" i="17" s="1"/>
  <c r="AY40" i="17"/>
  <c r="AZ40" i="17" s="1"/>
  <c r="AJ40" i="17"/>
  <c r="AK40" i="17" s="1"/>
  <c r="AE44" i="17"/>
  <c r="AG44" i="17" s="1"/>
  <c r="AB45" i="17" s="1"/>
  <c r="Q54" i="17" l="1"/>
  <c r="R54" i="17" s="1"/>
  <c r="T54" i="17" s="1"/>
  <c r="S55" i="17" s="1"/>
  <c r="E41" i="17"/>
  <c r="C41" i="17"/>
  <c r="CN40" i="17"/>
  <c r="CJ45" i="17"/>
  <c r="CK45" i="17" s="1"/>
  <c r="AF45" i="17"/>
  <c r="AD45" i="17"/>
  <c r="AM45" i="17"/>
  <c r="AN45" i="17"/>
  <c r="AI45" i="17"/>
  <c r="BJ39" i="17"/>
  <c r="BH39" i="17"/>
  <c r="BQ39" i="17"/>
  <c r="BR39" i="17"/>
  <c r="BA40" i="17"/>
  <c r="AL40" i="17"/>
  <c r="CE40" i="17"/>
  <c r="Q55" i="17" l="1"/>
  <c r="R55" i="17" s="1"/>
  <c r="T55" i="17" s="1"/>
  <c r="S56" i="17" s="1"/>
  <c r="BI39" i="17"/>
  <c r="BK39" i="17" s="1"/>
  <c r="BF40" i="17" s="1"/>
  <c r="AO45" i="17"/>
  <c r="D41" i="17"/>
  <c r="F41" i="17" s="1"/>
  <c r="CL41" i="17"/>
  <c r="CM41" i="17" s="1"/>
  <c r="CC41" i="17"/>
  <c r="CD41" i="17" s="1"/>
  <c r="AY41" i="17"/>
  <c r="AZ41" i="17" s="1"/>
  <c r="AJ41" i="17"/>
  <c r="AK41" i="17" s="1"/>
  <c r="BS39" i="17"/>
  <c r="AE45" i="17"/>
  <c r="AG45" i="17" s="1"/>
  <c r="AB46" i="17" s="1"/>
  <c r="Q56" i="17" l="1"/>
  <c r="R56" i="17" s="1"/>
  <c r="T56" i="17" s="1"/>
  <c r="S57" i="17" s="1"/>
  <c r="E42" i="17"/>
  <c r="C42" i="17"/>
  <c r="CE41" i="17"/>
  <c r="CN41" i="17"/>
  <c r="AL41" i="17"/>
  <c r="BK40" i="17"/>
  <c r="BQ40" i="17"/>
  <c r="BR40" i="17"/>
  <c r="CJ46" i="17"/>
  <c r="CK46" i="17"/>
  <c r="AF46" i="17"/>
  <c r="AD46" i="17"/>
  <c r="AM46" i="17"/>
  <c r="AN46" i="17"/>
  <c r="AI46" i="17"/>
  <c r="BA41" i="17"/>
  <c r="Q57" i="17" l="1"/>
  <c r="R57" i="17" s="1"/>
  <c r="T57" i="17" s="1"/>
  <c r="S58" i="17" s="1"/>
  <c r="AO46" i="17"/>
  <c r="BS40" i="17"/>
  <c r="CL42" i="17"/>
  <c r="CM42" i="17" s="1"/>
  <c r="D42" i="17"/>
  <c r="F42" i="17" s="1"/>
  <c r="CC42" i="17"/>
  <c r="CD42" i="17" s="1"/>
  <c r="AY42" i="17"/>
  <c r="AZ42" i="17" s="1"/>
  <c r="AJ42" i="17"/>
  <c r="AK42" i="17" s="1"/>
  <c r="BF41" i="17"/>
  <c r="BM40" i="17"/>
  <c r="AE46" i="17"/>
  <c r="AG46" i="17" s="1"/>
  <c r="AB47" i="17" s="1"/>
  <c r="Q58" i="17" l="1"/>
  <c r="R58" i="17" s="1"/>
  <c r="T58" i="17" s="1"/>
  <c r="S59" i="17" s="1"/>
  <c r="E43" i="17"/>
  <c r="C43" i="17"/>
  <c r="CJ47" i="17"/>
  <c r="CK47" i="17" s="1"/>
  <c r="AM47" i="17"/>
  <c r="AN47" i="17"/>
  <c r="AF47" i="17"/>
  <c r="AD47" i="17"/>
  <c r="AI47" i="17"/>
  <c r="BA42" i="17"/>
  <c r="BQ41" i="17"/>
  <c r="BR41" i="17"/>
  <c r="BJ41" i="17"/>
  <c r="BH41" i="17"/>
  <c r="BI41" i="17" s="1"/>
  <c r="BK41" i="17" s="1"/>
  <c r="BF42" i="17" s="1"/>
  <c r="CE42" i="17"/>
  <c r="CN42" i="17"/>
  <c r="AL42" i="17"/>
  <c r="AE47" i="17" l="1"/>
  <c r="AG47" i="17" s="1"/>
  <c r="AB48" i="17" s="1"/>
  <c r="AM48" i="17" s="1"/>
  <c r="Q59" i="17"/>
  <c r="R59" i="17" s="1"/>
  <c r="T59" i="17" s="1"/>
  <c r="S60" i="17" s="1"/>
  <c r="BQ42" i="17"/>
  <c r="BR42" i="17"/>
  <c r="BJ42" i="17"/>
  <c r="BH42" i="17"/>
  <c r="AD48" i="17"/>
  <c r="Q60" i="17"/>
  <c r="D43" i="17"/>
  <c r="F43" i="17" s="1"/>
  <c r="CL43" i="17"/>
  <c r="CM43" i="17" s="1"/>
  <c r="BL43" i="17"/>
  <c r="CC43" i="17"/>
  <c r="AY43" i="17"/>
  <c r="AJ43" i="17"/>
  <c r="AK43" i="17" s="1"/>
  <c r="AO47" i="17"/>
  <c r="BS41" i="17"/>
  <c r="AF48" i="17" l="1"/>
  <c r="AE48" i="17" s="1"/>
  <c r="AG48" i="17" s="1"/>
  <c r="AB49" i="17" s="1"/>
  <c r="CJ48" i="17"/>
  <c r="CK48" i="17" s="1"/>
  <c r="R60" i="17"/>
  <c r="T60" i="17" s="1"/>
  <c r="AI48" i="17"/>
  <c r="AN48" i="17"/>
  <c r="AO48" i="17" s="1"/>
  <c r="BS42" i="17"/>
  <c r="S61" i="17"/>
  <c r="Q61" i="17"/>
  <c r="BI42" i="17"/>
  <c r="BK42" i="17" s="1"/>
  <c r="BF43" i="17" s="1"/>
  <c r="E44" i="17"/>
  <c r="C44" i="17"/>
  <c r="AL43" i="17"/>
  <c r="CD43" i="17"/>
  <c r="CE43" i="17" s="1"/>
  <c r="CA43" i="17" s="1"/>
  <c r="BL25" i="17"/>
  <c r="P8" i="17" s="1"/>
  <c r="AZ43" i="17"/>
  <c r="BA43" i="17" s="1"/>
  <c r="AW43" i="17" s="1"/>
  <c r="CN43" i="17"/>
  <c r="AF49" i="17" l="1"/>
  <c r="AD49" i="17"/>
  <c r="AM49" i="17"/>
  <c r="AN49" i="17"/>
  <c r="CJ49" i="17"/>
  <c r="CK49" i="17" s="1"/>
  <c r="AI49" i="17"/>
  <c r="R61" i="17"/>
  <c r="T61" i="17" s="1"/>
  <c r="S62" i="17" s="1"/>
  <c r="AW25" i="17"/>
  <c r="P7" i="17" s="1"/>
  <c r="AV43" i="17"/>
  <c r="AQ44" i="17" s="1"/>
  <c r="BZ43" i="17"/>
  <c r="BU44" i="17" s="1"/>
  <c r="CA25" i="17"/>
  <c r="P9" i="17" s="1"/>
  <c r="D44" i="17"/>
  <c r="F44" i="17" s="1"/>
  <c r="CL44" i="17"/>
  <c r="CM44" i="17" s="1"/>
  <c r="AJ44" i="17"/>
  <c r="AK44" i="17" s="1"/>
  <c r="BK43" i="17"/>
  <c r="BQ43" i="17"/>
  <c r="BR43" i="17"/>
  <c r="AE49" i="17"/>
  <c r="AG49" i="17" s="1"/>
  <c r="AB50" i="17" s="1"/>
  <c r="AO49" i="17" l="1"/>
  <c r="Q62" i="17"/>
  <c r="R62" i="17" s="1"/>
  <c r="T62" i="17" s="1"/>
  <c r="S63" i="17" s="1"/>
  <c r="CB43" i="17"/>
  <c r="AL44" i="17"/>
  <c r="BS43" i="17"/>
  <c r="BY44" i="17"/>
  <c r="BW44" i="17"/>
  <c r="CF44" i="17"/>
  <c r="CG44" i="17"/>
  <c r="BF44" i="17"/>
  <c r="BM43" i="17"/>
  <c r="CN44" i="17"/>
  <c r="AU44" i="17"/>
  <c r="AS44" i="17"/>
  <c r="AY44" i="17" s="1"/>
  <c r="AZ44" i="17" s="1"/>
  <c r="BA44" i="17" s="1"/>
  <c r="BB44" i="17"/>
  <c r="BC44" i="17"/>
  <c r="AX44" i="17"/>
  <c r="CJ50" i="17"/>
  <c r="CK50" i="17" s="1"/>
  <c r="AN50" i="17"/>
  <c r="AF50" i="17"/>
  <c r="AD50" i="17"/>
  <c r="AE50" i="17" s="1"/>
  <c r="AG50" i="17" s="1"/>
  <c r="AB51" i="17" s="1"/>
  <c r="AM50" i="17"/>
  <c r="AI50" i="17"/>
  <c r="E45" i="17"/>
  <c r="C45" i="17"/>
  <c r="Q63" i="17" l="1"/>
  <c r="R63" i="17" s="1"/>
  <c r="T63" i="17" s="1"/>
  <c r="Q64" i="17" s="1"/>
  <c r="CJ51" i="17"/>
  <c r="CK51" i="17" s="1"/>
  <c r="AF51" i="17"/>
  <c r="AD51" i="17"/>
  <c r="AM51" i="17"/>
  <c r="AN51" i="17"/>
  <c r="AI51" i="17"/>
  <c r="BX44" i="17"/>
  <c r="BR44" i="17"/>
  <c r="BJ44" i="17"/>
  <c r="BH44" i="17"/>
  <c r="BQ44" i="17"/>
  <c r="BD44" i="17"/>
  <c r="AO50" i="17"/>
  <c r="AT44" i="17"/>
  <c r="AV44" i="17" s="1"/>
  <c r="AQ45" i="17" s="1"/>
  <c r="CL45" i="17"/>
  <c r="CM45" i="17" s="1"/>
  <c r="D45" i="17"/>
  <c r="F45" i="17" s="1"/>
  <c r="AJ45" i="17"/>
  <c r="AK45" i="17" s="1"/>
  <c r="CH44" i="17"/>
  <c r="CC44" i="17"/>
  <c r="CD44" i="17" s="1"/>
  <c r="S64" i="17" l="1"/>
  <c r="AO51" i="17"/>
  <c r="CN45" i="17"/>
  <c r="AU45" i="17"/>
  <c r="AS45" i="17"/>
  <c r="BB45" i="17"/>
  <c r="BC45" i="17"/>
  <c r="AX45" i="17"/>
  <c r="BS44" i="17"/>
  <c r="BN44" i="17"/>
  <c r="E46" i="17"/>
  <c r="C46" i="17"/>
  <c r="BI44" i="17"/>
  <c r="BK44" i="17" s="1"/>
  <c r="BF45" i="17" s="1"/>
  <c r="AL45" i="17"/>
  <c r="BZ44" i="17"/>
  <c r="BU45" i="17" s="1"/>
  <c r="CE44" i="17"/>
  <c r="R64" i="17"/>
  <c r="T64" i="17" s="1"/>
  <c r="AE51" i="17"/>
  <c r="AG51" i="17" s="1"/>
  <c r="AB52" i="17" s="1"/>
  <c r="BD45" i="17" l="1"/>
  <c r="AT45" i="17"/>
  <c r="AV45" i="17" s="1"/>
  <c r="AQ46" i="17" s="1"/>
  <c r="BY45" i="17"/>
  <c r="BW45" i="17"/>
  <c r="CF45" i="17"/>
  <c r="CG45" i="17"/>
  <c r="CJ52" i="17"/>
  <c r="CK52" i="17" s="1"/>
  <c r="AD52" i="17"/>
  <c r="AM52" i="17"/>
  <c r="AN52" i="17"/>
  <c r="AF52" i="17"/>
  <c r="AI52" i="17"/>
  <c r="CL46" i="17"/>
  <c r="CM46" i="17" s="1"/>
  <c r="D46" i="17"/>
  <c r="F46" i="17" s="1"/>
  <c r="AJ46" i="17"/>
  <c r="AK46" i="17" s="1"/>
  <c r="S65" i="17"/>
  <c r="Q65" i="17"/>
  <c r="BO44" i="17"/>
  <c r="BR45" i="17"/>
  <c r="BJ45" i="17"/>
  <c r="BH45" i="17"/>
  <c r="BQ45" i="17"/>
  <c r="AY45" i="17"/>
  <c r="AZ45" i="17" s="1"/>
  <c r="BA45" i="17" s="1"/>
  <c r="R65" i="17" l="1"/>
  <c r="T65" i="17" s="1"/>
  <c r="S66" i="17" s="1"/>
  <c r="AE52" i="17"/>
  <c r="AG52" i="17" s="1"/>
  <c r="AB53" i="17" s="1"/>
  <c r="CJ53" i="17" s="1"/>
  <c r="CK53" i="17" s="1"/>
  <c r="E47" i="17"/>
  <c r="C47" i="17"/>
  <c r="BP44" i="17"/>
  <c r="CH45" i="17"/>
  <c r="CC45" i="17"/>
  <c r="CD45" i="17" s="1"/>
  <c r="CN46" i="17"/>
  <c r="AO52" i="17"/>
  <c r="AL46" i="17"/>
  <c r="BX45" i="17"/>
  <c r="BS45" i="17"/>
  <c r="BN45" i="17"/>
  <c r="BO45" i="17" s="1"/>
  <c r="BI45" i="17"/>
  <c r="BK45" i="17" s="1"/>
  <c r="BF46" i="17" s="1"/>
  <c r="AU46" i="17"/>
  <c r="AS46" i="17"/>
  <c r="BB46" i="17"/>
  <c r="BC46" i="17"/>
  <c r="AX46" i="17"/>
  <c r="Q66" i="17" l="1"/>
  <c r="R66" i="17" s="1"/>
  <c r="T66" i="17" s="1"/>
  <c r="AI53" i="17"/>
  <c r="AN53" i="17"/>
  <c r="AM53" i="17"/>
  <c r="AD53" i="17"/>
  <c r="AE53" i="17" s="1"/>
  <c r="AG53" i="17" s="1"/>
  <c r="AB54" i="17" s="1"/>
  <c r="AF53" i="17"/>
  <c r="BD46" i="17"/>
  <c r="AT46" i="17"/>
  <c r="AV46" i="17" s="1"/>
  <c r="AQ47" i="17" s="1"/>
  <c r="CL47" i="17"/>
  <c r="CM47" i="17" s="1"/>
  <c r="D47" i="17"/>
  <c r="F47" i="17" s="1"/>
  <c r="AJ47" i="17"/>
  <c r="AK47" i="17" s="1"/>
  <c r="BP45" i="17"/>
  <c r="AY46" i="17"/>
  <c r="AZ46" i="17" s="1"/>
  <c r="BA46" i="17" s="1"/>
  <c r="BR46" i="17"/>
  <c r="BJ46" i="17"/>
  <c r="BH46" i="17"/>
  <c r="BQ46" i="17"/>
  <c r="BZ45" i="17"/>
  <c r="BU46" i="17" s="1"/>
  <c r="CE45" i="17"/>
  <c r="AO53" i="17" l="1"/>
  <c r="AL47" i="17"/>
  <c r="BS46" i="17"/>
  <c r="BN46" i="17"/>
  <c r="BI46" i="17"/>
  <c r="BK46" i="17" s="1"/>
  <c r="BF47" i="17" s="1"/>
  <c r="E48" i="17"/>
  <c r="C48" i="17"/>
  <c r="CJ54" i="17"/>
  <c r="CK54" i="17" s="1"/>
  <c r="AF54" i="17"/>
  <c r="AD54" i="17"/>
  <c r="AM54" i="17"/>
  <c r="AN54" i="17"/>
  <c r="AI54" i="17"/>
  <c r="CN47" i="17"/>
  <c r="S67" i="17"/>
  <c r="Q67" i="17"/>
  <c r="BY46" i="17"/>
  <c r="BW46" i="17"/>
  <c r="CF46" i="17"/>
  <c r="CG46" i="17"/>
  <c r="AU47" i="17"/>
  <c r="AS47" i="17"/>
  <c r="AY47" i="17" s="1"/>
  <c r="AZ47" i="17" s="1"/>
  <c r="BA47" i="17" s="1"/>
  <c r="BB47" i="17"/>
  <c r="BC47" i="17"/>
  <c r="AX47" i="17"/>
  <c r="R67" i="17" l="1"/>
  <c r="T67" i="17" s="1"/>
  <c r="AO54" i="17"/>
  <c r="S68" i="17"/>
  <c r="Q68" i="17"/>
  <c r="R68" i="17" s="1"/>
  <c r="T68" i="17" s="1"/>
  <c r="CL48" i="17"/>
  <c r="CM48" i="17" s="1"/>
  <c r="D48" i="17"/>
  <c r="F48" i="17" s="1"/>
  <c r="AJ48" i="17"/>
  <c r="AK48" i="17" s="1"/>
  <c r="CH46" i="17"/>
  <c r="CC46" i="17"/>
  <c r="CD46" i="17" s="1"/>
  <c r="BR47" i="17"/>
  <c r="BJ47" i="17"/>
  <c r="BH47" i="17"/>
  <c r="BQ47" i="17"/>
  <c r="BD47" i="17"/>
  <c r="BX46" i="17"/>
  <c r="BO46" i="17"/>
  <c r="AT47" i="17"/>
  <c r="AV47" i="17" s="1"/>
  <c r="AQ48" i="17" s="1"/>
  <c r="AE54" i="17"/>
  <c r="AG54" i="17" s="1"/>
  <c r="AB55" i="17" s="1"/>
  <c r="S69" i="17" l="1"/>
  <c r="Q69" i="17"/>
  <c r="R69" i="17" s="1"/>
  <c r="T69" i="17" s="1"/>
  <c r="BS47" i="17"/>
  <c r="BN47" i="17"/>
  <c r="BO47" i="17" s="1"/>
  <c r="E49" i="17"/>
  <c r="C49" i="17"/>
  <c r="AU48" i="17"/>
  <c r="AS48" i="17"/>
  <c r="AY48" i="17" s="1"/>
  <c r="AZ48" i="17" s="1"/>
  <c r="BA48" i="17" s="1"/>
  <c r="BB48" i="17"/>
  <c r="BC48" i="17"/>
  <c r="AX48" i="17"/>
  <c r="CN48" i="17"/>
  <c r="CJ55" i="17"/>
  <c r="CK55" i="17" s="1"/>
  <c r="AM55" i="17"/>
  <c r="AN55" i="17"/>
  <c r="AF55" i="17"/>
  <c r="AD55" i="17"/>
  <c r="AI55" i="17"/>
  <c r="BI47" i="17"/>
  <c r="BK47" i="17" s="1"/>
  <c r="BF48" i="17" s="1"/>
  <c r="BP46" i="17"/>
  <c r="CE46" i="17"/>
  <c r="AL48" i="17"/>
  <c r="BZ46" i="17"/>
  <c r="BU47" i="17" s="1"/>
  <c r="AE55" i="17" l="1"/>
  <c r="AG55" i="17" s="1"/>
  <c r="AB56" i="17" s="1"/>
  <c r="AI56" i="17" s="1"/>
  <c r="S70" i="17"/>
  <c r="Q70" i="17"/>
  <c r="R70" i="17" s="1"/>
  <c r="T70" i="17" s="1"/>
  <c r="AF56" i="17"/>
  <c r="CL49" i="17"/>
  <c r="CM49" i="17" s="1"/>
  <c r="D49" i="17"/>
  <c r="F49" i="17" s="1"/>
  <c r="AJ49" i="17"/>
  <c r="AK49" i="17" s="1"/>
  <c r="BP47" i="17"/>
  <c r="BD48" i="17"/>
  <c r="BY47" i="17"/>
  <c r="BW47" i="17"/>
  <c r="CF47" i="17"/>
  <c r="CG47" i="17"/>
  <c r="BR48" i="17"/>
  <c r="BJ48" i="17"/>
  <c r="BH48" i="17"/>
  <c r="BQ48" i="17"/>
  <c r="AT48" i="17"/>
  <c r="AV48" i="17" s="1"/>
  <c r="AQ49" i="17" s="1"/>
  <c r="AO55" i="17"/>
  <c r="AN56" i="17" l="1"/>
  <c r="AM56" i="17"/>
  <c r="AD56" i="17"/>
  <c r="AO56" i="17" s="1"/>
  <c r="CJ56" i="17"/>
  <c r="CK56" i="17" s="1"/>
  <c r="S71" i="17"/>
  <c r="Q71" i="17"/>
  <c r="AL49" i="17"/>
  <c r="BS48" i="17"/>
  <c r="BN48" i="17"/>
  <c r="BO48" i="17" s="1"/>
  <c r="CH47" i="17"/>
  <c r="CC47" i="17"/>
  <c r="CD47" i="17" s="1"/>
  <c r="BI48" i="17"/>
  <c r="BK48" i="17" s="1"/>
  <c r="BF49" i="17" s="1"/>
  <c r="E50" i="17"/>
  <c r="C50" i="17"/>
  <c r="CN49" i="17"/>
  <c r="AU49" i="17"/>
  <c r="AS49" i="17"/>
  <c r="BB49" i="17"/>
  <c r="BC49" i="17"/>
  <c r="AX49" i="17"/>
  <c r="BX47" i="17"/>
  <c r="AE56" i="17" l="1"/>
  <c r="AG56" i="17" s="1"/>
  <c r="AB57" i="17" s="1"/>
  <c r="AI57" i="17" s="1"/>
  <c r="R71" i="17"/>
  <c r="T71" i="17" s="1"/>
  <c r="S72" i="17" s="1"/>
  <c r="Q72" i="17"/>
  <c r="BP48" i="17"/>
  <c r="CL50" i="17"/>
  <c r="CM50" i="17" s="1"/>
  <c r="D50" i="17"/>
  <c r="F50" i="17" s="1"/>
  <c r="AJ50" i="17"/>
  <c r="AK50" i="17" s="1"/>
  <c r="BD49" i="17"/>
  <c r="AY49" i="17"/>
  <c r="AZ49" i="17" s="1"/>
  <c r="BA49" i="17" s="1"/>
  <c r="BZ47" i="17"/>
  <c r="BU48" i="17" s="1"/>
  <c r="BR49" i="17"/>
  <c r="BJ49" i="17"/>
  <c r="BH49" i="17"/>
  <c r="BQ49" i="17"/>
  <c r="AT49" i="17"/>
  <c r="AV49" i="17" s="1"/>
  <c r="AQ50" i="17" s="1"/>
  <c r="AD57" i="17"/>
  <c r="AM57" i="17"/>
  <c r="AN57" i="17"/>
  <c r="CE47" i="17"/>
  <c r="AF57" i="17" l="1"/>
  <c r="CJ57" i="17"/>
  <c r="CK57" i="17" s="1"/>
  <c r="R72" i="17"/>
  <c r="T72" i="17" s="1"/>
  <c r="S73" i="17" s="1"/>
  <c r="Q73" i="17"/>
  <c r="E51" i="17"/>
  <c r="C51" i="17"/>
  <c r="BY48" i="17"/>
  <c r="BW48" i="17"/>
  <c r="CF48" i="17"/>
  <c r="CG48" i="17"/>
  <c r="CN50" i="17"/>
  <c r="AU50" i="17"/>
  <c r="AS50" i="17"/>
  <c r="AT50" i="17" s="1"/>
  <c r="AV50" i="17" s="1"/>
  <c r="AQ51" i="17" s="1"/>
  <c r="BB50" i="17"/>
  <c r="BC50" i="17"/>
  <c r="AX50" i="17"/>
  <c r="AO57" i="17"/>
  <c r="AE57" i="17"/>
  <c r="AG57" i="17" s="1"/>
  <c r="AB58" i="17" s="1"/>
  <c r="AL50" i="17"/>
  <c r="BS49" i="17"/>
  <c r="BN49" i="17"/>
  <c r="BO49" i="17" s="1"/>
  <c r="BI49" i="17"/>
  <c r="BK49" i="17" s="1"/>
  <c r="BF50" i="17" s="1"/>
  <c r="R73" i="17" l="1"/>
  <c r="T73" i="17" s="1"/>
  <c r="AY50" i="17"/>
  <c r="AZ50" i="17" s="1"/>
  <c r="BA50" i="17" s="1"/>
  <c r="BX48" i="17"/>
  <c r="BZ48" i="17" s="1"/>
  <c r="BU49" i="17" s="1"/>
  <c r="AU51" i="17"/>
  <c r="AS51" i="17"/>
  <c r="BB51" i="17"/>
  <c r="BC51" i="17"/>
  <c r="AX51" i="17"/>
  <c r="S74" i="17"/>
  <c r="Q74" i="17"/>
  <c r="BR50" i="17"/>
  <c r="BJ50" i="17"/>
  <c r="BH50" i="17"/>
  <c r="BQ50" i="17"/>
  <c r="CL51" i="17"/>
  <c r="CM51" i="17" s="1"/>
  <c r="D51" i="17"/>
  <c r="F51" i="17" s="1"/>
  <c r="AJ51" i="17"/>
  <c r="AK51" i="17" s="1"/>
  <c r="BD50" i="17"/>
  <c r="BP49" i="17"/>
  <c r="CJ58" i="17"/>
  <c r="CK58" i="17" s="1"/>
  <c r="AN58" i="17"/>
  <c r="AF58" i="17"/>
  <c r="AD58" i="17"/>
  <c r="AM58" i="17"/>
  <c r="AI58" i="17"/>
  <c r="CH48" i="17"/>
  <c r="CC48" i="17"/>
  <c r="CD48" i="17" s="1"/>
  <c r="R74" i="17" l="1"/>
  <c r="T74" i="17" s="1"/>
  <c r="S75" i="17" s="1"/>
  <c r="AO58" i="17"/>
  <c r="BD51" i="17"/>
  <c r="E52" i="17"/>
  <c r="C52" i="17"/>
  <c r="CE48" i="17"/>
  <c r="AT51" i="17"/>
  <c r="AV51" i="17" s="1"/>
  <c r="AQ52" i="17" s="1"/>
  <c r="CN51" i="17"/>
  <c r="BS50" i="17"/>
  <c r="BN50" i="17"/>
  <c r="BO50" i="17" s="1"/>
  <c r="AL51" i="17"/>
  <c r="BI50" i="17"/>
  <c r="BK50" i="17" s="1"/>
  <c r="BF51" i="17" s="1"/>
  <c r="AY51" i="17"/>
  <c r="AZ51" i="17" s="1"/>
  <c r="BA51" i="17" s="1"/>
  <c r="BY49" i="17"/>
  <c r="BW49" i="17"/>
  <c r="CF49" i="17"/>
  <c r="CG49" i="17"/>
  <c r="AE58" i="17"/>
  <c r="AG58" i="17" s="1"/>
  <c r="AB59" i="17" s="1"/>
  <c r="Q75" i="17" l="1"/>
  <c r="R75" i="17" s="1"/>
  <c r="T75" i="17" s="1"/>
  <c r="S76" i="17" s="1"/>
  <c r="CL52" i="17"/>
  <c r="CM52" i="17" s="1"/>
  <c r="D52" i="17"/>
  <c r="F52" i="17" s="1"/>
  <c r="AJ52" i="17"/>
  <c r="AK52" i="17" s="1"/>
  <c r="CH49" i="17"/>
  <c r="CC49" i="17"/>
  <c r="CD49" i="17" s="1"/>
  <c r="BP50" i="17"/>
  <c r="BX49" i="17"/>
  <c r="BZ49" i="17" s="1"/>
  <c r="BU50" i="17" s="1"/>
  <c r="AU52" i="17"/>
  <c r="AS52" i="17"/>
  <c r="AY52" i="17" s="1"/>
  <c r="AZ52" i="17" s="1"/>
  <c r="BA52" i="17" s="1"/>
  <c r="BB52" i="17"/>
  <c r="BC52" i="17"/>
  <c r="AX52" i="17"/>
  <c r="CJ59" i="17"/>
  <c r="CK59" i="17" s="1"/>
  <c r="AF59" i="17"/>
  <c r="AD59" i="17"/>
  <c r="AM59" i="17"/>
  <c r="AN59" i="17"/>
  <c r="AI59" i="17"/>
  <c r="BR51" i="17"/>
  <c r="BJ51" i="17"/>
  <c r="BH51" i="17"/>
  <c r="BQ51" i="17"/>
  <c r="Q76" i="17" l="1"/>
  <c r="R76" i="17" s="1"/>
  <c r="T76" i="17" s="1"/>
  <c r="BI51" i="17"/>
  <c r="BK51" i="17" s="1"/>
  <c r="BF52" i="17" s="1"/>
  <c r="BQ52" i="17" s="1"/>
  <c r="AT52" i="17"/>
  <c r="AV52" i="17" s="1"/>
  <c r="AQ53" i="17" s="1"/>
  <c r="AU53" i="17" s="1"/>
  <c r="AO59" i="17"/>
  <c r="BR52" i="17"/>
  <c r="BJ52" i="17"/>
  <c r="BH52" i="17"/>
  <c r="AE59" i="17"/>
  <c r="AG59" i="17" s="1"/>
  <c r="AB60" i="17" s="1"/>
  <c r="BY50" i="17"/>
  <c r="BW50" i="17"/>
  <c r="CF50" i="17"/>
  <c r="CG50" i="17"/>
  <c r="E53" i="17"/>
  <c r="C53" i="17"/>
  <c r="CN52" i="17"/>
  <c r="BS51" i="17"/>
  <c r="BN51" i="17"/>
  <c r="BO51" i="17" s="1"/>
  <c r="CE49" i="17"/>
  <c r="AL52" i="17"/>
  <c r="BD52" i="17"/>
  <c r="S77" i="17" l="1"/>
  <c r="Q77" i="17"/>
  <c r="R77" i="17" s="1"/>
  <c r="T77" i="17" s="1"/>
  <c r="S78" i="17" s="1"/>
  <c r="BI52" i="17"/>
  <c r="BK52" i="17" s="1"/>
  <c r="BF53" i="17" s="1"/>
  <c r="BJ53" i="17" s="1"/>
  <c r="AX53" i="17"/>
  <c r="BC53" i="17"/>
  <c r="BB53" i="17"/>
  <c r="AS53" i="17"/>
  <c r="AY53" i="17" s="1"/>
  <c r="AZ53" i="17" s="1"/>
  <c r="BA53" i="17" s="1"/>
  <c r="BR53" i="17"/>
  <c r="BH53" i="17"/>
  <c r="BQ53" i="17"/>
  <c r="CH50" i="17"/>
  <c r="CC50" i="17"/>
  <c r="CD50" i="17" s="1"/>
  <c r="BX50" i="17"/>
  <c r="BZ50" i="17" s="1"/>
  <c r="BU51" i="17" s="1"/>
  <c r="CL53" i="17"/>
  <c r="CM53" i="17" s="1"/>
  <c r="D53" i="17"/>
  <c r="F53" i="17" s="1"/>
  <c r="AJ53" i="17"/>
  <c r="AK53" i="17" s="1"/>
  <c r="CJ60" i="17"/>
  <c r="CK60" i="17" s="1"/>
  <c r="AD60" i="17"/>
  <c r="AM60" i="17"/>
  <c r="AN60" i="17"/>
  <c r="AF60" i="17"/>
  <c r="AI60" i="17"/>
  <c r="BS52" i="17"/>
  <c r="BN52" i="17"/>
  <c r="BO52" i="17" s="1"/>
  <c r="BP51" i="17"/>
  <c r="BD53" i="17" l="1"/>
  <c r="Q78" i="17"/>
  <c r="R78" i="17" s="1"/>
  <c r="T78" i="17" s="1"/>
  <c r="AT53" i="17"/>
  <c r="AV53" i="17" s="1"/>
  <c r="AQ54" i="17" s="1"/>
  <c r="BB54" i="17" s="1"/>
  <c r="AE60" i="17"/>
  <c r="AG60" i="17" s="1"/>
  <c r="AB61" i="17" s="1"/>
  <c r="CJ61" i="17" s="1"/>
  <c r="CK61" i="17" s="1"/>
  <c r="BS53" i="17"/>
  <c r="E54" i="17"/>
  <c r="C54" i="17"/>
  <c r="CN53" i="17"/>
  <c r="BI53" i="17"/>
  <c r="BK53" i="17" s="1"/>
  <c r="BF54" i="17" s="1"/>
  <c r="BY51" i="17"/>
  <c r="BW51" i="17"/>
  <c r="CF51" i="17"/>
  <c r="CG51" i="17"/>
  <c r="AU54" i="17"/>
  <c r="AS54" i="17"/>
  <c r="AX54" i="17"/>
  <c r="CE50" i="17"/>
  <c r="AL53" i="17"/>
  <c r="BN53" i="17"/>
  <c r="BO53" i="17" s="1"/>
  <c r="BP52" i="17"/>
  <c r="AO60" i="17"/>
  <c r="AF61" i="17" l="1"/>
  <c r="BC54" i="17"/>
  <c r="AN61" i="17"/>
  <c r="AM61" i="17"/>
  <c r="AD61" i="17"/>
  <c r="AO61" i="17" s="1"/>
  <c r="S79" i="17"/>
  <c r="Q79" i="17"/>
  <c r="R79" i="17" s="1"/>
  <c r="T79" i="17" s="1"/>
  <c r="BX51" i="17"/>
  <c r="BZ51" i="17" s="1"/>
  <c r="BU52" i="17" s="1"/>
  <c r="BW52" i="17" s="1"/>
  <c r="AI61" i="17"/>
  <c r="AT54" i="17"/>
  <c r="AV54" i="17" s="1"/>
  <c r="AQ55" i="17" s="1"/>
  <c r="AS55" i="17" s="1"/>
  <c r="BD54" i="17"/>
  <c r="BR54" i="17"/>
  <c r="BJ54" i="17"/>
  <c r="BH54" i="17"/>
  <c r="BQ54" i="17"/>
  <c r="BP53" i="17"/>
  <c r="AY54" i="17"/>
  <c r="AZ54" i="17" s="1"/>
  <c r="BA54" i="17" s="1"/>
  <c r="CL54" i="17"/>
  <c r="CM54" i="17" s="1"/>
  <c r="D54" i="17"/>
  <c r="F54" i="17" s="1"/>
  <c r="AJ54" i="17"/>
  <c r="AK54" i="17" s="1"/>
  <c r="CH51" i="17"/>
  <c r="CC51" i="17"/>
  <c r="CD51" i="17" s="1"/>
  <c r="CF52" i="17" l="1"/>
  <c r="CG52" i="17"/>
  <c r="CH52" i="17" s="1"/>
  <c r="AE61" i="17"/>
  <c r="AG61" i="17" s="1"/>
  <c r="AB62" i="17" s="1"/>
  <c r="AF62" i="17" s="1"/>
  <c r="BY52" i="17"/>
  <c r="BC55" i="17"/>
  <c r="BD55" i="17" s="1"/>
  <c r="BS54" i="17"/>
  <c r="AU55" i="17"/>
  <c r="AT55" i="17" s="1"/>
  <c r="AV55" i="17" s="1"/>
  <c r="AQ56" i="17" s="1"/>
  <c r="AU56" i="17" s="1"/>
  <c r="AX55" i="17"/>
  <c r="BB55" i="17"/>
  <c r="AL54" i="17"/>
  <c r="CE51" i="17"/>
  <c r="BN54" i="17"/>
  <c r="BO54" i="17" s="1"/>
  <c r="E55" i="17"/>
  <c r="C55" i="17"/>
  <c r="BI54" i="17"/>
  <c r="BK54" i="17" s="1"/>
  <c r="BF55" i="17" s="1"/>
  <c r="CC52" i="17"/>
  <c r="CD52" i="17" s="1"/>
  <c r="CJ62" i="17"/>
  <c r="CK62" i="17" s="1"/>
  <c r="AD62" i="17"/>
  <c r="AM62" i="17"/>
  <c r="AN62" i="17"/>
  <c r="AI62" i="17"/>
  <c r="CN54" i="17"/>
  <c r="S80" i="17"/>
  <c r="Q80" i="17"/>
  <c r="BX52" i="17"/>
  <c r="BZ52" i="17" s="1"/>
  <c r="BU53" i="17" s="1"/>
  <c r="AE62" i="17" l="1"/>
  <c r="AG62" i="17" s="1"/>
  <c r="AB63" i="17" s="1"/>
  <c r="AD63" i="17" s="1"/>
  <c r="AX56" i="17"/>
  <c r="BC56" i="17"/>
  <c r="BB56" i="17"/>
  <c r="AS56" i="17"/>
  <c r="BD56" i="17" s="1"/>
  <c r="BP54" i="17"/>
  <c r="CE52" i="17"/>
  <c r="AO62" i="17"/>
  <c r="BR55" i="17"/>
  <c r="BJ55" i="17"/>
  <c r="BH55" i="17"/>
  <c r="BN55" i="17" s="1"/>
  <c r="BO55" i="17" s="1"/>
  <c r="BQ55" i="17"/>
  <c r="BY53" i="17"/>
  <c r="BW53" i="17"/>
  <c r="CF53" i="17"/>
  <c r="CG53" i="17"/>
  <c r="CL55" i="17"/>
  <c r="CM55" i="17" s="1"/>
  <c r="D55" i="17"/>
  <c r="F55" i="17" s="1"/>
  <c r="AJ55" i="17"/>
  <c r="AK55" i="17" s="1"/>
  <c r="AY55" i="17"/>
  <c r="AZ55" i="17" s="1"/>
  <c r="R80" i="17"/>
  <c r="T80" i="17" s="1"/>
  <c r="AF63" i="17" l="1"/>
  <c r="AN63" i="17"/>
  <c r="AM63" i="17"/>
  <c r="CJ63" i="17"/>
  <c r="CK63" i="17" s="1"/>
  <c r="AI63" i="17"/>
  <c r="AT56" i="17"/>
  <c r="AV56" i="17" s="1"/>
  <c r="AQ57" i="17" s="1"/>
  <c r="AU57" i="17" s="1"/>
  <c r="BI55" i="17"/>
  <c r="BK55" i="17" s="1"/>
  <c r="BF56" i="17" s="1"/>
  <c r="BR56" i="17" s="1"/>
  <c r="BP55" i="17"/>
  <c r="S81" i="17"/>
  <c r="Q81" i="17"/>
  <c r="R81" i="17" s="1"/>
  <c r="T81" i="17" s="1"/>
  <c r="AL55" i="17"/>
  <c r="CH53" i="17"/>
  <c r="CC53" i="17"/>
  <c r="CD53" i="17" s="1"/>
  <c r="BX53" i="17"/>
  <c r="BZ53" i="17" s="1"/>
  <c r="BU54" i="17" s="1"/>
  <c r="BA55" i="17"/>
  <c r="E56" i="17"/>
  <c r="C56" i="17"/>
  <c r="AO63" i="17"/>
  <c r="CN55" i="17"/>
  <c r="BS55" i="17"/>
  <c r="AE63" i="17"/>
  <c r="AG63" i="17" s="1"/>
  <c r="AB64" i="17" s="1"/>
  <c r="AX57" i="17" l="1"/>
  <c r="BB57" i="17"/>
  <c r="BC57" i="17"/>
  <c r="AS57" i="17"/>
  <c r="AT57" i="17" s="1"/>
  <c r="AV57" i="17" s="1"/>
  <c r="AQ58" i="17" s="1"/>
  <c r="BQ56" i="17"/>
  <c r="BH56" i="17"/>
  <c r="BS56" i="17" s="1"/>
  <c r="BJ56" i="17"/>
  <c r="S82" i="17"/>
  <c r="Q82" i="17"/>
  <c r="R82" i="17" s="1"/>
  <c r="T82" i="17" s="1"/>
  <c r="CL56" i="17"/>
  <c r="CM56" i="17" s="1"/>
  <c r="D56" i="17"/>
  <c r="F56" i="17" s="1"/>
  <c r="AJ56" i="17"/>
  <c r="AK56" i="17" s="1"/>
  <c r="AY56" i="17"/>
  <c r="AZ56" i="17" s="1"/>
  <c r="CJ64" i="17"/>
  <c r="CK64" i="17" s="1"/>
  <c r="AF64" i="17"/>
  <c r="AD64" i="17"/>
  <c r="AM64" i="17"/>
  <c r="AN64" i="17"/>
  <c r="AI64" i="17"/>
  <c r="BY54" i="17"/>
  <c r="BW54" i="17"/>
  <c r="CF54" i="17"/>
  <c r="CG54" i="17"/>
  <c r="CE53" i="17"/>
  <c r="BD57" i="17" l="1"/>
  <c r="BI56" i="17"/>
  <c r="BK56" i="17" s="1"/>
  <c r="BF57" i="17" s="1"/>
  <c r="BN56" i="17"/>
  <c r="BO56" i="17" s="1"/>
  <c r="BP56" i="17" s="1"/>
  <c r="AE64" i="17"/>
  <c r="AG64" i="17" s="1"/>
  <c r="AB65" i="17" s="1"/>
  <c r="CJ65" i="17" s="1"/>
  <c r="CK65" i="17" s="1"/>
  <c r="S83" i="17"/>
  <c r="Q83" i="17"/>
  <c r="E57" i="17"/>
  <c r="C57" i="17"/>
  <c r="CN56" i="17"/>
  <c r="AO64" i="17"/>
  <c r="BR57" i="17"/>
  <c r="BJ57" i="17"/>
  <c r="BH57" i="17"/>
  <c r="BQ57" i="17"/>
  <c r="CH54" i="17"/>
  <c r="CC54" i="17"/>
  <c r="CD54" i="17" s="1"/>
  <c r="AU58" i="17"/>
  <c r="AS58" i="17"/>
  <c r="BB58" i="17"/>
  <c r="BC58" i="17"/>
  <c r="AX58" i="17"/>
  <c r="BA56" i="17"/>
  <c r="BX54" i="17"/>
  <c r="BZ54" i="17" s="1"/>
  <c r="BU55" i="17" s="1"/>
  <c r="AL56" i="17"/>
  <c r="AI65" i="17" l="1"/>
  <c r="AN65" i="17"/>
  <c r="AM65" i="17"/>
  <c r="AD65" i="17"/>
  <c r="AO65" i="17" s="1"/>
  <c r="AF65" i="17"/>
  <c r="BS57" i="17"/>
  <c r="BD58" i="17"/>
  <c r="BI57" i="17"/>
  <c r="BK57" i="17" s="1"/>
  <c r="BF58" i="17" s="1"/>
  <c r="CL57" i="17"/>
  <c r="CM57" i="17" s="1"/>
  <c r="D57" i="17"/>
  <c r="F57" i="17" s="1"/>
  <c r="BN57" i="17"/>
  <c r="BO57" i="17" s="1"/>
  <c r="AJ57" i="17"/>
  <c r="AK57" i="17" s="1"/>
  <c r="AY57" i="17"/>
  <c r="AZ57" i="17" s="1"/>
  <c r="AT58" i="17"/>
  <c r="AV58" i="17" s="1"/>
  <c r="AQ59" i="17" s="1"/>
  <c r="BY55" i="17"/>
  <c r="BW55" i="17"/>
  <c r="CF55" i="17"/>
  <c r="CG55" i="17"/>
  <c r="CE54" i="17"/>
  <c r="R83" i="17"/>
  <c r="T83" i="17" s="1"/>
  <c r="AE65" i="17"/>
  <c r="AG65" i="17" s="1"/>
  <c r="AB66" i="17" s="1"/>
  <c r="AL57" i="17" l="1"/>
  <c r="BP57" i="17"/>
  <c r="BA57" i="17"/>
  <c r="E58" i="17"/>
  <c r="C58" i="17"/>
  <c r="CJ66" i="17"/>
  <c r="CK66" i="17" s="1"/>
  <c r="AN66" i="17"/>
  <c r="AF66" i="17"/>
  <c r="AD66" i="17"/>
  <c r="AM66" i="17"/>
  <c r="AI66" i="17"/>
  <c r="CN57" i="17"/>
  <c r="CH55" i="17"/>
  <c r="CC55" i="17"/>
  <c r="CD55" i="17" s="1"/>
  <c r="BX55" i="17"/>
  <c r="BZ55" i="17" s="1"/>
  <c r="BU56" i="17" s="1"/>
  <c r="BR58" i="17"/>
  <c r="BJ58" i="17"/>
  <c r="BH58" i="17"/>
  <c r="BQ58" i="17"/>
  <c r="S84" i="17"/>
  <c r="Q84" i="17"/>
  <c r="R84" i="17" s="1"/>
  <c r="T84" i="17" s="1"/>
  <c r="AU59" i="17"/>
  <c r="AS59" i="17"/>
  <c r="BB59" i="17"/>
  <c r="BC59" i="17"/>
  <c r="AX59" i="17"/>
  <c r="AE66" i="17" l="1"/>
  <c r="AG66" i="17" s="1"/>
  <c r="AB67" i="17" s="1"/>
  <c r="AN67" i="17" s="1"/>
  <c r="BI58" i="17"/>
  <c r="BK58" i="17" s="1"/>
  <c r="BF59" i="17" s="1"/>
  <c r="BH59" i="17" s="1"/>
  <c r="AT59" i="17"/>
  <c r="AV59" i="17" s="1"/>
  <c r="AQ60" i="17" s="1"/>
  <c r="AU60" i="17" s="1"/>
  <c r="BD59" i="17"/>
  <c r="S85" i="17"/>
  <c r="Q85" i="17"/>
  <c r="CJ67" i="17"/>
  <c r="CK67" i="17" s="1"/>
  <c r="AF67" i="17"/>
  <c r="AD67" i="17"/>
  <c r="AM67" i="17"/>
  <c r="BR59" i="17"/>
  <c r="CL58" i="17"/>
  <c r="CM58" i="17" s="1"/>
  <c r="D58" i="17"/>
  <c r="F58" i="17" s="1"/>
  <c r="BN58" i="17"/>
  <c r="BO58" i="17" s="1"/>
  <c r="AJ58" i="17"/>
  <c r="AK58" i="17" s="1"/>
  <c r="AY58" i="17"/>
  <c r="AZ58" i="17" s="1"/>
  <c r="BY56" i="17"/>
  <c r="BW56" i="17"/>
  <c r="CF56" i="17"/>
  <c r="CG56" i="17"/>
  <c r="CE55" i="17"/>
  <c r="AO66" i="17"/>
  <c r="BS58" i="17"/>
  <c r="AI67" i="17" l="1"/>
  <c r="AX60" i="17"/>
  <c r="BC60" i="17"/>
  <c r="BB60" i="17"/>
  <c r="BJ59" i="17"/>
  <c r="AS60" i="17"/>
  <c r="AT60" i="17" s="1"/>
  <c r="AV60" i="17" s="1"/>
  <c r="AQ61" i="17" s="1"/>
  <c r="BQ59" i="17"/>
  <c r="BS59" i="17" s="1"/>
  <c r="BX56" i="17"/>
  <c r="BZ56" i="17" s="1"/>
  <c r="BU57" i="17" s="1"/>
  <c r="CF57" i="17" s="1"/>
  <c r="R85" i="17"/>
  <c r="T85" i="17" s="1"/>
  <c r="Q86" i="17" s="1"/>
  <c r="AO67" i="17"/>
  <c r="BA58" i="17"/>
  <c r="AL58" i="17"/>
  <c r="BI59" i="17"/>
  <c r="BK59" i="17" s="1"/>
  <c r="BF60" i="17" s="1"/>
  <c r="AE67" i="17"/>
  <c r="AG67" i="17" s="1"/>
  <c r="AB68" i="17" s="1"/>
  <c r="BP58" i="17"/>
  <c r="E59" i="17"/>
  <c r="C59" i="17"/>
  <c r="CN58" i="17"/>
  <c r="CH56" i="17"/>
  <c r="CC56" i="17"/>
  <c r="CD56" i="17" s="1"/>
  <c r="BD60" i="17" l="1"/>
  <c r="S86" i="17"/>
  <c r="BW57" i="17"/>
  <c r="BY57" i="17"/>
  <c r="CG57" i="17"/>
  <c r="R86" i="17"/>
  <c r="T86" i="17" s="1"/>
  <c r="S87" i="17" s="1"/>
  <c r="Q87" i="17"/>
  <c r="CJ68" i="17"/>
  <c r="CK68" i="17" s="1"/>
  <c r="AD68" i="17"/>
  <c r="AM68" i="17"/>
  <c r="AN68" i="17"/>
  <c r="AF68" i="17"/>
  <c r="AI68" i="17"/>
  <c r="AU61" i="17"/>
  <c r="AS61" i="17"/>
  <c r="BB61" i="17"/>
  <c r="BC61" i="17"/>
  <c r="AX61" i="17"/>
  <c r="BR60" i="17"/>
  <c r="BJ60" i="17"/>
  <c r="BH60" i="17"/>
  <c r="BQ60" i="17"/>
  <c r="CH57" i="17"/>
  <c r="CC57" i="17"/>
  <c r="CD57" i="17" s="1"/>
  <c r="CL59" i="17"/>
  <c r="CM59" i="17" s="1"/>
  <c r="D59" i="17"/>
  <c r="F59" i="17" s="1"/>
  <c r="BN59" i="17"/>
  <c r="BO59" i="17" s="1"/>
  <c r="AJ59" i="17"/>
  <c r="AK59" i="17" s="1"/>
  <c r="AY59" i="17"/>
  <c r="AZ59" i="17" s="1"/>
  <c r="CE56" i="17"/>
  <c r="BX57" i="17"/>
  <c r="BZ57" i="17" s="1"/>
  <c r="BU58" i="17" s="1"/>
  <c r="R87" i="17" l="1"/>
  <c r="T87" i="17" s="1"/>
  <c r="S88" i="17" s="1"/>
  <c r="AO68" i="17"/>
  <c r="BS60" i="17"/>
  <c r="BP59" i="17"/>
  <c r="BI60" i="17"/>
  <c r="BK60" i="17" s="1"/>
  <c r="BF61" i="17" s="1"/>
  <c r="E60" i="17"/>
  <c r="C60" i="17"/>
  <c r="BD61" i="17"/>
  <c r="BY58" i="17"/>
  <c r="BW58" i="17"/>
  <c r="CF58" i="17"/>
  <c r="CG58" i="17"/>
  <c r="AE68" i="17"/>
  <c r="AG68" i="17" s="1"/>
  <c r="AB69" i="17" s="1"/>
  <c r="AL59" i="17"/>
  <c r="CN59" i="17"/>
  <c r="AT61" i="17"/>
  <c r="AV61" i="17" s="1"/>
  <c r="AQ62" i="17" s="1"/>
  <c r="CE57" i="17"/>
  <c r="BA59" i="17"/>
  <c r="Q88" i="17" l="1"/>
  <c r="R88" i="17" s="1"/>
  <c r="T88" i="17" s="1"/>
  <c r="S89" i="17" s="1"/>
  <c r="BR61" i="17"/>
  <c r="BJ61" i="17"/>
  <c r="BH61" i="17"/>
  <c r="BQ61" i="17"/>
  <c r="CH58" i="17"/>
  <c r="CC58" i="17"/>
  <c r="CD58" i="17" s="1"/>
  <c r="AU62" i="17"/>
  <c r="AS62" i="17"/>
  <c r="BB62" i="17"/>
  <c r="BC62" i="17"/>
  <c r="AX62" i="17"/>
  <c r="BX58" i="17"/>
  <c r="BZ58" i="17" s="1"/>
  <c r="BU59" i="17" s="1"/>
  <c r="CL60" i="17"/>
  <c r="CM60" i="17" s="1"/>
  <c r="D60" i="17"/>
  <c r="F60" i="17" s="1"/>
  <c r="BN60" i="17"/>
  <c r="BO60" i="17" s="1"/>
  <c r="AJ60" i="17"/>
  <c r="AK60" i="17" s="1"/>
  <c r="AY60" i="17"/>
  <c r="AZ60" i="17" s="1"/>
  <c r="CJ69" i="17"/>
  <c r="CK69" i="17"/>
  <c r="AF69" i="17"/>
  <c r="AD69" i="17"/>
  <c r="AE69" i="17" s="1"/>
  <c r="AG69" i="17" s="1"/>
  <c r="AB70" i="17" s="1"/>
  <c r="AM69" i="17"/>
  <c r="AN69" i="17"/>
  <c r="AI69" i="17"/>
  <c r="Q89" i="17" l="1"/>
  <c r="R89" i="17" s="1"/>
  <c r="T89" i="17" s="1"/>
  <c r="S90" i="17" s="1"/>
  <c r="BS61" i="17"/>
  <c r="CJ70" i="17"/>
  <c r="CK70" i="17" s="1"/>
  <c r="AF70" i="17"/>
  <c r="AD70" i="17"/>
  <c r="AE70" i="17" s="1"/>
  <c r="AG70" i="17" s="1"/>
  <c r="AB71" i="17" s="1"/>
  <c r="AM70" i="17"/>
  <c r="AN70" i="17"/>
  <c r="AI70" i="17"/>
  <c r="E61" i="17"/>
  <c r="C61" i="17"/>
  <c r="BD62" i="17"/>
  <c r="BY59" i="17"/>
  <c r="BW59" i="17"/>
  <c r="BX59" i="17" s="1"/>
  <c r="BZ59" i="17" s="1"/>
  <c r="BU60" i="17" s="1"/>
  <c r="CF59" i="17"/>
  <c r="CG59" i="17"/>
  <c r="BI61" i="17"/>
  <c r="BK61" i="17" s="1"/>
  <c r="BF62" i="17" s="1"/>
  <c r="AT62" i="17"/>
  <c r="AV62" i="17" s="1"/>
  <c r="AQ63" i="17" s="1"/>
  <c r="CN60" i="17"/>
  <c r="BA60" i="17"/>
  <c r="AO69" i="17"/>
  <c r="AL60" i="17"/>
  <c r="CE58" i="17"/>
  <c r="BP60" i="17"/>
  <c r="Q90" i="17" l="1"/>
  <c r="R90" i="17" s="1"/>
  <c r="T90" i="17" s="1"/>
  <c r="S91" i="17" s="1"/>
  <c r="CJ71" i="17"/>
  <c r="CK71" i="17" s="1"/>
  <c r="AM71" i="17"/>
  <c r="AN71" i="17"/>
  <c r="AF71" i="17"/>
  <c r="AD71" i="17"/>
  <c r="AI71" i="17"/>
  <c r="BY60" i="17"/>
  <c r="BW60" i="17"/>
  <c r="CF60" i="17"/>
  <c r="CG60" i="17"/>
  <c r="CH59" i="17"/>
  <c r="CC59" i="17"/>
  <c r="CD59" i="17" s="1"/>
  <c r="AU63" i="17"/>
  <c r="AS63" i="17"/>
  <c r="BB63" i="17"/>
  <c r="BC63" i="17"/>
  <c r="AX63" i="17"/>
  <c r="BR62" i="17"/>
  <c r="BJ62" i="17"/>
  <c r="BH62" i="17"/>
  <c r="BQ62" i="17"/>
  <c r="CL61" i="17"/>
  <c r="CM61" i="17" s="1"/>
  <c r="D61" i="17"/>
  <c r="F61" i="17" s="1"/>
  <c r="BN61" i="17"/>
  <c r="BO61" i="17" s="1"/>
  <c r="AJ61" i="17"/>
  <c r="AK61" i="17" s="1"/>
  <c r="AY61" i="17"/>
  <c r="AZ61" i="17" s="1"/>
  <c r="AO70" i="17"/>
  <c r="BX60" i="17" l="1"/>
  <c r="BZ60" i="17" s="1"/>
  <c r="BU61" i="17" s="1"/>
  <c r="BY61" i="17" s="1"/>
  <c r="Q91" i="17"/>
  <c r="R91" i="17" s="1"/>
  <c r="T91" i="17" s="1"/>
  <c r="S92" i="17" s="1"/>
  <c r="BS62" i="17"/>
  <c r="BA61" i="17"/>
  <c r="AL61" i="17"/>
  <c r="AO71" i="17"/>
  <c r="BD63" i="17"/>
  <c r="E62" i="17"/>
  <c r="C62" i="17"/>
  <c r="BI62" i="17"/>
  <c r="BK62" i="17" s="1"/>
  <c r="BF63" i="17" s="1"/>
  <c r="BP61" i="17"/>
  <c r="AT63" i="17"/>
  <c r="AV63" i="17" s="1"/>
  <c r="AQ64" i="17" s="1"/>
  <c r="CN61" i="17"/>
  <c r="CE59" i="17"/>
  <c r="CH60" i="17"/>
  <c r="CC60" i="17"/>
  <c r="CD60" i="17" s="1"/>
  <c r="AE71" i="17"/>
  <c r="AG71" i="17" s="1"/>
  <c r="AB72" i="17" s="1"/>
  <c r="CG61" i="17" l="1"/>
  <c r="CF61" i="17"/>
  <c r="BW61" i="17"/>
  <c r="BX61" i="17" s="1"/>
  <c r="BZ61" i="17" s="1"/>
  <c r="BU62" i="17" s="1"/>
  <c r="BY62" i="17" s="1"/>
  <c r="Q92" i="17"/>
  <c r="R92" i="17" s="1"/>
  <c r="T92" i="17" s="1"/>
  <c r="S93" i="17" s="1"/>
  <c r="CE60" i="17"/>
  <c r="AU64" i="17"/>
  <c r="AS64" i="17"/>
  <c r="BB64" i="17"/>
  <c r="BC64" i="17"/>
  <c r="AX64" i="17"/>
  <c r="BR63" i="17"/>
  <c r="BJ63" i="17"/>
  <c r="BH63" i="17"/>
  <c r="BQ63" i="17"/>
  <c r="CJ72" i="17"/>
  <c r="CK72" i="17" s="1"/>
  <c r="AF72" i="17"/>
  <c r="AD72" i="17"/>
  <c r="AE72" i="17" s="1"/>
  <c r="AG72" i="17" s="1"/>
  <c r="AB73" i="17" s="1"/>
  <c r="AM72" i="17"/>
  <c r="AN72" i="17"/>
  <c r="AI72" i="17"/>
  <c r="CH61" i="17"/>
  <c r="CC61" i="17"/>
  <c r="CD61" i="17" s="1"/>
  <c r="CL62" i="17"/>
  <c r="CM62" i="17" s="1"/>
  <c r="D62" i="17"/>
  <c r="F62" i="17" s="1"/>
  <c r="BN62" i="17"/>
  <c r="BO62" i="17" s="1"/>
  <c r="AJ62" i="17"/>
  <c r="AK62" i="17" s="1"/>
  <c r="AY62" i="17"/>
  <c r="AZ62" i="17" s="1"/>
  <c r="CG62" i="17" l="1"/>
  <c r="CF62" i="17"/>
  <c r="BW62" i="17"/>
  <c r="CC62" i="17" s="1"/>
  <c r="CD62" i="17" s="1"/>
  <c r="BI63" i="17"/>
  <c r="BK63" i="17" s="1"/>
  <c r="BF64" i="17" s="1"/>
  <c r="BH64" i="17" s="1"/>
  <c r="Q93" i="17"/>
  <c r="R93" i="17" s="1"/>
  <c r="T93" i="17" s="1"/>
  <c r="BS63" i="17"/>
  <c r="CE61" i="17"/>
  <c r="CJ73" i="17"/>
  <c r="CK73" i="17" s="1"/>
  <c r="AF73" i="17"/>
  <c r="AD73" i="17"/>
  <c r="AE73" i="17" s="1"/>
  <c r="AG73" i="17" s="1"/>
  <c r="AB74" i="17" s="1"/>
  <c r="AM73" i="17"/>
  <c r="AN73" i="17"/>
  <c r="AI73" i="17"/>
  <c r="BD64" i="17"/>
  <c r="AL62" i="17"/>
  <c r="BP62" i="17"/>
  <c r="AT64" i="17"/>
  <c r="AV64" i="17" s="1"/>
  <c r="AQ65" i="17" s="1"/>
  <c r="E63" i="17"/>
  <c r="C63" i="17"/>
  <c r="CN62" i="17"/>
  <c r="AO72" i="17"/>
  <c r="BA62" i="17"/>
  <c r="BJ64" i="17" l="1"/>
  <c r="BR64" i="17"/>
  <c r="BQ64" i="17"/>
  <c r="S94" i="17"/>
  <c r="Q94" i="17"/>
  <c r="BX62" i="17"/>
  <c r="BZ62" i="17" s="1"/>
  <c r="BU63" i="17" s="1"/>
  <c r="CH62" i="17"/>
  <c r="BS64" i="17"/>
  <c r="CJ74" i="17"/>
  <c r="CK74" i="17" s="1"/>
  <c r="AN74" i="17"/>
  <c r="AF74" i="17"/>
  <c r="AD74" i="17"/>
  <c r="AE74" i="17" s="1"/>
  <c r="AG74" i="17" s="1"/>
  <c r="AB75" i="17" s="1"/>
  <c r="AM74" i="17"/>
  <c r="AI74" i="17"/>
  <c r="AU65" i="17"/>
  <c r="AS65" i="17"/>
  <c r="BB65" i="17"/>
  <c r="BC65" i="17"/>
  <c r="AX65" i="17"/>
  <c r="BY63" i="17"/>
  <c r="BW63" i="17"/>
  <c r="CF63" i="17"/>
  <c r="CG63" i="17"/>
  <c r="AO73" i="17"/>
  <c r="CE62" i="17"/>
  <c r="BI64" i="17"/>
  <c r="BK64" i="17" s="1"/>
  <c r="BF65" i="17" s="1"/>
  <c r="CL63" i="17"/>
  <c r="CM63" i="17" s="1"/>
  <c r="D63" i="17"/>
  <c r="F63" i="17" s="1"/>
  <c r="BN63" i="17"/>
  <c r="BO63" i="17" s="1"/>
  <c r="AJ63" i="17"/>
  <c r="AK63" i="17" s="1"/>
  <c r="AY63" i="17"/>
  <c r="AZ63" i="17" s="1"/>
  <c r="R94" i="17" l="1"/>
  <c r="T94" i="17" s="1"/>
  <c r="BX63" i="17"/>
  <c r="BZ63" i="17" s="1"/>
  <c r="BU64" i="17" s="1"/>
  <c r="BW64" i="17" s="1"/>
  <c r="CJ75" i="17"/>
  <c r="CK75" i="17" s="1"/>
  <c r="AF75" i="17"/>
  <c r="AD75" i="17"/>
  <c r="AM75" i="17"/>
  <c r="AN75" i="17"/>
  <c r="AI75" i="17"/>
  <c r="E64" i="17"/>
  <c r="C64" i="17"/>
  <c r="BR65" i="17"/>
  <c r="BJ65" i="17"/>
  <c r="BH65" i="17"/>
  <c r="BQ65" i="17"/>
  <c r="BD65" i="17"/>
  <c r="BP63" i="17"/>
  <c r="BA63" i="17"/>
  <c r="AT65" i="17"/>
  <c r="AV65" i="17" s="1"/>
  <c r="AQ66" i="17" s="1"/>
  <c r="CN63" i="17"/>
  <c r="AL63" i="17"/>
  <c r="CH63" i="17"/>
  <c r="CC63" i="17"/>
  <c r="CD63" i="17" s="1"/>
  <c r="AO74" i="17"/>
  <c r="S95" i="17" l="1"/>
  <c r="Q95" i="17"/>
  <c r="CG64" i="17"/>
  <c r="BY64" i="17"/>
  <c r="BX64" i="17" s="1"/>
  <c r="BZ64" i="17" s="1"/>
  <c r="BU65" i="17" s="1"/>
  <c r="BY65" i="17" s="1"/>
  <c r="CF64" i="17"/>
  <c r="AO75" i="17"/>
  <c r="BS65" i="17"/>
  <c r="AU66" i="17"/>
  <c r="AS66" i="17"/>
  <c r="BB66" i="17"/>
  <c r="BC66" i="17"/>
  <c r="AX66" i="17"/>
  <c r="BI65" i="17"/>
  <c r="BK65" i="17" s="1"/>
  <c r="BF66" i="17" s="1"/>
  <c r="CE63" i="17"/>
  <c r="CL64" i="17"/>
  <c r="CM64" i="17" s="1"/>
  <c r="D64" i="17"/>
  <c r="F64" i="17" s="1"/>
  <c r="BN64" i="17"/>
  <c r="BO64" i="17" s="1"/>
  <c r="CC64" i="17"/>
  <c r="CD64" i="17" s="1"/>
  <c r="AJ64" i="17"/>
  <c r="AK64" i="17" s="1"/>
  <c r="AY64" i="17"/>
  <c r="AZ64" i="17" s="1"/>
  <c r="AE75" i="17"/>
  <c r="AG75" i="17" s="1"/>
  <c r="AB76" i="17" s="1"/>
  <c r="R95" i="17" l="1"/>
  <c r="T95" i="17" s="1"/>
  <c r="CH64" i="17"/>
  <c r="CG65" i="17"/>
  <c r="CF65" i="17"/>
  <c r="BW65" i="17"/>
  <c r="BX65" i="17" s="1"/>
  <c r="BZ65" i="17" s="1"/>
  <c r="BU66" i="17" s="1"/>
  <c r="BD66" i="17"/>
  <c r="CJ76" i="17"/>
  <c r="CK76" i="17" s="1"/>
  <c r="AD76" i="17"/>
  <c r="AM76" i="17"/>
  <c r="AN76" i="17"/>
  <c r="AF76" i="17"/>
  <c r="AI76" i="17"/>
  <c r="CN64" i="17"/>
  <c r="CE64" i="17"/>
  <c r="AT66" i="17"/>
  <c r="AV66" i="17" s="1"/>
  <c r="AQ67" i="17" s="1"/>
  <c r="AL64" i="17"/>
  <c r="BA64" i="17"/>
  <c r="BP64" i="17"/>
  <c r="BR66" i="17"/>
  <c r="BJ66" i="17"/>
  <c r="BH66" i="17"/>
  <c r="BQ66" i="17"/>
  <c r="E65" i="17"/>
  <c r="C65" i="17"/>
  <c r="S96" i="17" l="1"/>
  <c r="Q96" i="17"/>
  <c r="CH65" i="17"/>
  <c r="AE76" i="17"/>
  <c r="AG76" i="17" s="1"/>
  <c r="AB77" i="17" s="1"/>
  <c r="CJ77" i="17" s="1"/>
  <c r="CK77" i="17" s="1"/>
  <c r="BS66" i="17"/>
  <c r="AU67" i="17"/>
  <c r="AS67" i="17"/>
  <c r="BB67" i="17"/>
  <c r="BC67" i="17"/>
  <c r="AX67" i="17"/>
  <c r="CL65" i="17"/>
  <c r="CM65" i="17" s="1"/>
  <c r="D65" i="17"/>
  <c r="F65" i="17" s="1"/>
  <c r="BN65" i="17"/>
  <c r="BO65" i="17" s="1"/>
  <c r="CC65" i="17"/>
  <c r="CD65" i="17" s="1"/>
  <c r="AJ65" i="17"/>
  <c r="AK65" i="17" s="1"/>
  <c r="AY65" i="17"/>
  <c r="AZ65" i="17" s="1"/>
  <c r="AO76" i="17"/>
  <c r="BY66" i="17"/>
  <c r="BW66" i="17"/>
  <c r="BX66" i="17" s="1"/>
  <c r="BZ66" i="17" s="1"/>
  <c r="BU67" i="17" s="1"/>
  <c r="CF66" i="17"/>
  <c r="CG66" i="17"/>
  <c r="BI66" i="17"/>
  <c r="BK66" i="17" s="1"/>
  <c r="BF67" i="17" s="1"/>
  <c r="R96" i="17" l="1"/>
  <c r="T96" i="17" s="1"/>
  <c r="AI77" i="17"/>
  <c r="AN77" i="17"/>
  <c r="AM77" i="17"/>
  <c r="AD77" i="17"/>
  <c r="AO77" i="17" s="1"/>
  <c r="AF77" i="17"/>
  <c r="BD67" i="17"/>
  <c r="BY67" i="17"/>
  <c r="BW67" i="17"/>
  <c r="CF67" i="17"/>
  <c r="CG67" i="17"/>
  <c r="BP65" i="17"/>
  <c r="CN65" i="17"/>
  <c r="CE65" i="17"/>
  <c r="E66" i="17"/>
  <c r="C66" i="17"/>
  <c r="AT67" i="17"/>
  <c r="AV67" i="17" s="1"/>
  <c r="AQ68" i="17" s="1"/>
  <c r="AL65" i="17"/>
  <c r="CH66" i="17"/>
  <c r="BR67" i="17"/>
  <c r="BJ67" i="17"/>
  <c r="BH67" i="17"/>
  <c r="BQ67" i="17"/>
  <c r="BA65" i="17"/>
  <c r="Q97" i="17" l="1"/>
  <c r="R97" i="17" s="1"/>
  <c r="T97" i="17" s="1"/>
  <c r="S97" i="17"/>
  <c r="AE77" i="17"/>
  <c r="AG77" i="17" s="1"/>
  <c r="AB78" i="17" s="1"/>
  <c r="AD78" i="17" s="1"/>
  <c r="BS67" i="17"/>
  <c r="CJ78" i="17"/>
  <c r="CK78" i="17"/>
  <c r="AF78" i="17"/>
  <c r="AM78" i="17"/>
  <c r="AN78" i="17"/>
  <c r="AU68" i="17"/>
  <c r="AS68" i="17"/>
  <c r="BB68" i="17"/>
  <c r="BC68" i="17"/>
  <c r="AX68" i="17"/>
  <c r="CH67" i="17"/>
  <c r="BI67" i="17"/>
  <c r="BK67" i="17" s="1"/>
  <c r="BF68" i="17" s="1"/>
  <c r="CL66" i="17"/>
  <c r="CM66" i="17" s="1"/>
  <c r="D66" i="17"/>
  <c r="F66" i="17" s="1"/>
  <c r="BN66" i="17"/>
  <c r="BO66" i="17" s="1"/>
  <c r="CC66" i="17"/>
  <c r="CD66" i="17" s="1"/>
  <c r="AJ66" i="17"/>
  <c r="AK66" i="17" s="1"/>
  <c r="AY66" i="17"/>
  <c r="AZ66" i="17" s="1"/>
  <c r="BX67" i="17"/>
  <c r="BZ67" i="17" s="1"/>
  <c r="BU68" i="17" s="1"/>
  <c r="AI78" i="17" l="1"/>
  <c r="S98" i="17"/>
  <c r="Q98" i="17"/>
  <c r="R98" i="17" s="1"/>
  <c r="T98" i="17" s="1"/>
  <c r="AO78" i="17"/>
  <c r="E67" i="17"/>
  <c r="C67" i="17"/>
  <c r="CN66" i="17"/>
  <c r="BD68" i="17"/>
  <c r="BR68" i="17"/>
  <c r="BJ68" i="17"/>
  <c r="BH68" i="17"/>
  <c r="BQ68" i="17"/>
  <c r="BY68" i="17"/>
  <c r="BW68" i="17"/>
  <c r="BX68" i="17" s="1"/>
  <c r="BZ68" i="17" s="1"/>
  <c r="BU69" i="17" s="1"/>
  <c r="CF68" i="17"/>
  <c r="CG68" i="17"/>
  <c r="AE78" i="17"/>
  <c r="AG78" i="17" s="1"/>
  <c r="AB79" i="17" s="1"/>
  <c r="AT68" i="17"/>
  <c r="AV68" i="17" s="1"/>
  <c r="AQ69" i="17" s="1"/>
  <c r="AL66" i="17"/>
  <c r="BP66" i="17"/>
  <c r="BA66" i="17"/>
  <c r="CE66" i="17"/>
  <c r="S99" i="17" l="1"/>
  <c r="Q99" i="17"/>
  <c r="R99" i="17" s="1"/>
  <c r="T99" i="17" s="1"/>
  <c r="BS68" i="17"/>
  <c r="CH68" i="17"/>
  <c r="BY69" i="17"/>
  <c r="BW69" i="17"/>
  <c r="CF69" i="17"/>
  <c r="CG69" i="17"/>
  <c r="AU69" i="17"/>
  <c r="AS69" i="17"/>
  <c r="BB69" i="17"/>
  <c r="BC69" i="17"/>
  <c r="AX69" i="17"/>
  <c r="CJ79" i="17"/>
  <c r="CK79" i="17" s="1"/>
  <c r="AM79" i="17"/>
  <c r="AN79" i="17"/>
  <c r="AF79" i="17"/>
  <c r="AD79" i="17"/>
  <c r="AI79" i="17"/>
  <c r="CL67" i="17"/>
  <c r="CM67" i="17" s="1"/>
  <c r="D67" i="17"/>
  <c r="F67" i="17" s="1"/>
  <c r="BN67" i="17"/>
  <c r="BO67" i="17" s="1"/>
  <c r="CC67" i="17"/>
  <c r="CD67" i="17" s="1"/>
  <c r="AJ67" i="17"/>
  <c r="AK67" i="17" s="1"/>
  <c r="AY67" i="17"/>
  <c r="AZ67" i="17" s="1"/>
  <c r="BI68" i="17"/>
  <c r="BK68" i="17" s="1"/>
  <c r="BF69" i="17" s="1"/>
  <c r="Q100" i="17" l="1"/>
  <c r="R100" i="17" s="1"/>
  <c r="T100" i="17" s="1"/>
  <c r="S100" i="17"/>
  <c r="AO79" i="17"/>
  <c r="BA67" i="17"/>
  <c r="BD69" i="17"/>
  <c r="BR69" i="17"/>
  <c r="BJ69" i="17"/>
  <c r="BH69" i="17"/>
  <c r="BQ69" i="17"/>
  <c r="CE67" i="17"/>
  <c r="BP67" i="17"/>
  <c r="AE79" i="17"/>
  <c r="AG79" i="17" s="1"/>
  <c r="AB80" i="17" s="1"/>
  <c r="AT69" i="17"/>
  <c r="AV69" i="17" s="1"/>
  <c r="AQ70" i="17" s="1"/>
  <c r="CH69" i="17"/>
  <c r="AL67" i="17"/>
  <c r="E68" i="17"/>
  <c r="C68" i="17"/>
  <c r="CN67" i="17"/>
  <c r="BX69" i="17"/>
  <c r="BZ69" i="17" s="1"/>
  <c r="BU70" i="17" s="1"/>
  <c r="S101" i="17" l="1"/>
  <c r="Q101" i="17"/>
  <c r="R101" i="17" s="1"/>
  <c r="T101" i="17" s="1"/>
  <c r="BY70" i="17"/>
  <c r="BW70" i="17"/>
  <c r="CF70" i="17"/>
  <c r="CG70" i="17"/>
  <c r="BS69" i="17"/>
  <c r="CL68" i="17"/>
  <c r="CM68" i="17" s="1"/>
  <c r="D68" i="17"/>
  <c r="F68" i="17" s="1"/>
  <c r="BN68" i="17"/>
  <c r="BO68" i="17" s="1"/>
  <c r="CC68" i="17"/>
  <c r="CD68" i="17" s="1"/>
  <c r="AJ68" i="17"/>
  <c r="AK68" i="17" s="1"/>
  <c r="AY68" i="17"/>
  <c r="AZ68" i="17" s="1"/>
  <c r="AU70" i="17"/>
  <c r="AS70" i="17"/>
  <c r="BB70" i="17"/>
  <c r="BC70" i="17"/>
  <c r="AX70" i="17"/>
  <c r="CJ80" i="17"/>
  <c r="CK80" i="17" s="1"/>
  <c r="AF80" i="17"/>
  <c r="AD80" i="17"/>
  <c r="AM80" i="17"/>
  <c r="AN80" i="17"/>
  <c r="AI80" i="17"/>
  <c r="BI69" i="17"/>
  <c r="BK69" i="17" s="1"/>
  <c r="BF70" i="17" s="1"/>
  <c r="S102" i="17" l="1"/>
  <c r="Q102" i="17"/>
  <c r="R102" i="17" s="1"/>
  <c r="T102" i="17" s="1"/>
  <c r="AO80" i="17"/>
  <c r="CH70" i="17"/>
  <c r="BA68" i="17"/>
  <c r="AL68" i="17"/>
  <c r="CE68" i="17"/>
  <c r="BP68" i="17"/>
  <c r="BD70" i="17"/>
  <c r="E69" i="17"/>
  <c r="C69" i="17"/>
  <c r="BX70" i="17"/>
  <c r="BZ70" i="17" s="1"/>
  <c r="BU71" i="17" s="1"/>
  <c r="AE80" i="17"/>
  <c r="AG80" i="17" s="1"/>
  <c r="AB81" i="17" s="1"/>
  <c r="CN68" i="17"/>
  <c r="AT70" i="17"/>
  <c r="AV70" i="17" s="1"/>
  <c r="AQ71" i="17" s="1"/>
  <c r="BR70" i="17"/>
  <c r="BJ70" i="17"/>
  <c r="BH70" i="17"/>
  <c r="BI70" i="17" s="1"/>
  <c r="BK70" i="17" s="1"/>
  <c r="BF71" i="17" s="1"/>
  <c r="BQ70" i="17"/>
  <c r="S103" i="17" l="1"/>
  <c r="Q103" i="17"/>
  <c r="R103" i="17" s="1"/>
  <c r="T103" i="17" s="1"/>
  <c r="BR71" i="17"/>
  <c r="BJ71" i="17"/>
  <c r="BH71" i="17"/>
  <c r="BQ71" i="17"/>
  <c r="BY71" i="17"/>
  <c r="BW71" i="17"/>
  <c r="CF71" i="17"/>
  <c r="CG71" i="17"/>
  <c r="CL69" i="17"/>
  <c r="CM69" i="17" s="1"/>
  <c r="D69" i="17"/>
  <c r="F69" i="17" s="1"/>
  <c r="BN69" i="17"/>
  <c r="BO69" i="17" s="1"/>
  <c r="CC69" i="17"/>
  <c r="CD69" i="17" s="1"/>
  <c r="AJ69" i="17"/>
  <c r="AK69" i="17" s="1"/>
  <c r="AY69" i="17"/>
  <c r="AZ69" i="17" s="1"/>
  <c r="AU71" i="17"/>
  <c r="AS71" i="17"/>
  <c r="AT71" i="17" s="1"/>
  <c r="AV71" i="17" s="1"/>
  <c r="AQ72" i="17" s="1"/>
  <c r="BB71" i="17"/>
  <c r="BC71" i="17"/>
  <c r="AX71" i="17"/>
  <c r="BS70" i="17"/>
  <c r="CJ81" i="17"/>
  <c r="CK81" i="17"/>
  <c r="AF81" i="17"/>
  <c r="AD81" i="17"/>
  <c r="AM81" i="17"/>
  <c r="AN81" i="17"/>
  <c r="AI81" i="17"/>
  <c r="S104" i="17" l="1"/>
  <c r="Q104" i="17"/>
  <c r="R104" i="17" s="1"/>
  <c r="T104" i="17" s="1"/>
  <c r="BS71" i="17"/>
  <c r="AO81" i="17"/>
  <c r="AU72" i="17"/>
  <c r="AS72" i="17"/>
  <c r="BB72" i="17"/>
  <c r="BC72" i="17"/>
  <c r="AX72" i="17"/>
  <c r="BA69" i="17"/>
  <c r="AL69" i="17"/>
  <c r="CH71" i="17"/>
  <c r="CE69" i="17"/>
  <c r="BI71" i="17"/>
  <c r="BK71" i="17" s="1"/>
  <c r="BF72" i="17" s="1"/>
  <c r="BP69" i="17"/>
  <c r="BX71" i="17"/>
  <c r="BZ71" i="17" s="1"/>
  <c r="BU72" i="17" s="1"/>
  <c r="CN69" i="17"/>
  <c r="AE81" i="17"/>
  <c r="AG81" i="17" s="1"/>
  <c r="AB82" i="17" s="1"/>
  <c r="BD71" i="17"/>
  <c r="E70" i="17"/>
  <c r="C70" i="17"/>
  <c r="S105" i="17" l="1"/>
  <c r="Q105" i="17"/>
  <c r="R105" i="17" s="1"/>
  <c r="T105" i="17" s="1"/>
  <c r="BD72" i="17"/>
  <c r="BY72" i="17"/>
  <c r="CF72" i="17"/>
  <c r="CG72" i="17"/>
  <c r="BW72" i="17"/>
  <c r="BX72" i="17" s="1"/>
  <c r="BZ72" i="17" s="1"/>
  <c r="BU73" i="17" s="1"/>
  <c r="AT72" i="17"/>
  <c r="AV72" i="17" s="1"/>
  <c r="AQ73" i="17" s="1"/>
  <c r="BR72" i="17"/>
  <c r="BJ72" i="17"/>
  <c r="BH72" i="17"/>
  <c r="BQ72" i="17"/>
  <c r="CJ82" i="17"/>
  <c r="CK82" i="17" s="1"/>
  <c r="AN82" i="17"/>
  <c r="AF82" i="17"/>
  <c r="AD82" i="17"/>
  <c r="AM82" i="17"/>
  <c r="AI82" i="17"/>
  <c r="CL70" i="17"/>
  <c r="CM70" i="17" s="1"/>
  <c r="D70" i="17"/>
  <c r="F70" i="17" s="1"/>
  <c r="BN70" i="17"/>
  <c r="BO70" i="17" s="1"/>
  <c r="CC70" i="17"/>
  <c r="CD70" i="17" s="1"/>
  <c r="AJ70" i="17"/>
  <c r="AK70" i="17" s="1"/>
  <c r="AY70" i="17"/>
  <c r="AZ70" i="17" s="1"/>
  <c r="S106" i="17" l="1"/>
  <c r="Q106" i="17"/>
  <c r="R106" i="17" s="1"/>
  <c r="T106" i="17" s="1"/>
  <c r="AE82" i="17"/>
  <c r="AG82" i="17" s="1"/>
  <c r="AB83" i="17" s="1"/>
  <c r="AD83" i="17" s="1"/>
  <c r="BS72" i="17"/>
  <c r="BY73" i="17"/>
  <c r="CF73" i="17"/>
  <c r="CG73" i="17"/>
  <c r="BW73" i="17"/>
  <c r="AN83" i="17"/>
  <c r="BI72" i="17"/>
  <c r="BK72" i="17" s="1"/>
  <c r="BF73" i="17" s="1"/>
  <c r="CE70" i="17"/>
  <c r="CN70" i="17"/>
  <c r="BA70" i="17"/>
  <c r="E71" i="17"/>
  <c r="C71" i="17"/>
  <c r="AL70" i="17"/>
  <c r="AU73" i="17"/>
  <c r="AS73" i="17"/>
  <c r="BB73" i="17"/>
  <c r="BC73" i="17"/>
  <c r="AX73" i="17"/>
  <c r="BP70" i="17"/>
  <c r="AO82" i="17"/>
  <c r="CH72" i="17"/>
  <c r="AI83" i="17" l="1"/>
  <c r="AM83" i="17"/>
  <c r="AF83" i="17"/>
  <c r="Q107" i="17"/>
  <c r="R107" i="17" s="1"/>
  <c r="T107" i="17" s="1"/>
  <c r="S107" i="17"/>
  <c r="CJ83" i="17"/>
  <c r="CK83" i="17" s="1"/>
  <c r="AE83" i="17"/>
  <c r="AG83" i="17" s="1"/>
  <c r="AB84" i="17" s="1"/>
  <c r="CJ84" i="17" s="1"/>
  <c r="CK84" i="17" s="1"/>
  <c r="CH73" i="17"/>
  <c r="BD73" i="17"/>
  <c r="BR73" i="17"/>
  <c r="BJ73" i="17"/>
  <c r="BH73" i="17"/>
  <c r="BQ73" i="17"/>
  <c r="AT73" i="17"/>
  <c r="AV73" i="17" s="1"/>
  <c r="AQ74" i="17" s="1"/>
  <c r="BX73" i="17"/>
  <c r="BZ73" i="17" s="1"/>
  <c r="BU74" i="17" s="1"/>
  <c r="AO83" i="17"/>
  <c r="CL71" i="17"/>
  <c r="CM71" i="17" s="1"/>
  <c r="D71" i="17"/>
  <c r="F71" i="17" s="1"/>
  <c r="BN71" i="17"/>
  <c r="BO71" i="17" s="1"/>
  <c r="CC71" i="17"/>
  <c r="CD71" i="17" s="1"/>
  <c r="AJ71" i="17"/>
  <c r="AK71" i="17" s="1"/>
  <c r="AY71" i="17"/>
  <c r="AZ71" i="17" s="1"/>
  <c r="AI84" i="17" l="1"/>
  <c r="AF84" i="17"/>
  <c r="S108" i="17"/>
  <c r="Q108" i="17"/>
  <c r="R108" i="17" s="1"/>
  <c r="T108" i="17" s="1"/>
  <c r="AN84" i="17"/>
  <c r="AM84" i="17"/>
  <c r="AD84" i="17"/>
  <c r="AE84" i="17" s="1"/>
  <c r="AG84" i="17" s="1"/>
  <c r="AB85" i="17" s="1"/>
  <c r="BS73" i="17"/>
  <c r="BI73" i="17"/>
  <c r="BK73" i="17" s="1"/>
  <c r="BF74" i="17" s="1"/>
  <c r="E72" i="17"/>
  <c r="C72" i="17"/>
  <c r="CN71" i="17"/>
  <c r="AL71" i="17"/>
  <c r="BP71" i="17"/>
  <c r="CE71" i="17"/>
  <c r="BY74" i="17"/>
  <c r="CF74" i="17"/>
  <c r="CG74" i="17"/>
  <c r="BW74" i="17"/>
  <c r="BA71" i="17"/>
  <c r="AU74" i="17"/>
  <c r="AS74" i="17"/>
  <c r="BB74" i="17"/>
  <c r="BC74" i="17"/>
  <c r="AX74" i="17"/>
  <c r="S109" i="17" l="1"/>
  <c r="Q109" i="17"/>
  <c r="R109" i="17" s="1"/>
  <c r="T109" i="17" s="1"/>
  <c r="AO84" i="17"/>
  <c r="CL72" i="17"/>
  <c r="CM72" i="17" s="1"/>
  <c r="D72" i="17"/>
  <c r="F72" i="17" s="1"/>
  <c r="BN72" i="17"/>
  <c r="BO72" i="17" s="1"/>
  <c r="CC72" i="17"/>
  <c r="CD72" i="17" s="1"/>
  <c r="AJ72" i="17"/>
  <c r="AK72" i="17" s="1"/>
  <c r="AY72" i="17"/>
  <c r="AZ72" i="17" s="1"/>
  <c r="CH74" i="17"/>
  <c r="BX74" i="17"/>
  <c r="BZ74" i="17" s="1"/>
  <c r="BU75" i="17" s="1"/>
  <c r="BR74" i="17"/>
  <c r="BJ74" i="17"/>
  <c r="BH74" i="17"/>
  <c r="BQ74" i="17"/>
  <c r="BD74" i="17"/>
  <c r="CJ85" i="17"/>
  <c r="CK85" i="17" s="1"/>
  <c r="AF85" i="17"/>
  <c r="AD85" i="17"/>
  <c r="AM85" i="17"/>
  <c r="AN85" i="17"/>
  <c r="AI85" i="17"/>
  <c r="AT74" i="17"/>
  <c r="AV74" i="17" s="1"/>
  <c r="AQ75" i="17" s="1"/>
  <c r="Q110" i="17" l="1"/>
  <c r="R110" i="17" s="1"/>
  <c r="T110" i="17" s="1"/>
  <c r="S110" i="17"/>
  <c r="BS74" i="17"/>
  <c r="AO85" i="17"/>
  <c r="CE72" i="17"/>
  <c r="BP72" i="17"/>
  <c r="AL72" i="17"/>
  <c r="BI74" i="17"/>
  <c r="BK74" i="17" s="1"/>
  <c r="BF75" i="17" s="1"/>
  <c r="E73" i="17"/>
  <c r="C73" i="17"/>
  <c r="CN72" i="17"/>
  <c r="AE85" i="17"/>
  <c r="AG85" i="17" s="1"/>
  <c r="AB86" i="17" s="1"/>
  <c r="CF75" i="17"/>
  <c r="CG75" i="17"/>
  <c r="BY75" i="17"/>
  <c r="BW75" i="17"/>
  <c r="AU75" i="17"/>
  <c r="AS75" i="17"/>
  <c r="AT75" i="17" s="1"/>
  <c r="AV75" i="17" s="1"/>
  <c r="AQ76" i="17" s="1"/>
  <c r="BB75" i="17"/>
  <c r="BC75" i="17"/>
  <c r="AX75" i="17"/>
  <c r="BA72" i="17"/>
  <c r="Q111" i="17" l="1"/>
  <c r="R111" i="17" s="1"/>
  <c r="T111" i="17" s="1"/>
  <c r="S111" i="17"/>
  <c r="CH75" i="17"/>
  <c r="AU76" i="17"/>
  <c r="AS76" i="17"/>
  <c r="BB76" i="17"/>
  <c r="BC76" i="17"/>
  <c r="AX76" i="17"/>
  <c r="CJ86" i="17"/>
  <c r="CK86" i="17" s="1"/>
  <c r="AF86" i="17"/>
  <c r="AD86" i="17"/>
  <c r="AE86" i="17" s="1"/>
  <c r="AG86" i="17" s="1"/>
  <c r="AB87" i="17" s="1"/>
  <c r="AM86" i="17"/>
  <c r="AN86" i="17"/>
  <c r="AI86" i="17"/>
  <c r="CL73" i="17"/>
  <c r="CM73" i="17" s="1"/>
  <c r="D73" i="17"/>
  <c r="F73" i="17" s="1"/>
  <c r="BN73" i="17"/>
  <c r="BO73" i="17" s="1"/>
  <c r="CC73" i="17"/>
  <c r="CD73" i="17" s="1"/>
  <c r="AJ73" i="17"/>
  <c r="AK73" i="17" s="1"/>
  <c r="AY73" i="17"/>
  <c r="AZ73" i="17" s="1"/>
  <c r="BX75" i="17"/>
  <c r="BZ75" i="17" s="1"/>
  <c r="BU76" i="17" s="1"/>
  <c r="BR75" i="17"/>
  <c r="BJ75" i="17"/>
  <c r="BH75" i="17"/>
  <c r="BQ75" i="17"/>
  <c r="BD75" i="17"/>
  <c r="S112" i="17" l="1"/>
  <c r="Q112" i="17"/>
  <c r="R112" i="17" s="1"/>
  <c r="T112" i="17" s="1"/>
  <c r="BS75" i="17"/>
  <c r="CJ87" i="17"/>
  <c r="CK87" i="17" s="1"/>
  <c r="AM87" i="17"/>
  <c r="AN87" i="17"/>
  <c r="AF87" i="17"/>
  <c r="AD87" i="17"/>
  <c r="AI87" i="17"/>
  <c r="CE73" i="17"/>
  <c r="AL73" i="17"/>
  <c r="E74" i="17"/>
  <c r="C74" i="17"/>
  <c r="AO86" i="17"/>
  <c r="BD76" i="17"/>
  <c r="CN73" i="17"/>
  <c r="BP73" i="17"/>
  <c r="CF76" i="17"/>
  <c r="CG76" i="17"/>
  <c r="BW76" i="17"/>
  <c r="BX76" i="17" s="1"/>
  <c r="BZ76" i="17" s="1"/>
  <c r="BU77" i="17" s="1"/>
  <c r="BY76" i="17"/>
  <c r="AT76" i="17"/>
  <c r="AV76" i="17" s="1"/>
  <c r="AQ77" i="17" s="1"/>
  <c r="BI75" i="17"/>
  <c r="BK75" i="17" s="1"/>
  <c r="BF76" i="17" s="1"/>
  <c r="BA73" i="17"/>
  <c r="S113" i="17" l="1"/>
  <c r="Q113" i="17"/>
  <c r="R113" i="17" s="1"/>
  <c r="T113" i="17" s="1"/>
  <c r="AO87" i="17"/>
  <c r="CF77" i="17"/>
  <c r="BY77" i="17"/>
  <c r="BW77" i="17"/>
  <c r="CG77" i="17"/>
  <c r="BR76" i="17"/>
  <c r="BJ76" i="17"/>
  <c r="BH76" i="17"/>
  <c r="BQ76" i="17"/>
  <c r="CL74" i="17"/>
  <c r="CM74" i="17" s="1"/>
  <c r="D74" i="17"/>
  <c r="F74" i="17" s="1"/>
  <c r="BN74" i="17"/>
  <c r="BO74" i="17" s="1"/>
  <c r="CC74" i="17"/>
  <c r="CD74" i="17" s="1"/>
  <c r="AJ74" i="17"/>
  <c r="AK74" i="17" s="1"/>
  <c r="AY74" i="17"/>
  <c r="AZ74" i="17" s="1"/>
  <c r="AU77" i="17"/>
  <c r="AS77" i="17"/>
  <c r="AT77" i="17" s="1"/>
  <c r="AV77" i="17" s="1"/>
  <c r="AQ78" i="17" s="1"/>
  <c r="BB77" i="17"/>
  <c r="BC77" i="17"/>
  <c r="AX77" i="17"/>
  <c r="AE87" i="17"/>
  <c r="AG87" i="17" s="1"/>
  <c r="AB88" i="17" s="1"/>
  <c r="CH76" i="17"/>
  <c r="S114" i="17" l="1"/>
  <c r="Q114" i="17"/>
  <c r="R114" i="17" s="1"/>
  <c r="T114" i="17" s="1"/>
  <c r="CH77" i="17"/>
  <c r="BS76" i="17"/>
  <c r="AU78" i="17"/>
  <c r="AS78" i="17"/>
  <c r="BB78" i="17"/>
  <c r="BC78" i="17"/>
  <c r="AX78" i="17"/>
  <c r="BX77" i="17"/>
  <c r="BZ77" i="17" s="1"/>
  <c r="BU78" i="17" s="1"/>
  <c r="CJ88" i="17"/>
  <c r="CK88" i="17"/>
  <c r="AF88" i="17"/>
  <c r="AD88" i="17"/>
  <c r="AE88" i="17" s="1"/>
  <c r="AG88" i="17" s="1"/>
  <c r="AB89" i="17" s="1"/>
  <c r="AM88" i="17"/>
  <c r="AN88" i="17"/>
  <c r="AI88" i="17"/>
  <c r="BA74" i="17"/>
  <c r="CN74" i="17"/>
  <c r="AL74" i="17"/>
  <c r="BI76" i="17"/>
  <c r="BK76" i="17" s="1"/>
  <c r="BF77" i="17" s="1"/>
  <c r="CE74" i="17"/>
  <c r="BP74" i="17"/>
  <c r="BD77" i="17"/>
  <c r="E75" i="17"/>
  <c r="C75" i="17"/>
  <c r="S115" i="17" l="1"/>
  <c r="Q115" i="17"/>
  <c r="R115" i="17" s="1"/>
  <c r="T115" i="17" s="1"/>
  <c r="CJ89" i="17"/>
  <c r="CK89" i="17" s="1"/>
  <c r="AF89" i="17"/>
  <c r="AD89" i="17"/>
  <c r="AM89" i="17"/>
  <c r="AN89" i="17"/>
  <c r="AI89" i="17"/>
  <c r="AO88" i="17"/>
  <c r="BY78" i="17"/>
  <c r="BW78" i="17"/>
  <c r="CF78" i="17"/>
  <c r="CG78" i="17"/>
  <c r="BD78" i="17"/>
  <c r="CL75" i="17"/>
  <c r="CM75" i="17" s="1"/>
  <c r="D75" i="17"/>
  <c r="F75" i="17" s="1"/>
  <c r="BN75" i="17"/>
  <c r="BO75" i="17" s="1"/>
  <c r="CC75" i="17"/>
  <c r="CD75" i="17" s="1"/>
  <c r="AJ75" i="17"/>
  <c r="AK75" i="17" s="1"/>
  <c r="AY75" i="17"/>
  <c r="AZ75" i="17" s="1"/>
  <c r="BR77" i="17"/>
  <c r="BJ77" i="17"/>
  <c r="BH77" i="17"/>
  <c r="BQ77" i="17"/>
  <c r="AT78" i="17"/>
  <c r="AV78" i="17" s="1"/>
  <c r="AQ79" i="17" s="1"/>
  <c r="S116" i="17" l="1"/>
  <c r="Q116" i="17"/>
  <c r="R116" i="17" s="1"/>
  <c r="T116" i="17" s="1"/>
  <c r="CH78" i="17"/>
  <c r="AO89" i="17"/>
  <c r="BA75" i="17"/>
  <c r="AL75" i="17"/>
  <c r="BP75" i="17"/>
  <c r="CE75" i="17"/>
  <c r="E76" i="17"/>
  <c r="C76" i="17"/>
  <c r="BX78" i="17"/>
  <c r="BZ78" i="17" s="1"/>
  <c r="BU79" i="17" s="1"/>
  <c r="AU79" i="17"/>
  <c r="AS79" i="17"/>
  <c r="BB79" i="17"/>
  <c r="BC79" i="17"/>
  <c r="AX79" i="17"/>
  <c r="CN75" i="17"/>
  <c r="BS77" i="17"/>
  <c r="BI77" i="17"/>
  <c r="BK77" i="17" s="1"/>
  <c r="BF78" i="17" s="1"/>
  <c r="AE89" i="17"/>
  <c r="AG89" i="17" s="1"/>
  <c r="AB90" i="17" s="1"/>
  <c r="S117" i="17" l="1"/>
  <c r="Q117" i="17"/>
  <c r="R117" i="17" s="1"/>
  <c r="T117" i="17" s="1"/>
  <c r="BD79" i="17"/>
  <c r="BY79" i="17"/>
  <c r="BW79" i="17"/>
  <c r="CF79" i="17"/>
  <c r="CG79" i="17"/>
  <c r="BR78" i="17"/>
  <c r="BJ78" i="17"/>
  <c r="BH78" i="17"/>
  <c r="BQ78" i="17"/>
  <c r="CJ90" i="17"/>
  <c r="CK90" i="17"/>
  <c r="AN90" i="17"/>
  <c r="AF90" i="17"/>
  <c r="AD90" i="17"/>
  <c r="AM90" i="17"/>
  <c r="AI90" i="17"/>
  <c r="CL76" i="17"/>
  <c r="CM76" i="17" s="1"/>
  <c r="D76" i="17"/>
  <c r="F76" i="17" s="1"/>
  <c r="BN76" i="17"/>
  <c r="BO76" i="17" s="1"/>
  <c r="CC76" i="17"/>
  <c r="CD76" i="17" s="1"/>
  <c r="AJ76" i="17"/>
  <c r="AK76" i="17" s="1"/>
  <c r="AY76" i="17"/>
  <c r="AZ76" i="17" s="1"/>
  <c r="AT79" i="17"/>
  <c r="AV79" i="17" s="1"/>
  <c r="AQ80" i="17" s="1"/>
  <c r="S118" i="17" l="1"/>
  <c r="Q118" i="17"/>
  <c r="R118" i="17" s="1"/>
  <c r="T118" i="17" s="1"/>
  <c r="BS78" i="17"/>
  <c r="AO90" i="17"/>
  <c r="E77" i="17"/>
  <c r="C77" i="17"/>
  <c r="CH79" i="17"/>
  <c r="BP76" i="17"/>
  <c r="CN76" i="17"/>
  <c r="AU80" i="17"/>
  <c r="AS80" i="17"/>
  <c r="BB80" i="17"/>
  <c r="BC80" i="17"/>
  <c r="AX80" i="17"/>
  <c r="BI78" i="17"/>
  <c r="BK78" i="17" s="1"/>
  <c r="BF79" i="17" s="1"/>
  <c r="BX79" i="17"/>
  <c r="BZ79" i="17" s="1"/>
  <c r="BU80" i="17" s="1"/>
  <c r="AL76" i="17"/>
  <c r="BA76" i="17"/>
  <c r="CE76" i="17"/>
  <c r="AE90" i="17"/>
  <c r="AG90" i="17" s="1"/>
  <c r="AB91" i="17" s="1"/>
  <c r="S119" i="17" l="1"/>
  <c r="Q119" i="17"/>
  <c r="R119" i="17" s="1"/>
  <c r="T119" i="17" s="1"/>
  <c r="BD80" i="17"/>
  <c r="CL77" i="17"/>
  <c r="CM77" i="17" s="1"/>
  <c r="D77" i="17"/>
  <c r="F77" i="17" s="1"/>
  <c r="BN77" i="17"/>
  <c r="BO77" i="17" s="1"/>
  <c r="CC77" i="17"/>
  <c r="CD77" i="17" s="1"/>
  <c r="AJ77" i="17"/>
  <c r="AK77" i="17" s="1"/>
  <c r="AY77" i="17"/>
  <c r="AZ77" i="17" s="1"/>
  <c r="AT80" i="17"/>
  <c r="AV80" i="17" s="1"/>
  <c r="AQ81" i="17" s="1"/>
  <c r="BR79" i="17"/>
  <c r="BJ79" i="17"/>
  <c r="BH79" i="17"/>
  <c r="BQ79" i="17"/>
  <c r="BY80" i="17"/>
  <c r="BW80" i="17"/>
  <c r="CF80" i="17"/>
  <c r="CG80" i="17"/>
  <c r="CJ91" i="17"/>
  <c r="CK91" i="17" s="1"/>
  <c r="AF91" i="17"/>
  <c r="AD91" i="17"/>
  <c r="AM91" i="17"/>
  <c r="AN91" i="17"/>
  <c r="AI91" i="17"/>
  <c r="Q120" i="17" l="1"/>
  <c r="R120" i="17" s="1"/>
  <c r="T120" i="17" s="1"/>
  <c r="S120" i="17"/>
  <c r="BS79" i="17"/>
  <c r="AO91" i="17"/>
  <c r="BP77" i="17"/>
  <c r="CE77" i="17"/>
  <c r="BI79" i="17"/>
  <c r="BK79" i="17" s="1"/>
  <c r="BF80" i="17" s="1"/>
  <c r="E78" i="17"/>
  <c r="C78" i="17"/>
  <c r="CN77" i="17"/>
  <c r="CH80" i="17"/>
  <c r="AU81" i="17"/>
  <c r="AS81" i="17"/>
  <c r="AT81" i="17" s="1"/>
  <c r="AV81" i="17" s="1"/>
  <c r="AQ82" i="17" s="1"/>
  <c r="BB81" i="17"/>
  <c r="BC81" i="17"/>
  <c r="AX81" i="17"/>
  <c r="AE91" i="17"/>
  <c r="AG91" i="17" s="1"/>
  <c r="AB92" i="17" s="1"/>
  <c r="BX80" i="17"/>
  <c r="BZ80" i="17" s="1"/>
  <c r="BU81" i="17" s="1"/>
  <c r="BA77" i="17"/>
  <c r="AL77" i="17"/>
  <c r="S121" i="17" l="1"/>
  <c r="Q121" i="17"/>
  <c r="R121" i="17" s="1"/>
  <c r="T121" i="17" s="1"/>
  <c r="AU82" i="17"/>
  <c r="AS82" i="17"/>
  <c r="BB82" i="17"/>
  <c r="BC82" i="17"/>
  <c r="AX82" i="17"/>
  <c r="BR80" i="17"/>
  <c r="BJ80" i="17"/>
  <c r="BH80" i="17"/>
  <c r="BI80" i="17" s="1"/>
  <c r="BK80" i="17" s="1"/>
  <c r="BF81" i="17" s="1"/>
  <c r="BQ80" i="17"/>
  <c r="BD81" i="17"/>
  <c r="CL78" i="17"/>
  <c r="CM78" i="17" s="1"/>
  <c r="D78" i="17"/>
  <c r="F78" i="17" s="1"/>
  <c r="BN78" i="17"/>
  <c r="BO78" i="17" s="1"/>
  <c r="CC78" i="17"/>
  <c r="CD78" i="17" s="1"/>
  <c r="AJ78" i="17"/>
  <c r="AK78" i="17" s="1"/>
  <c r="AY78" i="17"/>
  <c r="AZ78" i="17" s="1"/>
  <c r="BY81" i="17"/>
  <c r="BW81" i="17"/>
  <c r="CF81" i="17"/>
  <c r="CG81" i="17"/>
  <c r="CJ92" i="17"/>
  <c r="CK92" i="17" s="1"/>
  <c r="AD92" i="17"/>
  <c r="AM92" i="17"/>
  <c r="AN92" i="17"/>
  <c r="AF92" i="17"/>
  <c r="AI92" i="17"/>
  <c r="S122" i="17" l="1"/>
  <c r="Q122" i="17"/>
  <c r="R122" i="17" s="1"/>
  <c r="T122" i="17" s="1"/>
  <c r="BS80" i="17"/>
  <c r="AO92" i="17"/>
  <c r="CH81" i="17"/>
  <c r="BR81" i="17"/>
  <c r="BJ81" i="17"/>
  <c r="BH81" i="17"/>
  <c r="BQ81" i="17"/>
  <c r="BP78" i="17"/>
  <c r="E79" i="17"/>
  <c r="C79" i="17"/>
  <c r="CE78" i="17"/>
  <c r="CN78" i="17"/>
  <c r="BD82" i="17"/>
  <c r="BX81" i="17"/>
  <c r="BZ81" i="17" s="1"/>
  <c r="BU82" i="17" s="1"/>
  <c r="AT82" i="17"/>
  <c r="AV82" i="17" s="1"/>
  <c r="AQ83" i="17" s="1"/>
  <c r="BA78" i="17"/>
  <c r="AE92" i="17"/>
  <c r="AG92" i="17" s="1"/>
  <c r="AB93" i="17" s="1"/>
  <c r="AL78" i="17"/>
  <c r="S123" i="17" l="1"/>
  <c r="Q123" i="17"/>
  <c r="R123" i="17" s="1"/>
  <c r="T123" i="17" s="1"/>
  <c r="BS81" i="17"/>
  <c r="CL79" i="17"/>
  <c r="CM79" i="17" s="1"/>
  <c r="D79" i="17"/>
  <c r="F79" i="17" s="1"/>
  <c r="BN79" i="17"/>
  <c r="BO79" i="17" s="1"/>
  <c r="CC79" i="17"/>
  <c r="CD79" i="17" s="1"/>
  <c r="AJ79" i="17"/>
  <c r="AK79" i="17" s="1"/>
  <c r="AY79" i="17"/>
  <c r="AZ79" i="17" s="1"/>
  <c r="BI81" i="17"/>
  <c r="BK81" i="17" s="1"/>
  <c r="BF82" i="17" s="1"/>
  <c r="CJ93" i="17"/>
  <c r="CK93" i="17" s="1"/>
  <c r="AF93" i="17"/>
  <c r="AD93" i="17"/>
  <c r="AM93" i="17"/>
  <c r="AN93" i="17"/>
  <c r="AI93" i="17"/>
  <c r="AU83" i="17"/>
  <c r="AS83" i="17"/>
  <c r="BB83" i="17"/>
  <c r="BC83" i="17"/>
  <c r="AX83" i="17"/>
  <c r="BY82" i="17"/>
  <c r="BW82" i="17"/>
  <c r="CF82" i="17"/>
  <c r="CG82" i="17"/>
  <c r="Q124" i="17" l="1"/>
  <c r="R124" i="17" s="1"/>
  <c r="T124" i="17" s="1"/>
  <c r="S124" i="17"/>
  <c r="AO93" i="17"/>
  <c r="CH82" i="17"/>
  <c r="CE79" i="17"/>
  <c r="BP79" i="17"/>
  <c r="E80" i="17"/>
  <c r="C80" i="17"/>
  <c r="BD83" i="17"/>
  <c r="CN79" i="17"/>
  <c r="BX82" i="17"/>
  <c r="BZ82" i="17" s="1"/>
  <c r="BU83" i="17" s="1"/>
  <c r="AE93" i="17"/>
  <c r="AG93" i="17" s="1"/>
  <c r="AB94" i="17" s="1"/>
  <c r="BR82" i="17"/>
  <c r="BJ82" i="17"/>
  <c r="BH82" i="17"/>
  <c r="BQ82" i="17"/>
  <c r="AL79" i="17"/>
  <c r="AT83" i="17"/>
  <c r="AV83" i="17" s="1"/>
  <c r="AQ84" i="17" s="1"/>
  <c r="BA79" i="17"/>
  <c r="Q125" i="17" l="1"/>
  <c r="R125" i="17" s="1"/>
  <c r="T125" i="17" s="1"/>
  <c r="S125" i="17"/>
  <c r="BS82" i="17"/>
  <c r="CJ94" i="17"/>
  <c r="CK94" i="17"/>
  <c r="AF94" i="17"/>
  <c r="AD94" i="17"/>
  <c r="AM94" i="17"/>
  <c r="AN94" i="17"/>
  <c r="AI94" i="17"/>
  <c r="BY83" i="17"/>
  <c r="BW83" i="17"/>
  <c r="CF83" i="17"/>
  <c r="CG83" i="17"/>
  <c r="AU84" i="17"/>
  <c r="AS84" i="17"/>
  <c r="BB84" i="17"/>
  <c r="BC84" i="17"/>
  <c r="AX84" i="17"/>
  <c r="CL80" i="17"/>
  <c r="CM80" i="17" s="1"/>
  <c r="D80" i="17"/>
  <c r="F80" i="17" s="1"/>
  <c r="BN80" i="17"/>
  <c r="BO80" i="17" s="1"/>
  <c r="CC80" i="17"/>
  <c r="CD80" i="17" s="1"/>
  <c r="AJ80" i="17"/>
  <c r="AK80" i="17" s="1"/>
  <c r="AY80" i="17"/>
  <c r="AZ80" i="17" s="1"/>
  <c r="BI82" i="17"/>
  <c r="BK82" i="17" s="1"/>
  <c r="BF83" i="17" s="1"/>
  <c r="AE94" i="17" l="1"/>
  <c r="AG94" i="17" s="1"/>
  <c r="AB95" i="17" s="1"/>
  <c r="S126" i="17"/>
  <c r="Q126" i="17"/>
  <c r="R126" i="17" s="1"/>
  <c r="T126" i="17" s="1"/>
  <c r="BX83" i="17"/>
  <c r="BZ83" i="17" s="1"/>
  <c r="BU84" i="17" s="1"/>
  <c r="CG84" i="17" s="1"/>
  <c r="BD84" i="17"/>
  <c r="CJ95" i="17"/>
  <c r="CK95" i="17" s="1"/>
  <c r="AM95" i="17"/>
  <c r="AN95" i="17"/>
  <c r="AF95" i="17"/>
  <c r="AD95" i="17"/>
  <c r="AI95" i="17"/>
  <c r="CF84" i="17"/>
  <c r="BA80" i="17"/>
  <c r="AL80" i="17"/>
  <c r="CE80" i="17"/>
  <c r="BP80" i="17"/>
  <c r="CH83" i="17"/>
  <c r="AO94" i="17"/>
  <c r="BR83" i="17"/>
  <c r="BJ83" i="17"/>
  <c r="BH83" i="17"/>
  <c r="BQ83" i="17"/>
  <c r="CN80" i="17"/>
  <c r="E81" i="17"/>
  <c r="C81" i="17"/>
  <c r="AT84" i="17"/>
  <c r="AV84" i="17" s="1"/>
  <c r="AQ85" i="17" s="1"/>
  <c r="BW84" i="17" l="1"/>
  <c r="CH84" i="17" s="1"/>
  <c r="BY84" i="17"/>
  <c r="S127" i="17"/>
  <c r="Q127" i="17"/>
  <c r="R127" i="17" s="1"/>
  <c r="T127" i="17" s="1"/>
  <c r="BS83" i="17"/>
  <c r="AO95" i="17"/>
  <c r="BI83" i="17"/>
  <c r="BK83" i="17" s="1"/>
  <c r="BF84" i="17" s="1"/>
  <c r="CL81" i="17"/>
  <c r="CM81" i="17" s="1"/>
  <c r="D81" i="17"/>
  <c r="F81" i="17" s="1"/>
  <c r="BN81" i="17"/>
  <c r="BO81" i="17" s="1"/>
  <c r="CC81" i="17"/>
  <c r="CD81" i="17" s="1"/>
  <c r="AJ81" i="17"/>
  <c r="AK81" i="17" s="1"/>
  <c r="AY81" i="17"/>
  <c r="AZ81" i="17" s="1"/>
  <c r="AU85" i="17"/>
  <c r="AS85" i="17"/>
  <c r="BB85" i="17"/>
  <c r="BC85" i="17"/>
  <c r="AX85" i="17"/>
  <c r="BX84" i="17"/>
  <c r="BZ84" i="17" s="1"/>
  <c r="BU85" i="17" s="1"/>
  <c r="AE95" i="17"/>
  <c r="AG95" i="17" s="1"/>
  <c r="AB96" i="17" s="1"/>
  <c r="S128" i="17" l="1"/>
  <c r="Q128" i="17"/>
  <c r="R128" i="17" s="1"/>
  <c r="T128" i="17" s="1"/>
  <c r="BD85" i="17"/>
  <c r="CN81" i="17"/>
  <c r="E82" i="17"/>
  <c r="C82" i="17"/>
  <c r="AT85" i="17"/>
  <c r="AV85" i="17" s="1"/>
  <c r="AQ86" i="17" s="1"/>
  <c r="CJ96" i="17"/>
  <c r="CK96" i="17" s="1"/>
  <c r="AF96" i="17"/>
  <c r="AD96" i="17"/>
  <c r="AE96" i="17" s="1"/>
  <c r="AG96" i="17" s="1"/>
  <c r="AB97" i="17" s="1"/>
  <c r="AM96" i="17"/>
  <c r="AN96" i="17"/>
  <c r="AI96" i="17"/>
  <c r="BR84" i="17"/>
  <c r="BJ84" i="17"/>
  <c r="BH84" i="17"/>
  <c r="BQ84" i="17"/>
  <c r="BY85" i="17"/>
  <c r="BW85" i="17"/>
  <c r="CF85" i="17"/>
  <c r="CG85" i="17"/>
  <c r="BA81" i="17"/>
  <c r="AL81" i="17"/>
  <c r="CE81" i="17"/>
  <c r="BP81" i="17"/>
  <c r="S129" i="17" l="1"/>
  <c r="Q129" i="17"/>
  <c r="R129" i="17" s="1"/>
  <c r="T129" i="17" s="1"/>
  <c r="CH85" i="17"/>
  <c r="CJ97" i="17"/>
  <c r="CK97" i="17"/>
  <c r="AF97" i="17"/>
  <c r="AD97" i="17"/>
  <c r="AM97" i="17"/>
  <c r="AN97" i="17"/>
  <c r="AI97" i="17"/>
  <c r="BX85" i="17"/>
  <c r="BZ85" i="17" s="1"/>
  <c r="BU86" i="17" s="1"/>
  <c r="CL82" i="17"/>
  <c r="CM82" i="17" s="1"/>
  <c r="D82" i="17"/>
  <c r="F82" i="17" s="1"/>
  <c r="BN82" i="17"/>
  <c r="BO82" i="17" s="1"/>
  <c r="CC82" i="17"/>
  <c r="CD82" i="17" s="1"/>
  <c r="AJ82" i="17"/>
  <c r="AK82" i="17" s="1"/>
  <c r="AY82" i="17"/>
  <c r="AZ82" i="17" s="1"/>
  <c r="BS84" i="17"/>
  <c r="BI84" i="17"/>
  <c r="BK84" i="17" s="1"/>
  <c r="BF85" i="17" s="1"/>
  <c r="AO96" i="17"/>
  <c r="AU86" i="17"/>
  <c r="AS86" i="17"/>
  <c r="BB86" i="17"/>
  <c r="BC86" i="17"/>
  <c r="AX86" i="17"/>
  <c r="S130" i="17" l="1"/>
  <c r="Q130" i="17"/>
  <c r="R130" i="17" s="1"/>
  <c r="T130" i="17" s="1"/>
  <c r="AO97" i="17"/>
  <c r="BD86" i="17"/>
  <c r="AL82" i="17"/>
  <c r="CE82" i="17"/>
  <c r="BP82" i="17"/>
  <c r="AT86" i="17"/>
  <c r="AV86" i="17" s="1"/>
  <c r="AQ87" i="17" s="1"/>
  <c r="E83" i="17"/>
  <c r="C83" i="17"/>
  <c r="AE97" i="17"/>
  <c r="AG97" i="17" s="1"/>
  <c r="AB98" i="17" s="1"/>
  <c r="CN82" i="17"/>
  <c r="BR85" i="17"/>
  <c r="BJ85" i="17"/>
  <c r="BH85" i="17"/>
  <c r="BQ85" i="17"/>
  <c r="BY86" i="17"/>
  <c r="BW86" i="17"/>
  <c r="BX86" i="17" s="1"/>
  <c r="BZ86" i="17" s="1"/>
  <c r="BU87" i="17" s="1"/>
  <c r="CF86" i="17"/>
  <c r="CG86" i="17"/>
  <c r="BA82" i="17"/>
  <c r="Q131" i="17" l="1"/>
  <c r="R131" i="17" s="1"/>
  <c r="T131" i="17" s="1"/>
  <c r="S131" i="17"/>
  <c r="BS85" i="17"/>
  <c r="BY87" i="17"/>
  <c r="BW87" i="17"/>
  <c r="CF87" i="17"/>
  <c r="CG87" i="17"/>
  <c r="CJ98" i="17"/>
  <c r="CK98" i="17" s="1"/>
  <c r="AN98" i="17"/>
  <c r="AF98" i="17"/>
  <c r="AD98" i="17"/>
  <c r="AE98" i="17" s="1"/>
  <c r="AG98" i="17" s="1"/>
  <c r="AB99" i="17" s="1"/>
  <c r="AM98" i="17"/>
  <c r="AI98" i="17"/>
  <c r="CL83" i="17"/>
  <c r="CM83" i="17" s="1"/>
  <c r="D83" i="17"/>
  <c r="F83" i="17" s="1"/>
  <c r="BN83" i="17"/>
  <c r="BO83" i="17" s="1"/>
  <c r="CC83" i="17"/>
  <c r="CD83" i="17" s="1"/>
  <c r="AJ83" i="17"/>
  <c r="AK83" i="17" s="1"/>
  <c r="AY83" i="17"/>
  <c r="AZ83" i="17" s="1"/>
  <c r="BI85" i="17"/>
  <c r="BK85" i="17" s="1"/>
  <c r="BF86" i="17" s="1"/>
  <c r="AU87" i="17"/>
  <c r="AS87" i="17"/>
  <c r="AT87" i="17" s="1"/>
  <c r="AV87" i="17" s="1"/>
  <c r="AQ88" i="17" s="1"/>
  <c r="BB87" i="17"/>
  <c r="BC87" i="17"/>
  <c r="AX87" i="17"/>
  <c r="CH86" i="17"/>
  <c r="S132" i="17" l="1"/>
  <c r="Q132" i="17"/>
  <c r="R132" i="17" s="1"/>
  <c r="T132" i="17" s="1"/>
  <c r="CH87" i="17"/>
  <c r="BD87" i="17"/>
  <c r="AU88" i="17"/>
  <c r="AS88" i="17"/>
  <c r="BB88" i="17"/>
  <c r="BC88" i="17"/>
  <c r="AX88" i="17"/>
  <c r="CJ99" i="17"/>
  <c r="CK99" i="17" s="1"/>
  <c r="AF99" i="17"/>
  <c r="AD99" i="17"/>
  <c r="AM99" i="17"/>
  <c r="AN99" i="17"/>
  <c r="AI99" i="17"/>
  <c r="BR86" i="17"/>
  <c r="BJ86" i="17"/>
  <c r="BH86" i="17"/>
  <c r="BQ86" i="17"/>
  <c r="BA83" i="17"/>
  <c r="AL83" i="17"/>
  <c r="AO98" i="17"/>
  <c r="CN83" i="17"/>
  <c r="CE83" i="17"/>
  <c r="BP83" i="17"/>
  <c r="E84" i="17"/>
  <c r="C84" i="17"/>
  <c r="BX87" i="17"/>
  <c r="BZ87" i="17" s="1"/>
  <c r="BU88" i="17" s="1"/>
  <c r="S133" i="17" l="1"/>
  <c r="Q133" i="17"/>
  <c r="R133" i="17" s="1"/>
  <c r="T133" i="17" s="1"/>
  <c r="BD88" i="17"/>
  <c r="BS86" i="17"/>
  <c r="AO99" i="17"/>
  <c r="CL84" i="17"/>
  <c r="CM84" i="17" s="1"/>
  <c r="D84" i="17"/>
  <c r="F84" i="17" s="1"/>
  <c r="BN84" i="17"/>
  <c r="BO84" i="17" s="1"/>
  <c r="CC84" i="17"/>
  <c r="CD84" i="17" s="1"/>
  <c r="AJ84" i="17"/>
  <c r="AK84" i="17" s="1"/>
  <c r="AY84" i="17"/>
  <c r="AZ84" i="17" s="1"/>
  <c r="BI86" i="17"/>
  <c r="BK86" i="17" s="1"/>
  <c r="BF87" i="17" s="1"/>
  <c r="BY88" i="17"/>
  <c r="BW88" i="17"/>
  <c r="CF88" i="17"/>
  <c r="CG88" i="17"/>
  <c r="AE99" i="17"/>
  <c r="AG99" i="17" s="1"/>
  <c r="AB100" i="17" s="1"/>
  <c r="AT88" i="17"/>
  <c r="AV88" i="17" s="1"/>
  <c r="AQ89" i="17" s="1"/>
  <c r="S134" i="17" l="1"/>
  <c r="Q134" i="17"/>
  <c r="R134" i="17" s="1"/>
  <c r="T134" i="17" s="1"/>
  <c r="CH88" i="17"/>
  <c r="CJ100" i="17"/>
  <c r="CK100" i="17"/>
  <c r="AD100" i="17"/>
  <c r="AM100" i="17"/>
  <c r="AN100" i="17"/>
  <c r="AF100" i="17"/>
  <c r="AI100" i="17"/>
  <c r="CE84" i="17"/>
  <c r="BP84" i="17"/>
  <c r="E85" i="17"/>
  <c r="C85" i="17"/>
  <c r="BA84" i="17"/>
  <c r="AL84" i="17"/>
  <c r="CN84" i="17"/>
  <c r="BX88" i="17"/>
  <c r="BZ88" i="17" s="1"/>
  <c r="BU89" i="17" s="1"/>
  <c r="AU89" i="17"/>
  <c r="AS89" i="17"/>
  <c r="BB89" i="17"/>
  <c r="BC89" i="17"/>
  <c r="AX89" i="17"/>
  <c r="BR87" i="17"/>
  <c r="BJ87" i="17"/>
  <c r="BH87" i="17"/>
  <c r="BQ87" i="17"/>
  <c r="S135" i="17" l="1"/>
  <c r="Q135" i="17"/>
  <c r="R135" i="17" s="1"/>
  <c r="T135" i="17" s="1"/>
  <c r="AT89" i="17"/>
  <c r="AV89" i="17" s="1"/>
  <c r="AQ90" i="17" s="1"/>
  <c r="AX90" i="17" s="1"/>
  <c r="AO100" i="17"/>
  <c r="BS87" i="17"/>
  <c r="AU90" i="17"/>
  <c r="BC90" i="17"/>
  <c r="BY89" i="17"/>
  <c r="BW89" i="17"/>
  <c r="CF89" i="17"/>
  <c r="CG89" i="17"/>
  <c r="CL85" i="17"/>
  <c r="CM85" i="17" s="1"/>
  <c r="D85" i="17"/>
  <c r="F85" i="17" s="1"/>
  <c r="BN85" i="17"/>
  <c r="BO85" i="17" s="1"/>
  <c r="CC85" i="17"/>
  <c r="CD85" i="17" s="1"/>
  <c r="AJ85" i="17"/>
  <c r="AK85" i="17" s="1"/>
  <c r="AY85" i="17"/>
  <c r="AZ85" i="17" s="1"/>
  <c r="AE100" i="17"/>
  <c r="AG100" i="17" s="1"/>
  <c r="AB101" i="17" s="1"/>
  <c r="BI87" i="17"/>
  <c r="BK87" i="17" s="1"/>
  <c r="BF88" i="17" s="1"/>
  <c r="BD89" i="17"/>
  <c r="S136" i="17" l="1"/>
  <c r="Q136" i="17"/>
  <c r="R136" i="17" s="1"/>
  <c r="T136" i="17" s="1"/>
  <c r="BB90" i="17"/>
  <c r="AS90" i="17"/>
  <c r="AT90" i="17" s="1"/>
  <c r="AV90" i="17" s="1"/>
  <c r="AQ91" i="17" s="1"/>
  <c r="CH89" i="17"/>
  <c r="BP85" i="17"/>
  <c r="BX89" i="17"/>
  <c r="BZ89" i="17" s="1"/>
  <c r="BU90" i="17" s="1"/>
  <c r="E86" i="17"/>
  <c r="C86" i="17"/>
  <c r="CN85" i="17"/>
  <c r="CE85" i="17"/>
  <c r="BR88" i="17"/>
  <c r="BJ88" i="17"/>
  <c r="BH88" i="17"/>
  <c r="BQ88" i="17"/>
  <c r="AL85" i="17"/>
  <c r="CJ101" i="17"/>
  <c r="CK101" i="17" s="1"/>
  <c r="AF101" i="17"/>
  <c r="AD101" i="17"/>
  <c r="AM101" i="17"/>
  <c r="AN101" i="17"/>
  <c r="AI101" i="17"/>
  <c r="BA85" i="17"/>
  <c r="BD90" i="17" l="1"/>
  <c r="Q137" i="17"/>
  <c r="R137" i="17" s="1"/>
  <c r="T137" i="17" s="1"/>
  <c r="S137" i="17"/>
  <c r="AO101" i="17"/>
  <c r="AE101" i="17"/>
  <c r="AG101" i="17" s="1"/>
  <c r="AB102" i="17" s="1"/>
  <c r="AU91" i="17"/>
  <c r="AS91" i="17"/>
  <c r="BB91" i="17"/>
  <c r="BC91" i="17"/>
  <c r="AX91" i="17"/>
  <c r="BY90" i="17"/>
  <c r="BW90" i="17"/>
  <c r="CF90" i="17"/>
  <c r="CG90" i="17"/>
  <c r="BS88" i="17"/>
  <c r="BI88" i="17"/>
  <c r="BK88" i="17" s="1"/>
  <c r="BF89" i="17" s="1"/>
  <c r="CL86" i="17"/>
  <c r="CM86" i="17" s="1"/>
  <c r="D86" i="17"/>
  <c r="F86" i="17" s="1"/>
  <c r="BN86" i="17"/>
  <c r="BO86" i="17" s="1"/>
  <c r="CC86" i="17"/>
  <c r="CD86" i="17" s="1"/>
  <c r="AJ86" i="17"/>
  <c r="AK86" i="17" s="1"/>
  <c r="AY86" i="17"/>
  <c r="AZ86" i="17" s="1"/>
  <c r="S138" i="17" l="1"/>
  <c r="Q138" i="17"/>
  <c r="R138" i="17" s="1"/>
  <c r="T138" i="17" s="1"/>
  <c r="BD91" i="17"/>
  <c r="CH90" i="17"/>
  <c r="BP86" i="17"/>
  <c r="CN86" i="17"/>
  <c r="BX90" i="17"/>
  <c r="BZ90" i="17" s="1"/>
  <c r="BU91" i="17" s="1"/>
  <c r="AT91" i="17"/>
  <c r="AV91" i="17" s="1"/>
  <c r="AQ92" i="17" s="1"/>
  <c r="BR89" i="17"/>
  <c r="BJ89" i="17"/>
  <c r="BH89" i="17"/>
  <c r="BQ89" i="17"/>
  <c r="CJ102" i="17"/>
  <c r="CK102" i="17" s="1"/>
  <c r="AF102" i="17"/>
  <c r="AD102" i="17"/>
  <c r="AM102" i="17"/>
  <c r="AN102" i="17"/>
  <c r="AI102" i="17"/>
  <c r="BA86" i="17"/>
  <c r="AL86" i="17"/>
  <c r="E87" i="17"/>
  <c r="C87" i="17"/>
  <c r="CE86" i="17"/>
  <c r="Q139" i="17" l="1"/>
  <c r="R139" i="17" s="1"/>
  <c r="T139" i="17" s="1"/>
  <c r="S139" i="17"/>
  <c r="BS89" i="17"/>
  <c r="AO102" i="17"/>
  <c r="BI89" i="17"/>
  <c r="BK89" i="17" s="1"/>
  <c r="BF90" i="17" s="1"/>
  <c r="AE102" i="17"/>
  <c r="AG102" i="17" s="1"/>
  <c r="AB103" i="17" s="1"/>
  <c r="D87" i="17"/>
  <c r="F87" i="17" s="1"/>
  <c r="CL87" i="17"/>
  <c r="CM87" i="17" s="1"/>
  <c r="BN87" i="17"/>
  <c r="BO87" i="17" s="1"/>
  <c r="CC87" i="17"/>
  <c r="CD87" i="17" s="1"/>
  <c r="AJ87" i="17"/>
  <c r="AK87" i="17" s="1"/>
  <c r="AY87" i="17"/>
  <c r="AZ87" i="17" s="1"/>
  <c r="BY91" i="17"/>
  <c r="BW91" i="17"/>
  <c r="CF91" i="17"/>
  <c r="CG91" i="17"/>
  <c r="AU92" i="17"/>
  <c r="AS92" i="17"/>
  <c r="BB92" i="17"/>
  <c r="BC92" i="17"/>
  <c r="AX92" i="17"/>
  <c r="Q140" i="17" l="1"/>
  <c r="R140" i="17" s="1"/>
  <c r="T140" i="17" s="1"/>
  <c r="S140" i="17"/>
  <c r="BD92" i="17"/>
  <c r="CH91" i="17"/>
  <c r="CN87" i="17"/>
  <c r="E88" i="17"/>
  <c r="C88" i="17"/>
  <c r="CJ103" i="17"/>
  <c r="CK103" i="17" s="1"/>
  <c r="AM103" i="17"/>
  <c r="AN103" i="17"/>
  <c r="AF103" i="17"/>
  <c r="AD103" i="17"/>
  <c r="AI103" i="17"/>
  <c r="BP87" i="17"/>
  <c r="BX91" i="17"/>
  <c r="BZ91" i="17" s="1"/>
  <c r="BU92" i="17" s="1"/>
  <c r="BR90" i="17"/>
  <c r="BJ90" i="17"/>
  <c r="BH90" i="17"/>
  <c r="BQ90" i="17"/>
  <c r="AT92" i="17"/>
  <c r="AV92" i="17" s="1"/>
  <c r="AQ93" i="17" s="1"/>
  <c r="BA87" i="17"/>
  <c r="AL87" i="17"/>
  <c r="CE87" i="17"/>
  <c r="Q141" i="17" l="1"/>
  <c r="R141" i="17" s="1"/>
  <c r="T141" i="17" s="1"/>
  <c r="S141" i="17"/>
  <c r="BS90" i="17"/>
  <c r="CL88" i="17"/>
  <c r="CM88" i="17" s="1"/>
  <c r="D88" i="17"/>
  <c r="F88" i="17" s="1"/>
  <c r="BN88" i="17"/>
  <c r="BO88" i="17" s="1"/>
  <c r="CC88" i="17"/>
  <c r="CD88" i="17" s="1"/>
  <c r="AJ88" i="17"/>
  <c r="AK88" i="17" s="1"/>
  <c r="AY88" i="17"/>
  <c r="AZ88" i="17" s="1"/>
  <c r="BI90" i="17"/>
  <c r="BK90" i="17" s="1"/>
  <c r="BF91" i="17" s="1"/>
  <c r="AU93" i="17"/>
  <c r="AS93" i="17"/>
  <c r="BB93" i="17"/>
  <c r="BC93" i="17"/>
  <c r="AX93" i="17"/>
  <c r="AO103" i="17"/>
  <c r="BY92" i="17"/>
  <c r="BW92" i="17"/>
  <c r="CF92" i="17"/>
  <c r="CG92" i="17"/>
  <c r="AE103" i="17"/>
  <c r="AG103" i="17" s="1"/>
  <c r="AB104" i="17" s="1"/>
  <c r="S142" i="17" l="1"/>
  <c r="Q142" i="17"/>
  <c r="R142" i="17" s="1"/>
  <c r="T142" i="17" s="1"/>
  <c r="CH92" i="17"/>
  <c r="AL88" i="17"/>
  <c r="CE88" i="17"/>
  <c r="BP88" i="17"/>
  <c r="BD93" i="17"/>
  <c r="E89" i="17"/>
  <c r="C89" i="17"/>
  <c r="BX92" i="17"/>
  <c r="BZ92" i="17" s="1"/>
  <c r="BU93" i="17" s="1"/>
  <c r="CJ104" i="17"/>
  <c r="CK104" i="17" s="1"/>
  <c r="AF104" i="17"/>
  <c r="AD104" i="17"/>
  <c r="AE104" i="17" s="1"/>
  <c r="AG104" i="17" s="1"/>
  <c r="AB105" i="17" s="1"/>
  <c r="AM104" i="17"/>
  <c r="AN104" i="17"/>
  <c r="AI104" i="17"/>
  <c r="CN88" i="17"/>
  <c r="AT93" i="17"/>
  <c r="AV93" i="17" s="1"/>
  <c r="AQ94" i="17" s="1"/>
  <c r="BR91" i="17"/>
  <c r="BJ91" i="17"/>
  <c r="BH91" i="17"/>
  <c r="BQ91" i="17"/>
  <c r="BA88" i="17"/>
  <c r="Q143" i="17" l="1"/>
  <c r="R143" i="17" s="1"/>
  <c r="T143" i="17" s="1"/>
  <c r="S143" i="17"/>
  <c r="CJ105" i="17"/>
  <c r="CK105" i="17"/>
  <c r="AF105" i="17"/>
  <c r="AD105" i="17"/>
  <c r="AM105" i="17"/>
  <c r="AN105" i="17"/>
  <c r="AI105" i="17"/>
  <c r="AU94" i="17"/>
  <c r="AS94" i="17"/>
  <c r="BB94" i="17"/>
  <c r="BC94" i="17"/>
  <c r="AX94" i="17"/>
  <c r="BY93" i="17"/>
  <c r="BW93" i="17"/>
  <c r="CF93" i="17"/>
  <c r="CG93" i="17"/>
  <c r="AO104" i="17"/>
  <c r="D89" i="17"/>
  <c r="F89" i="17" s="1"/>
  <c r="CL89" i="17"/>
  <c r="CM89" i="17" s="1"/>
  <c r="BN89" i="17"/>
  <c r="BO89" i="17" s="1"/>
  <c r="CC89" i="17"/>
  <c r="CD89" i="17" s="1"/>
  <c r="AJ89" i="17"/>
  <c r="AK89" i="17" s="1"/>
  <c r="AY89" i="17"/>
  <c r="AZ89" i="17" s="1"/>
  <c r="BS91" i="17"/>
  <c r="BI91" i="17"/>
  <c r="BK91" i="17" s="1"/>
  <c r="BF92" i="17" s="1"/>
  <c r="S144" i="17" l="1"/>
  <c r="Q144" i="17"/>
  <c r="R144" i="17" s="1"/>
  <c r="T144" i="17" s="1"/>
  <c r="BX93" i="17"/>
  <c r="BZ93" i="17" s="1"/>
  <c r="BU94" i="17" s="1"/>
  <c r="BY94" i="17" s="1"/>
  <c r="AO105" i="17"/>
  <c r="AL89" i="17"/>
  <c r="BD94" i="17"/>
  <c r="BA89" i="17"/>
  <c r="BP89" i="17"/>
  <c r="CN89" i="17"/>
  <c r="CH93" i="17"/>
  <c r="AT94" i="17"/>
  <c r="AV94" i="17" s="1"/>
  <c r="AQ95" i="17" s="1"/>
  <c r="E90" i="17"/>
  <c r="C90" i="17"/>
  <c r="CE89" i="17"/>
  <c r="BR92" i="17"/>
  <c r="BJ92" i="17"/>
  <c r="BH92" i="17"/>
  <c r="BQ92" i="17"/>
  <c r="AE105" i="17"/>
  <c r="AG105" i="17" s="1"/>
  <c r="AB106" i="17" s="1"/>
  <c r="CG94" i="17" l="1"/>
  <c r="Q145" i="17"/>
  <c r="R145" i="17" s="1"/>
  <c r="T145" i="17" s="1"/>
  <c r="S145" i="17"/>
  <c r="CF94" i="17"/>
  <c r="BW94" i="17"/>
  <c r="CH94" i="17" s="1"/>
  <c r="BS92" i="17"/>
  <c r="CL90" i="17"/>
  <c r="CM90" i="17" s="1"/>
  <c r="D90" i="17"/>
  <c r="F90" i="17" s="1"/>
  <c r="BN90" i="17"/>
  <c r="BO90" i="17" s="1"/>
  <c r="CC90" i="17"/>
  <c r="CD90" i="17" s="1"/>
  <c r="AJ90" i="17"/>
  <c r="AK90" i="17" s="1"/>
  <c r="AY90" i="17"/>
  <c r="AZ90" i="17" s="1"/>
  <c r="CJ106" i="17"/>
  <c r="CK106" i="17" s="1"/>
  <c r="AN106" i="17"/>
  <c r="AF106" i="17"/>
  <c r="AD106" i="17"/>
  <c r="AE106" i="17" s="1"/>
  <c r="AG106" i="17" s="1"/>
  <c r="AB107" i="17" s="1"/>
  <c r="AM106" i="17"/>
  <c r="AI106" i="17"/>
  <c r="BI92" i="17"/>
  <c r="BK92" i="17" s="1"/>
  <c r="BF93" i="17" s="1"/>
  <c r="AU95" i="17"/>
  <c r="AS95" i="17"/>
  <c r="BB95" i="17"/>
  <c r="BC95" i="17"/>
  <c r="AX95" i="17"/>
  <c r="BX94" i="17" l="1"/>
  <c r="BZ94" i="17" s="1"/>
  <c r="BU95" i="17" s="1"/>
  <c r="S146" i="17"/>
  <c r="Q146" i="17"/>
  <c r="R146" i="17" s="1"/>
  <c r="T146" i="17" s="1"/>
  <c r="CJ107" i="17"/>
  <c r="CK107" i="17"/>
  <c r="AF107" i="17"/>
  <c r="AD107" i="17"/>
  <c r="AM107" i="17"/>
  <c r="AN107" i="17"/>
  <c r="AI107" i="17"/>
  <c r="CE90" i="17"/>
  <c r="BP90" i="17"/>
  <c r="AL90" i="17"/>
  <c r="E91" i="17"/>
  <c r="C91" i="17"/>
  <c r="BR93" i="17"/>
  <c r="BJ93" i="17"/>
  <c r="BH93" i="17"/>
  <c r="BQ93" i="17"/>
  <c r="BD95" i="17"/>
  <c r="CN90" i="17"/>
  <c r="BY95" i="17"/>
  <c r="BW95" i="17"/>
  <c r="CF95" i="17"/>
  <c r="CG95" i="17"/>
  <c r="AT95" i="17"/>
  <c r="AV95" i="17" s="1"/>
  <c r="AQ96" i="17" s="1"/>
  <c r="AO106" i="17"/>
  <c r="BA90" i="17"/>
  <c r="Q147" i="17" l="1"/>
  <c r="R147" i="17" s="1"/>
  <c r="T147" i="17" s="1"/>
  <c r="S147" i="17"/>
  <c r="CH95" i="17"/>
  <c r="AO107" i="17"/>
  <c r="BS93" i="17"/>
  <c r="BI93" i="17"/>
  <c r="BK93" i="17" s="1"/>
  <c r="BF94" i="17" s="1"/>
  <c r="BX95" i="17"/>
  <c r="BZ95" i="17" s="1"/>
  <c r="BU96" i="17" s="1"/>
  <c r="AU96" i="17"/>
  <c r="AS96" i="17"/>
  <c r="BB96" i="17"/>
  <c r="BC96" i="17"/>
  <c r="AX96" i="17"/>
  <c r="D91" i="17"/>
  <c r="F91" i="17" s="1"/>
  <c r="CL91" i="17"/>
  <c r="CM91" i="17" s="1"/>
  <c r="BN91" i="17"/>
  <c r="BO91" i="17" s="1"/>
  <c r="CC91" i="17"/>
  <c r="CD91" i="17" s="1"/>
  <c r="AJ91" i="17"/>
  <c r="AK91" i="17" s="1"/>
  <c r="AY91" i="17"/>
  <c r="AZ91" i="17" s="1"/>
  <c r="AE107" i="17"/>
  <c r="AG107" i="17" s="1"/>
  <c r="AB108" i="17" s="1"/>
  <c r="S148" i="17" l="1"/>
  <c r="Q148" i="17"/>
  <c r="R148" i="17" s="1"/>
  <c r="T148" i="17" s="1"/>
  <c r="BD96" i="17"/>
  <c r="AT96" i="17"/>
  <c r="AV96" i="17" s="1"/>
  <c r="AQ97" i="17" s="1"/>
  <c r="BA91" i="17"/>
  <c r="BY96" i="17"/>
  <c r="BW96" i="17"/>
  <c r="CF96" i="17"/>
  <c r="CG96" i="17"/>
  <c r="CN91" i="17"/>
  <c r="AL91" i="17"/>
  <c r="BR94" i="17"/>
  <c r="BJ94" i="17"/>
  <c r="BH94" i="17"/>
  <c r="BQ94" i="17"/>
  <c r="E92" i="17"/>
  <c r="C92" i="17"/>
  <c r="CE91" i="17"/>
  <c r="CJ108" i="17"/>
  <c r="CK108" i="17" s="1"/>
  <c r="AD108" i="17"/>
  <c r="AM108" i="17"/>
  <c r="AN108" i="17"/>
  <c r="AF108" i="17"/>
  <c r="AI108" i="17"/>
  <c r="BP91" i="17"/>
  <c r="S149" i="17" l="1"/>
  <c r="Q149" i="17"/>
  <c r="R149" i="17" s="1"/>
  <c r="T149" i="17" s="1"/>
  <c r="BX96" i="17"/>
  <c r="BZ96" i="17" s="1"/>
  <c r="BU97" i="17" s="1"/>
  <c r="BW97" i="17" s="1"/>
  <c r="BS94" i="17"/>
  <c r="AO108" i="17"/>
  <c r="BY97" i="17"/>
  <c r="CF97" i="17"/>
  <c r="CG97" i="17"/>
  <c r="CL92" i="17"/>
  <c r="CM92" i="17" s="1"/>
  <c r="D92" i="17"/>
  <c r="F92" i="17" s="1"/>
  <c r="BN92" i="17"/>
  <c r="BO92" i="17" s="1"/>
  <c r="CC92" i="17"/>
  <c r="CD92" i="17" s="1"/>
  <c r="AJ92" i="17"/>
  <c r="AK92" i="17" s="1"/>
  <c r="AY92" i="17"/>
  <c r="AZ92" i="17" s="1"/>
  <c r="AE108" i="17"/>
  <c r="AG108" i="17" s="1"/>
  <c r="AB109" i="17" s="1"/>
  <c r="AU97" i="17"/>
  <c r="AS97" i="17"/>
  <c r="BB97" i="17"/>
  <c r="BC97" i="17"/>
  <c r="AX97" i="17"/>
  <c r="BI94" i="17"/>
  <c r="BK94" i="17" s="1"/>
  <c r="BF95" i="17" s="1"/>
  <c r="CH96" i="17"/>
  <c r="S150" i="17" l="1"/>
  <c r="Q150" i="17"/>
  <c r="R150" i="17" s="1"/>
  <c r="T150" i="17" s="1"/>
  <c r="BA92" i="17"/>
  <c r="CH97" i="17"/>
  <c r="AL92" i="17"/>
  <c r="CE92" i="17"/>
  <c r="BD97" i="17"/>
  <c r="BP92" i="17"/>
  <c r="BX97" i="17"/>
  <c r="BZ97" i="17" s="1"/>
  <c r="BU98" i="17" s="1"/>
  <c r="BR95" i="17"/>
  <c r="BJ95" i="17"/>
  <c r="BH95" i="17"/>
  <c r="BQ95" i="17"/>
  <c r="E93" i="17"/>
  <c r="C93" i="17"/>
  <c r="AT97" i="17"/>
  <c r="AV97" i="17" s="1"/>
  <c r="AQ98" i="17" s="1"/>
  <c r="CN92" i="17"/>
  <c r="CJ109" i="17"/>
  <c r="CK109" i="17" s="1"/>
  <c r="AF109" i="17"/>
  <c r="AD109" i="17"/>
  <c r="AM109" i="17"/>
  <c r="AN109" i="17"/>
  <c r="AI109" i="17"/>
  <c r="S151" i="17" l="1"/>
  <c r="Q151" i="17"/>
  <c r="R151" i="17" s="1"/>
  <c r="T151" i="17" s="1"/>
  <c r="AO109" i="17"/>
  <c r="BY98" i="17"/>
  <c r="BW98" i="17"/>
  <c r="CF98" i="17"/>
  <c r="CG98" i="17"/>
  <c r="D93" i="17"/>
  <c r="F93" i="17" s="1"/>
  <c r="CL93" i="17"/>
  <c r="CM93" i="17" s="1"/>
  <c r="BN93" i="17"/>
  <c r="BO93" i="17" s="1"/>
  <c r="CC93" i="17"/>
  <c r="CD93" i="17" s="1"/>
  <c r="AJ93" i="17"/>
  <c r="AK93" i="17" s="1"/>
  <c r="AY93" i="17"/>
  <c r="AZ93" i="17" s="1"/>
  <c r="AU98" i="17"/>
  <c r="AS98" i="17"/>
  <c r="AT98" i="17" s="1"/>
  <c r="AV98" i="17" s="1"/>
  <c r="AQ99" i="17" s="1"/>
  <c r="BB98" i="17"/>
  <c r="BC98" i="17"/>
  <c r="AX98" i="17"/>
  <c r="AE109" i="17"/>
  <c r="AG109" i="17" s="1"/>
  <c r="AB110" i="17" s="1"/>
  <c r="BS95" i="17"/>
  <c r="BI95" i="17"/>
  <c r="BK95" i="17" s="1"/>
  <c r="BF96" i="17" s="1"/>
  <c r="S152" i="17" l="1"/>
  <c r="Q152" i="17"/>
  <c r="R152" i="17" s="1"/>
  <c r="T152" i="17" s="1"/>
  <c r="CH98" i="17"/>
  <c r="AU99" i="17"/>
  <c r="AS99" i="17"/>
  <c r="BB99" i="17"/>
  <c r="BC99" i="17"/>
  <c r="AX99" i="17"/>
  <c r="BA93" i="17"/>
  <c r="CE93" i="17"/>
  <c r="BP93" i="17"/>
  <c r="BX98" i="17"/>
  <c r="BZ98" i="17" s="1"/>
  <c r="BU99" i="17" s="1"/>
  <c r="BD98" i="17"/>
  <c r="CN93" i="17"/>
  <c r="AL93" i="17"/>
  <c r="BR96" i="17"/>
  <c r="BJ96" i="17"/>
  <c r="BH96" i="17"/>
  <c r="BQ96" i="17"/>
  <c r="CJ110" i="17"/>
  <c r="CK110" i="17" s="1"/>
  <c r="AF110" i="17"/>
  <c r="AD110" i="17"/>
  <c r="AE110" i="17" s="1"/>
  <c r="AG110" i="17" s="1"/>
  <c r="AB111" i="17" s="1"/>
  <c r="AM110" i="17"/>
  <c r="AN110" i="17"/>
  <c r="AI110" i="17"/>
  <c r="E94" i="17"/>
  <c r="C94" i="17"/>
  <c r="Q153" i="17" l="1"/>
  <c r="R153" i="17" s="1"/>
  <c r="T153" i="17" s="1"/>
  <c r="S153" i="17"/>
  <c r="BS96" i="17"/>
  <c r="CJ111" i="17"/>
  <c r="CK111" i="17" s="1"/>
  <c r="AM111" i="17"/>
  <c r="AN111" i="17"/>
  <c r="AF111" i="17"/>
  <c r="AD111" i="17"/>
  <c r="AI111" i="17"/>
  <c r="AO110" i="17"/>
  <c r="CL94" i="17"/>
  <c r="CM94" i="17" s="1"/>
  <c r="D94" i="17"/>
  <c r="F94" i="17" s="1"/>
  <c r="BN94" i="17"/>
  <c r="BO94" i="17" s="1"/>
  <c r="CC94" i="17"/>
  <c r="CD94" i="17" s="1"/>
  <c r="AJ94" i="17"/>
  <c r="AK94" i="17" s="1"/>
  <c r="AY94" i="17"/>
  <c r="AZ94" i="17" s="1"/>
  <c r="BI96" i="17"/>
  <c r="BK96" i="17" s="1"/>
  <c r="BF97" i="17" s="1"/>
  <c r="BY99" i="17"/>
  <c r="BW99" i="17"/>
  <c r="CF99" i="17"/>
  <c r="CG99" i="17"/>
  <c r="BD99" i="17"/>
  <c r="AT99" i="17"/>
  <c r="AV99" i="17" s="1"/>
  <c r="AQ100" i="17" s="1"/>
  <c r="S154" i="17" l="1"/>
  <c r="Q154" i="17"/>
  <c r="R154" i="17" s="1"/>
  <c r="T154" i="17" s="1"/>
  <c r="AO111" i="17"/>
  <c r="BA94" i="17"/>
  <c r="CE94" i="17"/>
  <c r="BP94" i="17"/>
  <c r="CH99" i="17"/>
  <c r="E95" i="17"/>
  <c r="C95" i="17"/>
  <c r="AE111" i="17"/>
  <c r="AG111" i="17" s="1"/>
  <c r="AB112" i="17" s="1"/>
  <c r="AL94" i="17"/>
  <c r="CN94" i="17"/>
  <c r="BX99" i="17"/>
  <c r="BZ99" i="17" s="1"/>
  <c r="BU100" i="17" s="1"/>
  <c r="AU100" i="17"/>
  <c r="AS100" i="17"/>
  <c r="BB100" i="17"/>
  <c r="BC100" i="17"/>
  <c r="AX100" i="17"/>
  <c r="BR97" i="17"/>
  <c r="BJ97" i="17"/>
  <c r="BH97" i="17"/>
  <c r="BI97" i="17" s="1"/>
  <c r="BK97" i="17" s="1"/>
  <c r="BF98" i="17" s="1"/>
  <c r="BQ97" i="17"/>
  <c r="Q155" i="17" l="1"/>
  <c r="R155" i="17" s="1"/>
  <c r="T155" i="17" s="1"/>
  <c r="S155" i="17"/>
  <c r="BD100" i="17"/>
  <c r="BR98" i="17"/>
  <c r="BJ98" i="17"/>
  <c r="BH98" i="17"/>
  <c r="BS98" i="17" s="1"/>
  <c r="BQ98" i="17"/>
  <c r="CJ112" i="17"/>
  <c r="CK112" i="17" s="1"/>
  <c r="AF112" i="17"/>
  <c r="AD112" i="17"/>
  <c r="AM112" i="17"/>
  <c r="AN112" i="17"/>
  <c r="AI112" i="17"/>
  <c r="AT100" i="17"/>
  <c r="AV100" i="17" s="1"/>
  <c r="AQ101" i="17" s="1"/>
  <c r="D95" i="17"/>
  <c r="F95" i="17" s="1"/>
  <c r="CL95" i="17"/>
  <c r="CM95" i="17" s="1"/>
  <c r="BN95" i="17"/>
  <c r="BO95" i="17" s="1"/>
  <c r="CC95" i="17"/>
  <c r="CD95" i="17" s="1"/>
  <c r="AJ95" i="17"/>
  <c r="AK95" i="17" s="1"/>
  <c r="AY95" i="17"/>
  <c r="AZ95" i="17" s="1"/>
  <c r="BY100" i="17"/>
  <c r="BW100" i="17"/>
  <c r="CF100" i="17"/>
  <c r="CG100" i="17"/>
  <c r="BS97" i="17"/>
  <c r="S156" i="17" l="1"/>
  <c r="Q156" i="17"/>
  <c r="R156" i="17" s="1"/>
  <c r="T156" i="17" s="1"/>
  <c r="AO112" i="17"/>
  <c r="CH100" i="17"/>
  <c r="BA95" i="17"/>
  <c r="AL95" i="17"/>
  <c r="CE95" i="17"/>
  <c r="E96" i="17"/>
  <c r="C96" i="17"/>
  <c r="BP95" i="17"/>
  <c r="BI98" i="17"/>
  <c r="BK98" i="17" s="1"/>
  <c r="BF99" i="17" s="1"/>
  <c r="AU101" i="17"/>
  <c r="AS101" i="17"/>
  <c r="BB101" i="17"/>
  <c r="BC101" i="17"/>
  <c r="AX101" i="17"/>
  <c r="BX100" i="17"/>
  <c r="BZ100" i="17" s="1"/>
  <c r="BU101" i="17" s="1"/>
  <c r="CN95" i="17"/>
  <c r="AE112" i="17"/>
  <c r="AG112" i="17" s="1"/>
  <c r="AB113" i="17" s="1"/>
  <c r="S157" i="17" l="1"/>
  <c r="Q157" i="17"/>
  <c r="R157" i="17" s="1"/>
  <c r="T157" i="17" s="1"/>
  <c r="BD101" i="17"/>
  <c r="BY101" i="17"/>
  <c r="BW101" i="17"/>
  <c r="CF101" i="17"/>
  <c r="CG101" i="17"/>
  <c r="AT101" i="17"/>
  <c r="AV101" i="17" s="1"/>
  <c r="AQ102" i="17" s="1"/>
  <c r="BR99" i="17"/>
  <c r="BJ99" i="17"/>
  <c r="BH99" i="17"/>
  <c r="BQ99" i="17"/>
  <c r="CL96" i="17"/>
  <c r="CM96" i="17" s="1"/>
  <c r="D96" i="17"/>
  <c r="F96" i="17" s="1"/>
  <c r="BN96" i="17"/>
  <c r="BO96" i="17" s="1"/>
  <c r="CC96" i="17"/>
  <c r="CD96" i="17" s="1"/>
  <c r="AJ96" i="17"/>
  <c r="AK96" i="17" s="1"/>
  <c r="AY96" i="17"/>
  <c r="AZ96" i="17" s="1"/>
  <c r="CJ113" i="17"/>
  <c r="CK113" i="17" s="1"/>
  <c r="AF113" i="17"/>
  <c r="AD113" i="17"/>
  <c r="AM113" i="17"/>
  <c r="AN113" i="17"/>
  <c r="AI113" i="17"/>
  <c r="S158" i="17" l="1"/>
  <c r="Q158" i="17"/>
  <c r="R158" i="17" s="1"/>
  <c r="T158" i="17" s="1"/>
  <c r="AO113" i="17"/>
  <c r="AE113" i="17"/>
  <c r="AG113" i="17" s="1"/>
  <c r="AB114" i="17" s="1"/>
  <c r="AU102" i="17"/>
  <c r="AS102" i="17"/>
  <c r="BB102" i="17"/>
  <c r="BC102" i="17"/>
  <c r="AX102" i="17"/>
  <c r="BA96" i="17"/>
  <c r="AL96" i="17"/>
  <c r="BS99" i="17"/>
  <c r="BP96" i="17"/>
  <c r="CH101" i="17"/>
  <c r="E97" i="17"/>
  <c r="C97" i="17"/>
  <c r="BI99" i="17"/>
  <c r="BK99" i="17" s="1"/>
  <c r="BF100" i="17" s="1"/>
  <c r="CE96" i="17"/>
  <c r="CN96" i="17"/>
  <c r="BX101" i="17"/>
  <c r="BZ101" i="17" s="1"/>
  <c r="BU102" i="17" s="1"/>
  <c r="Q159" i="17" l="1"/>
  <c r="R159" i="17" s="1"/>
  <c r="T159" i="17" s="1"/>
  <c r="S159" i="17"/>
  <c r="BD102" i="17"/>
  <c r="BY102" i="17"/>
  <c r="BW102" i="17"/>
  <c r="CF102" i="17"/>
  <c r="CG102" i="17"/>
  <c r="AT102" i="17"/>
  <c r="AV102" i="17" s="1"/>
  <c r="AQ103" i="17" s="1"/>
  <c r="D97" i="17"/>
  <c r="F97" i="17" s="1"/>
  <c r="CL97" i="17"/>
  <c r="CM97" i="17" s="1"/>
  <c r="BN97" i="17"/>
  <c r="BO97" i="17" s="1"/>
  <c r="CC97" i="17"/>
  <c r="CD97" i="17" s="1"/>
  <c r="AJ97" i="17"/>
  <c r="AK97" i="17" s="1"/>
  <c r="AY97" i="17"/>
  <c r="AZ97" i="17" s="1"/>
  <c r="CJ114" i="17"/>
  <c r="CK114" i="17" s="1"/>
  <c r="AN114" i="17"/>
  <c r="AF114" i="17"/>
  <c r="AD114" i="17"/>
  <c r="AE114" i="17" s="1"/>
  <c r="AG114" i="17" s="1"/>
  <c r="AB115" i="17" s="1"/>
  <c r="AM114" i="17"/>
  <c r="AI114" i="17"/>
  <c r="BR100" i="17"/>
  <c r="BJ100" i="17"/>
  <c r="BH100" i="17"/>
  <c r="BQ100" i="17"/>
  <c r="S160" i="17" l="1"/>
  <c r="Q160" i="17"/>
  <c r="R160" i="17" s="1"/>
  <c r="T160" i="17" s="1"/>
  <c r="BS100" i="17"/>
  <c r="CJ115" i="17"/>
  <c r="CK115" i="17" s="1"/>
  <c r="AF115" i="17"/>
  <c r="AD115" i="17"/>
  <c r="AM115" i="17"/>
  <c r="AN115" i="17"/>
  <c r="AI115" i="17"/>
  <c r="BA97" i="17"/>
  <c r="AL97" i="17"/>
  <c r="CH102" i="17"/>
  <c r="BP97" i="17"/>
  <c r="CE97" i="17"/>
  <c r="CN97" i="17"/>
  <c r="BX102" i="17"/>
  <c r="BZ102" i="17" s="1"/>
  <c r="BU103" i="17" s="1"/>
  <c r="E98" i="17"/>
  <c r="C98" i="17"/>
  <c r="AU103" i="17"/>
  <c r="AS103" i="17"/>
  <c r="AT103" i="17" s="1"/>
  <c r="AV103" i="17" s="1"/>
  <c r="AQ104" i="17" s="1"/>
  <c r="BB103" i="17"/>
  <c r="BC103" i="17"/>
  <c r="AX103" i="17"/>
  <c r="BI100" i="17"/>
  <c r="BK100" i="17" s="1"/>
  <c r="BF101" i="17" s="1"/>
  <c r="AO114" i="17"/>
  <c r="S161" i="17" l="1"/>
  <c r="Q161" i="17"/>
  <c r="R161" i="17" s="1"/>
  <c r="T161" i="17" s="1"/>
  <c r="AO115" i="17"/>
  <c r="AU104" i="17"/>
  <c r="AS104" i="17"/>
  <c r="BB104" i="17"/>
  <c r="BC104" i="17"/>
  <c r="AX104" i="17"/>
  <c r="CL98" i="17"/>
  <c r="CM98" i="17" s="1"/>
  <c r="D98" i="17"/>
  <c r="F98" i="17" s="1"/>
  <c r="BN98" i="17"/>
  <c r="BO98" i="17" s="1"/>
  <c r="CC98" i="17"/>
  <c r="CD98" i="17" s="1"/>
  <c r="AJ98" i="17"/>
  <c r="AK98" i="17" s="1"/>
  <c r="AY98" i="17"/>
  <c r="AZ98" i="17" s="1"/>
  <c r="BY103" i="17"/>
  <c r="BW103" i="17"/>
  <c r="CF103" i="17"/>
  <c r="CG103" i="17"/>
  <c r="BR101" i="17"/>
  <c r="BJ101" i="17"/>
  <c r="BH101" i="17"/>
  <c r="BQ101" i="17"/>
  <c r="BD103" i="17"/>
  <c r="AE115" i="17"/>
  <c r="AG115" i="17" s="1"/>
  <c r="AB116" i="17" s="1"/>
  <c r="S162" i="17" l="1"/>
  <c r="Q162" i="17"/>
  <c r="R162" i="17" s="1"/>
  <c r="T162" i="17" s="1"/>
  <c r="BS101" i="17"/>
  <c r="BD104" i="17"/>
  <c r="CN98" i="17"/>
  <c r="BP98" i="17"/>
  <c r="AT104" i="17"/>
  <c r="AV104" i="17" s="1"/>
  <c r="AQ105" i="17" s="1"/>
  <c r="CH103" i="17"/>
  <c r="BI101" i="17"/>
  <c r="BK101" i="17" s="1"/>
  <c r="BF102" i="17" s="1"/>
  <c r="BX103" i="17"/>
  <c r="BZ103" i="17" s="1"/>
  <c r="BU104" i="17" s="1"/>
  <c r="BA98" i="17"/>
  <c r="AL98" i="17"/>
  <c r="E99" i="17"/>
  <c r="C99" i="17"/>
  <c r="CJ116" i="17"/>
  <c r="CK116" i="17" s="1"/>
  <c r="AD116" i="17"/>
  <c r="AM116" i="17"/>
  <c r="AN116" i="17"/>
  <c r="AF116" i="17"/>
  <c r="AI116" i="17"/>
  <c r="CE98" i="17"/>
  <c r="Q163" i="17" l="1"/>
  <c r="R163" i="17" s="1"/>
  <c r="T163" i="17" s="1"/>
  <c r="S163" i="17"/>
  <c r="AE116" i="17"/>
  <c r="AG116" i="17" s="1"/>
  <c r="AB117" i="17" s="1"/>
  <c r="CJ117" i="17" s="1"/>
  <c r="CK117" i="17" s="1"/>
  <c r="BY104" i="17"/>
  <c r="BW104" i="17"/>
  <c r="CF104" i="17"/>
  <c r="CG104" i="17"/>
  <c r="BR102" i="17"/>
  <c r="BJ102" i="17"/>
  <c r="BH102" i="17"/>
  <c r="BQ102" i="17"/>
  <c r="AO116" i="17"/>
  <c r="D99" i="17"/>
  <c r="F99" i="17" s="1"/>
  <c r="CL99" i="17"/>
  <c r="CM99" i="17" s="1"/>
  <c r="BN99" i="17"/>
  <c r="BO99" i="17" s="1"/>
  <c r="CC99" i="17"/>
  <c r="CD99" i="17" s="1"/>
  <c r="AJ99" i="17"/>
  <c r="AK99" i="17" s="1"/>
  <c r="AY99" i="17"/>
  <c r="AZ99" i="17" s="1"/>
  <c r="AU105" i="17"/>
  <c r="AS105" i="17"/>
  <c r="BB105" i="17"/>
  <c r="BC105" i="17"/>
  <c r="AX105" i="17"/>
  <c r="AI117" i="17" l="1"/>
  <c r="AN117" i="17"/>
  <c r="S164" i="17"/>
  <c r="Q164" i="17"/>
  <c r="R164" i="17" s="1"/>
  <c r="T164" i="17" s="1"/>
  <c r="AM117" i="17"/>
  <c r="AD117" i="17"/>
  <c r="AO117" i="17" s="1"/>
  <c r="AF117" i="17"/>
  <c r="BD105" i="17"/>
  <c r="E100" i="17"/>
  <c r="C100" i="17"/>
  <c r="BA99" i="17"/>
  <c r="CH104" i="17"/>
  <c r="BS102" i="17"/>
  <c r="AL99" i="17"/>
  <c r="CE99" i="17"/>
  <c r="BI102" i="17"/>
  <c r="BK102" i="17" s="1"/>
  <c r="BF103" i="17" s="1"/>
  <c r="BX104" i="17"/>
  <c r="BZ104" i="17" s="1"/>
  <c r="BU105" i="17" s="1"/>
  <c r="CN99" i="17"/>
  <c r="AT105" i="17"/>
  <c r="AV105" i="17" s="1"/>
  <c r="AQ106" i="17" s="1"/>
  <c r="BP99" i="17"/>
  <c r="AE117" i="17" l="1"/>
  <c r="AG117" i="17" s="1"/>
  <c r="AB118" i="17" s="1"/>
  <c r="S165" i="17"/>
  <c r="Q165" i="17"/>
  <c r="R165" i="17" s="1"/>
  <c r="T165" i="17" s="1"/>
  <c r="BR103" i="17"/>
  <c r="BJ103" i="17"/>
  <c r="BH103" i="17"/>
  <c r="BS103" i="17" s="1"/>
  <c r="BQ103" i="17"/>
  <c r="BY105" i="17"/>
  <c r="BW105" i="17"/>
  <c r="CF105" i="17"/>
  <c r="CG105" i="17"/>
  <c r="AU106" i="17"/>
  <c r="AS106" i="17"/>
  <c r="BB106" i="17"/>
  <c r="BC106" i="17"/>
  <c r="AX106" i="17"/>
  <c r="CJ118" i="17"/>
  <c r="CK118" i="17" s="1"/>
  <c r="AF118" i="17"/>
  <c r="AD118" i="17"/>
  <c r="AE118" i="17" s="1"/>
  <c r="AG118" i="17" s="1"/>
  <c r="AB119" i="17" s="1"/>
  <c r="AM118" i="17"/>
  <c r="AN118" i="17"/>
  <c r="AI118" i="17"/>
  <c r="CL100" i="17"/>
  <c r="CM100" i="17" s="1"/>
  <c r="D100" i="17"/>
  <c r="F100" i="17" s="1"/>
  <c r="BN100" i="17"/>
  <c r="BO100" i="17" s="1"/>
  <c r="CC100" i="17"/>
  <c r="CD100" i="17" s="1"/>
  <c r="AJ100" i="17"/>
  <c r="AK100" i="17" s="1"/>
  <c r="AY100" i="17"/>
  <c r="AZ100" i="17" s="1"/>
  <c r="S166" i="17" l="1"/>
  <c r="Q166" i="17"/>
  <c r="R166" i="17" s="1"/>
  <c r="T166" i="17" s="1"/>
  <c r="CH105" i="17"/>
  <c r="CJ119" i="17"/>
  <c r="CK119" i="17" s="1"/>
  <c r="AM119" i="17"/>
  <c r="AN119" i="17"/>
  <c r="AF119" i="17"/>
  <c r="AD119" i="17"/>
  <c r="AI119" i="17"/>
  <c r="CN100" i="17"/>
  <c r="BI103" i="17"/>
  <c r="BK103" i="17" s="1"/>
  <c r="BF104" i="17" s="1"/>
  <c r="BA100" i="17"/>
  <c r="BD106" i="17"/>
  <c r="CE100" i="17"/>
  <c r="BP100" i="17"/>
  <c r="BX105" i="17"/>
  <c r="BZ105" i="17" s="1"/>
  <c r="BU106" i="17" s="1"/>
  <c r="AL100" i="17"/>
  <c r="E101" i="17"/>
  <c r="C101" i="17"/>
  <c r="AO118" i="17"/>
  <c r="AT106" i="17"/>
  <c r="AV106" i="17" s="1"/>
  <c r="AQ107" i="17" s="1"/>
  <c r="S167" i="17" l="1"/>
  <c r="Q167" i="17"/>
  <c r="R167" i="17" s="1"/>
  <c r="T167" i="17" s="1"/>
  <c r="BY106" i="17"/>
  <c r="BW106" i="17"/>
  <c r="CF106" i="17"/>
  <c r="CG106" i="17"/>
  <c r="AO119" i="17"/>
  <c r="AU107" i="17"/>
  <c r="AS107" i="17"/>
  <c r="BB107" i="17"/>
  <c r="BC107" i="17"/>
  <c r="AX107" i="17"/>
  <c r="BR104" i="17"/>
  <c r="BJ104" i="17"/>
  <c r="BH104" i="17"/>
  <c r="BQ104" i="17"/>
  <c r="D101" i="17"/>
  <c r="F101" i="17" s="1"/>
  <c r="CL101" i="17"/>
  <c r="CM101" i="17" s="1"/>
  <c r="BN101" i="17"/>
  <c r="BO101" i="17" s="1"/>
  <c r="CC101" i="17"/>
  <c r="CD101" i="17" s="1"/>
  <c r="AJ101" i="17"/>
  <c r="AK101" i="17" s="1"/>
  <c r="AY101" i="17"/>
  <c r="AZ101" i="17" s="1"/>
  <c r="AE119" i="17"/>
  <c r="AG119" i="17" s="1"/>
  <c r="AB120" i="17" s="1"/>
  <c r="S168" i="17" l="1"/>
  <c r="Q168" i="17"/>
  <c r="R168" i="17" s="1"/>
  <c r="T168" i="17" s="1"/>
  <c r="BD107" i="17"/>
  <c r="BS104" i="17"/>
  <c r="CJ120" i="17"/>
  <c r="CK120" i="17" s="1"/>
  <c r="AF120" i="17"/>
  <c r="AD120" i="17"/>
  <c r="AM120" i="17"/>
  <c r="AN120" i="17"/>
  <c r="AI120" i="17"/>
  <c r="BA101" i="17"/>
  <c r="AL101" i="17"/>
  <c r="BI104" i="17"/>
  <c r="BK104" i="17" s="1"/>
  <c r="BF105" i="17" s="1"/>
  <c r="E102" i="17"/>
  <c r="C102" i="17"/>
  <c r="CH106" i="17"/>
  <c r="BP101" i="17"/>
  <c r="CE101" i="17"/>
  <c r="CN101" i="17"/>
  <c r="AT107" i="17"/>
  <c r="AV107" i="17" s="1"/>
  <c r="AQ108" i="17" s="1"/>
  <c r="BX106" i="17"/>
  <c r="BZ106" i="17" s="1"/>
  <c r="BU107" i="17" s="1"/>
  <c r="S169" i="17" l="1"/>
  <c r="Q169" i="17"/>
  <c r="R169" i="17" s="1"/>
  <c r="T169" i="17" s="1"/>
  <c r="AO120" i="17"/>
  <c r="CL102" i="17"/>
  <c r="CM102" i="17" s="1"/>
  <c r="D102" i="17"/>
  <c r="F102" i="17" s="1"/>
  <c r="BN102" i="17"/>
  <c r="BO102" i="17" s="1"/>
  <c r="CC102" i="17"/>
  <c r="CD102" i="17" s="1"/>
  <c r="AJ102" i="17"/>
  <c r="AK102" i="17" s="1"/>
  <c r="AY102" i="17"/>
  <c r="AZ102" i="17" s="1"/>
  <c r="BR105" i="17"/>
  <c r="BJ105" i="17"/>
  <c r="BH105" i="17"/>
  <c r="BQ105" i="17"/>
  <c r="BY107" i="17"/>
  <c r="BW107" i="17"/>
  <c r="BX107" i="17" s="1"/>
  <c r="BZ107" i="17" s="1"/>
  <c r="BU108" i="17" s="1"/>
  <c r="CF107" i="17"/>
  <c r="CG107" i="17"/>
  <c r="AU108" i="17"/>
  <c r="AS108" i="17"/>
  <c r="BB108" i="17"/>
  <c r="BC108" i="17"/>
  <c r="AX108" i="17"/>
  <c r="AE120" i="17"/>
  <c r="AG120" i="17" s="1"/>
  <c r="AB121" i="17" s="1"/>
  <c r="S170" i="17" l="1"/>
  <c r="Q170" i="17"/>
  <c r="R170" i="17" s="1"/>
  <c r="T170" i="17" s="1"/>
  <c r="AT108" i="17"/>
  <c r="AV108" i="17" s="1"/>
  <c r="AQ109" i="17" s="1"/>
  <c r="BB109" i="17" s="1"/>
  <c r="BS105" i="17"/>
  <c r="BY108" i="17"/>
  <c r="BW108" i="17"/>
  <c r="CF108" i="17"/>
  <c r="CG108" i="17"/>
  <c r="CJ121" i="17"/>
  <c r="CK121" i="17" s="1"/>
  <c r="AF121" i="17"/>
  <c r="AD121" i="17"/>
  <c r="AM121" i="17"/>
  <c r="AN121" i="17"/>
  <c r="AI121" i="17"/>
  <c r="CE102" i="17"/>
  <c r="BP102" i="17"/>
  <c r="E103" i="17"/>
  <c r="C103" i="17"/>
  <c r="AL102" i="17"/>
  <c r="BI105" i="17"/>
  <c r="BK105" i="17" s="1"/>
  <c r="BF106" i="17" s="1"/>
  <c r="CN102" i="17"/>
  <c r="CH107" i="17"/>
  <c r="BD108" i="17"/>
  <c r="BA102" i="17"/>
  <c r="BC109" i="17" l="1"/>
  <c r="AS109" i="17"/>
  <c r="S171" i="17"/>
  <c r="Q171" i="17"/>
  <c r="R171" i="17" s="1"/>
  <c r="T171" i="17" s="1"/>
  <c r="AU109" i="17"/>
  <c r="AT109" i="17"/>
  <c r="AV109" i="17" s="1"/>
  <c r="AQ110" i="17" s="1"/>
  <c r="BB110" i="17" s="1"/>
  <c r="AX109" i="17"/>
  <c r="AO121" i="17"/>
  <c r="D103" i="17"/>
  <c r="F103" i="17" s="1"/>
  <c r="CL103" i="17"/>
  <c r="CM103" i="17" s="1"/>
  <c r="BN103" i="17"/>
  <c r="BO103" i="17" s="1"/>
  <c r="CC103" i="17"/>
  <c r="CD103" i="17" s="1"/>
  <c r="AJ103" i="17"/>
  <c r="AK103" i="17" s="1"/>
  <c r="AY103" i="17"/>
  <c r="AZ103" i="17" s="1"/>
  <c r="AE121" i="17"/>
  <c r="AG121" i="17" s="1"/>
  <c r="AB122" i="17" s="1"/>
  <c r="BR106" i="17"/>
  <c r="BJ106" i="17"/>
  <c r="BH106" i="17"/>
  <c r="BQ106" i="17"/>
  <c r="CH108" i="17"/>
  <c r="BD109" i="17"/>
  <c r="BX108" i="17"/>
  <c r="BZ108" i="17" s="1"/>
  <c r="BU109" i="17" s="1"/>
  <c r="AS110" i="17" l="1"/>
  <c r="AU110" i="17"/>
  <c r="AX110" i="17"/>
  <c r="S172" i="17"/>
  <c r="Q172" i="17"/>
  <c r="R172" i="17" s="1"/>
  <c r="T172" i="17" s="1"/>
  <c r="BC110" i="17"/>
  <c r="BD110" i="17" s="1"/>
  <c r="BI106" i="17"/>
  <c r="BK106" i="17" s="1"/>
  <c r="BF107" i="17" s="1"/>
  <c r="BR107" i="17" s="1"/>
  <c r="BP103" i="17"/>
  <c r="CN103" i="17"/>
  <c r="E104" i="17"/>
  <c r="C104" i="17"/>
  <c r="BY109" i="17"/>
  <c r="BW109" i="17"/>
  <c r="CF109" i="17"/>
  <c r="CG109" i="17"/>
  <c r="CJ122" i="17"/>
  <c r="CK122" i="17" s="1"/>
  <c r="AN122" i="17"/>
  <c r="AF122" i="17"/>
  <c r="AD122" i="17"/>
  <c r="AM122" i="17"/>
  <c r="AI122" i="17"/>
  <c r="BA103" i="17"/>
  <c r="AL103" i="17"/>
  <c r="AT110" i="17"/>
  <c r="AV110" i="17" s="1"/>
  <c r="AQ111" i="17" s="1"/>
  <c r="BS106" i="17"/>
  <c r="CE103" i="17"/>
  <c r="Q173" i="17" l="1"/>
  <c r="R173" i="17" s="1"/>
  <c r="T173" i="17" s="1"/>
  <c r="S173" i="17"/>
  <c r="BQ107" i="17"/>
  <c r="BH107" i="17"/>
  <c r="BS107" i="17" s="1"/>
  <c r="BJ107" i="17"/>
  <c r="AO122" i="17"/>
  <c r="CL104" i="17"/>
  <c r="CM104" i="17" s="1"/>
  <c r="D104" i="17"/>
  <c r="F104" i="17" s="1"/>
  <c r="BN104" i="17"/>
  <c r="BO104" i="17" s="1"/>
  <c r="CC104" i="17"/>
  <c r="CD104" i="17" s="1"/>
  <c r="AJ104" i="17"/>
  <c r="AK104" i="17" s="1"/>
  <c r="AY104" i="17"/>
  <c r="AZ104" i="17" s="1"/>
  <c r="CH109" i="17"/>
  <c r="AE122" i="17"/>
  <c r="AG122" i="17" s="1"/>
  <c r="AB123" i="17" s="1"/>
  <c r="AU111" i="17"/>
  <c r="AS111" i="17"/>
  <c r="BB111" i="17"/>
  <c r="BC111" i="17"/>
  <c r="AX111" i="17"/>
  <c r="BX109" i="17"/>
  <c r="BZ109" i="17" s="1"/>
  <c r="BU110" i="17" s="1"/>
  <c r="BI107" i="17" l="1"/>
  <c r="BK107" i="17" s="1"/>
  <c r="BF108" i="17" s="1"/>
  <c r="Q174" i="17"/>
  <c r="R174" i="17" s="1"/>
  <c r="T174" i="17" s="1"/>
  <c r="S174" i="17"/>
  <c r="BD111" i="17"/>
  <c r="BY110" i="17"/>
  <c r="BW110" i="17"/>
  <c r="CF110" i="17"/>
  <c r="CG110" i="17"/>
  <c r="BA104" i="17"/>
  <c r="AL104" i="17"/>
  <c r="CJ123" i="17"/>
  <c r="CK123" i="17" s="1"/>
  <c r="AF123" i="17"/>
  <c r="AD123" i="17"/>
  <c r="AM123" i="17"/>
  <c r="AN123" i="17"/>
  <c r="AI123" i="17"/>
  <c r="CE104" i="17"/>
  <c r="BR108" i="17"/>
  <c r="BJ108" i="17"/>
  <c r="BH108" i="17"/>
  <c r="BQ108" i="17"/>
  <c r="BP104" i="17"/>
  <c r="AT111" i="17"/>
  <c r="AV111" i="17" s="1"/>
  <c r="AQ112" i="17" s="1"/>
  <c r="E105" i="17"/>
  <c r="C105" i="17"/>
  <c r="CN104" i="17"/>
  <c r="S175" i="17" l="1"/>
  <c r="Q175" i="17"/>
  <c r="R175" i="17" s="1"/>
  <c r="T175" i="17" s="1"/>
  <c r="S176" i="17" s="1"/>
  <c r="BS108" i="17"/>
  <c r="AO123" i="17"/>
  <c r="D105" i="17"/>
  <c r="F105" i="17" s="1"/>
  <c r="CL105" i="17"/>
  <c r="CM105" i="17" s="1"/>
  <c r="BN105" i="17"/>
  <c r="BO105" i="17" s="1"/>
  <c r="CC105" i="17"/>
  <c r="CD105" i="17" s="1"/>
  <c r="AJ105" i="17"/>
  <c r="AK105" i="17" s="1"/>
  <c r="AY105" i="17"/>
  <c r="AZ105" i="17" s="1"/>
  <c r="BI108" i="17"/>
  <c r="BK108" i="17" s="1"/>
  <c r="BF109" i="17" s="1"/>
  <c r="AE123" i="17"/>
  <c r="AG123" i="17" s="1"/>
  <c r="AB124" i="17" s="1"/>
  <c r="CH110" i="17"/>
  <c r="AU112" i="17"/>
  <c r="AS112" i="17"/>
  <c r="BB112" i="17"/>
  <c r="BC112" i="17"/>
  <c r="AX112" i="17"/>
  <c r="BX110" i="17"/>
  <c r="BZ110" i="17" s="1"/>
  <c r="BU111" i="17" s="1"/>
  <c r="Q176" i="17" l="1"/>
  <c r="BD112" i="17"/>
  <c r="BR109" i="17"/>
  <c r="BJ109" i="17"/>
  <c r="BH109" i="17"/>
  <c r="BQ109" i="17"/>
  <c r="BA105" i="17"/>
  <c r="BY111" i="17"/>
  <c r="BW111" i="17"/>
  <c r="CF111" i="17"/>
  <c r="CG111" i="17"/>
  <c r="AT112" i="17"/>
  <c r="AV112" i="17" s="1"/>
  <c r="AQ113" i="17" s="1"/>
  <c r="AL105" i="17"/>
  <c r="CE105" i="17"/>
  <c r="CJ124" i="17"/>
  <c r="CK124" i="17" s="1"/>
  <c r="AD124" i="17"/>
  <c r="AE124" i="17" s="1"/>
  <c r="AG124" i="17" s="1"/>
  <c r="AB125" i="17" s="1"/>
  <c r="AM124" i="17"/>
  <c r="AN124" i="17"/>
  <c r="AF124" i="17"/>
  <c r="AI124" i="17"/>
  <c r="BP105" i="17"/>
  <c r="CN105" i="17"/>
  <c r="R176" i="17"/>
  <c r="T176" i="17" s="1"/>
  <c r="E106" i="17"/>
  <c r="C106" i="17"/>
  <c r="BS109" i="17" l="1"/>
  <c r="CJ125" i="17"/>
  <c r="CK125" i="17" s="1"/>
  <c r="AF125" i="17"/>
  <c r="AD125" i="17"/>
  <c r="AM125" i="17"/>
  <c r="AN125" i="17"/>
  <c r="AI125" i="17"/>
  <c r="AU113" i="17"/>
  <c r="AS113" i="17"/>
  <c r="BB113" i="17"/>
  <c r="BC113" i="17"/>
  <c r="AX113" i="17"/>
  <c r="S177" i="17"/>
  <c r="Q177" i="17"/>
  <c r="R177" i="17" s="1"/>
  <c r="T177" i="17" s="1"/>
  <c r="CL106" i="17"/>
  <c r="CM106" i="17" s="1"/>
  <c r="D106" i="17"/>
  <c r="F106" i="17" s="1"/>
  <c r="BN106" i="17"/>
  <c r="BO106" i="17" s="1"/>
  <c r="CC106" i="17"/>
  <c r="CD106" i="17" s="1"/>
  <c r="AJ106" i="17"/>
  <c r="AK106" i="17" s="1"/>
  <c r="AY106" i="17"/>
  <c r="AZ106" i="17" s="1"/>
  <c r="CH111" i="17"/>
  <c r="BI109" i="17"/>
  <c r="BK109" i="17" s="1"/>
  <c r="BF110" i="17" s="1"/>
  <c r="AO124" i="17"/>
  <c r="BX111" i="17"/>
  <c r="BZ111" i="17" s="1"/>
  <c r="BU112" i="17" s="1"/>
  <c r="AT113" i="17" l="1"/>
  <c r="AV113" i="17" s="1"/>
  <c r="AQ114" i="17" s="1"/>
  <c r="AO125" i="17"/>
  <c r="S178" i="17"/>
  <c r="Q178" i="17"/>
  <c r="R178" i="17" s="1"/>
  <c r="T178" i="17" s="1"/>
  <c r="AU114" i="17"/>
  <c r="AS114" i="17"/>
  <c r="BB114" i="17"/>
  <c r="BC114" i="17"/>
  <c r="AX114" i="17"/>
  <c r="CE106" i="17"/>
  <c r="AL106" i="17"/>
  <c r="E107" i="17"/>
  <c r="C107" i="17"/>
  <c r="BP106" i="17"/>
  <c r="CN106" i="17"/>
  <c r="BD113" i="17"/>
  <c r="BY112" i="17"/>
  <c r="BW112" i="17"/>
  <c r="CF112" i="17"/>
  <c r="CG112" i="17"/>
  <c r="BR110" i="17"/>
  <c r="BJ110" i="17"/>
  <c r="BH110" i="17"/>
  <c r="BQ110" i="17"/>
  <c r="BA106" i="17"/>
  <c r="AE125" i="17"/>
  <c r="AG125" i="17" s="1"/>
  <c r="AB126" i="17" s="1"/>
  <c r="S179" i="17" l="1"/>
  <c r="Q179" i="17"/>
  <c r="R179" i="17" s="1"/>
  <c r="T179" i="17" s="1"/>
  <c r="BD114" i="17"/>
  <c r="AT114" i="17"/>
  <c r="AV114" i="17" s="1"/>
  <c r="AQ115" i="17" s="1"/>
  <c r="CH112" i="17"/>
  <c r="CJ126" i="17"/>
  <c r="CK126" i="17" s="1"/>
  <c r="AF126" i="17"/>
  <c r="AD126" i="17"/>
  <c r="AM126" i="17"/>
  <c r="AN126" i="17"/>
  <c r="AI126" i="17"/>
  <c r="BS110" i="17"/>
  <c r="D107" i="17"/>
  <c r="F107" i="17" s="1"/>
  <c r="CL107" i="17"/>
  <c r="CM107" i="17" s="1"/>
  <c r="BN107" i="17"/>
  <c r="BO107" i="17" s="1"/>
  <c r="CC107" i="17"/>
  <c r="CD107" i="17" s="1"/>
  <c r="AJ107" i="17"/>
  <c r="AK107" i="17" s="1"/>
  <c r="AY107" i="17"/>
  <c r="AZ107" i="17" s="1"/>
  <c r="BX112" i="17"/>
  <c r="BZ112" i="17" s="1"/>
  <c r="BU113" i="17" s="1"/>
  <c r="BI110" i="17"/>
  <c r="BK110" i="17" s="1"/>
  <c r="BF111" i="17" s="1"/>
  <c r="AO126" i="17" l="1"/>
  <c r="S180" i="17"/>
  <c r="Q180" i="17"/>
  <c r="R180" i="17" s="1"/>
  <c r="T180" i="17" s="1"/>
  <c r="CN107" i="17"/>
  <c r="AE126" i="17"/>
  <c r="AG126" i="17" s="1"/>
  <c r="AB127" i="17" s="1"/>
  <c r="AU115" i="17"/>
  <c r="AS115" i="17"/>
  <c r="AT115" i="17" s="1"/>
  <c r="AV115" i="17" s="1"/>
  <c r="AQ116" i="17" s="1"/>
  <c r="BB115" i="17"/>
  <c r="BC115" i="17"/>
  <c r="AX115" i="17"/>
  <c r="E108" i="17"/>
  <c r="C108" i="17"/>
  <c r="BY113" i="17"/>
  <c r="BW113" i="17"/>
  <c r="CF113" i="17"/>
  <c r="CG113" i="17"/>
  <c r="BA107" i="17"/>
  <c r="BR111" i="17"/>
  <c r="BJ111" i="17"/>
  <c r="BH111" i="17"/>
  <c r="BQ111" i="17"/>
  <c r="BP107" i="17"/>
  <c r="AL107" i="17"/>
  <c r="CE107" i="17"/>
  <c r="CH113" i="17" l="1"/>
  <c r="BS111" i="17"/>
  <c r="AU116" i="17"/>
  <c r="AS116" i="17"/>
  <c r="BB116" i="17"/>
  <c r="BC116" i="17"/>
  <c r="AX116" i="17"/>
  <c r="S181" i="17"/>
  <c r="Q181" i="17"/>
  <c r="CJ127" i="17"/>
  <c r="CK127" i="17" s="1"/>
  <c r="AM127" i="17"/>
  <c r="AN127" i="17"/>
  <c r="AF127" i="17"/>
  <c r="AD127" i="17"/>
  <c r="AI127" i="17"/>
  <c r="BX113" i="17"/>
  <c r="BZ113" i="17" s="1"/>
  <c r="BU114" i="17" s="1"/>
  <c r="CL108" i="17"/>
  <c r="CM108" i="17" s="1"/>
  <c r="D108" i="17"/>
  <c r="F108" i="17" s="1"/>
  <c r="BN108" i="17"/>
  <c r="BO108" i="17" s="1"/>
  <c r="CC108" i="17"/>
  <c r="CD108" i="17" s="1"/>
  <c r="AJ108" i="17"/>
  <c r="AK108" i="17" s="1"/>
  <c r="AY108" i="17"/>
  <c r="AZ108" i="17" s="1"/>
  <c r="BI111" i="17"/>
  <c r="BK111" i="17" s="1"/>
  <c r="BF112" i="17" s="1"/>
  <c r="BD115" i="17"/>
  <c r="R181" i="17" l="1"/>
  <c r="T181" i="17" s="1"/>
  <c r="AO127" i="17"/>
  <c r="S182" i="17"/>
  <c r="Q182" i="17"/>
  <c r="R182" i="17" s="1"/>
  <c r="T182" i="17" s="1"/>
  <c r="CE108" i="17"/>
  <c r="CN108" i="17"/>
  <c r="BD116" i="17"/>
  <c r="BY114" i="17"/>
  <c r="BW114" i="17"/>
  <c r="CF114" i="17"/>
  <c r="CG114" i="17"/>
  <c r="E109" i="17"/>
  <c r="C109" i="17"/>
  <c r="BR112" i="17"/>
  <c r="BJ112" i="17"/>
  <c r="BH112" i="17"/>
  <c r="BQ112" i="17"/>
  <c r="AT116" i="17"/>
  <c r="AV116" i="17" s="1"/>
  <c r="AQ117" i="17" s="1"/>
  <c r="BP108" i="17"/>
  <c r="AE127" i="17"/>
  <c r="AG127" i="17" s="1"/>
  <c r="AB128" i="17" s="1"/>
  <c r="BA108" i="17"/>
  <c r="AL108" i="17"/>
  <c r="BS112" i="17" l="1"/>
  <c r="S183" i="17"/>
  <c r="Q183" i="17"/>
  <c r="R183" i="17" s="1"/>
  <c r="T183" i="17" s="1"/>
  <c r="AU117" i="17"/>
  <c r="AS117" i="17"/>
  <c r="BB117" i="17"/>
  <c r="BC117" i="17"/>
  <c r="AX117" i="17"/>
  <c r="BI112" i="17"/>
  <c r="BK112" i="17" s="1"/>
  <c r="BF113" i="17" s="1"/>
  <c r="CJ128" i="17"/>
  <c r="CK128" i="17"/>
  <c r="AF128" i="17"/>
  <c r="AD128" i="17"/>
  <c r="AE128" i="17" s="1"/>
  <c r="AG128" i="17" s="1"/>
  <c r="AB129" i="17" s="1"/>
  <c r="AM128" i="17"/>
  <c r="AN128" i="17"/>
  <c r="AI128" i="17"/>
  <c r="CH114" i="17"/>
  <c r="D109" i="17"/>
  <c r="F109" i="17" s="1"/>
  <c r="CL109" i="17"/>
  <c r="CM109" i="17" s="1"/>
  <c r="BN109" i="17"/>
  <c r="BO109" i="17" s="1"/>
  <c r="CC109" i="17"/>
  <c r="CD109" i="17" s="1"/>
  <c r="AJ109" i="17"/>
  <c r="AK109" i="17" s="1"/>
  <c r="AY109" i="17"/>
  <c r="AZ109" i="17" s="1"/>
  <c r="BX114" i="17"/>
  <c r="BZ114" i="17" s="1"/>
  <c r="BU115" i="17" s="1"/>
  <c r="CJ129" i="17" l="1"/>
  <c r="CK129" i="17" s="1"/>
  <c r="AF129" i="17"/>
  <c r="AD129" i="17"/>
  <c r="AM129" i="17"/>
  <c r="AN129" i="17"/>
  <c r="AI129" i="17"/>
  <c r="S184" i="17"/>
  <c r="Q184" i="17"/>
  <c r="BP109" i="17"/>
  <c r="BD117" i="17"/>
  <c r="BR113" i="17"/>
  <c r="BJ113" i="17"/>
  <c r="BH113" i="17"/>
  <c r="BQ113" i="17"/>
  <c r="AT117" i="17"/>
  <c r="AV117" i="17" s="1"/>
  <c r="AQ118" i="17" s="1"/>
  <c r="E110" i="17"/>
  <c r="C110" i="17"/>
  <c r="BY115" i="17"/>
  <c r="BW115" i="17"/>
  <c r="CF115" i="17"/>
  <c r="CG115" i="17"/>
  <c r="BA109" i="17"/>
  <c r="AO128" i="17"/>
  <c r="CN109" i="17"/>
  <c r="AL109" i="17"/>
  <c r="CE109" i="17"/>
  <c r="BI113" i="17" l="1"/>
  <c r="BK113" i="17" s="1"/>
  <c r="BF114" i="17" s="1"/>
  <c r="R184" i="17"/>
  <c r="T184" i="17" s="1"/>
  <c r="S185" i="17" s="1"/>
  <c r="CH115" i="17"/>
  <c r="AO129" i="17"/>
  <c r="BR114" i="17"/>
  <c r="BJ114" i="17"/>
  <c r="BH114" i="17"/>
  <c r="BQ114" i="17"/>
  <c r="Q185" i="17"/>
  <c r="BX115" i="17"/>
  <c r="BZ115" i="17" s="1"/>
  <c r="BU116" i="17" s="1"/>
  <c r="CL110" i="17"/>
  <c r="CM110" i="17" s="1"/>
  <c r="D110" i="17"/>
  <c r="F110" i="17" s="1"/>
  <c r="BN110" i="17"/>
  <c r="BO110" i="17" s="1"/>
  <c r="CC110" i="17"/>
  <c r="CD110" i="17" s="1"/>
  <c r="AJ110" i="17"/>
  <c r="AK110" i="17" s="1"/>
  <c r="AY110" i="17"/>
  <c r="AZ110" i="17" s="1"/>
  <c r="AU118" i="17"/>
  <c r="AS118" i="17"/>
  <c r="BB118" i="17"/>
  <c r="BC118" i="17"/>
  <c r="AX118" i="17"/>
  <c r="BS113" i="17"/>
  <c r="AE129" i="17"/>
  <c r="AG129" i="17" s="1"/>
  <c r="AB130" i="17" s="1"/>
  <c r="R185" i="17" l="1"/>
  <c r="T185" i="17" s="1"/>
  <c r="BS114" i="17"/>
  <c r="S186" i="17"/>
  <c r="Q186" i="17"/>
  <c r="R186" i="17" s="1"/>
  <c r="T186" i="17" s="1"/>
  <c r="AL110" i="17"/>
  <c r="CE110" i="17"/>
  <c r="BD118" i="17"/>
  <c r="E111" i="17"/>
  <c r="C111" i="17"/>
  <c r="BA110" i="17"/>
  <c r="BP110" i="17"/>
  <c r="CN110" i="17"/>
  <c r="BI114" i="17"/>
  <c r="BK114" i="17" s="1"/>
  <c r="BF115" i="17" s="1"/>
  <c r="CJ130" i="17"/>
  <c r="CK130" i="17" s="1"/>
  <c r="AN130" i="17"/>
  <c r="AF130" i="17"/>
  <c r="AD130" i="17"/>
  <c r="AM130" i="17"/>
  <c r="AI130" i="17"/>
  <c r="AT118" i="17"/>
  <c r="AV118" i="17" s="1"/>
  <c r="AQ119" i="17" s="1"/>
  <c r="BY116" i="17"/>
  <c r="BW116" i="17"/>
  <c r="CF116" i="17"/>
  <c r="CG116" i="17"/>
  <c r="AE130" i="17" l="1"/>
  <c r="AG130" i="17" s="1"/>
  <c r="AB131" i="17" s="1"/>
  <c r="CJ131" i="17" s="1"/>
  <c r="S187" i="17"/>
  <c r="Q187" i="17"/>
  <c r="CH116" i="17"/>
  <c r="AO130" i="17"/>
  <c r="D111" i="17"/>
  <c r="F111" i="17" s="1"/>
  <c r="CL111" i="17"/>
  <c r="CM111" i="17" s="1"/>
  <c r="BN111" i="17"/>
  <c r="BO111" i="17" s="1"/>
  <c r="CC111" i="17"/>
  <c r="CD111" i="17" s="1"/>
  <c r="AJ111" i="17"/>
  <c r="AK111" i="17" s="1"/>
  <c r="AY111" i="17"/>
  <c r="AZ111" i="17" s="1"/>
  <c r="BX116" i="17"/>
  <c r="BZ116" i="17" s="1"/>
  <c r="BU117" i="17" s="1"/>
  <c r="BR115" i="17"/>
  <c r="BJ115" i="17"/>
  <c r="BH115" i="17"/>
  <c r="BQ115" i="17"/>
  <c r="AU119" i="17"/>
  <c r="AS119" i="17"/>
  <c r="BB119" i="17"/>
  <c r="BC119" i="17"/>
  <c r="AX119" i="17"/>
  <c r="AI131" i="17" l="1"/>
  <c r="AN131" i="17"/>
  <c r="AM131" i="17"/>
  <c r="AD131" i="17"/>
  <c r="AE131" i="17" s="1"/>
  <c r="AG131" i="17" s="1"/>
  <c r="AB132" i="17" s="1"/>
  <c r="AF131" i="17"/>
  <c r="CK131" i="17"/>
  <c r="R187" i="17"/>
  <c r="T187" i="17" s="1"/>
  <c r="S188" i="17" s="1"/>
  <c r="BS115" i="17"/>
  <c r="CE111" i="17"/>
  <c r="CN111" i="17"/>
  <c r="BI115" i="17"/>
  <c r="BK115" i="17" s="1"/>
  <c r="BF116" i="17" s="1"/>
  <c r="E112" i="17"/>
  <c r="C112" i="17"/>
  <c r="AL111" i="17"/>
  <c r="BD119" i="17"/>
  <c r="BP111" i="17"/>
  <c r="BY117" i="17"/>
  <c r="BW117" i="17"/>
  <c r="CF117" i="17"/>
  <c r="CG117" i="17"/>
  <c r="AT119" i="17"/>
  <c r="AV119" i="17" s="1"/>
  <c r="AQ120" i="17" s="1"/>
  <c r="BA111" i="17"/>
  <c r="AO131" i="17" l="1"/>
  <c r="Q188" i="17"/>
  <c r="R188" i="17" s="1"/>
  <c r="T188" i="17" s="1"/>
  <c r="S189" i="17" s="1"/>
  <c r="BR116" i="17"/>
  <c r="BJ116" i="17"/>
  <c r="BH116" i="17"/>
  <c r="BQ116" i="17"/>
  <c r="AU120" i="17"/>
  <c r="AS120" i="17"/>
  <c r="BD120" i="17" s="1"/>
  <c r="BB120" i="17"/>
  <c r="BC120" i="17"/>
  <c r="AX120" i="17"/>
  <c r="CH117" i="17"/>
  <c r="CJ132" i="17"/>
  <c r="CK132" i="17" s="1"/>
  <c r="AD132" i="17"/>
  <c r="AE132" i="17" s="1"/>
  <c r="AG132" i="17" s="1"/>
  <c r="AB133" i="17" s="1"/>
  <c r="AM132" i="17"/>
  <c r="AN132" i="17"/>
  <c r="AF132" i="17"/>
  <c r="AI132" i="17"/>
  <c r="CL112" i="17"/>
  <c r="CM112" i="17" s="1"/>
  <c r="D112" i="17"/>
  <c r="F112" i="17" s="1"/>
  <c r="BN112" i="17"/>
  <c r="BO112" i="17" s="1"/>
  <c r="CC112" i="17"/>
  <c r="CD112" i="17" s="1"/>
  <c r="AJ112" i="17"/>
  <c r="AK112" i="17" s="1"/>
  <c r="AY112" i="17"/>
  <c r="AZ112" i="17" s="1"/>
  <c r="BX117" i="17"/>
  <c r="BZ117" i="17" s="1"/>
  <c r="BU118" i="17" s="1"/>
  <c r="Q189" i="17" l="1"/>
  <c r="R189" i="17" s="1"/>
  <c r="T189" i="17" s="1"/>
  <c r="Q190" i="17" s="1"/>
  <c r="BS116" i="17"/>
  <c r="CJ133" i="17"/>
  <c r="CK133" i="17" s="1"/>
  <c r="AF133" i="17"/>
  <c r="AD133" i="17"/>
  <c r="AM133" i="17"/>
  <c r="AN133" i="17"/>
  <c r="AI133" i="17"/>
  <c r="BA112" i="17"/>
  <c r="AL112" i="17"/>
  <c r="CE112" i="17"/>
  <c r="BI116" i="17"/>
  <c r="BK116" i="17" s="1"/>
  <c r="BF117" i="17" s="1"/>
  <c r="E113" i="17"/>
  <c r="C113" i="17"/>
  <c r="BP112" i="17"/>
  <c r="AO132" i="17"/>
  <c r="AT120" i="17"/>
  <c r="AV120" i="17" s="1"/>
  <c r="AQ121" i="17" s="1"/>
  <c r="CN112" i="17"/>
  <c r="BY118" i="17"/>
  <c r="BW118" i="17"/>
  <c r="CF118" i="17"/>
  <c r="CG118" i="17"/>
  <c r="S190" i="17" l="1"/>
  <c r="R190" i="17" s="1"/>
  <c r="T190" i="17" s="1"/>
  <c r="AO133" i="17"/>
  <c r="BR117" i="17"/>
  <c r="BJ117" i="17"/>
  <c r="BH117" i="17"/>
  <c r="BQ117" i="17"/>
  <c r="CH118" i="17"/>
  <c r="AU121" i="17"/>
  <c r="AS121" i="17"/>
  <c r="BB121" i="17"/>
  <c r="BC121" i="17"/>
  <c r="AX121" i="17"/>
  <c r="D113" i="17"/>
  <c r="F113" i="17" s="1"/>
  <c r="CL113" i="17"/>
  <c r="CM113" i="17" s="1"/>
  <c r="BN113" i="17"/>
  <c r="BO113" i="17" s="1"/>
  <c r="CC113" i="17"/>
  <c r="CD113" i="17" s="1"/>
  <c r="AJ113" i="17"/>
  <c r="AK113" i="17" s="1"/>
  <c r="AY113" i="17"/>
  <c r="AZ113" i="17" s="1"/>
  <c r="BX118" i="17"/>
  <c r="BZ118" i="17" s="1"/>
  <c r="BU119" i="17" s="1"/>
  <c r="AE133" i="17"/>
  <c r="AG133" i="17" s="1"/>
  <c r="AB134" i="17" s="1"/>
  <c r="S191" i="17" l="1"/>
  <c r="Q191" i="17"/>
  <c r="R191" i="17" s="1"/>
  <c r="T191" i="17" s="1"/>
  <c r="S192" i="17" s="1"/>
  <c r="BS117" i="17"/>
  <c r="BD121" i="17"/>
  <c r="CE113" i="17"/>
  <c r="BP113" i="17"/>
  <c r="BI117" i="17"/>
  <c r="BK117" i="17" s="1"/>
  <c r="BF118" i="17" s="1"/>
  <c r="E114" i="17"/>
  <c r="C114" i="17"/>
  <c r="CJ134" i="17"/>
  <c r="CK134" i="17" s="1"/>
  <c r="AF134" i="17"/>
  <c r="AD134" i="17"/>
  <c r="AE134" i="17" s="1"/>
  <c r="AG134" i="17" s="1"/>
  <c r="AB135" i="17" s="1"/>
  <c r="AM134" i="17"/>
  <c r="AN134" i="17"/>
  <c r="AI134" i="17"/>
  <c r="AT121" i="17"/>
  <c r="AV121" i="17" s="1"/>
  <c r="AQ122" i="17" s="1"/>
  <c r="BY119" i="17"/>
  <c r="BW119" i="17"/>
  <c r="CF119" i="17"/>
  <c r="CG119" i="17"/>
  <c r="CN113" i="17"/>
  <c r="BA113" i="17"/>
  <c r="AL113" i="17"/>
  <c r="Q192" i="17" l="1"/>
  <c r="R192" i="17" s="1"/>
  <c r="T192" i="17" s="1"/>
  <c r="CH119" i="17"/>
  <c r="CJ135" i="17"/>
  <c r="CK135" i="17" s="1"/>
  <c r="AM135" i="17"/>
  <c r="AN135" i="17"/>
  <c r="AF135" i="17"/>
  <c r="AD135" i="17"/>
  <c r="AI135" i="17"/>
  <c r="BR118" i="17"/>
  <c r="BJ118" i="17"/>
  <c r="BH118" i="17"/>
  <c r="BQ118" i="17"/>
  <c r="BX119" i="17"/>
  <c r="BZ119" i="17" s="1"/>
  <c r="BU120" i="17" s="1"/>
  <c r="AO134" i="17"/>
  <c r="CL114" i="17"/>
  <c r="CM114" i="17" s="1"/>
  <c r="D114" i="17"/>
  <c r="F114" i="17" s="1"/>
  <c r="BN114" i="17"/>
  <c r="BO114" i="17" s="1"/>
  <c r="CC114" i="17"/>
  <c r="CD114" i="17" s="1"/>
  <c r="AJ114" i="17"/>
  <c r="AK114" i="17" s="1"/>
  <c r="AY114" i="17"/>
  <c r="AZ114" i="17" s="1"/>
  <c r="AU122" i="17"/>
  <c r="AS122" i="17"/>
  <c r="BB122" i="17"/>
  <c r="BC122" i="17"/>
  <c r="AX122" i="17"/>
  <c r="S193" i="17" l="1"/>
  <c r="Q193" i="17"/>
  <c r="R193" i="17" s="1"/>
  <c r="T193" i="17" s="1"/>
  <c r="BS118" i="17"/>
  <c r="BY120" i="17"/>
  <c r="BW120" i="17"/>
  <c r="CF120" i="17"/>
  <c r="CG120" i="17"/>
  <c r="BA114" i="17"/>
  <c r="CE114" i="17"/>
  <c r="AL114" i="17"/>
  <c r="AO135" i="17"/>
  <c r="BD122" i="17"/>
  <c r="E115" i="17"/>
  <c r="C115" i="17"/>
  <c r="BP114" i="17"/>
  <c r="CN114" i="17"/>
  <c r="BI118" i="17"/>
  <c r="BK118" i="17" s="1"/>
  <c r="BF119" i="17" s="1"/>
  <c r="AT122" i="17"/>
  <c r="AV122" i="17" s="1"/>
  <c r="AQ123" i="17" s="1"/>
  <c r="AE135" i="17"/>
  <c r="AG135" i="17" s="1"/>
  <c r="AB136" i="17" s="1"/>
  <c r="S194" i="17" l="1"/>
  <c r="Q194" i="17"/>
  <c r="R194" i="17" s="1"/>
  <c r="T194" i="17" s="1"/>
  <c r="S195" i="17" s="1"/>
  <c r="CH120" i="17"/>
  <c r="D115" i="17"/>
  <c r="F115" i="17" s="1"/>
  <c r="CL115" i="17"/>
  <c r="CM115" i="17" s="1"/>
  <c r="BN115" i="17"/>
  <c r="BO115" i="17" s="1"/>
  <c r="CC115" i="17"/>
  <c r="CD115" i="17" s="1"/>
  <c r="AJ115" i="17"/>
  <c r="AK115" i="17" s="1"/>
  <c r="AY115" i="17"/>
  <c r="AZ115" i="17" s="1"/>
  <c r="BX120" i="17"/>
  <c r="BZ120" i="17" s="1"/>
  <c r="BU121" i="17" s="1"/>
  <c r="CJ136" i="17"/>
  <c r="CK136" i="17" s="1"/>
  <c r="AF136" i="17"/>
  <c r="AD136" i="17"/>
  <c r="AE136" i="17" s="1"/>
  <c r="AG136" i="17" s="1"/>
  <c r="AB137" i="17" s="1"/>
  <c r="AM136" i="17"/>
  <c r="AN136" i="17"/>
  <c r="AI136" i="17"/>
  <c r="AU123" i="17"/>
  <c r="AS123" i="17"/>
  <c r="BB123" i="17"/>
  <c r="BC123" i="17"/>
  <c r="AX123" i="17"/>
  <c r="BR119" i="17"/>
  <c r="BJ119" i="17"/>
  <c r="BH119" i="17"/>
  <c r="BQ119" i="17"/>
  <c r="Q195" i="17" l="1"/>
  <c r="R195" i="17" s="1"/>
  <c r="T195" i="17" s="1"/>
  <c r="S196" i="17" s="1"/>
  <c r="BS119" i="17"/>
  <c r="BD123" i="17"/>
  <c r="CJ137" i="17"/>
  <c r="CK137" i="17" s="1"/>
  <c r="AF137" i="17"/>
  <c r="AD137" i="17"/>
  <c r="AM137" i="17"/>
  <c r="AN137" i="17"/>
  <c r="AI137" i="17"/>
  <c r="BP115" i="17"/>
  <c r="CN115" i="17"/>
  <c r="BI119" i="17"/>
  <c r="BK119" i="17" s="1"/>
  <c r="BF120" i="17" s="1"/>
  <c r="E116" i="17"/>
  <c r="C116" i="17"/>
  <c r="AT123" i="17"/>
  <c r="AV123" i="17" s="1"/>
  <c r="AQ124" i="17" s="1"/>
  <c r="AO136" i="17"/>
  <c r="BY121" i="17"/>
  <c r="BW121" i="17"/>
  <c r="CF121" i="17"/>
  <c r="CG121" i="17"/>
  <c r="CE115" i="17"/>
  <c r="BA115" i="17"/>
  <c r="AL115" i="17"/>
  <c r="BX121" i="17" l="1"/>
  <c r="BZ121" i="17" s="1"/>
  <c r="BU122" i="17" s="1"/>
  <c r="Q196" i="17"/>
  <c r="R196" i="17" s="1"/>
  <c r="T196" i="17" s="1"/>
  <c r="S197" i="17" s="1"/>
  <c r="AO137" i="17"/>
  <c r="Q197" i="17"/>
  <c r="BY122" i="17"/>
  <c r="BW122" i="17"/>
  <c r="CF122" i="17"/>
  <c r="CG122" i="17"/>
  <c r="BR120" i="17"/>
  <c r="BJ120" i="17"/>
  <c r="BH120" i="17"/>
  <c r="BQ120" i="17"/>
  <c r="CH121" i="17"/>
  <c r="AU124" i="17"/>
  <c r="AS124" i="17"/>
  <c r="BB124" i="17"/>
  <c r="BC124" i="17"/>
  <c r="AX124" i="17"/>
  <c r="CL116" i="17"/>
  <c r="CM116" i="17" s="1"/>
  <c r="D116" i="17"/>
  <c r="F116" i="17" s="1"/>
  <c r="BN116" i="17"/>
  <c r="BO116" i="17" s="1"/>
  <c r="CC116" i="17"/>
  <c r="CD116" i="17" s="1"/>
  <c r="AJ116" i="17"/>
  <c r="AK116" i="17" s="1"/>
  <c r="AY116" i="17"/>
  <c r="AZ116" i="17" s="1"/>
  <c r="AE137" i="17"/>
  <c r="AG137" i="17" s="1"/>
  <c r="AB138" i="17" s="1"/>
  <c r="R197" i="17" l="1"/>
  <c r="T197" i="17" s="1"/>
  <c r="BS120" i="17"/>
  <c r="S198" i="17"/>
  <c r="Q198" i="17"/>
  <c r="R198" i="17" s="1"/>
  <c r="T198" i="17" s="1"/>
  <c r="AL116" i="17"/>
  <c r="CH122" i="17"/>
  <c r="CE116" i="17"/>
  <c r="BP116" i="17"/>
  <c r="BD124" i="17"/>
  <c r="BI120" i="17"/>
  <c r="BK120" i="17" s="1"/>
  <c r="BF121" i="17" s="1"/>
  <c r="BX122" i="17"/>
  <c r="BZ122" i="17" s="1"/>
  <c r="BU123" i="17" s="1"/>
  <c r="E117" i="17"/>
  <c r="C117" i="17"/>
  <c r="CN116" i="17"/>
  <c r="AT124" i="17"/>
  <c r="AV124" i="17" s="1"/>
  <c r="AQ125" i="17" s="1"/>
  <c r="BA116" i="17"/>
  <c r="CJ138" i="17"/>
  <c r="CK138" i="17" s="1"/>
  <c r="AN138" i="17"/>
  <c r="AF138" i="17"/>
  <c r="AD138" i="17"/>
  <c r="AM138" i="17"/>
  <c r="AI138" i="17"/>
  <c r="AO138" i="17" l="1"/>
  <c r="S199" i="17"/>
  <c r="Q199" i="17"/>
  <c r="R199" i="17" s="1"/>
  <c r="T199" i="17" s="1"/>
  <c r="AE138" i="17"/>
  <c r="AG138" i="17" s="1"/>
  <c r="AB139" i="17" s="1"/>
  <c r="BY123" i="17"/>
  <c r="BW123" i="17"/>
  <c r="CF123" i="17"/>
  <c r="CG123" i="17"/>
  <c r="BR121" i="17"/>
  <c r="BJ121" i="17"/>
  <c r="BH121" i="17"/>
  <c r="BQ121" i="17"/>
  <c r="D117" i="17"/>
  <c r="F117" i="17" s="1"/>
  <c r="CL117" i="17"/>
  <c r="CM117" i="17" s="1"/>
  <c r="BN117" i="17"/>
  <c r="BO117" i="17" s="1"/>
  <c r="CC117" i="17"/>
  <c r="CD117" i="17" s="1"/>
  <c r="AJ117" i="17"/>
  <c r="AK117" i="17" s="1"/>
  <c r="AY117" i="17"/>
  <c r="AZ117" i="17" s="1"/>
  <c r="AU125" i="17"/>
  <c r="AS125" i="17"/>
  <c r="AT125" i="17" s="1"/>
  <c r="AV125" i="17" s="1"/>
  <c r="AQ126" i="17" s="1"/>
  <c r="BB125" i="17"/>
  <c r="BC125" i="17"/>
  <c r="AX125" i="17"/>
  <c r="BS121" i="17" l="1"/>
  <c r="BD125" i="17"/>
  <c r="AU126" i="17"/>
  <c r="AS126" i="17"/>
  <c r="BB126" i="17"/>
  <c r="BC126" i="17"/>
  <c r="AX126" i="17"/>
  <c r="S200" i="17"/>
  <c r="Q200" i="17"/>
  <c r="CH123" i="17"/>
  <c r="BA117" i="17"/>
  <c r="AL117" i="17"/>
  <c r="BI121" i="17"/>
  <c r="BK121" i="17" s="1"/>
  <c r="BF122" i="17" s="1"/>
  <c r="BX123" i="17"/>
  <c r="BZ123" i="17" s="1"/>
  <c r="BU124" i="17" s="1"/>
  <c r="CE117" i="17"/>
  <c r="CJ139" i="17"/>
  <c r="CK139" i="17" s="1"/>
  <c r="AF139" i="17"/>
  <c r="AD139" i="17"/>
  <c r="AE139" i="17" s="1"/>
  <c r="AG139" i="17" s="1"/>
  <c r="AB140" i="17" s="1"/>
  <c r="AM139" i="17"/>
  <c r="AN139" i="17"/>
  <c r="AI139" i="17"/>
  <c r="BP117" i="17"/>
  <c r="CN117" i="17"/>
  <c r="E118" i="17"/>
  <c r="C118" i="17"/>
  <c r="R200" i="17" l="1"/>
  <c r="T200" i="17" s="1"/>
  <c r="CJ140" i="17"/>
  <c r="CK140" i="17"/>
  <c r="AD140" i="17"/>
  <c r="AM140" i="17"/>
  <c r="AN140" i="17"/>
  <c r="AF140" i="17"/>
  <c r="AI140" i="17"/>
  <c r="S201" i="17"/>
  <c r="Q201" i="17"/>
  <c r="R201" i="17" s="1"/>
  <c r="T201" i="17" s="1"/>
  <c r="AO139" i="17"/>
  <c r="BY124" i="17"/>
  <c r="BW124" i="17"/>
  <c r="CF124" i="17"/>
  <c r="CG124" i="17"/>
  <c r="BD126" i="17"/>
  <c r="CL118" i="17"/>
  <c r="CM118" i="17" s="1"/>
  <c r="D118" i="17"/>
  <c r="F118" i="17" s="1"/>
  <c r="BN118" i="17"/>
  <c r="BO118" i="17" s="1"/>
  <c r="CC118" i="17"/>
  <c r="CD118" i="17" s="1"/>
  <c r="AJ118" i="17"/>
  <c r="AK118" i="17" s="1"/>
  <c r="AY118" i="17"/>
  <c r="AZ118" i="17" s="1"/>
  <c r="BR122" i="17"/>
  <c r="BJ122" i="17"/>
  <c r="BH122" i="17"/>
  <c r="BQ122" i="17"/>
  <c r="AT126" i="17"/>
  <c r="AV126" i="17" s="1"/>
  <c r="AQ127" i="17" s="1"/>
  <c r="S202" i="17" l="1"/>
  <c r="Q202" i="17"/>
  <c r="R202" i="17" s="1"/>
  <c r="T202" i="17" s="1"/>
  <c r="AO140" i="17"/>
  <c r="CH124" i="17"/>
  <c r="AU127" i="17"/>
  <c r="AS127" i="17"/>
  <c r="BB127" i="17"/>
  <c r="BC127" i="17"/>
  <c r="AX127" i="17"/>
  <c r="BP118" i="17"/>
  <c r="AL118" i="17"/>
  <c r="E119" i="17"/>
  <c r="C119" i="17"/>
  <c r="BX124" i="17"/>
  <c r="BZ124" i="17" s="1"/>
  <c r="BU125" i="17" s="1"/>
  <c r="BA118" i="17"/>
  <c r="CE118" i="17"/>
  <c r="CN118" i="17"/>
  <c r="BS122" i="17"/>
  <c r="BI122" i="17"/>
  <c r="BK122" i="17" s="1"/>
  <c r="BF123" i="17" s="1"/>
  <c r="AE140" i="17"/>
  <c r="AG140" i="17" s="1"/>
  <c r="AB141" i="17" s="1"/>
  <c r="AT127" i="17" l="1"/>
  <c r="AV127" i="17" s="1"/>
  <c r="AQ128" i="17" s="1"/>
  <c r="AU128" i="17" s="1"/>
  <c r="S203" i="17"/>
  <c r="Q203" i="17"/>
  <c r="R203" i="17" s="1"/>
  <c r="T203" i="17" s="1"/>
  <c r="BR123" i="17"/>
  <c r="BJ123" i="17"/>
  <c r="BH123" i="17"/>
  <c r="BQ123" i="17"/>
  <c r="D119" i="17"/>
  <c r="F119" i="17" s="1"/>
  <c r="CL119" i="17"/>
  <c r="CM119" i="17" s="1"/>
  <c r="BN119" i="17"/>
  <c r="BO119" i="17" s="1"/>
  <c r="CC119" i="17"/>
  <c r="CD119" i="17" s="1"/>
  <c r="AJ119" i="17"/>
  <c r="AK119" i="17" s="1"/>
  <c r="AY119" i="17"/>
  <c r="AZ119" i="17" s="1"/>
  <c r="CJ141" i="17"/>
  <c r="CK141" i="17" s="1"/>
  <c r="AF141" i="17"/>
  <c r="AD141" i="17"/>
  <c r="AM141" i="17"/>
  <c r="AN141" i="17"/>
  <c r="AI141" i="17"/>
  <c r="BY125" i="17"/>
  <c r="BW125" i="17"/>
  <c r="CF125" i="17"/>
  <c r="CG125" i="17"/>
  <c r="BD127" i="17"/>
  <c r="AX128" i="17" l="1"/>
  <c r="BC128" i="17"/>
  <c r="BB128" i="17"/>
  <c r="BI123" i="17"/>
  <c r="BK123" i="17" s="1"/>
  <c r="BF124" i="17" s="1"/>
  <c r="BQ124" i="17" s="1"/>
  <c r="AE141" i="17"/>
  <c r="AG141" i="17" s="1"/>
  <c r="AB142" i="17" s="1"/>
  <c r="CJ142" i="17" s="1"/>
  <c r="CK142" i="17" s="1"/>
  <c r="AS128" i="17"/>
  <c r="BD128" i="17" s="1"/>
  <c r="CH125" i="17"/>
  <c r="S204" i="17"/>
  <c r="Q204" i="17"/>
  <c r="CE119" i="17"/>
  <c r="AL119" i="17"/>
  <c r="BX125" i="17"/>
  <c r="BZ125" i="17" s="1"/>
  <c r="BU126" i="17" s="1"/>
  <c r="BP119" i="17"/>
  <c r="CN119" i="17"/>
  <c r="E120" i="17"/>
  <c r="C120" i="17"/>
  <c r="BS123" i="17"/>
  <c r="AO141" i="17"/>
  <c r="BA119" i="17"/>
  <c r="BH124" i="17" l="1"/>
  <c r="BJ124" i="17"/>
  <c r="BR124" i="17"/>
  <c r="AN142" i="17"/>
  <c r="R204" i="17"/>
  <c r="T204" i="17" s="1"/>
  <c r="S205" i="17" s="1"/>
  <c r="AI142" i="17"/>
  <c r="AM142" i="17"/>
  <c r="AD142" i="17"/>
  <c r="AO142" i="17" s="1"/>
  <c r="AT128" i="17"/>
  <c r="AV128" i="17" s="1"/>
  <c r="AQ129" i="17" s="1"/>
  <c r="AU129" i="17" s="1"/>
  <c r="AF142" i="17"/>
  <c r="Q205" i="17"/>
  <c r="BY126" i="17"/>
  <c r="BW126" i="17"/>
  <c r="CF126" i="17"/>
  <c r="CG126" i="17"/>
  <c r="BI124" i="17"/>
  <c r="BK124" i="17" s="1"/>
  <c r="BF125" i="17" s="1"/>
  <c r="CL120" i="17"/>
  <c r="CM120" i="17" s="1"/>
  <c r="D120" i="17"/>
  <c r="F120" i="17" s="1"/>
  <c r="BN120" i="17"/>
  <c r="BO120" i="17" s="1"/>
  <c r="CC120" i="17"/>
  <c r="CD120" i="17" s="1"/>
  <c r="AJ120" i="17"/>
  <c r="AK120" i="17" s="1"/>
  <c r="AY120" i="17"/>
  <c r="AZ120" i="17" s="1"/>
  <c r="BS124" i="17" l="1"/>
  <c r="BB129" i="17"/>
  <c r="AE142" i="17"/>
  <c r="AG142" i="17" s="1"/>
  <c r="AB143" i="17" s="1"/>
  <c r="CJ143" i="17" s="1"/>
  <c r="CK143" i="17" s="1"/>
  <c r="AX129" i="17"/>
  <c r="BC129" i="17"/>
  <c r="AS129" i="17"/>
  <c r="AT129" i="17" s="1"/>
  <c r="AV129" i="17" s="1"/>
  <c r="AQ130" i="17" s="1"/>
  <c r="R205" i="17"/>
  <c r="T205" i="17" s="1"/>
  <c r="Q206" i="17" s="1"/>
  <c r="CH126" i="17"/>
  <c r="BX126" i="17"/>
  <c r="BZ126" i="17" s="1"/>
  <c r="BU127" i="17" s="1"/>
  <c r="CN120" i="17"/>
  <c r="BR125" i="17"/>
  <c r="BJ125" i="17"/>
  <c r="BH125" i="17"/>
  <c r="BQ125" i="17"/>
  <c r="E121" i="17"/>
  <c r="C121" i="17"/>
  <c r="BA120" i="17"/>
  <c r="BP120" i="17"/>
  <c r="AL120" i="17"/>
  <c r="CE120" i="17"/>
  <c r="AI143" i="17" l="1"/>
  <c r="AD143" i="17"/>
  <c r="AF143" i="17"/>
  <c r="AN143" i="17"/>
  <c r="AM143" i="17"/>
  <c r="S206" i="17"/>
  <c r="R206" i="17" s="1"/>
  <c r="T206" i="17" s="1"/>
  <c r="BD129" i="17"/>
  <c r="BS125" i="17"/>
  <c r="AU130" i="17"/>
  <c r="AS130" i="17"/>
  <c r="BB130" i="17"/>
  <c r="BC130" i="17"/>
  <c r="AX130" i="17"/>
  <c r="BY127" i="17"/>
  <c r="BW127" i="17"/>
  <c r="CF127" i="17"/>
  <c r="CG127" i="17"/>
  <c r="AO143" i="17"/>
  <c r="BI125" i="17"/>
  <c r="BK125" i="17" s="1"/>
  <c r="BF126" i="17" s="1"/>
  <c r="AE143" i="17"/>
  <c r="AG143" i="17" s="1"/>
  <c r="AB144" i="17" s="1"/>
  <c r="D121" i="17"/>
  <c r="F121" i="17" s="1"/>
  <c r="CL121" i="17"/>
  <c r="CM121" i="17" s="1"/>
  <c r="BN121" i="17"/>
  <c r="BO121" i="17" s="1"/>
  <c r="CC121" i="17"/>
  <c r="CD121" i="17" s="1"/>
  <c r="AJ121" i="17"/>
  <c r="AK121" i="17" s="1"/>
  <c r="AY121" i="17"/>
  <c r="AZ121" i="17" s="1"/>
  <c r="S207" i="17" l="1"/>
  <c r="Q207" i="17"/>
  <c r="R207" i="17" s="1"/>
  <c r="T207" i="17" s="1"/>
  <c r="S208" i="17" s="1"/>
  <c r="BD130" i="17"/>
  <c r="CH127" i="17"/>
  <c r="BX127" i="17"/>
  <c r="BZ127" i="17" s="1"/>
  <c r="BU128" i="17" s="1"/>
  <c r="AT130" i="17"/>
  <c r="AV130" i="17" s="1"/>
  <c r="AQ131" i="17" s="1"/>
  <c r="CJ144" i="17"/>
  <c r="CK144" i="17" s="1"/>
  <c r="AF144" i="17"/>
  <c r="AD144" i="17"/>
  <c r="AM144" i="17"/>
  <c r="AN144" i="17"/>
  <c r="AI144" i="17"/>
  <c r="BA121" i="17"/>
  <c r="E122" i="17"/>
  <c r="C122" i="17"/>
  <c r="BR126" i="17"/>
  <c r="BJ126" i="17"/>
  <c r="BH126" i="17"/>
  <c r="BQ126" i="17"/>
  <c r="AL121" i="17"/>
  <c r="CN121" i="17"/>
  <c r="CE121" i="17"/>
  <c r="BP121" i="17"/>
  <c r="Q208" i="17" l="1"/>
  <c r="R208" i="17" s="1"/>
  <c r="T208" i="17" s="1"/>
  <c r="BS126" i="17"/>
  <c r="AO144" i="17"/>
  <c r="AE144" i="17"/>
  <c r="AG144" i="17" s="1"/>
  <c r="AB145" i="17" s="1"/>
  <c r="AU131" i="17"/>
  <c r="AS131" i="17"/>
  <c r="BB131" i="17"/>
  <c r="BC131" i="17"/>
  <c r="AX131" i="17"/>
  <c r="CL122" i="17"/>
  <c r="CM122" i="17" s="1"/>
  <c r="D122" i="17"/>
  <c r="F122" i="17" s="1"/>
  <c r="BN122" i="17"/>
  <c r="BO122" i="17" s="1"/>
  <c r="CC122" i="17"/>
  <c r="CD122" i="17" s="1"/>
  <c r="AJ122" i="17"/>
  <c r="AK122" i="17" s="1"/>
  <c r="AY122" i="17"/>
  <c r="AZ122" i="17" s="1"/>
  <c r="BY128" i="17"/>
  <c r="BW128" i="17"/>
  <c r="CF128" i="17"/>
  <c r="CG128" i="17"/>
  <c r="BI126" i="17"/>
  <c r="BK126" i="17" s="1"/>
  <c r="BF127" i="17" s="1"/>
  <c r="BD131" i="17" l="1"/>
  <c r="S209" i="17"/>
  <c r="Q209" i="17"/>
  <c r="R209" i="17" s="1"/>
  <c r="T209" i="17" s="1"/>
  <c r="S210" i="17" s="1"/>
  <c r="CH128" i="17"/>
  <c r="CN122" i="17"/>
  <c r="AT131" i="17"/>
  <c r="AV131" i="17" s="1"/>
  <c r="AQ132" i="17" s="1"/>
  <c r="BX128" i="17"/>
  <c r="BZ128" i="17" s="1"/>
  <c r="BU129" i="17" s="1"/>
  <c r="E123" i="17"/>
  <c r="C123" i="17"/>
  <c r="BA122" i="17"/>
  <c r="CJ145" i="17"/>
  <c r="CK145" i="17" s="1"/>
  <c r="AF145" i="17"/>
  <c r="AD145" i="17"/>
  <c r="AE145" i="17" s="1"/>
  <c r="AG145" i="17" s="1"/>
  <c r="AB146" i="17" s="1"/>
  <c r="AM145" i="17"/>
  <c r="AN145" i="17"/>
  <c r="AI145" i="17"/>
  <c r="AL122" i="17"/>
  <c r="CE122" i="17"/>
  <c r="BR127" i="17"/>
  <c r="BJ127" i="17"/>
  <c r="BH127" i="17"/>
  <c r="BQ127" i="17"/>
  <c r="BP122" i="17"/>
  <c r="Q210" i="17" l="1"/>
  <c r="R210" i="17" s="1"/>
  <c r="T210" i="17" s="1"/>
  <c r="Q211" i="17" s="1"/>
  <c r="BS127" i="17"/>
  <c r="CJ146" i="17"/>
  <c r="CK146" i="17" s="1"/>
  <c r="AN146" i="17"/>
  <c r="AF146" i="17"/>
  <c r="AD146" i="17"/>
  <c r="AE146" i="17" s="1"/>
  <c r="AG146" i="17" s="1"/>
  <c r="AB147" i="17" s="1"/>
  <c r="AM146" i="17"/>
  <c r="AI146" i="17"/>
  <c r="S211" i="17"/>
  <c r="BY129" i="17"/>
  <c r="BW129" i="17"/>
  <c r="CF129" i="17"/>
  <c r="CG129" i="17"/>
  <c r="AU132" i="17"/>
  <c r="AS132" i="17"/>
  <c r="AT132" i="17" s="1"/>
  <c r="AV132" i="17" s="1"/>
  <c r="AQ133" i="17" s="1"/>
  <c r="BB132" i="17"/>
  <c r="BC132" i="17"/>
  <c r="AX132" i="17"/>
  <c r="AO145" i="17"/>
  <c r="D123" i="17"/>
  <c r="F123" i="17" s="1"/>
  <c r="CL123" i="17"/>
  <c r="CM123" i="17" s="1"/>
  <c r="BN123" i="17"/>
  <c r="BO123" i="17" s="1"/>
  <c r="CC123" i="17"/>
  <c r="CD123" i="17" s="1"/>
  <c r="AJ123" i="17"/>
  <c r="AK123" i="17" s="1"/>
  <c r="AY123" i="17"/>
  <c r="AZ123" i="17" s="1"/>
  <c r="BI127" i="17"/>
  <c r="BK127" i="17" s="1"/>
  <c r="BF128" i="17" s="1"/>
  <c r="R211" i="17" l="1"/>
  <c r="T211" i="17" s="1"/>
  <c r="CJ147" i="17"/>
  <c r="CK147" i="17" s="1"/>
  <c r="AF147" i="17"/>
  <c r="AD147" i="17"/>
  <c r="AM147" i="17"/>
  <c r="AN147" i="17"/>
  <c r="AI147" i="17"/>
  <c r="AL123" i="17"/>
  <c r="BA123" i="17"/>
  <c r="CE123" i="17"/>
  <c r="S212" i="17"/>
  <c r="Q212" i="17"/>
  <c r="R212" i="17" s="1"/>
  <c r="T212" i="17" s="1"/>
  <c r="CH129" i="17"/>
  <c r="AU133" i="17"/>
  <c r="AS133" i="17"/>
  <c r="BB133" i="17"/>
  <c r="BC133" i="17"/>
  <c r="AX133" i="17"/>
  <c r="BP123" i="17"/>
  <c r="BD132" i="17"/>
  <c r="BR128" i="17"/>
  <c r="BJ128" i="17"/>
  <c r="BH128" i="17"/>
  <c r="BS128" i="17" s="1"/>
  <c r="BQ128" i="17"/>
  <c r="CN123" i="17"/>
  <c r="E124" i="17"/>
  <c r="C124" i="17"/>
  <c r="BX129" i="17"/>
  <c r="BZ129" i="17" s="1"/>
  <c r="BU130" i="17" s="1"/>
  <c r="AO146" i="17"/>
  <c r="BI128" i="17" l="1"/>
  <c r="BK128" i="17" s="1"/>
  <c r="BF129" i="17" s="1"/>
  <c r="AO147" i="17"/>
  <c r="S213" i="17"/>
  <c r="Q213" i="17"/>
  <c r="R213" i="17" s="1"/>
  <c r="T213" i="17" s="1"/>
  <c r="BR129" i="17"/>
  <c r="BJ129" i="17"/>
  <c r="BH129" i="17"/>
  <c r="BQ129" i="17"/>
  <c r="CL124" i="17"/>
  <c r="CM124" i="17" s="1"/>
  <c r="D124" i="17"/>
  <c r="F124" i="17" s="1"/>
  <c r="BN124" i="17"/>
  <c r="BO124" i="17" s="1"/>
  <c r="CC124" i="17"/>
  <c r="CD124" i="17" s="1"/>
  <c r="AJ124" i="17"/>
  <c r="AK124" i="17" s="1"/>
  <c r="AY124" i="17"/>
  <c r="AZ124" i="17" s="1"/>
  <c r="BD133" i="17"/>
  <c r="AT133" i="17"/>
  <c r="AV133" i="17" s="1"/>
  <c r="AQ134" i="17" s="1"/>
  <c r="BY130" i="17"/>
  <c r="BW130" i="17"/>
  <c r="CF130" i="17"/>
  <c r="CG130" i="17"/>
  <c r="AE147" i="17"/>
  <c r="AG147" i="17" s="1"/>
  <c r="AB148" i="17" s="1"/>
  <c r="BS129" i="17" l="1"/>
  <c r="S214" i="17"/>
  <c r="Q214" i="17"/>
  <c r="R214" i="17" s="1"/>
  <c r="T214" i="17" s="1"/>
  <c r="BA124" i="17"/>
  <c r="BI129" i="17"/>
  <c r="BK129" i="17" s="1"/>
  <c r="BF130" i="17" s="1"/>
  <c r="CJ148" i="17"/>
  <c r="CK148" i="17" s="1"/>
  <c r="AD148" i="17"/>
  <c r="AM148" i="17"/>
  <c r="AN148" i="17"/>
  <c r="AF148" i="17"/>
  <c r="AI148" i="17"/>
  <c r="CE124" i="17"/>
  <c r="CH130" i="17"/>
  <c r="BP124" i="17"/>
  <c r="E125" i="17"/>
  <c r="C125" i="17"/>
  <c r="AL124" i="17"/>
  <c r="BX130" i="17"/>
  <c r="BZ130" i="17" s="1"/>
  <c r="BU131" i="17" s="1"/>
  <c r="CN124" i="17"/>
  <c r="AU134" i="17"/>
  <c r="AS134" i="17"/>
  <c r="BB134" i="17"/>
  <c r="BC134" i="17"/>
  <c r="AX134" i="17"/>
  <c r="AO148" i="17" l="1"/>
  <c r="S215" i="17"/>
  <c r="Q215" i="17"/>
  <c r="R215" i="17" s="1"/>
  <c r="T215" i="17" s="1"/>
  <c r="BY131" i="17"/>
  <c r="BW131" i="17"/>
  <c r="CF131" i="17"/>
  <c r="CG131" i="17"/>
  <c r="AE148" i="17"/>
  <c r="AG148" i="17" s="1"/>
  <c r="AB149" i="17" s="1"/>
  <c r="BD134" i="17"/>
  <c r="D125" i="17"/>
  <c r="F125" i="17" s="1"/>
  <c r="CL125" i="17"/>
  <c r="CM125" i="17" s="1"/>
  <c r="BN125" i="17"/>
  <c r="BO125" i="17" s="1"/>
  <c r="CC125" i="17"/>
  <c r="CD125" i="17" s="1"/>
  <c r="AJ125" i="17"/>
  <c r="AK125" i="17" s="1"/>
  <c r="AY125" i="17"/>
  <c r="AZ125" i="17" s="1"/>
  <c r="BR130" i="17"/>
  <c r="BJ130" i="17"/>
  <c r="BH130" i="17"/>
  <c r="BQ130" i="17"/>
  <c r="AT134" i="17"/>
  <c r="AV134" i="17" s="1"/>
  <c r="AQ135" i="17" s="1"/>
  <c r="S216" i="17" l="1"/>
  <c r="Q216" i="17"/>
  <c r="R216" i="17" s="1"/>
  <c r="T216" i="17" s="1"/>
  <c r="CE125" i="17"/>
  <c r="CH131" i="17"/>
  <c r="AL125" i="17"/>
  <c r="BP125" i="17"/>
  <c r="CN125" i="17"/>
  <c r="E126" i="17"/>
  <c r="C126" i="17"/>
  <c r="BX131" i="17"/>
  <c r="BZ131" i="17" s="1"/>
  <c r="BU132" i="17" s="1"/>
  <c r="BS130" i="17"/>
  <c r="BI130" i="17"/>
  <c r="BK130" i="17" s="1"/>
  <c r="BF131" i="17" s="1"/>
  <c r="AU135" i="17"/>
  <c r="AS135" i="17"/>
  <c r="BB135" i="17"/>
  <c r="BC135" i="17"/>
  <c r="AX135" i="17"/>
  <c r="CK149" i="17"/>
  <c r="CJ149" i="17"/>
  <c r="AF149" i="17"/>
  <c r="AD149" i="17"/>
  <c r="AE149" i="17" s="1"/>
  <c r="AG149" i="17" s="1"/>
  <c r="AB150" i="17" s="1"/>
  <c r="AM149" i="17"/>
  <c r="AN149" i="17"/>
  <c r="AI149" i="17"/>
  <c r="BA125" i="17"/>
  <c r="S217" i="17" l="1"/>
  <c r="Q217" i="17"/>
  <c r="R217" i="17" s="1"/>
  <c r="T217" i="17" s="1"/>
  <c r="CJ150" i="17"/>
  <c r="CK150" i="17" s="1"/>
  <c r="AF150" i="17"/>
  <c r="AD150" i="17"/>
  <c r="AE150" i="17" s="1"/>
  <c r="AG150" i="17" s="1"/>
  <c r="AB151" i="17" s="1"/>
  <c r="AM150" i="17"/>
  <c r="AN150" i="17"/>
  <c r="AI150" i="17"/>
  <c r="CL126" i="17"/>
  <c r="CM126" i="17" s="1"/>
  <c r="D126" i="17"/>
  <c r="F126" i="17" s="1"/>
  <c r="BN126" i="17"/>
  <c r="BO126" i="17" s="1"/>
  <c r="CC126" i="17"/>
  <c r="CD126" i="17" s="1"/>
  <c r="AJ126" i="17"/>
  <c r="AK126" i="17" s="1"/>
  <c r="AY126" i="17"/>
  <c r="AZ126" i="17" s="1"/>
  <c r="BD135" i="17"/>
  <c r="AT135" i="17"/>
  <c r="AV135" i="17" s="1"/>
  <c r="AQ136" i="17" s="1"/>
  <c r="AO149" i="17"/>
  <c r="BY132" i="17"/>
  <c r="BW132" i="17"/>
  <c r="CF132" i="17"/>
  <c r="CG132" i="17"/>
  <c r="BR131" i="17"/>
  <c r="BJ131" i="17"/>
  <c r="BH131" i="17"/>
  <c r="BQ131" i="17"/>
  <c r="BS131" i="17" l="1"/>
  <c r="CJ151" i="17"/>
  <c r="CK151" i="17" s="1"/>
  <c r="AM151" i="17"/>
  <c r="AN151" i="17"/>
  <c r="AF151" i="17"/>
  <c r="AD151" i="17"/>
  <c r="AI151" i="17"/>
  <c r="S218" i="17"/>
  <c r="Q218" i="17"/>
  <c r="BA126" i="17"/>
  <c r="CE126" i="17"/>
  <c r="CH132" i="17"/>
  <c r="BP126" i="17"/>
  <c r="BX132" i="17"/>
  <c r="BZ132" i="17" s="1"/>
  <c r="BU133" i="17" s="1"/>
  <c r="E127" i="17"/>
  <c r="C127" i="17"/>
  <c r="AL126" i="17"/>
  <c r="BI131" i="17"/>
  <c r="BK131" i="17" s="1"/>
  <c r="BF132" i="17" s="1"/>
  <c r="CN126" i="17"/>
  <c r="AO150" i="17"/>
  <c r="AU136" i="17"/>
  <c r="AS136" i="17"/>
  <c r="AT136" i="17" s="1"/>
  <c r="AV136" i="17" s="1"/>
  <c r="AQ137" i="17" s="1"/>
  <c r="BB136" i="17"/>
  <c r="BC136" i="17"/>
  <c r="AX136" i="17"/>
  <c r="R218" i="17" l="1"/>
  <c r="T218" i="17" s="1"/>
  <c r="S219" i="17" s="1"/>
  <c r="Q219" i="17"/>
  <c r="AU137" i="17"/>
  <c r="AS137" i="17"/>
  <c r="BB137" i="17"/>
  <c r="BC137" i="17"/>
  <c r="AX137" i="17"/>
  <c r="AO151" i="17"/>
  <c r="BR132" i="17"/>
  <c r="BJ132" i="17"/>
  <c r="BH132" i="17"/>
  <c r="BQ132" i="17"/>
  <c r="BD136" i="17"/>
  <c r="D127" i="17"/>
  <c r="F127" i="17" s="1"/>
  <c r="CL127" i="17"/>
  <c r="CM127" i="17" s="1"/>
  <c r="BN127" i="17"/>
  <c r="BO127" i="17" s="1"/>
  <c r="CC127" i="17"/>
  <c r="CD127" i="17" s="1"/>
  <c r="AJ127" i="17"/>
  <c r="AK127" i="17" s="1"/>
  <c r="AY127" i="17"/>
  <c r="AZ127" i="17" s="1"/>
  <c r="BY133" i="17"/>
  <c r="BW133" i="17"/>
  <c r="CF133" i="17"/>
  <c r="CG133" i="17"/>
  <c r="AE151" i="17"/>
  <c r="AG151" i="17" s="1"/>
  <c r="AB152" i="17" s="1"/>
  <c r="R219" i="17" l="1"/>
  <c r="T219" i="17" s="1"/>
  <c r="S220" i="17" s="1"/>
  <c r="Q220" i="17"/>
  <c r="BD137" i="17"/>
  <c r="E128" i="17"/>
  <c r="C128" i="17"/>
  <c r="BP127" i="17"/>
  <c r="AT137" i="17"/>
  <c r="AV137" i="17" s="1"/>
  <c r="AQ138" i="17" s="1"/>
  <c r="CH133" i="17"/>
  <c r="BX133" i="17"/>
  <c r="BZ133" i="17" s="1"/>
  <c r="BU134" i="17" s="1"/>
  <c r="BS132" i="17"/>
  <c r="CN127" i="17"/>
  <c r="BA127" i="17"/>
  <c r="CJ152" i="17"/>
  <c r="CK152" i="17" s="1"/>
  <c r="AF152" i="17"/>
  <c r="AD152" i="17"/>
  <c r="AM152" i="17"/>
  <c r="AN152" i="17"/>
  <c r="AI152" i="17"/>
  <c r="AL127" i="17"/>
  <c r="CE127" i="17"/>
  <c r="BI132" i="17"/>
  <c r="BK132" i="17" s="1"/>
  <c r="BF133" i="17" s="1"/>
  <c r="R220" i="17" l="1"/>
  <c r="T220" i="17" s="1"/>
  <c r="AE152" i="17"/>
  <c r="AG152" i="17" s="1"/>
  <c r="AB153" i="17" s="1"/>
  <c r="CJ153" i="17" s="1"/>
  <c r="CK153" i="17" s="1"/>
  <c r="S221" i="17"/>
  <c r="Q221" i="17"/>
  <c r="CL128" i="17"/>
  <c r="CM128" i="17" s="1"/>
  <c r="D128" i="17"/>
  <c r="F128" i="17" s="1"/>
  <c r="BN128" i="17"/>
  <c r="BO128" i="17" s="1"/>
  <c r="CC128" i="17"/>
  <c r="CD128" i="17" s="1"/>
  <c r="AJ128" i="17"/>
  <c r="AK128" i="17" s="1"/>
  <c r="AY128" i="17"/>
  <c r="AZ128" i="17" s="1"/>
  <c r="BR133" i="17"/>
  <c r="BJ133" i="17"/>
  <c r="BH133" i="17"/>
  <c r="BQ133" i="17"/>
  <c r="BY134" i="17"/>
  <c r="BW134" i="17"/>
  <c r="CF134" i="17"/>
  <c r="CG134" i="17"/>
  <c r="AU138" i="17"/>
  <c r="AS138" i="17"/>
  <c r="BB138" i="17"/>
  <c r="BC138" i="17"/>
  <c r="AX138" i="17"/>
  <c r="AO152" i="17"/>
  <c r="BD138" i="17" l="1"/>
  <c r="AI153" i="17"/>
  <c r="AN153" i="17"/>
  <c r="AM153" i="17"/>
  <c r="AD153" i="17"/>
  <c r="AE153" i="17" s="1"/>
  <c r="AG153" i="17" s="1"/>
  <c r="AB154" i="17" s="1"/>
  <c r="AF153" i="17"/>
  <c r="R221" i="17"/>
  <c r="T221" i="17" s="1"/>
  <c r="Q222" i="17" s="1"/>
  <c r="CH134" i="17"/>
  <c r="BA128" i="17"/>
  <c r="CE128" i="17"/>
  <c r="BS133" i="17"/>
  <c r="BP128" i="17"/>
  <c r="E129" i="17"/>
  <c r="C129" i="17"/>
  <c r="AL128" i="17"/>
  <c r="BI133" i="17"/>
  <c r="BK133" i="17" s="1"/>
  <c r="BF134" i="17" s="1"/>
  <c r="CN128" i="17"/>
  <c r="BX134" i="17"/>
  <c r="BZ134" i="17" s="1"/>
  <c r="BU135" i="17" s="1"/>
  <c r="AT138" i="17"/>
  <c r="AV138" i="17" s="1"/>
  <c r="AQ139" i="17" s="1"/>
  <c r="S222" i="17" l="1"/>
  <c r="R222" i="17" s="1"/>
  <c r="T222" i="17" s="1"/>
  <c r="AO153" i="17"/>
  <c r="BR134" i="17"/>
  <c r="BJ134" i="17"/>
  <c r="BH134" i="17"/>
  <c r="BQ134" i="17"/>
  <c r="CJ154" i="17"/>
  <c r="CK154" i="17" s="1"/>
  <c r="AN154" i="17"/>
  <c r="AF154" i="17"/>
  <c r="AD154" i="17"/>
  <c r="AE154" i="17" s="1"/>
  <c r="AG154" i="17" s="1"/>
  <c r="AB155" i="17" s="1"/>
  <c r="AM154" i="17"/>
  <c r="AI154" i="17"/>
  <c r="AU139" i="17"/>
  <c r="AS139" i="17"/>
  <c r="BB139" i="17"/>
  <c r="BC139" i="17"/>
  <c r="AX139" i="17"/>
  <c r="BY135" i="17"/>
  <c r="BW135" i="17"/>
  <c r="CF135" i="17"/>
  <c r="CG135" i="17"/>
  <c r="D129" i="17"/>
  <c r="F129" i="17" s="1"/>
  <c r="CL129" i="17"/>
  <c r="CM129" i="17" s="1"/>
  <c r="BN129" i="17"/>
  <c r="BO129" i="17" s="1"/>
  <c r="CC129" i="17"/>
  <c r="CD129" i="17" s="1"/>
  <c r="AJ129" i="17"/>
  <c r="AK129" i="17" s="1"/>
  <c r="AY129" i="17"/>
  <c r="AZ129" i="17" s="1"/>
  <c r="S223" i="17" l="1"/>
  <c r="Q223" i="17"/>
  <c r="R223" i="17" s="1"/>
  <c r="T223" i="17" s="1"/>
  <c r="S224" i="17" s="1"/>
  <c r="BS134" i="17"/>
  <c r="BD139" i="17"/>
  <c r="CH135" i="17"/>
  <c r="CJ155" i="17"/>
  <c r="CK155" i="17" s="1"/>
  <c r="AF155" i="17"/>
  <c r="AD155" i="17"/>
  <c r="AM155" i="17"/>
  <c r="AN155" i="17"/>
  <c r="AI155" i="17"/>
  <c r="E130" i="17"/>
  <c r="C130" i="17"/>
  <c r="BI134" i="17"/>
  <c r="BK134" i="17" s="1"/>
  <c r="BF135" i="17" s="1"/>
  <c r="BA129" i="17"/>
  <c r="CE129" i="17"/>
  <c r="AL129" i="17"/>
  <c r="AO154" i="17"/>
  <c r="BP129" i="17"/>
  <c r="BX135" i="17"/>
  <c r="BZ135" i="17" s="1"/>
  <c r="BU136" i="17" s="1"/>
  <c r="CN129" i="17"/>
  <c r="AT139" i="17"/>
  <c r="AV139" i="17" s="1"/>
  <c r="AQ140" i="17" s="1"/>
  <c r="Q224" i="17" l="1"/>
  <c r="R224" i="17" s="1"/>
  <c r="T224" i="17" s="1"/>
  <c r="AE155" i="17"/>
  <c r="AG155" i="17" s="1"/>
  <c r="AB156" i="17" s="1"/>
  <c r="CJ156" i="17" s="1"/>
  <c r="AU140" i="17"/>
  <c r="AS140" i="17"/>
  <c r="BB140" i="17"/>
  <c r="BC140" i="17"/>
  <c r="AX140" i="17"/>
  <c r="BY136" i="17"/>
  <c r="BW136" i="17"/>
  <c r="CF136" i="17"/>
  <c r="CG136" i="17"/>
  <c r="BR135" i="17"/>
  <c r="BJ135" i="17"/>
  <c r="BH135" i="17"/>
  <c r="BQ135" i="17"/>
  <c r="CL130" i="17"/>
  <c r="CM130" i="17" s="1"/>
  <c r="D130" i="17"/>
  <c r="F130" i="17" s="1"/>
  <c r="BN130" i="17"/>
  <c r="BO130" i="17" s="1"/>
  <c r="CC130" i="17"/>
  <c r="CD130" i="17" s="1"/>
  <c r="AJ130" i="17"/>
  <c r="AK130" i="17" s="1"/>
  <c r="AY130" i="17"/>
  <c r="AZ130" i="17" s="1"/>
  <c r="AO155" i="17"/>
  <c r="AI156" i="17" l="1"/>
  <c r="AF156" i="17"/>
  <c r="AN156" i="17"/>
  <c r="AM156" i="17"/>
  <c r="AD156" i="17"/>
  <c r="AO156" i="17" s="1"/>
  <c r="CK156" i="17"/>
  <c r="S225" i="17"/>
  <c r="Q225" i="17"/>
  <c r="R225" i="17" s="1"/>
  <c r="T225" i="17" s="1"/>
  <c r="S226" i="17" s="1"/>
  <c r="BS135" i="17"/>
  <c r="CH136" i="17"/>
  <c r="CN130" i="17"/>
  <c r="BD140" i="17"/>
  <c r="BA130" i="17"/>
  <c r="AL130" i="17"/>
  <c r="BI135" i="17"/>
  <c r="BK135" i="17" s="1"/>
  <c r="BF136" i="17" s="1"/>
  <c r="BX136" i="17"/>
  <c r="BZ136" i="17" s="1"/>
  <c r="BU137" i="17" s="1"/>
  <c r="AT140" i="17"/>
  <c r="AV140" i="17" s="1"/>
  <c r="AQ141" i="17" s="1"/>
  <c r="CE130" i="17"/>
  <c r="BP130" i="17"/>
  <c r="E131" i="17"/>
  <c r="C131" i="17"/>
  <c r="AE156" i="17" l="1"/>
  <c r="AG156" i="17" s="1"/>
  <c r="AB157" i="17" s="1"/>
  <c r="Q226" i="17"/>
  <c r="R226" i="17" s="1"/>
  <c r="T226" i="17" s="1"/>
  <c r="AU141" i="17"/>
  <c r="AS141" i="17"/>
  <c r="BB141" i="17"/>
  <c r="BC141" i="17"/>
  <c r="AX141" i="17"/>
  <c r="D131" i="17"/>
  <c r="F131" i="17" s="1"/>
  <c r="CL131" i="17"/>
  <c r="CM131" i="17" s="1"/>
  <c r="BN131" i="17"/>
  <c r="BO131" i="17" s="1"/>
  <c r="CC131" i="17"/>
  <c r="CD131" i="17" s="1"/>
  <c r="AJ131" i="17"/>
  <c r="AK131" i="17" s="1"/>
  <c r="AY131" i="17"/>
  <c r="AZ131" i="17" s="1"/>
  <c r="BR136" i="17"/>
  <c r="BJ136" i="17"/>
  <c r="BH136" i="17"/>
  <c r="BQ136" i="17"/>
  <c r="BY137" i="17"/>
  <c r="BW137" i="17"/>
  <c r="CF137" i="17"/>
  <c r="CG137" i="17"/>
  <c r="CJ157" i="17"/>
  <c r="CK157" i="17" s="1"/>
  <c r="AF157" i="17"/>
  <c r="AD157" i="17"/>
  <c r="AM157" i="17"/>
  <c r="AN157" i="17"/>
  <c r="AI157" i="17"/>
  <c r="Q227" i="17" l="1"/>
  <c r="R227" i="17" s="1"/>
  <c r="T227" i="17" s="1"/>
  <c r="Q228" i="17" s="1"/>
  <c r="S227" i="17"/>
  <c r="BS136" i="17"/>
  <c r="BD141" i="17"/>
  <c r="AO157" i="17"/>
  <c r="BP131" i="17"/>
  <c r="BI136" i="17"/>
  <c r="BK136" i="17" s="1"/>
  <c r="BF137" i="17" s="1"/>
  <c r="E132" i="17"/>
  <c r="C132" i="17"/>
  <c r="CN131" i="17"/>
  <c r="AT141" i="17"/>
  <c r="AV141" i="17" s="1"/>
  <c r="AQ142" i="17" s="1"/>
  <c r="AE157" i="17"/>
  <c r="AG157" i="17" s="1"/>
  <c r="AB158" i="17" s="1"/>
  <c r="CH137" i="17"/>
  <c r="BA131" i="17"/>
  <c r="BX137" i="17"/>
  <c r="BZ137" i="17" s="1"/>
  <c r="BU138" i="17" s="1"/>
  <c r="AL131" i="17"/>
  <c r="CE131" i="17"/>
  <c r="S228" i="17" l="1"/>
  <c r="R228" i="17" s="1"/>
  <c r="T228" i="17" s="1"/>
  <c r="BR137" i="17"/>
  <c r="BJ137" i="17"/>
  <c r="BH137" i="17"/>
  <c r="BS137" i="17" s="1"/>
  <c r="BQ137" i="17"/>
  <c r="CJ158" i="17"/>
  <c r="CK158" i="17" s="1"/>
  <c r="AF158" i="17"/>
  <c r="AD158" i="17"/>
  <c r="AM158" i="17"/>
  <c r="AN158" i="17"/>
  <c r="AI158" i="17"/>
  <c r="AU142" i="17"/>
  <c r="AS142" i="17"/>
  <c r="BB142" i="17"/>
  <c r="BC142" i="17"/>
  <c r="AX142" i="17"/>
  <c r="BY138" i="17"/>
  <c r="BW138" i="17"/>
  <c r="CF138" i="17"/>
  <c r="CG138" i="17"/>
  <c r="CL132" i="17"/>
  <c r="CM132" i="17" s="1"/>
  <c r="D132" i="17"/>
  <c r="F132" i="17" s="1"/>
  <c r="BN132" i="17"/>
  <c r="BO132" i="17" s="1"/>
  <c r="CC132" i="17"/>
  <c r="CD132" i="17" s="1"/>
  <c r="AJ132" i="17"/>
  <c r="AK132" i="17" s="1"/>
  <c r="AY132" i="17"/>
  <c r="AZ132" i="17" s="1"/>
  <c r="S229" i="17" l="1"/>
  <c r="Q229" i="17"/>
  <c r="R229" i="17" s="1"/>
  <c r="T229" i="17" s="1"/>
  <c r="S230" i="17" s="1"/>
  <c r="AE158" i="17"/>
  <c r="AG158" i="17" s="1"/>
  <c r="AB159" i="17" s="1"/>
  <c r="AD159" i="17" s="1"/>
  <c r="BD142" i="17"/>
  <c r="CH138" i="17"/>
  <c r="Q230" i="17"/>
  <c r="CJ159" i="17"/>
  <c r="CK159" i="17" s="1"/>
  <c r="AF159" i="17"/>
  <c r="CN132" i="17"/>
  <c r="BI137" i="17"/>
  <c r="BK137" i="17" s="1"/>
  <c r="BF138" i="17" s="1"/>
  <c r="BA132" i="17"/>
  <c r="AL132" i="17"/>
  <c r="CE132" i="17"/>
  <c r="BP132" i="17"/>
  <c r="BX138" i="17"/>
  <c r="BZ138" i="17" s="1"/>
  <c r="BU139" i="17" s="1"/>
  <c r="E133" i="17"/>
  <c r="C133" i="17"/>
  <c r="AT142" i="17"/>
  <c r="AV142" i="17" s="1"/>
  <c r="AQ143" i="17" s="1"/>
  <c r="AO158" i="17"/>
  <c r="R230" i="17" l="1"/>
  <c r="T230" i="17" s="1"/>
  <c r="AI159" i="17"/>
  <c r="AN159" i="17"/>
  <c r="AM159" i="17"/>
  <c r="S231" i="17"/>
  <c r="Q231" i="17"/>
  <c r="R231" i="17" s="1"/>
  <c r="T231" i="17" s="1"/>
  <c r="BY139" i="17"/>
  <c r="BW139" i="17"/>
  <c r="CF139" i="17"/>
  <c r="CG139" i="17"/>
  <c r="D133" i="17"/>
  <c r="F133" i="17" s="1"/>
  <c r="CL133" i="17"/>
  <c r="CM133" i="17" s="1"/>
  <c r="BN133" i="17"/>
  <c r="BO133" i="17" s="1"/>
  <c r="CC133" i="17"/>
  <c r="CD133" i="17" s="1"/>
  <c r="AJ133" i="17"/>
  <c r="AK133" i="17" s="1"/>
  <c r="AY133" i="17"/>
  <c r="AZ133" i="17" s="1"/>
  <c r="BR138" i="17"/>
  <c r="BJ138" i="17"/>
  <c r="BH138" i="17"/>
  <c r="BS138" i="17" s="1"/>
  <c r="BQ138" i="17"/>
  <c r="AE159" i="17"/>
  <c r="AG159" i="17" s="1"/>
  <c r="AB160" i="17" s="1"/>
  <c r="AU143" i="17"/>
  <c r="AS143" i="17"/>
  <c r="AT143" i="17" s="1"/>
  <c r="AV143" i="17" s="1"/>
  <c r="AQ144" i="17" s="1"/>
  <c r="BB143" i="17"/>
  <c r="BC143" i="17"/>
  <c r="AX143" i="17"/>
  <c r="AO159" i="17" l="1"/>
  <c r="BD143" i="17"/>
  <c r="CH139" i="17"/>
  <c r="AU144" i="17"/>
  <c r="AS144" i="17"/>
  <c r="BB144" i="17"/>
  <c r="BC144" i="17"/>
  <c r="AX144" i="17"/>
  <c r="S232" i="17"/>
  <c r="Q232" i="17"/>
  <c r="BA133" i="17"/>
  <c r="CJ160" i="17"/>
  <c r="CK160" i="17"/>
  <c r="AF160" i="17"/>
  <c r="AD160" i="17"/>
  <c r="AM160" i="17"/>
  <c r="AN160" i="17"/>
  <c r="AI160" i="17"/>
  <c r="CE133" i="17"/>
  <c r="BP133" i="17"/>
  <c r="BX139" i="17"/>
  <c r="BZ139" i="17" s="1"/>
  <c r="BU140" i="17" s="1"/>
  <c r="CN133" i="17"/>
  <c r="AL133" i="17"/>
  <c r="BI138" i="17"/>
  <c r="BK138" i="17" s="1"/>
  <c r="BF139" i="17" s="1"/>
  <c r="C134" i="17"/>
  <c r="E134" i="17"/>
  <c r="R232" i="17" l="1"/>
  <c r="T232" i="17" s="1"/>
  <c r="AO160" i="17"/>
  <c r="BD144" i="17"/>
  <c r="S233" i="17"/>
  <c r="Q233" i="17"/>
  <c r="R233" i="17" s="1"/>
  <c r="T233" i="17" s="1"/>
  <c r="CL134" i="17"/>
  <c r="CM134" i="17" s="1"/>
  <c r="D134" i="17"/>
  <c r="F134" i="17" s="1"/>
  <c r="BN134" i="17"/>
  <c r="BO134" i="17" s="1"/>
  <c r="CC134" i="17"/>
  <c r="CD134" i="17" s="1"/>
  <c r="AJ134" i="17"/>
  <c r="AK134" i="17" s="1"/>
  <c r="AY134" i="17"/>
  <c r="AZ134" i="17" s="1"/>
  <c r="AE160" i="17"/>
  <c r="AG160" i="17" s="1"/>
  <c r="AB161" i="17" s="1"/>
  <c r="BR139" i="17"/>
  <c r="BJ139" i="17"/>
  <c r="BH139" i="17"/>
  <c r="BQ139" i="17"/>
  <c r="BY140" i="17"/>
  <c r="BW140" i="17"/>
  <c r="CF140" i="17"/>
  <c r="CG140" i="17"/>
  <c r="AT144" i="17"/>
  <c r="AV144" i="17" s="1"/>
  <c r="AQ145" i="17" s="1"/>
  <c r="BS139" i="17" l="1"/>
  <c r="CH140" i="17"/>
  <c r="Q234" i="17"/>
  <c r="R234" i="17" s="1"/>
  <c r="T234" i="17" s="1"/>
  <c r="S234" i="17"/>
  <c r="AL134" i="17"/>
  <c r="CE134" i="17"/>
  <c r="BP134" i="17"/>
  <c r="BI139" i="17"/>
  <c r="BK139" i="17" s="1"/>
  <c r="BF140" i="17" s="1"/>
  <c r="E135" i="17"/>
  <c r="C135" i="17"/>
  <c r="CN134" i="17"/>
  <c r="AU145" i="17"/>
  <c r="AS145" i="17"/>
  <c r="BB145" i="17"/>
  <c r="BC145" i="17"/>
  <c r="AX145" i="17"/>
  <c r="CJ161" i="17"/>
  <c r="CK161" i="17" s="1"/>
  <c r="AF161" i="17"/>
  <c r="AD161" i="17"/>
  <c r="AM161" i="17"/>
  <c r="AN161" i="17"/>
  <c r="AI161" i="17"/>
  <c r="BX140" i="17"/>
  <c r="BZ140" i="17" s="1"/>
  <c r="BU141" i="17" s="1"/>
  <c r="BA134" i="17"/>
  <c r="AO161" i="17" l="1"/>
  <c r="S235" i="17"/>
  <c r="Q235" i="17"/>
  <c r="R235" i="17" s="1"/>
  <c r="T235" i="17" s="1"/>
  <c r="BY141" i="17"/>
  <c r="BW141" i="17"/>
  <c r="CF141" i="17"/>
  <c r="CG141" i="17"/>
  <c r="CL135" i="17"/>
  <c r="CM135" i="17" s="1"/>
  <c r="D135" i="17"/>
  <c r="F135" i="17" s="1"/>
  <c r="BN135" i="17"/>
  <c r="BO135" i="17" s="1"/>
  <c r="CC135" i="17"/>
  <c r="CD135" i="17" s="1"/>
  <c r="AJ135" i="17"/>
  <c r="AK135" i="17" s="1"/>
  <c r="AY135" i="17"/>
  <c r="AZ135" i="17" s="1"/>
  <c r="BD145" i="17"/>
  <c r="AE161" i="17"/>
  <c r="AG161" i="17" s="1"/>
  <c r="AB162" i="17" s="1"/>
  <c r="BR140" i="17"/>
  <c r="BJ140" i="17"/>
  <c r="BH140" i="17"/>
  <c r="BQ140" i="17"/>
  <c r="AT145" i="17"/>
  <c r="AV145" i="17" s="1"/>
  <c r="AQ146" i="17" s="1"/>
  <c r="CH141" i="17" l="1"/>
  <c r="BS140" i="17"/>
  <c r="S236" i="17"/>
  <c r="Q236" i="17"/>
  <c r="R236" i="17" s="1"/>
  <c r="T236" i="17" s="1"/>
  <c r="BA135" i="17"/>
  <c r="CE135" i="17"/>
  <c r="AL135" i="17"/>
  <c r="BP135" i="17"/>
  <c r="BX141" i="17"/>
  <c r="BZ141" i="17" s="1"/>
  <c r="BU142" i="17" s="1"/>
  <c r="BI140" i="17"/>
  <c r="BK140" i="17" s="1"/>
  <c r="BF141" i="17" s="1"/>
  <c r="C136" i="17"/>
  <c r="E136" i="17"/>
  <c r="AU146" i="17"/>
  <c r="AS146" i="17"/>
  <c r="BB146" i="17"/>
  <c r="BC146" i="17"/>
  <c r="AX146" i="17"/>
  <c r="CN135" i="17"/>
  <c r="CJ162" i="17"/>
  <c r="CK162" i="17" s="1"/>
  <c r="AN162" i="17"/>
  <c r="AF162" i="17"/>
  <c r="AD162" i="17"/>
  <c r="AM162" i="17"/>
  <c r="AI162" i="17"/>
  <c r="AO162" i="17" l="1"/>
  <c r="BD146" i="17"/>
  <c r="S237" i="17"/>
  <c r="Q237" i="17"/>
  <c r="R237" i="17" s="1"/>
  <c r="T237" i="17" s="1"/>
  <c r="CL136" i="17"/>
  <c r="CM136" i="17" s="1"/>
  <c r="D136" i="17"/>
  <c r="F136" i="17" s="1"/>
  <c r="BN136" i="17"/>
  <c r="BO136" i="17" s="1"/>
  <c r="CC136" i="17"/>
  <c r="CD136" i="17" s="1"/>
  <c r="AJ136" i="17"/>
  <c r="AK136" i="17" s="1"/>
  <c r="AY136" i="17"/>
  <c r="AZ136" i="17" s="1"/>
  <c r="BR141" i="17"/>
  <c r="BJ141" i="17"/>
  <c r="BH141" i="17"/>
  <c r="BQ141" i="17"/>
  <c r="BY142" i="17"/>
  <c r="BW142" i="17"/>
  <c r="CF142" i="17"/>
  <c r="CG142" i="17"/>
  <c r="AE162" i="17"/>
  <c r="AG162" i="17" s="1"/>
  <c r="AB163" i="17" s="1"/>
  <c r="AT146" i="17"/>
  <c r="AV146" i="17" s="1"/>
  <c r="AQ147" i="17" s="1"/>
  <c r="BX142" i="17" l="1"/>
  <c r="BZ142" i="17" s="1"/>
  <c r="BU143" i="17" s="1"/>
  <c r="BY143" i="17" s="1"/>
  <c r="BS141" i="17"/>
  <c r="S238" i="17"/>
  <c r="Q238" i="17"/>
  <c r="R238" i="17" s="1"/>
  <c r="T238" i="17" s="1"/>
  <c r="AL136" i="17"/>
  <c r="CE136" i="17"/>
  <c r="BP136" i="17"/>
  <c r="E137" i="17"/>
  <c r="C137" i="17"/>
  <c r="CN136" i="17"/>
  <c r="AU147" i="17"/>
  <c r="AS147" i="17"/>
  <c r="BB147" i="17"/>
  <c r="BC147" i="17"/>
  <c r="AX147" i="17"/>
  <c r="CH142" i="17"/>
  <c r="CJ163" i="17"/>
  <c r="CK163" i="17" s="1"/>
  <c r="AF163" i="17"/>
  <c r="AD163" i="17"/>
  <c r="AM163" i="17"/>
  <c r="AN163" i="17"/>
  <c r="AI163" i="17"/>
  <c r="BI141" i="17"/>
  <c r="BK141" i="17" s="1"/>
  <c r="BF142" i="17" s="1"/>
  <c r="BA136" i="17"/>
  <c r="CG143" i="17" l="1"/>
  <c r="CF143" i="17"/>
  <c r="BW143" i="17"/>
  <c r="CH143" i="17" s="1"/>
  <c r="AO163" i="17"/>
  <c r="BD147" i="17"/>
  <c r="S239" i="17"/>
  <c r="Q239" i="17"/>
  <c r="R239" i="17" s="1"/>
  <c r="T239" i="17" s="1"/>
  <c r="AT147" i="17"/>
  <c r="AV147" i="17" s="1"/>
  <c r="AQ148" i="17" s="1"/>
  <c r="BR142" i="17"/>
  <c r="BJ142" i="17"/>
  <c r="BH142" i="17"/>
  <c r="BQ142" i="17"/>
  <c r="AE163" i="17"/>
  <c r="AG163" i="17" s="1"/>
  <c r="AB164" i="17" s="1"/>
  <c r="CL137" i="17"/>
  <c r="CM137" i="17" s="1"/>
  <c r="D137" i="17"/>
  <c r="F137" i="17" s="1"/>
  <c r="BN137" i="17"/>
  <c r="BO137" i="17" s="1"/>
  <c r="CC137" i="17"/>
  <c r="CD137" i="17" s="1"/>
  <c r="AJ137" i="17"/>
  <c r="AK137" i="17" s="1"/>
  <c r="AY137" i="17"/>
  <c r="AZ137" i="17" s="1"/>
  <c r="BX143" i="17" l="1"/>
  <c r="BZ143" i="17" s="1"/>
  <c r="BU144" i="17" s="1"/>
  <c r="BI142" i="17"/>
  <c r="BK142" i="17" s="1"/>
  <c r="BF143" i="17" s="1"/>
  <c r="BR143" i="17" s="1"/>
  <c r="S240" i="17"/>
  <c r="Q240" i="17"/>
  <c r="R240" i="17" s="1"/>
  <c r="T240" i="17" s="1"/>
  <c r="CE137" i="17"/>
  <c r="BP137" i="17"/>
  <c r="C138" i="17"/>
  <c r="E138" i="17"/>
  <c r="CJ164" i="17"/>
  <c r="CK164" i="17" s="1"/>
  <c r="AD164" i="17"/>
  <c r="AM164" i="17"/>
  <c r="AN164" i="17"/>
  <c r="AF164" i="17"/>
  <c r="AI164" i="17"/>
  <c r="AU148" i="17"/>
  <c r="AS148" i="17"/>
  <c r="AT148" i="17" s="1"/>
  <c r="AV148" i="17" s="1"/>
  <c r="AQ149" i="17" s="1"/>
  <c r="BB148" i="17"/>
  <c r="BC148" i="17"/>
  <c r="AX148" i="17"/>
  <c r="CN137" i="17"/>
  <c r="BY144" i="17"/>
  <c r="BW144" i="17"/>
  <c r="CF144" i="17"/>
  <c r="CG144" i="17"/>
  <c r="BA137" i="17"/>
  <c r="AL137" i="17"/>
  <c r="BS142" i="17"/>
  <c r="BQ143" i="17" l="1"/>
  <c r="BH143" i="17"/>
  <c r="BS143" i="17" s="1"/>
  <c r="BJ143" i="17"/>
  <c r="AO164" i="17"/>
  <c r="CH144" i="17"/>
  <c r="AU149" i="17"/>
  <c r="AS149" i="17"/>
  <c r="BB149" i="17"/>
  <c r="BC149" i="17"/>
  <c r="AX149" i="17"/>
  <c r="S241" i="17"/>
  <c r="Q241" i="17"/>
  <c r="R241" i="17" s="1"/>
  <c r="T241" i="17" s="1"/>
  <c r="CL138" i="17"/>
  <c r="CM138" i="17" s="1"/>
  <c r="D138" i="17"/>
  <c r="F138" i="17" s="1"/>
  <c r="BN138" i="17"/>
  <c r="BO138" i="17" s="1"/>
  <c r="CC138" i="17"/>
  <c r="CD138" i="17" s="1"/>
  <c r="AJ138" i="17"/>
  <c r="AK138" i="17" s="1"/>
  <c r="AY138" i="17"/>
  <c r="AZ138" i="17" s="1"/>
  <c r="BX144" i="17"/>
  <c r="BZ144" i="17" s="1"/>
  <c r="BU145" i="17" s="1"/>
  <c r="BD148" i="17"/>
  <c r="AE164" i="17"/>
  <c r="AG164" i="17" s="1"/>
  <c r="AB165" i="17" s="1"/>
  <c r="BI143" i="17" l="1"/>
  <c r="BK143" i="17" s="1"/>
  <c r="BF144" i="17" s="1"/>
  <c r="BH144" i="17" s="1"/>
  <c r="BD149" i="17"/>
  <c r="Q242" i="17"/>
  <c r="R242" i="17" s="1"/>
  <c r="T242" i="17" s="1"/>
  <c r="S242" i="17"/>
  <c r="BP138" i="17"/>
  <c r="E139" i="17"/>
  <c r="C139" i="17"/>
  <c r="BR144" i="17"/>
  <c r="BJ144" i="17"/>
  <c r="CJ165" i="17"/>
  <c r="CK165" i="17" s="1"/>
  <c r="AF165" i="17"/>
  <c r="AD165" i="17"/>
  <c r="AE165" i="17" s="1"/>
  <c r="AG165" i="17" s="1"/>
  <c r="AB166" i="17" s="1"/>
  <c r="AM165" i="17"/>
  <c r="AN165" i="17"/>
  <c r="AI165" i="17"/>
  <c r="CN138" i="17"/>
  <c r="BA138" i="17"/>
  <c r="BY145" i="17"/>
  <c r="BW145" i="17"/>
  <c r="BX145" i="17" s="1"/>
  <c r="BZ145" i="17" s="1"/>
  <c r="BU146" i="17" s="1"/>
  <c r="CF145" i="17"/>
  <c r="CG145" i="17"/>
  <c r="AT149" i="17"/>
  <c r="AV149" i="17" s="1"/>
  <c r="AQ150" i="17" s="1"/>
  <c r="AL138" i="17"/>
  <c r="CE138" i="17"/>
  <c r="BQ144" i="17" l="1"/>
  <c r="BS144" i="17"/>
  <c r="CJ166" i="17"/>
  <c r="CK166" i="17" s="1"/>
  <c r="AF166" i="17"/>
  <c r="AD166" i="17"/>
  <c r="AM166" i="17"/>
  <c r="AN166" i="17"/>
  <c r="AI166" i="17"/>
  <c r="S243" i="17"/>
  <c r="Q243" i="17"/>
  <c r="R243" i="17" s="1"/>
  <c r="T243" i="17" s="1"/>
  <c r="CL139" i="17"/>
  <c r="CM139" i="17" s="1"/>
  <c r="D139" i="17"/>
  <c r="F139" i="17" s="1"/>
  <c r="BN139" i="17"/>
  <c r="BO139" i="17" s="1"/>
  <c r="CC139" i="17"/>
  <c r="CD139" i="17" s="1"/>
  <c r="AJ139" i="17"/>
  <c r="AK139" i="17" s="1"/>
  <c r="AY139" i="17"/>
  <c r="AZ139" i="17" s="1"/>
  <c r="AO165" i="17"/>
  <c r="BY146" i="17"/>
  <c r="BW146" i="17"/>
  <c r="CF146" i="17"/>
  <c r="CG146" i="17"/>
  <c r="CH145" i="17"/>
  <c r="BI144" i="17"/>
  <c r="BK144" i="17" s="1"/>
  <c r="BF145" i="17" s="1"/>
  <c r="AU150" i="17"/>
  <c r="AS150" i="17"/>
  <c r="BB150" i="17"/>
  <c r="BC150" i="17"/>
  <c r="AX150" i="17"/>
  <c r="AO166" i="17" l="1"/>
  <c r="S244" i="17"/>
  <c r="Q244" i="17"/>
  <c r="R244" i="17" s="1"/>
  <c r="T244" i="17" s="1"/>
  <c r="BA139" i="17"/>
  <c r="AL139" i="17"/>
  <c r="CE139" i="17"/>
  <c r="BR145" i="17"/>
  <c r="BJ145" i="17"/>
  <c r="BH145" i="17"/>
  <c r="BQ145" i="17"/>
  <c r="BP139" i="17"/>
  <c r="CH146" i="17"/>
  <c r="C140" i="17"/>
  <c r="E140" i="17"/>
  <c r="BD150" i="17"/>
  <c r="CN139" i="17"/>
  <c r="AT150" i="17"/>
  <c r="AV150" i="17" s="1"/>
  <c r="AQ151" i="17" s="1"/>
  <c r="BX146" i="17"/>
  <c r="BZ146" i="17" s="1"/>
  <c r="BU147" i="17" s="1"/>
  <c r="AE166" i="17"/>
  <c r="AG166" i="17" s="1"/>
  <c r="AB167" i="17" s="1"/>
  <c r="BS145" i="17" l="1"/>
  <c r="S245" i="17"/>
  <c r="Q245" i="17"/>
  <c r="R245" i="17" s="1"/>
  <c r="T245" i="17" s="1"/>
  <c r="BI145" i="17"/>
  <c r="BK145" i="17" s="1"/>
  <c r="BF146" i="17" s="1"/>
  <c r="CJ167" i="17"/>
  <c r="CK167" i="17" s="1"/>
  <c r="AM167" i="17"/>
  <c r="AN167" i="17"/>
  <c r="AF167" i="17"/>
  <c r="AD167" i="17"/>
  <c r="AI167" i="17"/>
  <c r="CL140" i="17"/>
  <c r="CM140" i="17" s="1"/>
  <c r="D140" i="17"/>
  <c r="F140" i="17" s="1"/>
  <c r="BN140" i="17"/>
  <c r="BO140" i="17" s="1"/>
  <c r="CC140" i="17"/>
  <c r="CD140" i="17" s="1"/>
  <c r="AJ140" i="17"/>
  <c r="AK140" i="17" s="1"/>
  <c r="AY140" i="17"/>
  <c r="AZ140" i="17" s="1"/>
  <c r="BY147" i="17"/>
  <c r="BW147" i="17"/>
  <c r="CF147" i="17"/>
  <c r="CG147" i="17"/>
  <c r="AU151" i="17"/>
  <c r="AS151" i="17"/>
  <c r="AT151" i="17" s="1"/>
  <c r="AV151" i="17" s="1"/>
  <c r="AQ152" i="17" s="1"/>
  <c r="BB151" i="17"/>
  <c r="BC151" i="17"/>
  <c r="AX151" i="17"/>
  <c r="CH147" i="17" l="1"/>
  <c r="AO167" i="17"/>
  <c r="AU152" i="17"/>
  <c r="AS152" i="17"/>
  <c r="BB152" i="17"/>
  <c r="BC152" i="17"/>
  <c r="AX152" i="17"/>
  <c r="S246" i="17"/>
  <c r="Q246" i="17"/>
  <c r="BA140" i="17"/>
  <c r="AL140" i="17"/>
  <c r="BP140" i="17"/>
  <c r="AE167" i="17"/>
  <c r="AG167" i="17" s="1"/>
  <c r="AB168" i="17" s="1"/>
  <c r="E141" i="17"/>
  <c r="C141" i="17"/>
  <c r="BR146" i="17"/>
  <c r="BJ146" i="17"/>
  <c r="BH146" i="17"/>
  <c r="BQ146" i="17"/>
  <c r="CE140" i="17"/>
  <c r="CN140" i="17"/>
  <c r="BD151" i="17"/>
  <c r="BX147" i="17"/>
  <c r="BZ147" i="17" s="1"/>
  <c r="BU148" i="17" s="1"/>
  <c r="R246" i="17" l="1"/>
  <c r="T246" i="17" s="1"/>
  <c r="S247" i="17" s="1"/>
  <c r="BS146" i="17"/>
  <c r="CL141" i="17"/>
  <c r="CM141" i="17" s="1"/>
  <c r="D141" i="17"/>
  <c r="F141" i="17" s="1"/>
  <c r="BN141" i="17"/>
  <c r="BO141" i="17" s="1"/>
  <c r="CC141" i="17"/>
  <c r="CD141" i="17" s="1"/>
  <c r="AJ141" i="17"/>
  <c r="AK141" i="17" s="1"/>
  <c r="AY141" i="17"/>
  <c r="AZ141" i="17" s="1"/>
  <c r="BD152" i="17"/>
  <c r="BY148" i="17"/>
  <c r="BW148" i="17"/>
  <c r="CF148" i="17"/>
  <c r="CG148" i="17"/>
  <c r="CJ168" i="17"/>
  <c r="CK168" i="17" s="1"/>
  <c r="AF168" i="17"/>
  <c r="AD168" i="17"/>
  <c r="AM168" i="17"/>
  <c r="AN168" i="17"/>
  <c r="AI168" i="17"/>
  <c r="BI146" i="17"/>
  <c r="BK146" i="17" s="1"/>
  <c r="BF147" i="17" s="1"/>
  <c r="AT152" i="17"/>
  <c r="AV152" i="17" s="1"/>
  <c r="AQ153" i="17" s="1"/>
  <c r="Q247" i="17" l="1"/>
  <c r="R247" i="17" s="1"/>
  <c r="T247" i="17" s="1"/>
  <c r="Q248" i="17" s="1"/>
  <c r="CH148" i="17"/>
  <c r="AO168" i="17"/>
  <c r="AL141" i="17"/>
  <c r="CE141" i="17"/>
  <c r="AU153" i="17"/>
  <c r="AS153" i="17"/>
  <c r="BB153" i="17"/>
  <c r="BC153" i="17"/>
  <c r="AX153" i="17"/>
  <c r="BP141" i="17"/>
  <c r="C142" i="17"/>
  <c r="E142" i="17"/>
  <c r="BR147" i="17"/>
  <c r="BJ147" i="17"/>
  <c r="BH147" i="17"/>
  <c r="BQ147" i="17"/>
  <c r="CN141" i="17"/>
  <c r="BX148" i="17"/>
  <c r="BZ148" i="17" s="1"/>
  <c r="BU149" i="17" s="1"/>
  <c r="AE168" i="17"/>
  <c r="AG168" i="17" s="1"/>
  <c r="AB169" i="17" s="1"/>
  <c r="BA141" i="17"/>
  <c r="S248" i="17" l="1"/>
  <c r="R248" i="17" s="1"/>
  <c r="T248" i="17" s="1"/>
  <c r="S249" i="17" s="1"/>
  <c r="BS147" i="17"/>
  <c r="CJ169" i="17"/>
  <c r="CK169" i="17" s="1"/>
  <c r="AF169" i="17"/>
  <c r="AD169" i="17"/>
  <c r="AE169" i="17" s="1"/>
  <c r="AG169" i="17" s="1"/>
  <c r="AB170" i="17" s="1"/>
  <c r="AM169" i="17"/>
  <c r="AN169" i="17"/>
  <c r="AI169" i="17"/>
  <c r="BY149" i="17"/>
  <c r="BW149" i="17"/>
  <c r="CF149" i="17"/>
  <c r="CG149" i="17"/>
  <c r="CL142" i="17"/>
  <c r="CM142" i="17" s="1"/>
  <c r="D142" i="17"/>
  <c r="F142" i="17" s="1"/>
  <c r="BN142" i="17"/>
  <c r="BO142" i="17" s="1"/>
  <c r="CC142" i="17"/>
  <c r="CD142" i="17" s="1"/>
  <c r="AJ142" i="17"/>
  <c r="AK142" i="17" s="1"/>
  <c r="AY142" i="17"/>
  <c r="AZ142" i="17" s="1"/>
  <c r="BD153" i="17"/>
  <c r="BI147" i="17"/>
  <c r="BK147" i="17" s="1"/>
  <c r="BF148" i="17" s="1"/>
  <c r="AT153" i="17"/>
  <c r="AV153" i="17" s="1"/>
  <c r="AQ154" i="17" s="1"/>
  <c r="Q249" i="17" l="1"/>
  <c r="R249" i="17" s="1"/>
  <c r="T249" i="17" s="1"/>
  <c r="Q250" i="17" s="1"/>
  <c r="CH149" i="17"/>
  <c r="CJ170" i="17"/>
  <c r="CK170" i="17" s="1"/>
  <c r="AN170" i="17"/>
  <c r="AF170" i="17"/>
  <c r="AD170" i="17"/>
  <c r="AM170" i="17"/>
  <c r="AI170" i="17"/>
  <c r="AU154" i="17"/>
  <c r="AS154" i="17"/>
  <c r="BB154" i="17"/>
  <c r="BC154" i="17"/>
  <c r="AX154" i="17"/>
  <c r="CN142" i="17"/>
  <c r="BR148" i="17"/>
  <c r="BJ148" i="17"/>
  <c r="BH148" i="17"/>
  <c r="BQ148" i="17"/>
  <c r="BA142" i="17"/>
  <c r="AL142" i="17"/>
  <c r="AO169" i="17"/>
  <c r="CE142" i="17"/>
  <c r="BX149" i="17"/>
  <c r="BZ149" i="17" s="1"/>
  <c r="BU150" i="17" s="1"/>
  <c r="BP142" i="17"/>
  <c r="E143" i="17"/>
  <c r="C143" i="17"/>
  <c r="S250" i="17" l="1"/>
  <c r="R250" i="17" s="1"/>
  <c r="T250" i="17" s="1"/>
  <c r="AO170" i="17"/>
  <c r="BD154" i="17"/>
  <c r="BS148" i="17"/>
  <c r="BI148" i="17"/>
  <c r="BK148" i="17" s="1"/>
  <c r="BF149" i="17" s="1"/>
  <c r="CL143" i="17"/>
  <c r="CM143" i="17" s="1"/>
  <c r="D143" i="17"/>
  <c r="F143" i="17" s="1"/>
  <c r="BN143" i="17"/>
  <c r="BO143" i="17" s="1"/>
  <c r="CC143" i="17"/>
  <c r="CD143" i="17" s="1"/>
  <c r="AJ143" i="17"/>
  <c r="AK143" i="17" s="1"/>
  <c r="AY143" i="17"/>
  <c r="AZ143" i="17" s="1"/>
  <c r="AE170" i="17"/>
  <c r="AG170" i="17" s="1"/>
  <c r="AB171" i="17" s="1"/>
  <c r="BY150" i="17"/>
  <c r="BW150" i="17"/>
  <c r="CF150" i="17"/>
  <c r="CG150" i="17"/>
  <c r="AT154" i="17"/>
  <c r="AV154" i="17" s="1"/>
  <c r="AQ155" i="17" s="1"/>
  <c r="S251" i="17" l="1"/>
  <c r="Q251" i="17"/>
  <c r="R251" i="17" s="1"/>
  <c r="T251" i="17" s="1"/>
  <c r="S252" i="17" s="1"/>
  <c r="CH150" i="17"/>
  <c r="CE143" i="17"/>
  <c r="BP143" i="17"/>
  <c r="C144" i="17"/>
  <c r="E144" i="17"/>
  <c r="CN143" i="17"/>
  <c r="BR149" i="17"/>
  <c r="BJ149" i="17"/>
  <c r="BH149" i="17"/>
  <c r="BQ149" i="17"/>
  <c r="BX150" i="17"/>
  <c r="BZ150" i="17" s="1"/>
  <c r="BU151" i="17" s="1"/>
  <c r="CJ171" i="17"/>
  <c r="CK171" i="17" s="1"/>
  <c r="AF171" i="17"/>
  <c r="AD171" i="17"/>
  <c r="AM171" i="17"/>
  <c r="AN171" i="17"/>
  <c r="AI171" i="17"/>
  <c r="AU155" i="17"/>
  <c r="AS155" i="17"/>
  <c r="BB155" i="17"/>
  <c r="BC155" i="17"/>
  <c r="AX155" i="17"/>
  <c r="BA143" i="17"/>
  <c r="AL143" i="17"/>
  <c r="BI149" i="17" l="1"/>
  <c r="BK149" i="17" s="1"/>
  <c r="BF150" i="17" s="1"/>
  <c r="Q252" i="17"/>
  <c r="R252" i="17" s="1"/>
  <c r="T252" i="17" s="1"/>
  <c r="Q253" i="17" s="1"/>
  <c r="AE171" i="17"/>
  <c r="AG171" i="17" s="1"/>
  <c r="AB172" i="17" s="1"/>
  <c r="CJ172" i="17" s="1"/>
  <c r="CK172" i="17" s="1"/>
  <c r="BD155" i="17"/>
  <c r="AF172" i="17"/>
  <c r="AI172" i="17"/>
  <c r="BR150" i="17"/>
  <c r="BJ150" i="17"/>
  <c r="BH150" i="17"/>
  <c r="BQ150" i="17"/>
  <c r="CL144" i="17"/>
  <c r="CM144" i="17" s="1"/>
  <c r="D144" i="17"/>
  <c r="F144" i="17" s="1"/>
  <c r="BN144" i="17"/>
  <c r="BO144" i="17" s="1"/>
  <c r="CC144" i="17"/>
  <c r="CD144" i="17" s="1"/>
  <c r="AJ144" i="17"/>
  <c r="AK144" i="17" s="1"/>
  <c r="AY144" i="17"/>
  <c r="AZ144" i="17" s="1"/>
  <c r="AO171" i="17"/>
  <c r="BY151" i="17"/>
  <c r="BW151" i="17"/>
  <c r="CF151" i="17"/>
  <c r="CG151" i="17"/>
  <c r="AT155" i="17"/>
  <c r="AV155" i="17" s="1"/>
  <c r="AQ156" i="17" s="1"/>
  <c r="BS149" i="17"/>
  <c r="AN172" i="17" l="1"/>
  <c r="S253" i="17"/>
  <c r="R253" i="17" s="1"/>
  <c r="T253" i="17" s="1"/>
  <c r="AM172" i="17"/>
  <c r="AD172" i="17"/>
  <c r="AO172" i="17" s="1"/>
  <c r="CH151" i="17"/>
  <c r="BS150" i="17"/>
  <c r="BX151" i="17"/>
  <c r="BZ151" i="17" s="1"/>
  <c r="BU152" i="17" s="1"/>
  <c r="CN144" i="17"/>
  <c r="BA144" i="17"/>
  <c r="AL144" i="17"/>
  <c r="BI150" i="17"/>
  <c r="BK150" i="17" s="1"/>
  <c r="BF151" i="17" s="1"/>
  <c r="CE144" i="17"/>
  <c r="AU156" i="17"/>
  <c r="AS156" i="17"/>
  <c r="BB156" i="17"/>
  <c r="BC156" i="17"/>
  <c r="AX156" i="17"/>
  <c r="BP144" i="17"/>
  <c r="E145" i="17"/>
  <c r="C145" i="17"/>
  <c r="AE172" i="17" l="1"/>
  <c r="AG172" i="17" s="1"/>
  <c r="AB173" i="17" s="1"/>
  <c r="Q254" i="17"/>
  <c r="R254" i="17" s="1"/>
  <c r="T254" i="17" s="1"/>
  <c r="S255" i="17" s="1"/>
  <c r="S254" i="17"/>
  <c r="BD156" i="17"/>
  <c r="CJ173" i="17"/>
  <c r="CK173" i="17" s="1"/>
  <c r="AF173" i="17"/>
  <c r="AD173" i="17"/>
  <c r="AE173" i="17" s="1"/>
  <c r="AG173" i="17" s="1"/>
  <c r="AB174" i="17" s="1"/>
  <c r="AM173" i="17"/>
  <c r="AN173" i="17"/>
  <c r="AI173" i="17"/>
  <c r="AT156" i="17"/>
  <c r="AV156" i="17" s="1"/>
  <c r="AQ157" i="17" s="1"/>
  <c r="CL145" i="17"/>
  <c r="CM145" i="17" s="1"/>
  <c r="D145" i="17"/>
  <c r="F145" i="17" s="1"/>
  <c r="BN145" i="17"/>
  <c r="BO145" i="17" s="1"/>
  <c r="CC145" i="17"/>
  <c r="CD145" i="17" s="1"/>
  <c r="AJ145" i="17"/>
  <c r="AK145" i="17" s="1"/>
  <c r="AY145" i="17"/>
  <c r="AZ145" i="17" s="1"/>
  <c r="BR151" i="17"/>
  <c r="BJ151" i="17"/>
  <c r="BH151" i="17"/>
  <c r="BQ151" i="17"/>
  <c r="BY152" i="17"/>
  <c r="BW152" i="17"/>
  <c r="BX152" i="17" s="1"/>
  <c r="BZ152" i="17" s="1"/>
  <c r="BU153" i="17" s="1"/>
  <c r="CF152" i="17"/>
  <c r="CG152" i="17"/>
  <c r="Q255" i="17" l="1"/>
  <c r="R255" i="17" s="1"/>
  <c r="T255" i="17" s="1"/>
  <c r="BS151" i="17"/>
  <c r="BY153" i="17"/>
  <c r="BW153" i="17"/>
  <c r="CF153" i="17"/>
  <c r="CG153" i="17"/>
  <c r="CJ174" i="17"/>
  <c r="CK174" i="17" s="1"/>
  <c r="AF174" i="17"/>
  <c r="AD174" i="17"/>
  <c r="AM174" i="17"/>
  <c r="AN174" i="17"/>
  <c r="AI174" i="17"/>
  <c r="BA145" i="17"/>
  <c r="AL145" i="17"/>
  <c r="CE145" i="17"/>
  <c r="BP145" i="17"/>
  <c r="C146" i="17"/>
  <c r="E146" i="17"/>
  <c r="BI151" i="17"/>
  <c r="BK151" i="17" s="1"/>
  <c r="BF152" i="17" s="1"/>
  <c r="CN145" i="17"/>
  <c r="AO173" i="17"/>
  <c r="AU157" i="17"/>
  <c r="AS157" i="17"/>
  <c r="BB157" i="17"/>
  <c r="BC157" i="17"/>
  <c r="AX157" i="17"/>
  <c r="CH152" i="17"/>
  <c r="Q256" i="17" l="1"/>
  <c r="R256" i="17" s="1"/>
  <c r="T256" i="17" s="1"/>
  <c r="S257" i="17" s="1"/>
  <c r="S256" i="17"/>
  <c r="AT157" i="17"/>
  <c r="AV157" i="17" s="1"/>
  <c r="AQ158" i="17" s="1"/>
  <c r="AO174" i="17"/>
  <c r="AU158" i="17"/>
  <c r="AS158" i="17"/>
  <c r="BB158" i="17"/>
  <c r="BC158" i="17"/>
  <c r="AX158" i="17"/>
  <c r="CL146" i="17"/>
  <c r="CM146" i="17" s="1"/>
  <c r="D146" i="17"/>
  <c r="F146" i="17" s="1"/>
  <c r="BN146" i="17"/>
  <c r="BO146" i="17" s="1"/>
  <c r="CC146" i="17"/>
  <c r="CD146" i="17" s="1"/>
  <c r="AJ146" i="17"/>
  <c r="AK146" i="17" s="1"/>
  <c r="AY146" i="17"/>
  <c r="AZ146" i="17" s="1"/>
  <c r="AE174" i="17"/>
  <c r="AG174" i="17" s="1"/>
  <c r="AB175" i="17" s="1"/>
  <c r="CH153" i="17"/>
  <c r="BR152" i="17"/>
  <c r="BJ152" i="17"/>
  <c r="BH152" i="17"/>
  <c r="BI152" i="17" s="1"/>
  <c r="BK152" i="17" s="1"/>
  <c r="BF153" i="17" s="1"/>
  <c r="BQ152" i="17"/>
  <c r="BD157" i="17"/>
  <c r="BX153" i="17"/>
  <c r="BZ153" i="17" s="1"/>
  <c r="BU154" i="17" s="1"/>
  <c r="Q257" i="17" l="1"/>
  <c r="R257" i="17" s="1"/>
  <c r="T257" i="17" s="1"/>
  <c r="BR153" i="17"/>
  <c r="BJ153" i="17"/>
  <c r="BH153" i="17"/>
  <c r="BS153" i="17" s="1"/>
  <c r="BQ153" i="17"/>
  <c r="BP146" i="17"/>
  <c r="E147" i="17"/>
  <c r="C147" i="17"/>
  <c r="CN146" i="17"/>
  <c r="BY154" i="17"/>
  <c r="BW154" i="17"/>
  <c r="CF154" i="17"/>
  <c r="CG154" i="17"/>
  <c r="BD158" i="17"/>
  <c r="CJ175" i="17"/>
  <c r="CK175" i="17" s="1"/>
  <c r="AM175" i="17"/>
  <c r="AN175" i="17"/>
  <c r="AF175" i="17"/>
  <c r="AD175" i="17"/>
  <c r="AI175" i="17"/>
  <c r="BA146" i="17"/>
  <c r="BS152" i="17"/>
  <c r="AT158" i="17"/>
  <c r="AV158" i="17" s="1"/>
  <c r="AQ159" i="17" s="1"/>
  <c r="AL146" i="17"/>
  <c r="CE146" i="17"/>
  <c r="Q258" i="17" l="1"/>
  <c r="R258" i="17" s="1"/>
  <c r="T258" i="17" s="1"/>
  <c r="S259" i="17" s="1"/>
  <c r="S258" i="17"/>
  <c r="AO175" i="17"/>
  <c r="Q259" i="17"/>
  <c r="AE175" i="17"/>
  <c r="AG175" i="17" s="1"/>
  <c r="AB176" i="17" s="1"/>
  <c r="BI153" i="17"/>
  <c r="BK153" i="17" s="1"/>
  <c r="BF154" i="17" s="1"/>
  <c r="CL147" i="17"/>
  <c r="CM147" i="17" s="1"/>
  <c r="D147" i="17"/>
  <c r="F147" i="17" s="1"/>
  <c r="BN147" i="17"/>
  <c r="BO147" i="17" s="1"/>
  <c r="CC147" i="17"/>
  <c r="CD147" i="17" s="1"/>
  <c r="AJ147" i="17"/>
  <c r="AK147" i="17" s="1"/>
  <c r="AY147" i="17"/>
  <c r="AZ147" i="17" s="1"/>
  <c r="CH154" i="17"/>
  <c r="AU159" i="17"/>
  <c r="AS159" i="17"/>
  <c r="BB159" i="17"/>
  <c r="BC159" i="17"/>
  <c r="AX159" i="17"/>
  <c r="BX154" i="17"/>
  <c r="BZ154" i="17" s="1"/>
  <c r="BU155" i="17" s="1"/>
  <c r="R259" i="17" l="1"/>
  <c r="T259" i="17" s="1"/>
  <c r="BD159" i="17"/>
  <c r="S260" i="17"/>
  <c r="Q260" i="17"/>
  <c r="R260" i="17" s="1"/>
  <c r="T260" i="17" s="1"/>
  <c r="BP147" i="17"/>
  <c r="C148" i="17"/>
  <c r="E148" i="17"/>
  <c r="CN147" i="17"/>
  <c r="BY155" i="17"/>
  <c r="BW155" i="17"/>
  <c r="CF155" i="17"/>
  <c r="CG155" i="17"/>
  <c r="BR154" i="17"/>
  <c r="BJ154" i="17"/>
  <c r="BH154" i="17"/>
  <c r="BS154" i="17" s="1"/>
  <c r="BQ154" i="17"/>
  <c r="AT159" i="17"/>
  <c r="AV159" i="17" s="1"/>
  <c r="AQ160" i="17" s="1"/>
  <c r="CJ176" i="17"/>
  <c r="CK176" i="17" s="1"/>
  <c r="AF176" i="17"/>
  <c r="AD176" i="17"/>
  <c r="AM176" i="17"/>
  <c r="AN176" i="17"/>
  <c r="AI176" i="17"/>
  <c r="AL147" i="17"/>
  <c r="BA147" i="17"/>
  <c r="CE147" i="17"/>
  <c r="AO176" i="17" l="1"/>
  <c r="CH155" i="17"/>
  <c r="S261" i="17"/>
  <c r="Q261" i="17"/>
  <c r="R261" i="17" s="1"/>
  <c r="T261" i="17" s="1"/>
  <c r="AE176" i="17"/>
  <c r="AG176" i="17" s="1"/>
  <c r="AB177" i="17" s="1"/>
  <c r="AU160" i="17"/>
  <c r="AS160" i="17"/>
  <c r="BB160" i="17"/>
  <c r="BC160" i="17"/>
  <c r="AX160" i="17"/>
  <c r="CL148" i="17"/>
  <c r="CM148" i="17" s="1"/>
  <c r="D148" i="17"/>
  <c r="F148" i="17" s="1"/>
  <c r="BN148" i="17"/>
  <c r="BO148" i="17" s="1"/>
  <c r="CC148" i="17"/>
  <c r="CD148" i="17" s="1"/>
  <c r="AJ148" i="17"/>
  <c r="AK148" i="17" s="1"/>
  <c r="AY148" i="17"/>
  <c r="AZ148" i="17" s="1"/>
  <c r="BI154" i="17"/>
  <c r="BK154" i="17" s="1"/>
  <c r="BF155" i="17" s="1"/>
  <c r="BX155" i="17"/>
  <c r="BZ155" i="17" s="1"/>
  <c r="BU156" i="17" s="1"/>
  <c r="BD160" i="17" l="1"/>
  <c r="S262" i="17"/>
  <c r="Q262" i="17"/>
  <c r="R262" i="17" s="1"/>
  <c r="T262" i="17" s="1"/>
  <c r="CN148" i="17"/>
  <c r="AT160" i="17"/>
  <c r="AV160" i="17" s="1"/>
  <c r="AQ161" i="17" s="1"/>
  <c r="BR155" i="17"/>
  <c r="BJ155" i="17"/>
  <c r="BH155" i="17"/>
  <c r="BQ155" i="17"/>
  <c r="E149" i="17"/>
  <c r="C149" i="17"/>
  <c r="CJ177" i="17"/>
  <c r="CK177" i="17" s="1"/>
  <c r="AF177" i="17"/>
  <c r="AD177" i="17"/>
  <c r="AM177" i="17"/>
  <c r="AN177" i="17"/>
  <c r="AI177" i="17"/>
  <c r="BA148" i="17"/>
  <c r="CE148" i="17"/>
  <c r="BY156" i="17"/>
  <c r="BW156" i="17"/>
  <c r="CF156" i="17"/>
  <c r="CG156" i="17"/>
  <c r="AL148" i="17"/>
  <c r="BP148" i="17"/>
  <c r="AO177" i="17" l="1"/>
  <c r="S263" i="17"/>
  <c r="Q263" i="17"/>
  <c r="R263" i="17" s="1"/>
  <c r="T263" i="17" s="1"/>
  <c r="AE177" i="17"/>
  <c r="AG177" i="17" s="1"/>
  <c r="AB178" i="17" s="1"/>
  <c r="CL149" i="17"/>
  <c r="CM149" i="17" s="1"/>
  <c r="D149" i="17"/>
  <c r="F149" i="17" s="1"/>
  <c r="BN149" i="17"/>
  <c r="BO149" i="17" s="1"/>
  <c r="CC149" i="17"/>
  <c r="CD149" i="17" s="1"/>
  <c r="AJ149" i="17"/>
  <c r="AK149" i="17" s="1"/>
  <c r="AY149" i="17"/>
  <c r="AZ149" i="17" s="1"/>
  <c r="AU161" i="17"/>
  <c r="AS161" i="17"/>
  <c r="BB161" i="17"/>
  <c r="BC161" i="17"/>
  <c r="AX161" i="17"/>
  <c r="CH156" i="17"/>
  <c r="BS155" i="17"/>
  <c r="BX156" i="17"/>
  <c r="BZ156" i="17" s="1"/>
  <c r="BU157" i="17" s="1"/>
  <c r="BI155" i="17"/>
  <c r="BK155" i="17" s="1"/>
  <c r="BF156" i="17" s="1"/>
  <c r="BD161" i="17" l="1"/>
  <c r="Q264" i="17"/>
  <c r="R264" i="17" s="1"/>
  <c r="T264" i="17" s="1"/>
  <c r="S264" i="17"/>
  <c r="CE149" i="17"/>
  <c r="BP149" i="17"/>
  <c r="C150" i="17"/>
  <c r="E150" i="17"/>
  <c r="BR156" i="17"/>
  <c r="BJ156" i="17"/>
  <c r="BH156" i="17"/>
  <c r="BQ156" i="17"/>
  <c r="CN149" i="17"/>
  <c r="CJ178" i="17"/>
  <c r="CK178" i="17" s="1"/>
  <c r="AN178" i="17"/>
  <c r="AF178" i="17"/>
  <c r="AD178" i="17"/>
  <c r="AM178" i="17"/>
  <c r="AI178" i="17"/>
  <c r="AT161" i="17"/>
  <c r="AV161" i="17" s="1"/>
  <c r="AQ162" i="17" s="1"/>
  <c r="BY157" i="17"/>
  <c r="BW157" i="17"/>
  <c r="CF157" i="17"/>
  <c r="CG157" i="17"/>
  <c r="BA149" i="17"/>
  <c r="AL149" i="17"/>
  <c r="CH157" i="17" l="1"/>
  <c r="BS156" i="17"/>
  <c r="AO178" i="17"/>
  <c r="S265" i="17"/>
  <c r="Q265" i="17"/>
  <c r="R265" i="17" s="1"/>
  <c r="T265" i="17" s="1"/>
  <c r="CL150" i="17"/>
  <c r="CM150" i="17" s="1"/>
  <c r="D150" i="17"/>
  <c r="F150" i="17" s="1"/>
  <c r="BN150" i="17"/>
  <c r="BO150" i="17" s="1"/>
  <c r="CC150" i="17"/>
  <c r="CD150" i="17" s="1"/>
  <c r="AJ150" i="17"/>
  <c r="AK150" i="17" s="1"/>
  <c r="AY150" i="17"/>
  <c r="AZ150" i="17" s="1"/>
  <c r="BI156" i="17"/>
  <c r="BK156" i="17" s="1"/>
  <c r="BF157" i="17" s="1"/>
  <c r="AE178" i="17"/>
  <c r="AG178" i="17" s="1"/>
  <c r="AB179" i="17" s="1"/>
  <c r="BX157" i="17"/>
  <c r="BZ157" i="17" s="1"/>
  <c r="BU158" i="17" s="1"/>
  <c r="AU162" i="17"/>
  <c r="AS162" i="17"/>
  <c r="BB162" i="17"/>
  <c r="BC162" i="17"/>
  <c r="AX162" i="17"/>
  <c r="BD162" i="17" l="1"/>
  <c r="Q266" i="17"/>
  <c r="R266" i="17" s="1"/>
  <c r="T266" i="17" s="1"/>
  <c r="S266" i="17"/>
  <c r="AL150" i="17"/>
  <c r="CE150" i="17"/>
  <c r="BP150" i="17"/>
  <c r="AT162" i="17"/>
  <c r="AV162" i="17" s="1"/>
  <c r="AQ163" i="17" s="1"/>
  <c r="E151" i="17"/>
  <c r="C151" i="17"/>
  <c r="BY158" i="17"/>
  <c r="BW158" i="17"/>
  <c r="CF158" i="17"/>
  <c r="CG158" i="17"/>
  <c r="CN150" i="17"/>
  <c r="CJ179" i="17"/>
  <c r="CK179" i="17" s="1"/>
  <c r="AF179" i="17"/>
  <c r="AD179" i="17"/>
  <c r="AM179" i="17"/>
  <c r="AN179" i="17"/>
  <c r="AI179" i="17"/>
  <c r="BR157" i="17"/>
  <c r="BJ157" i="17"/>
  <c r="BH157" i="17"/>
  <c r="BQ157" i="17"/>
  <c r="BA150" i="17"/>
  <c r="BS157" i="17" l="1"/>
  <c r="AO179" i="17"/>
  <c r="CH158" i="17"/>
  <c r="S267" i="17"/>
  <c r="Q267" i="17"/>
  <c r="R267" i="17" s="1"/>
  <c r="T267" i="17" s="1"/>
  <c r="BI157" i="17"/>
  <c r="BK157" i="17" s="1"/>
  <c r="BF158" i="17" s="1"/>
  <c r="AE179" i="17"/>
  <c r="AG179" i="17" s="1"/>
  <c r="AB180" i="17" s="1"/>
  <c r="BX158" i="17"/>
  <c r="BZ158" i="17" s="1"/>
  <c r="BU159" i="17" s="1"/>
  <c r="CL151" i="17"/>
  <c r="CM151" i="17" s="1"/>
  <c r="D151" i="17"/>
  <c r="F151" i="17" s="1"/>
  <c r="BN151" i="17"/>
  <c r="BO151" i="17" s="1"/>
  <c r="CC151" i="17"/>
  <c r="CD151" i="17" s="1"/>
  <c r="AJ151" i="17"/>
  <c r="AK151" i="17" s="1"/>
  <c r="AY151" i="17"/>
  <c r="AZ151" i="17" s="1"/>
  <c r="AU163" i="17"/>
  <c r="AS163" i="17"/>
  <c r="BB163" i="17"/>
  <c r="BC163" i="17"/>
  <c r="AX163" i="17"/>
  <c r="BD163" i="17" l="1"/>
  <c r="Q268" i="17"/>
  <c r="S268" i="17"/>
  <c r="C152" i="17"/>
  <c r="E152" i="17"/>
  <c r="CN151" i="17"/>
  <c r="BY159" i="17"/>
  <c r="BW159" i="17"/>
  <c r="CF159" i="17"/>
  <c r="CG159" i="17"/>
  <c r="CJ180" i="17"/>
  <c r="CK180" i="17" s="1"/>
  <c r="AD180" i="17"/>
  <c r="AM180" i="17"/>
  <c r="AN180" i="17"/>
  <c r="AF180" i="17"/>
  <c r="AI180" i="17"/>
  <c r="BA151" i="17"/>
  <c r="BR158" i="17"/>
  <c r="BJ158" i="17"/>
  <c r="BH158" i="17"/>
  <c r="BQ158" i="17"/>
  <c r="CE151" i="17"/>
  <c r="AT163" i="17"/>
  <c r="AV163" i="17" s="1"/>
  <c r="AQ164" i="17" s="1"/>
  <c r="AL151" i="17"/>
  <c r="BP151" i="17"/>
  <c r="AE180" i="17" l="1"/>
  <c r="AG180" i="17" s="1"/>
  <c r="AB181" i="17" s="1"/>
  <c r="CJ181" i="17" s="1"/>
  <c r="CK181" i="17" s="1"/>
  <c r="BS158" i="17"/>
  <c r="AO180" i="17"/>
  <c r="AU164" i="17"/>
  <c r="AS164" i="17"/>
  <c r="BB164" i="17"/>
  <c r="BC164" i="17"/>
  <c r="AX164" i="17"/>
  <c r="CL152" i="17"/>
  <c r="CM152" i="17" s="1"/>
  <c r="D152" i="17"/>
  <c r="F152" i="17" s="1"/>
  <c r="BN152" i="17"/>
  <c r="BO152" i="17" s="1"/>
  <c r="CC152" i="17"/>
  <c r="CD152" i="17" s="1"/>
  <c r="AJ152" i="17"/>
  <c r="AK152" i="17" s="1"/>
  <c r="AY152" i="17"/>
  <c r="AZ152" i="17" s="1"/>
  <c r="CH159" i="17"/>
  <c r="R268" i="17"/>
  <c r="T268" i="17" s="1"/>
  <c r="CL268" i="17"/>
  <c r="BI158" i="17"/>
  <c r="BK158" i="17" s="1"/>
  <c r="BF159" i="17" s="1"/>
  <c r="BX159" i="17"/>
  <c r="BZ159" i="17" s="1"/>
  <c r="BU160" i="17" s="1"/>
  <c r="AI181" i="17" l="1"/>
  <c r="AN181" i="17"/>
  <c r="AM181" i="17"/>
  <c r="AD181" i="17"/>
  <c r="AO181" i="17" s="1"/>
  <c r="AF181" i="17"/>
  <c r="BA152" i="17"/>
  <c r="CE152" i="17"/>
  <c r="BY160" i="17"/>
  <c r="BW160" i="17"/>
  <c r="CF160" i="17"/>
  <c r="CG160" i="17"/>
  <c r="BP152" i="17"/>
  <c r="AL152" i="17"/>
  <c r="BD164" i="17"/>
  <c r="BR159" i="17"/>
  <c r="BJ159" i="17"/>
  <c r="BH159" i="17"/>
  <c r="BQ159" i="17"/>
  <c r="CN152" i="17"/>
  <c r="E153" i="17"/>
  <c r="C153" i="17"/>
  <c r="S269" i="17"/>
  <c r="Q269" i="17"/>
  <c r="AT164" i="17"/>
  <c r="AV164" i="17" s="1"/>
  <c r="AQ165" i="17" s="1"/>
  <c r="AE181" i="17"/>
  <c r="AG181" i="17" s="1"/>
  <c r="AB182" i="17" s="1"/>
  <c r="BS159" i="17" l="1"/>
  <c r="CH160" i="17"/>
  <c r="CJ182" i="17"/>
  <c r="CK182" i="17" s="1"/>
  <c r="AF182" i="17"/>
  <c r="AD182" i="17"/>
  <c r="AM182" i="17"/>
  <c r="AN182" i="17"/>
  <c r="AI182" i="17"/>
  <c r="BX160" i="17"/>
  <c r="BZ160" i="17" s="1"/>
  <c r="BU161" i="17" s="1"/>
  <c r="CL269" i="17"/>
  <c r="R269" i="17"/>
  <c r="T269" i="17" s="1"/>
  <c r="BI159" i="17"/>
  <c r="BK159" i="17" s="1"/>
  <c r="BF160" i="17" s="1"/>
  <c r="AU165" i="17"/>
  <c r="AS165" i="17"/>
  <c r="AT165" i="17" s="1"/>
  <c r="AV165" i="17" s="1"/>
  <c r="AQ166" i="17" s="1"/>
  <c r="BB165" i="17"/>
  <c r="BC165" i="17"/>
  <c r="AX165" i="17"/>
  <c r="CL153" i="17"/>
  <c r="CM153" i="17" s="1"/>
  <c r="D153" i="17"/>
  <c r="F153" i="17" s="1"/>
  <c r="BN153" i="17"/>
  <c r="BO153" i="17" s="1"/>
  <c r="CC153" i="17"/>
  <c r="CD153" i="17" s="1"/>
  <c r="AJ153" i="17"/>
  <c r="AK153" i="17" s="1"/>
  <c r="AY153" i="17"/>
  <c r="AZ153" i="17" s="1"/>
  <c r="AO182" i="17" l="1"/>
  <c r="AU166" i="17"/>
  <c r="AS166" i="17"/>
  <c r="BB166" i="17"/>
  <c r="BC166" i="17"/>
  <c r="AX166" i="17"/>
  <c r="CE153" i="17"/>
  <c r="BY161" i="17"/>
  <c r="BW161" i="17"/>
  <c r="CF161" i="17"/>
  <c r="CG161" i="17"/>
  <c r="CN153" i="17"/>
  <c r="BD165" i="17"/>
  <c r="BP153" i="17"/>
  <c r="BA153" i="17"/>
  <c r="BR160" i="17"/>
  <c r="BJ160" i="17"/>
  <c r="BH160" i="17"/>
  <c r="BQ160" i="17"/>
  <c r="C154" i="17"/>
  <c r="E154" i="17"/>
  <c r="AL153" i="17"/>
  <c r="Q270" i="17"/>
  <c r="S270" i="17"/>
  <c r="AE182" i="17"/>
  <c r="AG182" i="17" s="1"/>
  <c r="AB183" i="17" s="1"/>
  <c r="BD166" i="17" l="1"/>
  <c r="BS160" i="17"/>
  <c r="CH161" i="17"/>
  <c r="CL154" i="17"/>
  <c r="CM154" i="17" s="1"/>
  <c r="D154" i="17"/>
  <c r="F154" i="17" s="1"/>
  <c r="BN154" i="17"/>
  <c r="BO154" i="17" s="1"/>
  <c r="CC154" i="17"/>
  <c r="CD154" i="17" s="1"/>
  <c r="AJ154" i="17"/>
  <c r="AK154" i="17" s="1"/>
  <c r="AY154" i="17"/>
  <c r="AZ154" i="17" s="1"/>
  <c r="CL270" i="17"/>
  <c r="R270" i="17"/>
  <c r="T270" i="17" s="1"/>
  <c r="BX161" i="17"/>
  <c r="BZ161" i="17" s="1"/>
  <c r="BU162" i="17" s="1"/>
  <c r="CJ183" i="17"/>
  <c r="CK183" i="17" s="1"/>
  <c r="AM183" i="17"/>
  <c r="AN183" i="17"/>
  <c r="AF183" i="17"/>
  <c r="AD183" i="17"/>
  <c r="AI183" i="17"/>
  <c r="BI160" i="17"/>
  <c r="BK160" i="17" s="1"/>
  <c r="BF161" i="17" s="1"/>
  <c r="AT166" i="17"/>
  <c r="AV166" i="17" s="1"/>
  <c r="AQ167" i="17" s="1"/>
  <c r="AO183" i="17" l="1"/>
  <c r="BR161" i="17"/>
  <c r="BJ161" i="17"/>
  <c r="BH161" i="17"/>
  <c r="BQ161" i="17"/>
  <c r="S271" i="17"/>
  <c r="Q271" i="17"/>
  <c r="BA154" i="17"/>
  <c r="AL154" i="17"/>
  <c r="CE154" i="17"/>
  <c r="BP154" i="17"/>
  <c r="AE183" i="17"/>
  <c r="AG183" i="17" s="1"/>
  <c r="AB184" i="17" s="1"/>
  <c r="E155" i="17"/>
  <c r="C155" i="17"/>
  <c r="AU167" i="17"/>
  <c r="AS167" i="17"/>
  <c r="BB167" i="17"/>
  <c r="BC167" i="17"/>
  <c r="AX167" i="17"/>
  <c r="BY162" i="17"/>
  <c r="BW162" i="17"/>
  <c r="BX162" i="17" s="1"/>
  <c r="BZ162" i="17" s="1"/>
  <c r="BU163" i="17" s="1"/>
  <c r="CF162" i="17"/>
  <c r="CG162" i="17"/>
  <c r="CN154" i="17"/>
  <c r="AT167" i="17" l="1"/>
  <c r="AV167" i="17" s="1"/>
  <c r="AQ168" i="17" s="1"/>
  <c r="AU168" i="17" s="1"/>
  <c r="BS161" i="17"/>
  <c r="BD167" i="17"/>
  <c r="BY163" i="17"/>
  <c r="BW163" i="17"/>
  <c r="CF163" i="17"/>
  <c r="CG163" i="17"/>
  <c r="AS168" i="17"/>
  <c r="AT168" i="17" s="1"/>
  <c r="AV168" i="17" s="1"/>
  <c r="AQ169" i="17" s="1"/>
  <c r="BB168" i="17"/>
  <c r="CL271" i="17"/>
  <c r="R271" i="17"/>
  <c r="T271" i="17" s="1"/>
  <c r="CL155" i="17"/>
  <c r="CM155" i="17" s="1"/>
  <c r="D155" i="17"/>
  <c r="F155" i="17" s="1"/>
  <c r="BN155" i="17"/>
  <c r="BO155" i="17" s="1"/>
  <c r="CC155" i="17"/>
  <c r="CD155" i="17" s="1"/>
  <c r="AJ155" i="17"/>
  <c r="AK155" i="17" s="1"/>
  <c r="AY155" i="17"/>
  <c r="AZ155" i="17" s="1"/>
  <c r="BI161" i="17"/>
  <c r="BK161" i="17" s="1"/>
  <c r="BF162" i="17" s="1"/>
  <c r="CH162" i="17"/>
  <c r="CJ184" i="17"/>
  <c r="CK184" i="17" s="1"/>
  <c r="AF184" i="17"/>
  <c r="AD184" i="17"/>
  <c r="AM184" i="17"/>
  <c r="AN184" i="17"/>
  <c r="AI184" i="17"/>
  <c r="AX168" i="17" l="1"/>
  <c r="BC168" i="17"/>
  <c r="AL155" i="17"/>
  <c r="AU169" i="17"/>
  <c r="AS169" i="17"/>
  <c r="BB169" i="17"/>
  <c r="BC169" i="17"/>
  <c r="AX169" i="17"/>
  <c r="CE155" i="17"/>
  <c r="BA155" i="17"/>
  <c r="BP155" i="17"/>
  <c r="C156" i="17"/>
  <c r="E156" i="17"/>
  <c r="CN155" i="17"/>
  <c r="CH163" i="17"/>
  <c r="AO184" i="17"/>
  <c r="BD168" i="17"/>
  <c r="AE184" i="17"/>
  <c r="AG184" i="17" s="1"/>
  <c r="AB185" i="17" s="1"/>
  <c r="S272" i="17"/>
  <c r="Q272" i="17"/>
  <c r="BR162" i="17"/>
  <c r="BJ162" i="17"/>
  <c r="BH162" i="17"/>
  <c r="BQ162" i="17"/>
  <c r="BX163" i="17"/>
  <c r="BZ163" i="17" s="1"/>
  <c r="BU164" i="17" s="1"/>
  <c r="BS162" i="17" l="1"/>
  <c r="BD169" i="17"/>
  <c r="AT169" i="17"/>
  <c r="AV169" i="17" s="1"/>
  <c r="AQ170" i="17" s="1"/>
  <c r="R272" i="17"/>
  <c r="T272" i="17" s="1"/>
  <c r="CL272" i="17"/>
  <c r="CJ185" i="17"/>
  <c r="CK185" i="17" s="1"/>
  <c r="AF185" i="17"/>
  <c r="AD185" i="17"/>
  <c r="AE185" i="17" s="1"/>
  <c r="AG185" i="17" s="1"/>
  <c r="AB186" i="17" s="1"/>
  <c r="AM185" i="17"/>
  <c r="AN185" i="17"/>
  <c r="AI185" i="17"/>
  <c r="CL156" i="17"/>
  <c r="CM156" i="17" s="1"/>
  <c r="D156" i="17"/>
  <c r="F156" i="17" s="1"/>
  <c r="BN156" i="17"/>
  <c r="BO156" i="17" s="1"/>
  <c r="CC156" i="17"/>
  <c r="CD156" i="17" s="1"/>
  <c r="AJ156" i="17"/>
  <c r="AK156" i="17" s="1"/>
  <c r="AY156" i="17"/>
  <c r="AZ156" i="17" s="1"/>
  <c r="BY164" i="17"/>
  <c r="BW164" i="17"/>
  <c r="CF164" i="17"/>
  <c r="CG164" i="17"/>
  <c r="BI162" i="17"/>
  <c r="BK162" i="17" s="1"/>
  <c r="BF163" i="17" s="1"/>
  <c r="CH164" i="17" l="1"/>
  <c r="CJ186" i="17"/>
  <c r="CK186" i="17" s="1"/>
  <c r="AN186" i="17"/>
  <c r="AF186" i="17"/>
  <c r="AD186" i="17"/>
  <c r="AE186" i="17" s="1"/>
  <c r="AG186" i="17" s="1"/>
  <c r="AB187" i="17" s="1"/>
  <c r="AM186" i="17"/>
  <c r="AI186" i="17"/>
  <c r="BX164" i="17"/>
  <c r="BZ164" i="17" s="1"/>
  <c r="BU165" i="17" s="1"/>
  <c r="BA156" i="17"/>
  <c r="BR163" i="17"/>
  <c r="BJ163" i="17"/>
  <c r="BH163" i="17"/>
  <c r="BQ163" i="17"/>
  <c r="AL156" i="17"/>
  <c r="CE156" i="17"/>
  <c r="BP156" i="17"/>
  <c r="E157" i="17"/>
  <c r="C157" i="17"/>
  <c r="AO185" i="17"/>
  <c r="CN156" i="17"/>
  <c r="S273" i="17"/>
  <c r="Q273" i="17"/>
  <c r="AU170" i="17"/>
  <c r="AS170" i="17"/>
  <c r="BB170" i="17"/>
  <c r="BC170" i="17"/>
  <c r="AX170" i="17"/>
  <c r="AT170" i="17" l="1"/>
  <c r="AV170" i="17" s="1"/>
  <c r="AQ171" i="17" s="1"/>
  <c r="AU171" i="17" s="1"/>
  <c r="BS163" i="17"/>
  <c r="BD170" i="17"/>
  <c r="CJ187" i="17"/>
  <c r="CK187" i="17" s="1"/>
  <c r="AF187" i="17"/>
  <c r="AD187" i="17"/>
  <c r="AM187" i="17"/>
  <c r="AN187" i="17"/>
  <c r="AI187" i="17"/>
  <c r="BY165" i="17"/>
  <c r="BW165" i="17"/>
  <c r="CF165" i="17"/>
  <c r="CG165" i="17"/>
  <c r="BI163" i="17"/>
  <c r="BK163" i="17" s="1"/>
  <c r="BF164" i="17" s="1"/>
  <c r="R273" i="17"/>
  <c r="T273" i="17" s="1"/>
  <c r="CL273" i="17"/>
  <c r="CL157" i="17"/>
  <c r="CM157" i="17" s="1"/>
  <c r="D157" i="17"/>
  <c r="F157" i="17" s="1"/>
  <c r="BN157" i="17"/>
  <c r="BO157" i="17" s="1"/>
  <c r="CC157" i="17"/>
  <c r="CD157" i="17" s="1"/>
  <c r="AJ157" i="17"/>
  <c r="AK157" i="17" s="1"/>
  <c r="AY157" i="17"/>
  <c r="AZ157" i="17" s="1"/>
  <c r="AO186" i="17"/>
  <c r="AX171" i="17" l="1"/>
  <c r="BC171" i="17"/>
  <c r="BB171" i="17"/>
  <c r="AE187" i="17"/>
  <c r="AG187" i="17" s="1"/>
  <c r="AB188" i="17" s="1"/>
  <c r="AN188" i="17" s="1"/>
  <c r="AS171" i="17"/>
  <c r="BD171" i="17" s="1"/>
  <c r="BR164" i="17"/>
  <c r="BJ164" i="17"/>
  <c r="BH164" i="17"/>
  <c r="BQ164" i="17"/>
  <c r="AL157" i="17"/>
  <c r="CE157" i="17"/>
  <c r="S274" i="17"/>
  <c r="Q274" i="17"/>
  <c r="CH165" i="17"/>
  <c r="BP157" i="17"/>
  <c r="C158" i="17"/>
  <c r="E158" i="17"/>
  <c r="CN157" i="17"/>
  <c r="BA157" i="17"/>
  <c r="AO187" i="17"/>
  <c r="BX165" i="17"/>
  <c r="BZ165" i="17" s="1"/>
  <c r="BU166" i="17" s="1"/>
  <c r="AD188" i="17" l="1"/>
  <c r="AM188" i="17"/>
  <c r="CJ188" i="17"/>
  <c r="AI188" i="17"/>
  <c r="CK188" i="17"/>
  <c r="AF188" i="17"/>
  <c r="AE188" i="17" s="1"/>
  <c r="AG188" i="17" s="1"/>
  <c r="AB189" i="17" s="1"/>
  <c r="AT171" i="17"/>
  <c r="AV171" i="17" s="1"/>
  <c r="AQ172" i="17" s="1"/>
  <c r="AS172" i="17" s="1"/>
  <c r="AO188" i="17"/>
  <c r="CL158" i="17"/>
  <c r="CM158" i="17" s="1"/>
  <c r="D158" i="17"/>
  <c r="F158" i="17" s="1"/>
  <c r="BN158" i="17"/>
  <c r="BO158" i="17" s="1"/>
  <c r="CC158" i="17"/>
  <c r="CD158" i="17" s="1"/>
  <c r="AJ158" i="17"/>
  <c r="AK158" i="17" s="1"/>
  <c r="AY158" i="17"/>
  <c r="AZ158" i="17" s="1"/>
  <c r="BY166" i="17"/>
  <c r="BW166" i="17"/>
  <c r="CF166" i="17"/>
  <c r="CG166" i="17"/>
  <c r="BS164" i="17"/>
  <c r="R274" i="17"/>
  <c r="T274" i="17" s="1"/>
  <c r="CL274" i="17"/>
  <c r="BI164" i="17"/>
  <c r="BK164" i="17" s="1"/>
  <c r="BF165" i="17" s="1"/>
  <c r="AU172" i="17" l="1"/>
  <c r="AT172" i="17" s="1"/>
  <c r="AV172" i="17" s="1"/>
  <c r="AQ173" i="17" s="1"/>
  <c r="BC172" i="17"/>
  <c r="BD172" i="17" s="1"/>
  <c r="AX172" i="17"/>
  <c r="BB172" i="17"/>
  <c r="S275" i="17"/>
  <c r="S25" i="17" s="1"/>
  <c r="J5" i="17" s="1"/>
  <c r="N5" i="17" s="1"/>
  <c r="Q275" i="17"/>
  <c r="BA158" i="17"/>
  <c r="AL158" i="17"/>
  <c r="CE158" i="17"/>
  <c r="CH166" i="17"/>
  <c r="BP158" i="17"/>
  <c r="CJ189" i="17"/>
  <c r="CK189" i="17"/>
  <c r="AF189" i="17"/>
  <c r="AD189" i="17"/>
  <c r="AM189" i="17"/>
  <c r="AN189" i="17"/>
  <c r="AI189" i="17"/>
  <c r="E159" i="17"/>
  <c r="C159" i="17"/>
  <c r="BR165" i="17"/>
  <c r="BJ165" i="17"/>
  <c r="BH165" i="17"/>
  <c r="BQ165" i="17"/>
  <c r="BX166" i="17"/>
  <c r="BZ166" i="17" s="1"/>
  <c r="BU167" i="17" s="1"/>
  <c r="CN158" i="17"/>
  <c r="BC173" i="17" l="1"/>
  <c r="AX173" i="17"/>
  <c r="AU173" i="17"/>
  <c r="AS173" i="17"/>
  <c r="BD173" i="17" s="1"/>
  <c r="BB173" i="17"/>
  <c r="AO189" i="17"/>
  <c r="BS165" i="17"/>
  <c r="CL159" i="17"/>
  <c r="CM159" i="17" s="1"/>
  <c r="D159" i="17"/>
  <c r="F159" i="17" s="1"/>
  <c r="BN159" i="17"/>
  <c r="BO159" i="17" s="1"/>
  <c r="CC159" i="17"/>
  <c r="CD159" i="17" s="1"/>
  <c r="AJ159" i="17"/>
  <c r="AK159" i="17" s="1"/>
  <c r="AY159" i="17"/>
  <c r="AZ159" i="17" s="1"/>
  <c r="BY167" i="17"/>
  <c r="BW167" i="17"/>
  <c r="BX167" i="17" s="1"/>
  <c r="BZ167" i="17" s="1"/>
  <c r="BU168" i="17" s="1"/>
  <c r="CF167" i="17"/>
  <c r="CG167" i="17"/>
  <c r="AE189" i="17"/>
  <c r="AG189" i="17" s="1"/>
  <c r="AB190" i="17" s="1"/>
  <c r="R275" i="17"/>
  <c r="CL275" i="17"/>
  <c r="Q25" i="17"/>
  <c r="BI165" i="17"/>
  <c r="BK165" i="17" s="1"/>
  <c r="BF166" i="17" s="1"/>
  <c r="AT173" i="17"/>
  <c r="AV173" i="17" s="1"/>
  <c r="AQ174" i="17" s="1"/>
  <c r="CH167" i="17" l="1"/>
  <c r="BY168" i="17"/>
  <c r="BW168" i="17"/>
  <c r="CF168" i="17"/>
  <c r="CG168" i="17"/>
  <c r="R25" i="17"/>
  <c r="O5" i="17" s="1"/>
  <c r="Q5" i="17" s="1"/>
  <c r="R5" i="17" s="1"/>
  <c r="T275" i="17"/>
  <c r="BA159" i="17"/>
  <c r="CJ190" i="17"/>
  <c r="CK190" i="17" s="1"/>
  <c r="AF190" i="17"/>
  <c r="AD190" i="17"/>
  <c r="AE190" i="17" s="1"/>
  <c r="AG190" i="17" s="1"/>
  <c r="AB191" i="17" s="1"/>
  <c r="AM190" i="17"/>
  <c r="AN190" i="17"/>
  <c r="AI190" i="17"/>
  <c r="AL159" i="17"/>
  <c r="CE159" i="17"/>
  <c r="BR166" i="17"/>
  <c r="BJ166" i="17"/>
  <c r="BH166" i="17"/>
  <c r="BQ166" i="17"/>
  <c r="BP159" i="17"/>
  <c r="AU174" i="17"/>
  <c r="AS174" i="17"/>
  <c r="BB174" i="17"/>
  <c r="BC174" i="17"/>
  <c r="AX174" i="17"/>
  <c r="E160" i="17"/>
  <c r="C160" i="17"/>
  <c r="CN159" i="17"/>
  <c r="AT174" i="17" l="1"/>
  <c r="AV174" i="17" s="1"/>
  <c r="AQ175" i="17" s="1"/>
  <c r="AU175" i="17" s="1"/>
  <c r="BS166" i="17"/>
  <c r="CH168" i="17"/>
  <c r="CJ191" i="17"/>
  <c r="CK191" i="17"/>
  <c r="AM191" i="17"/>
  <c r="AN191" i="17"/>
  <c r="AF191" i="17"/>
  <c r="AD191" i="17"/>
  <c r="AI191" i="17"/>
  <c r="CL160" i="17"/>
  <c r="D160" i="17"/>
  <c r="F160" i="17" s="1"/>
  <c r="BN160" i="17"/>
  <c r="BO160" i="17" s="1"/>
  <c r="CC160" i="17"/>
  <c r="CD160" i="17" s="1"/>
  <c r="AJ160" i="17"/>
  <c r="AK160" i="17" s="1"/>
  <c r="AY160" i="17"/>
  <c r="AZ160" i="17" s="1"/>
  <c r="BI166" i="17"/>
  <c r="BK166" i="17" s="1"/>
  <c r="BF167" i="17" s="1"/>
  <c r="AO190" i="17"/>
  <c r="BD174" i="17"/>
  <c r="BX168" i="17"/>
  <c r="BZ168" i="17" s="1"/>
  <c r="BU169" i="17" s="1"/>
  <c r="AX175" i="17" l="1"/>
  <c r="BB175" i="17"/>
  <c r="BC175" i="17"/>
  <c r="AS175" i="17"/>
  <c r="BD175" i="17" s="1"/>
  <c r="AL160" i="17"/>
  <c r="CE160" i="17"/>
  <c r="BR167" i="17"/>
  <c r="BJ167" i="17"/>
  <c r="BH167" i="17"/>
  <c r="BQ167" i="17"/>
  <c r="BP160" i="17"/>
  <c r="BY169" i="17"/>
  <c r="BW169" i="17"/>
  <c r="BX169" i="17" s="1"/>
  <c r="BZ169" i="17" s="1"/>
  <c r="BU170" i="17" s="1"/>
  <c r="CF169" i="17"/>
  <c r="CG169" i="17"/>
  <c r="E161" i="17"/>
  <c r="C161" i="17"/>
  <c r="AO191" i="17"/>
  <c r="BA160" i="17"/>
  <c r="CM160" i="17"/>
  <c r="AE191" i="17"/>
  <c r="AG191" i="17" s="1"/>
  <c r="AB192" i="17" s="1"/>
  <c r="AT175" i="17" l="1"/>
  <c r="AV175" i="17" s="1"/>
  <c r="AQ176" i="17" s="1"/>
  <c r="AU176" i="17" s="1"/>
  <c r="BS167" i="17"/>
  <c r="BY170" i="17"/>
  <c r="BW170" i="17"/>
  <c r="CF170" i="17"/>
  <c r="CG170" i="17"/>
  <c r="CN160" i="17"/>
  <c r="CL161" i="17"/>
  <c r="CM161" i="17" s="1"/>
  <c r="D161" i="17"/>
  <c r="F161" i="17" s="1"/>
  <c r="BN161" i="17"/>
  <c r="BO161" i="17" s="1"/>
  <c r="CC161" i="17"/>
  <c r="CD161" i="17" s="1"/>
  <c r="AJ161" i="17"/>
  <c r="AK161" i="17" s="1"/>
  <c r="AY161" i="17"/>
  <c r="AZ161" i="17" s="1"/>
  <c r="CJ192" i="17"/>
  <c r="CK192" i="17" s="1"/>
  <c r="AF192" i="17"/>
  <c r="AD192" i="17"/>
  <c r="AM192" i="17"/>
  <c r="AN192" i="17"/>
  <c r="AI192" i="17"/>
  <c r="CH169" i="17"/>
  <c r="BI167" i="17"/>
  <c r="BK167" i="17" s="1"/>
  <c r="BF168" i="17" s="1"/>
  <c r="AS176" i="17" l="1"/>
  <c r="AT176" i="17" s="1"/>
  <c r="AV176" i="17" s="1"/>
  <c r="AQ177" i="17" s="1"/>
  <c r="BB176" i="17"/>
  <c r="BC176" i="17"/>
  <c r="BD176" i="17" s="1"/>
  <c r="AX176" i="17"/>
  <c r="AO192" i="17"/>
  <c r="AE192" i="17"/>
  <c r="AG192" i="17" s="1"/>
  <c r="AB193" i="17" s="1"/>
  <c r="CN161" i="17"/>
  <c r="BA161" i="17"/>
  <c r="AL161" i="17"/>
  <c r="CE161" i="17"/>
  <c r="CH170" i="17"/>
  <c r="BR168" i="17"/>
  <c r="BJ168" i="17"/>
  <c r="BH168" i="17"/>
  <c r="BQ168" i="17"/>
  <c r="BP161" i="17"/>
  <c r="E162" i="17"/>
  <c r="C162" i="17"/>
  <c r="BX170" i="17"/>
  <c r="BZ170" i="17" s="1"/>
  <c r="BU171" i="17" s="1"/>
  <c r="AU177" i="17" l="1"/>
  <c r="BC177" i="17"/>
  <c r="AX177" i="17"/>
  <c r="BB177" i="17"/>
  <c r="AS177" i="17"/>
  <c r="BD177" i="17" s="1"/>
  <c r="BS168" i="17"/>
  <c r="BI168" i="17"/>
  <c r="BK168" i="17" s="1"/>
  <c r="BF169" i="17" s="1"/>
  <c r="CL162" i="17"/>
  <c r="CM162" i="17" s="1"/>
  <c r="D162" i="17"/>
  <c r="F162" i="17" s="1"/>
  <c r="BN162" i="17"/>
  <c r="BO162" i="17" s="1"/>
  <c r="CC162" i="17"/>
  <c r="CD162" i="17" s="1"/>
  <c r="AJ162" i="17"/>
  <c r="AK162" i="17" s="1"/>
  <c r="AY162" i="17"/>
  <c r="AZ162" i="17" s="1"/>
  <c r="BY171" i="17"/>
  <c r="BW171" i="17"/>
  <c r="CF171" i="17"/>
  <c r="CG171" i="17"/>
  <c r="CJ193" i="17"/>
  <c r="CK193" i="17" s="1"/>
  <c r="AF193" i="17"/>
  <c r="AD193" i="17"/>
  <c r="AM193" i="17"/>
  <c r="AN193" i="17"/>
  <c r="AI193" i="17"/>
  <c r="AT177" i="17" l="1"/>
  <c r="AV177" i="17" s="1"/>
  <c r="AQ178" i="17" s="1"/>
  <c r="BC178" i="17" s="1"/>
  <c r="AO193" i="17"/>
  <c r="AE193" i="17"/>
  <c r="AG193" i="17" s="1"/>
  <c r="AB194" i="17" s="1"/>
  <c r="BA162" i="17"/>
  <c r="AL162" i="17"/>
  <c r="CE162" i="17"/>
  <c r="AU178" i="17"/>
  <c r="AS178" i="17"/>
  <c r="BB178" i="17"/>
  <c r="BP162" i="17"/>
  <c r="CH171" i="17"/>
  <c r="E163" i="17"/>
  <c r="C163" i="17"/>
  <c r="CN162" i="17"/>
  <c r="BX171" i="17"/>
  <c r="BZ171" i="17" s="1"/>
  <c r="BU172" i="17" s="1"/>
  <c r="BR169" i="17"/>
  <c r="BJ169" i="17"/>
  <c r="BH169" i="17"/>
  <c r="BQ169" i="17"/>
  <c r="AX178" i="17" l="1"/>
  <c r="BS169" i="17"/>
  <c r="BI169" i="17"/>
  <c r="BK169" i="17" s="1"/>
  <c r="BF170" i="17" s="1"/>
  <c r="BD178" i="17"/>
  <c r="BY172" i="17"/>
  <c r="BW172" i="17"/>
  <c r="CF172" i="17"/>
  <c r="CG172" i="17"/>
  <c r="CL163" i="17"/>
  <c r="CM163" i="17" s="1"/>
  <c r="D163" i="17"/>
  <c r="F163" i="17" s="1"/>
  <c r="BN163" i="17"/>
  <c r="BO163" i="17" s="1"/>
  <c r="CC163" i="17"/>
  <c r="CD163" i="17" s="1"/>
  <c r="AJ163" i="17"/>
  <c r="AK163" i="17" s="1"/>
  <c r="AY163" i="17"/>
  <c r="AZ163" i="17" s="1"/>
  <c r="AT178" i="17"/>
  <c r="AV178" i="17" s="1"/>
  <c r="AQ179" i="17" s="1"/>
  <c r="CJ194" i="17"/>
  <c r="CK194" i="17" s="1"/>
  <c r="AN194" i="17"/>
  <c r="AF194" i="17"/>
  <c r="AD194" i="17"/>
  <c r="AM194" i="17"/>
  <c r="AI194" i="17"/>
  <c r="AO194" i="17" l="1"/>
  <c r="CH172" i="17"/>
  <c r="AU179" i="17"/>
  <c r="AS179" i="17"/>
  <c r="BB179" i="17"/>
  <c r="BC179" i="17"/>
  <c r="AX179" i="17"/>
  <c r="BA163" i="17"/>
  <c r="AL163" i="17"/>
  <c r="CE163" i="17"/>
  <c r="BP163" i="17"/>
  <c r="BX172" i="17"/>
  <c r="BZ172" i="17" s="1"/>
  <c r="BU173" i="17" s="1"/>
  <c r="E164" i="17"/>
  <c r="C164" i="17"/>
  <c r="AE194" i="17"/>
  <c r="AG194" i="17" s="1"/>
  <c r="AB195" i="17" s="1"/>
  <c r="CN163" i="17"/>
  <c r="BR170" i="17"/>
  <c r="BJ170" i="17"/>
  <c r="BH170" i="17"/>
  <c r="BQ170" i="17"/>
  <c r="BD179" i="17" l="1"/>
  <c r="BS170" i="17"/>
  <c r="CL164" i="17"/>
  <c r="CM164" i="17" s="1"/>
  <c r="D164" i="17"/>
  <c r="F164" i="17" s="1"/>
  <c r="BN164" i="17"/>
  <c r="BO164" i="17" s="1"/>
  <c r="CC164" i="17"/>
  <c r="CD164" i="17" s="1"/>
  <c r="AJ164" i="17"/>
  <c r="AK164" i="17" s="1"/>
  <c r="AY164" i="17"/>
  <c r="AZ164" i="17" s="1"/>
  <c r="CJ195" i="17"/>
  <c r="CK195" i="17" s="1"/>
  <c r="AF195" i="17"/>
  <c r="AD195" i="17"/>
  <c r="AM195" i="17"/>
  <c r="AN195" i="17"/>
  <c r="AI195" i="17"/>
  <c r="BY173" i="17"/>
  <c r="BW173" i="17"/>
  <c r="CF173" i="17"/>
  <c r="CG173" i="17"/>
  <c r="BI170" i="17"/>
  <c r="BK170" i="17" s="1"/>
  <c r="BF171" i="17" s="1"/>
  <c r="AT179" i="17"/>
  <c r="AV179" i="17" s="1"/>
  <c r="AQ180" i="17" s="1"/>
  <c r="AO195" i="17" l="1"/>
  <c r="CH173" i="17"/>
  <c r="AE195" i="17"/>
  <c r="AG195" i="17" s="1"/>
  <c r="AB196" i="17" s="1"/>
  <c r="BA164" i="17"/>
  <c r="BX173" i="17"/>
  <c r="BZ173" i="17" s="1"/>
  <c r="BU174" i="17" s="1"/>
  <c r="AL164" i="17"/>
  <c r="CE164" i="17"/>
  <c r="BP164" i="17"/>
  <c r="BR171" i="17"/>
  <c r="BJ171" i="17"/>
  <c r="BH171" i="17"/>
  <c r="BQ171" i="17"/>
  <c r="E165" i="17"/>
  <c r="C165" i="17"/>
  <c r="AU180" i="17"/>
  <c r="AS180" i="17"/>
  <c r="BD180" i="17" s="1"/>
  <c r="BB180" i="17"/>
  <c r="BC180" i="17"/>
  <c r="AX180" i="17"/>
  <c r="CN164" i="17"/>
  <c r="BS171" i="17" l="1"/>
  <c r="AT180" i="17"/>
  <c r="AV180" i="17" s="1"/>
  <c r="AQ181" i="17" s="1"/>
  <c r="BI171" i="17"/>
  <c r="BK171" i="17" s="1"/>
  <c r="BF172" i="17" s="1"/>
  <c r="BY174" i="17"/>
  <c r="BW174" i="17"/>
  <c r="CF174" i="17"/>
  <c r="CG174" i="17"/>
  <c r="CL165" i="17"/>
  <c r="CM165" i="17" s="1"/>
  <c r="D165" i="17"/>
  <c r="F165" i="17" s="1"/>
  <c r="BN165" i="17"/>
  <c r="BO165" i="17" s="1"/>
  <c r="CC165" i="17"/>
  <c r="CD165" i="17" s="1"/>
  <c r="AJ165" i="17"/>
  <c r="AK165" i="17" s="1"/>
  <c r="AY165" i="17"/>
  <c r="AZ165" i="17" s="1"/>
  <c r="CJ196" i="17"/>
  <c r="CK196" i="17"/>
  <c r="AD196" i="17"/>
  <c r="AM196" i="17"/>
  <c r="AN196" i="17"/>
  <c r="AF196" i="17"/>
  <c r="AI196" i="17"/>
  <c r="AO196" i="17" l="1"/>
  <c r="CH174" i="17"/>
  <c r="AE196" i="17"/>
  <c r="AG196" i="17" s="1"/>
  <c r="AB197" i="17" s="1"/>
  <c r="BA165" i="17"/>
  <c r="CE165" i="17"/>
  <c r="BP165" i="17"/>
  <c r="BX174" i="17"/>
  <c r="BZ174" i="17" s="1"/>
  <c r="BU175" i="17" s="1"/>
  <c r="E166" i="17"/>
  <c r="C166" i="17"/>
  <c r="BR172" i="17"/>
  <c r="BJ172" i="17"/>
  <c r="BH172" i="17"/>
  <c r="BQ172" i="17"/>
  <c r="AL165" i="17"/>
  <c r="CN165" i="17"/>
  <c r="AU181" i="17"/>
  <c r="AS181" i="17"/>
  <c r="BB181" i="17"/>
  <c r="BC181" i="17"/>
  <c r="AX181" i="17"/>
  <c r="AT181" i="17" l="1"/>
  <c r="AV181" i="17" s="1"/>
  <c r="AQ182" i="17" s="1"/>
  <c r="AU182" i="17" s="1"/>
  <c r="BS172" i="17"/>
  <c r="BY175" i="17"/>
  <c r="BW175" i="17"/>
  <c r="CF175" i="17"/>
  <c r="CG175" i="17"/>
  <c r="BI172" i="17"/>
  <c r="BK172" i="17" s="1"/>
  <c r="BF173" i="17" s="1"/>
  <c r="CL166" i="17"/>
  <c r="CM166" i="17" s="1"/>
  <c r="D166" i="17"/>
  <c r="F166" i="17" s="1"/>
  <c r="BN166" i="17"/>
  <c r="BO166" i="17" s="1"/>
  <c r="CC166" i="17"/>
  <c r="CD166" i="17" s="1"/>
  <c r="AJ166" i="17"/>
  <c r="AK166" i="17" s="1"/>
  <c r="AY166" i="17"/>
  <c r="AZ166" i="17" s="1"/>
  <c r="BD181" i="17"/>
  <c r="CJ197" i="17"/>
  <c r="CK197" i="17" s="1"/>
  <c r="AF197" i="17"/>
  <c r="AD197" i="17"/>
  <c r="AM197" i="17"/>
  <c r="AN197" i="17"/>
  <c r="AI197" i="17"/>
  <c r="AX182" i="17" l="1"/>
  <c r="BC182" i="17"/>
  <c r="BB182" i="17"/>
  <c r="AS182" i="17"/>
  <c r="BD182" i="17" s="1"/>
  <c r="AO197" i="17"/>
  <c r="BA166" i="17"/>
  <c r="AL166" i="17"/>
  <c r="CH175" i="17"/>
  <c r="BP166" i="17"/>
  <c r="E167" i="17"/>
  <c r="C167" i="17"/>
  <c r="BX175" i="17"/>
  <c r="BZ175" i="17" s="1"/>
  <c r="BU176" i="17" s="1"/>
  <c r="CE166" i="17"/>
  <c r="AT182" i="17"/>
  <c r="AV182" i="17" s="1"/>
  <c r="AQ183" i="17" s="1"/>
  <c r="CN166" i="17"/>
  <c r="AE197" i="17"/>
  <c r="AG197" i="17" s="1"/>
  <c r="AB198" i="17" s="1"/>
  <c r="BR173" i="17"/>
  <c r="BJ173" i="17"/>
  <c r="BH173" i="17"/>
  <c r="BQ173" i="17"/>
  <c r="BS173" i="17" l="1"/>
  <c r="AU183" i="17"/>
  <c r="AS183" i="17"/>
  <c r="BB183" i="17"/>
  <c r="BC183" i="17"/>
  <c r="AX183" i="17"/>
  <c r="BI173" i="17"/>
  <c r="BK173" i="17" s="1"/>
  <c r="BF174" i="17" s="1"/>
  <c r="BY176" i="17"/>
  <c r="BW176" i="17"/>
  <c r="CF176" i="17"/>
  <c r="CG176" i="17"/>
  <c r="CJ198" i="17"/>
  <c r="CK198" i="17" s="1"/>
  <c r="AF198" i="17"/>
  <c r="AD198" i="17"/>
  <c r="AE198" i="17" s="1"/>
  <c r="AG198" i="17" s="1"/>
  <c r="AB199" i="17" s="1"/>
  <c r="AM198" i="17"/>
  <c r="AN198" i="17"/>
  <c r="AI198" i="17"/>
  <c r="CL167" i="17"/>
  <c r="CM167" i="17" s="1"/>
  <c r="D167" i="17"/>
  <c r="F167" i="17" s="1"/>
  <c r="BN167" i="17"/>
  <c r="BO167" i="17" s="1"/>
  <c r="CC167" i="17"/>
  <c r="CD167" i="17" s="1"/>
  <c r="AJ167" i="17"/>
  <c r="AK167" i="17" s="1"/>
  <c r="AY167" i="17"/>
  <c r="AZ167" i="17" s="1"/>
  <c r="BD183" i="17" l="1"/>
  <c r="CH176" i="17"/>
  <c r="CJ199" i="17"/>
  <c r="CK199" i="17"/>
  <c r="AM199" i="17"/>
  <c r="AN199" i="17"/>
  <c r="AF199" i="17"/>
  <c r="AD199" i="17"/>
  <c r="AI199" i="17"/>
  <c r="CN167" i="17"/>
  <c r="BA167" i="17"/>
  <c r="BX176" i="17"/>
  <c r="BZ176" i="17" s="1"/>
  <c r="BU177" i="17" s="1"/>
  <c r="BR174" i="17"/>
  <c r="BJ174" i="17"/>
  <c r="BH174" i="17"/>
  <c r="BQ174" i="17"/>
  <c r="AL167" i="17"/>
  <c r="BP167" i="17"/>
  <c r="AT183" i="17"/>
  <c r="AV183" i="17" s="1"/>
  <c r="AQ184" i="17" s="1"/>
  <c r="CE167" i="17"/>
  <c r="E168" i="17"/>
  <c r="C168" i="17"/>
  <c r="AO198" i="17"/>
  <c r="AO199" i="17" l="1"/>
  <c r="BS174" i="17"/>
  <c r="AU184" i="17"/>
  <c r="AS184" i="17"/>
  <c r="BB184" i="17"/>
  <c r="BC184" i="17"/>
  <c r="AX184" i="17"/>
  <c r="BI174" i="17"/>
  <c r="BK174" i="17" s="1"/>
  <c r="BF175" i="17" s="1"/>
  <c r="BY177" i="17"/>
  <c r="BW177" i="17"/>
  <c r="CF177" i="17"/>
  <c r="CG177" i="17"/>
  <c r="CL168" i="17"/>
  <c r="CM168" i="17" s="1"/>
  <c r="D168" i="17"/>
  <c r="F168" i="17" s="1"/>
  <c r="BN168" i="17"/>
  <c r="BO168" i="17" s="1"/>
  <c r="CC168" i="17"/>
  <c r="CD168" i="17" s="1"/>
  <c r="AJ168" i="17"/>
  <c r="AK168" i="17" s="1"/>
  <c r="AY168" i="17"/>
  <c r="AZ168" i="17" s="1"/>
  <c r="AE199" i="17"/>
  <c r="AG199" i="17" s="1"/>
  <c r="AB200" i="17" s="1"/>
  <c r="BD184" i="17" l="1"/>
  <c r="CH177" i="17"/>
  <c r="CJ200" i="17"/>
  <c r="CK200" i="17"/>
  <c r="AF200" i="17"/>
  <c r="AD200" i="17"/>
  <c r="AM200" i="17"/>
  <c r="AN200" i="17"/>
  <c r="AI200" i="17"/>
  <c r="CE168" i="17"/>
  <c r="BA168" i="17"/>
  <c r="E169" i="17"/>
  <c r="C169" i="17"/>
  <c r="BR175" i="17"/>
  <c r="BJ175" i="17"/>
  <c r="BH175" i="17"/>
  <c r="BI175" i="17" s="1"/>
  <c r="BK175" i="17" s="1"/>
  <c r="BF176" i="17" s="1"/>
  <c r="BQ175" i="17"/>
  <c r="BP168" i="17"/>
  <c r="AT184" i="17"/>
  <c r="AV184" i="17" s="1"/>
  <c r="AQ185" i="17" s="1"/>
  <c r="AL168" i="17"/>
  <c r="BX177" i="17"/>
  <c r="BZ177" i="17" s="1"/>
  <c r="BU178" i="17" s="1"/>
  <c r="CN168" i="17"/>
  <c r="AO200" i="17" l="1"/>
  <c r="BS175" i="17"/>
  <c r="BR176" i="17"/>
  <c r="BJ176" i="17"/>
  <c r="BH176" i="17"/>
  <c r="BQ176" i="17"/>
  <c r="AU185" i="17"/>
  <c r="AS185" i="17"/>
  <c r="BB185" i="17"/>
  <c r="BC185" i="17"/>
  <c r="AX185" i="17"/>
  <c r="CL169" i="17"/>
  <c r="CM169" i="17" s="1"/>
  <c r="D169" i="17"/>
  <c r="F169" i="17" s="1"/>
  <c r="BN169" i="17"/>
  <c r="BO169" i="17" s="1"/>
  <c r="CC169" i="17"/>
  <c r="CD169" i="17" s="1"/>
  <c r="AJ169" i="17"/>
  <c r="AK169" i="17" s="1"/>
  <c r="AY169" i="17"/>
  <c r="AZ169" i="17" s="1"/>
  <c r="BY178" i="17"/>
  <c r="BW178" i="17"/>
  <c r="CF178" i="17"/>
  <c r="CG178" i="17"/>
  <c r="AE200" i="17"/>
  <c r="AG200" i="17" s="1"/>
  <c r="AB201" i="17" s="1"/>
  <c r="AT185" i="17" l="1"/>
  <c r="AV185" i="17" s="1"/>
  <c r="AQ186" i="17" s="1"/>
  <c r="BX178" i="17"/>
  <c r="BZ178" i="17" s="1"/>
  <c r="BU179" i="17" s="1"/>
  <c r="BW179" i="17" s="1"/>
  <c r="BS176" i="17"/>
  <c r="CH178" i="17"/>
  <c r="AU186" i="17"/>
  <c r="AS186" i="17"/>
  <c r="BB186" i="17"/>
  <c r="BC186" i="17"/>
  <c r="AX186" i="17"/>
  <c r="BY179" i="17"/>
  <c r="BA169" i="17"/>
  <c r="AL169" i="17"/>
  <c r="CE169" i="17"/>
  <c r="BP169" i="17"/>
  <c r="BI176" i="17"/>
  <c r="BK176" i="17" s="1"/>
  <c r="BF177" i="17" s="1"/>
  <c r="CJ201" i="17"/>
  <c r="CK201" i="17" s="1"/>
  <c r="AF201" i="17"/>
  <c r="AD201" i="17"/>
  <c r="AN201" i="17"/>
  <c r="AM201" i="17"/>
  <c r="AI201" i="17"/>
  <c r="E170" i="17"/>
  <c r="C170" i="17"/>
  <c r="BD185" i="17"/>
  <c r="CN169" i="17"/>
  <c r="CG179" i="17" l="1"/>
  <c r="CF179" i="17"/>
  <c r="AO201" i="17"/>
  <c r="CH179" i="17"/>
  <c r="BD186" i="17"/>
  <c r="BX179" i="17"/>
  <c r="BZ179" i="17" s="1"/>
  <c r="BU180" i="17" s="1"/>
  <c r="CL170" i="17"/>
  <c r="CM170" i="17" s="1"/>
  <c r="D170" i="17"/>
  <c r="F170" i="17" s="1"/>
  <c r="BN170" i="17"/>
  <c r="BO170" i="17" s="1"/>
  <c r="CC170" i="17"/>
  <c r="CD170" i="17" s="1"/>
  <c r="AJ170" i="17"/>
  <c r="AK170" i="17" s="1"/>
  <c r="AY170" i="17"/>
  <c r="AZ170" i="17" s="1"/>
  <c r="AE201" i="17"/>
  <c r="AG201" i="17" s="1"/>
  <c r="AB202" i="17" s="1"/>
  <c r="AT186" i="17"/>
  <c r="AV186" i="17" s="1"/>
  <c r="AQ187" i="17" s="1"/>
  <c r="BR177" i="17"/>
  <c r="BJ177" i="17"/>
  <c r="BH177" i="17"/>
  <c r="BQ177" i="17"/>
  <c r="BS177" i="17" l="1"/>
  <c r="AL170" i="17"/>
  <c r="CE170" i="17"/>
  <c r="BP170" i="17"/>
  <c r="E171" i="17"/>
  <c r="C171" i="17"/>
  <c r="CN170" i="17"/>
  <c r="BI177" i="17"/>
  <c r="BK177" i="17" s="1"/>
  <c r="BF178" i="17" s="1"/>
  <c r="BY180" i="17"/>
  <c r="BW180" i="17"/>
  <c r="CF180" i="17"/>
  <c r="CG180" i="17"/>
  <c r="CJ202" i="17"/>
  <c r="CK202" i="17" s="1"/>
  <c r="AN202" i="17"/>
  <c r="AF202" i="17"/>
  <c r="AD202" i="17"/>
  <c r="AM202" i="17"/>
  <c r="AI202" i="17"/>
  <c r="AU187" i="17"/>
  <c r="AS187" i="17"/>
  <c r="BB187" i="17"/>
  <c r="BC187" i="17"/>
  <c r="AX187" i="17"/>
  <c r="BA170" i="17"/>
  <c r="BD187" i="17" l="1"/>
  <c r="AO202" i="17"/>
  <c r="CH180" i="17"/>
  <c r="BX180" i="17"/>
  <c r="BZ180" i="17" s="1"/>
  <c r="BU181" i="17" s="1"/>
  <c r="AE202" i="17"/>
  <c r="AG202" i="17" s="1"/>
  <c r="AB203" i="17" s="1"/>
  <c r="BR178" i="17"/>
  <c r="BJ178" i="17"/>
  <c r="BH178" i="17"/>
  <c r="BQ178" i="17"/>
  <c r="AT187" i="17"/>
  <c r="AV187" i="17" s="1"/>
  <c r="AQ188" i="17" s="1"/>
  <c r="CL171" i="17"/>
  <c r="CM171" i="17" s="1"/>
  <c r="D171" i="17"/>
  <c r="F171" i="17" s="1"/>
  <c r="BN171" i="17"/>
  <c r="BO171" i="17" s="1"/>
  <c r="CC171" i="17"/>
  <c r="CD171" i="17" s="1"/>
  <c r="AJ171" i="17"/>
  <c r="AK171" i="17" s="1"/>
  <c r="AY171" i="17"/>
  <c r="AZ171" i="17" s="1"/>
  <c r="BS178" i="17" l="1"/>
  <c r="BA171" i="17"/>
  <c r="BI178" i="17"/>
  <c r="BK178" i="17" s="1"/>
  <c r="BF179" i="17" s="1"/>
  <c r="BP171" i="17"/>
  <c r="AL171" i="17"/>
  <c r="CE171" i="17"/>
  <c r="CN171" i="17"/>
  <c r="CJ203" i="17"/>
  <c r="CK203" i="17" s="1"/>
  <c r="AD203" i="17"/>
  <c r="AM203" i="17"/>
  <c r="AN203" i="17"/>
  <c r="AF203" i="17"/>
  <c r="AI203" i="17"/>
  <c r="E172" i="17"/>
  <c r="C172" i="17"/>
  <c r="AU188" i="17"/>
  <c r="AS188" i="17"/>
  <c r="BB188" i="17"/>
  <c r="BC188" i="17"/>
  <c r="AX188" i="17"/>
  <c r="BY181" i="17"/>
  <c r="BW181" i="17"/>
  <c r="CF181" i="17"/>
  <c r="CG181" i="17"/>
  <c r="CH181" i="17" l="1"/>
  <c r="BD188" i="17"/>
  <c r="AO203" i="17"/>
  <c r="BX181" i="17"/>
  <c r="BZ181" i="17" s="1"/>
  <c r="BU182" i="17" s="1"/>
  <c r="AT188" i="17"/>
  <c r="AV188" i="17" s="1"/>
  <c r="AQ189" i="17" s="1"/>
  <c r="CL172" i="17"/>
  <c r="CM172" i="17" s="1"/>
  <c r="D172" i="17"/>
  <c r="F172" i="17" s="1"/>
  <c r="BN172" i="17"/>
  <c r="BO172" i="17" s="1"/>
  <c r="CC172" i="17"/>
  <c r="CD172" i="17" s="1"/>
  <c r="AJ172" i="17"/>
  <c r="AK172" i="17" s="1"/>
  <c r="AY172" i="17"/>
  <c r="AZ172" i="17" s="1"/>
  <c r="AE203" i="17"/>
  <c r="AG203" i="17" s="1"/>
  <c r="AB204" i="17" s="1"/>
  <c r="BR179" i="17"/>
  <c r="BJ179" i="17"/>
  <c r="BH179" i="17"/>
  <c r="BQ179" i="17"/>
  <c r="BS179" i="17" l="1"/>
  <c r="BA172" i="17"/>
  <c r="CE172" i="17"/>
  <c r="BP172" i="17"/>
  <c r="BI179" i="17"/>
  <c r="BK179" i="17" s="1"/>
  <c r="BF180" i="17" s="1"/>
  <c r="E173" i="17"/>
  <c r="C173" i="17"/>
  <c r="AL172" i="17"/>
  <c r="CN172" i="17"/>
  <c r="AU189" i="17"/>
  <c r="AS189" i="17"/>
  <c r="BB189" i="17"/>
  <c r="BC189" i="17"/>
  <c r="AX189" i="17"/>
  <c r="CJ204" i="17"/>
  <c r="CK204" i="17" s="1"/>
  <c r="AD204" i="17"/>
  <c r="AM204" i="17"/>
  <c r="AF204" i="17"/>
  <c r="AN204" i="17"/>
  <c r="AI204" i="17"/>
  <c r="BY182" i="17"/>
  <c r="BW182" i="17"/>
  <c r="BX182" i="17" s="1"/>
  <c r="BZ182" i="17" s="1"/>
  <c r="BU183" i="17" s="1"/>
  <c r="CF182" i="17"/>
  <c r="CG182" i="17"/>
  <c r="BD189" i="17" l="1"/>
  <c r="AO204" i="17"/>
  <c r="BY183" i="17"/>
  <c r="BW183" i="17"/>
  <c r="CF183" i="17"/>
  <c r="CG183" i="17"/>
  <c r="AT189" i="17"/>
  <c r="AV189" i="17" s="1"/>
  <c r="AQ190" i="17" s="1"/>
  <c r="BR180" i="17"/>
  <c r="BJ180" i="17"/>
  <c r="BH180" i="17"/>
  <c r="BQ180" i="17"/>
  <c r="CL173" i="17"/>
  <c r="CM173" i="17" s="1"/>
  <c r="D173" i="17"/>
  <c r="F173" i="17" s="1"/>
  <c r="BN173" i="17"/>
  <c r="BO173" i="17" s="1"/>
  <c r="CC173" i="17"/>
  <c r="CD173" i="17" s="1"/>
  <c r="AJ173" i="17"/>
  <c r="AK173" i="17" s="1"/>
  <c r="AY173" i="17"/>
  <c r="AZ173" i="17" s="1"/>
  <c r="CH182" i="17"/>
  <c r="AE204" i="17"/>
  <c r="AG204" i="17" s="1"/>
  <c r="AB205" i="17" s="1"/>
  <c r="CH183" i="17" l="1"/>
  <c r="BS180" i="17"/>
  <c r="C174" i="17"/>
  <c r="E174" i="17"/>
  <c r="CN173" i="17"/>
  <c r="BP173" i="17"/>
  <c r="CJ205" i="17"/>
  <c r="CK205" i="17" s="1"/>
  <c r="AF205" i="17"/>
  <c r="AD205" i="17"/>
  <c r="AM205" i="17"/>
  <c r="AN205" i="17"/>
  <c r="AI205" i="17"/>
  <c r="AL173" i="17"/>
  <c r="BI180" i="17"/>
  <c r="BK180" i="17" s="1"/>
  <c r="BF181" i="17" s="1"/>
  <c r="AU190" i="17"/>
  <c r="AS190" i="17"/>
  <c r="BB190" i="17"/>
  <c r="BC190" i="17"/>
  <c r="AX190" i="17"/>
  <c r="BA173" i="17"/>
  <c r="CE173" i="17"/>
  <c r="BX183" i="17"/>
  <c r="BZ183" i="17" s="1"/>
  <c r="BU184" i="17" s="1"/>
  <c r="AO205" i="17" l="1"/>
  <c r="BR181" i="17"/>
  <c r="BJ181" i="17"/>
  <c r="BH181" i="17"/>
  <c r="BQ181" i="17"/>
  <c r="AE205" i="17"/>
  <c r="AG205" i="17" s="1"/>
  <c r="AB206" i="17" s="1"/>
  <c r="BY184" i="17"/>
  <c r="BW184" i="17"/>
  <c r="CF184" i="17"/>
  <c r="CG184" i="17"/>
  <c r="BD190" i="17"/>
  <c r="AT190" i="17"/>
  <c r="AV190" i="17" s="1"/>
  <c r="AQ191" i="17" s="1"/>
  <c r="CL174" i="17"/>
  <c r="CM174" i="17" s="1"/>
  <c r="D174" i="17"/>
  <c r="F174" i="17" s="1"/>
  <c r="BN174" i="17"/>
  <c r="BO174" i="17" s="1"/>
  <c r="CC174" i="17"/>
  <c r="CD174" i="17" s="1"/>
  <c r="AJ174" i="17"/>
  <c r="AK174" i="17" s="1"/>
  <c r="AY174" i="17"/>
  <c r="AZ174" i="17" s="1"/>
  <c r="BX184" i="17" l="1"/>
  <c r="BZ184" i="17" s="1"/>
  <c r="BU185" i="17" s="1"/>
  <c r="CF185" i="17" s="1"/>
  <c r="BS181" i="17"/>
  <c r="CH184" i="17"/>
  <c r="CN174" i="17"/>
  <c r="AU191" i="17"/>
  <c r="AS191" i="17"/>
  <c r="BB191" i="17"/>
  <c r="BC191" i="17"/>
  <c r="AX191" i="17"/>
  <c r="CJ206" i="17"/>
  <c r="CK206" i="17" s="1"/>
  <c r="AF206" i="17"/>
  <c r="AM206" i="17"/>
  <c r="AN206" i="17"/>
  <c r="AD206" i="17"/>
  <c r="AI206" i="17"/>
  <c r="AL174" i="17"/>
  <c r="BY185" i="17"/>
  <c r="CE174" i="17"/>
  <c r="BI181" i="17"/>
  <c r="BK181" i="17" s="1"/>
  <c r="BF182" i="17" s="1"/>
  <c r="BA174" i="17"/>
  <c r="BP174" i="17"/>
  <c r="E175" i="17"/>
  <c r="C175" i="17"/>
  <c r="BW185" i="17" l="1"/>
  <c r="BX185" i="17" s="1"/>
  <c r="BZ185" i="17" s="1"/>
  <c r="BU186" i="17" s="1"/>
  <c r="CG185" i="17"/>
  <c r="AO206" i="17"/>
  <c r="BD191" i="17"/>
  <c r="BR182" i="17"/>
  <c r="BJ182" i="17"/>
  <c r="BH182" i="17"/>
  <c r="BQ182" i="17"/>
  <c r="AE206" i="17"/>
  <c r="AG206" i="17" s="1"/>
  <c r="AB207" i="17" s="1"/>
  <c r="AT191" i="17"/>
  <c r="AV191" i="17" s="1"/>
  <c r="AQ192" i="17" s="1"/>
  <c r="CL175" i="17"/>
  <c r="CM175" i="17" s="1"/>
  <c r="D175" i="17"/>
  <c r="F175" i="17" s="1"/>
  <c r="BN175" i="17"/>
  <c r="BO175" i="17" s="1"/>
  <c r="CC175" i="17"/>
  <c r="CD175" i="17" s="1"/>
  <c r="AJ175" i="17"/>
  <c r="AK175" i="17" s="1"/>
  <c r="AY175" i="17"/>
  <c r="AZ175" i="17" s="1"/>
  <c r="CH185" i="17" l="1"/>
  <c r="BS182" i="17"/>
  <c r="CJ207" i="17"/>
  <c r="CK207" i="17" s="1"/>
  <c r="AM207" i="17"/>
  <c r="AN207" i="17"/>
  <c r="AF207" i="17"/>
  <c r="AD207" i="17"/>
  <c r="AI207" i="17"/>
  <c r="BA175" i="17"/>
  <c r="CE175" i="17"/>
  <c r="BP175" i="17"/>
  <c r="BY186" i="17"/>
  <c r="BW186" i="17"/>
  <c r="CF186" i="17"/>
  <c r="CG186" i="17"/>
  <c r="E176" i="17"/>
  <c r="C176" i="17"/>
  <c r="BI182" i="17"/>
  <c r="BK182" i="17" s="1"/>
  <c r="BF183" i="17" s="1"/>
  <c r="CN175" i="17"/>
  <c r="AL175" i="17"/>
  <c r="AU192" i="17"/>
  <c r="AS192" i="17"/>
  <c r="BB192" i="17"/>
  <c r="BC192" i="17"/>
  <c r="AX192" i="17"/>
  <c r="AO207" i="17" l="1"/>
  <c r="BD192" i="17"/>
  <c r="CH186" i="17"/>
  <c r="BR183" i="17"/>
  <c r="BJ183" i="17"/>
  <c r="BH183" i="17"/>
  <c r="BQ183" i="17"/>
  <c r="CL176" i="17"/>
  <c r="CM176" i="17" s="1"/>
  <c r="D176" i="17"/>
  <c r="F176" i="17" s="1"/>
  <c r="BN176" i="17"/>
  <c r="BO176" i="17" s="1"/>
  <c r="CC176" i="17"/>
  <c r="CD176" i="17" s="1"/>
  <c r="AJ176" i="17"/>
  <c r="AK176" i="17" s="1"/>
  <c r="AY176" i="17"/>
  <c r="AZ176" i="17" s="1"/>
  <c r="BX186" i="17"/>
  <c r="BZ186" i="17" s="1"/>
  <c r="BU187" i="17" s="1"/>
  <c r="AT192" i="17"/>
  <c r="AV192" i="17" s="1"/>
  <c r="AQ193" i="17" s="1"/>
  <c r="AE207" i="17"/>
  <c r="AG207" i="17" s="1"/>
  <c r="AB208" i="17" s="1"/>
  <c r="BS183" i="17" l="1"/>
  <c r="E177" i="17"/>
  <c r="C177" i="17"/>
  <c r="CN176" i="17"/>
  <c r="BY187" i="17"/>
  <c r="BW187" i="17"/>
  <c r="CF187" i="17"/>
  <c r="CG187" i="17"/>
  <c r="BA176" i="17"/>
  <c r="CJ208" i="17"/>
  <c r="CK208" i="17" s="1"/>
  <c r="AF208" i="17"/>
  <c r="AD208" i="17"/>
  <c r="AM208" i="17"/>
  <c r="AN208" i="17"/>
  <c r="AI208" i="17"/>
  <c r="AL176" i="17"/>
  <c r="BI183" i="17"/>
  <c r="BK183" i="17" s="1"/>
  <c r="BF184" i="17" s="1"/>
  <c r="CE176" i="17"/>
  <c r="AU193" i="17"/>
  <c r="AS193" i="17"/>
  <c r="BB193" i="17"/>
  <c r="BC193" i="17"/>
  <c r="AX193" i="17"/>
  <c r="BP176" i="17"/>
  <c r="CH187" i="17" l="1"/>
  <c r="BD193" i="17"/>
  <c r="AO208" i="17"/>
  <c r="BR184" i="17"/>
  <c r="BJ184" i="17"/>
  <c r="BH184" i="17"/>
  <c r="BQ184" i="17"/>
  <c r="AE208" i="17"/>
  <c r="AG208" i="17" s="1"/>
  <c r="AB209" i="17" s="1"/>
  <c r="BX187" i="17"/>
  <c r="BZ187" i="17" s="1"/>
  <c r="BU188" i="17" s="1"/>
  <c r="CL177" i="17"/>
  <c r="CM177" i="17" s="1"/>
  <c r="D177" i="17"/>
  <c r="F177" i="17" s="1"/>
  <c r="BN177" i="17"/>
  <c r="BO177" i="17" s="1"/>
  <c r="CC177" i="17"/>
  <c r="CD177" i="17" s="1"/>
  <c r="AJ177" i="17"/>
  <c r="AK177" i="17" s="1"/>
  <c r="AY177" i="17"/>
  <c r="AZ177" i="17" s="1"/>
  <c r="AT193" i="17"/>
  <c r="AV193" i="17" s="1"/>
  <c r="AQ194" i="17" s="1"/>
  <c r="BS184" i="17" l="1"/>
  <c r="BY188" i="17"/>
  <c r="BW188" i="17"/>
  <c r="CF188" i="17"/>
  <c r="CG188" i="17"/>
  <c r="CJ209" i="17"/>
  <c r="CK209" i="17" s="1"/>
  <c r="AF209" i="17"/>
  <c r="AD209" i="17"/>
  <c r="AN209" i="17"/>
  <c r="AM209" i="17"/>
  <c r="AI209" i="17"/>
  <c r="AL177" i="17"/>
  <c r="BP177" i="17"/>
  <c r="BI184" i="17"/>
  <c r="BK184" i="17" s="1"/>
  <c r="BF185" i="17" s="1"/>
  <c r="AU194" i="17"/>
  <c r="AS194" i="17"/>
  <c r="BB194" i="17"/>
  <c r="BC194" i="17"/>
  <c r="AX194" i="17"/>
  <c r="CE177" i="17"/>
  <c r="E178" i="17"/>
  <c r="C178" i="17"/>
  <c r="BA177" i="17"/>
  <c r="CN177" i="17"/>
  <c r="CH188" i="17" l="1"/>
  <c r="BD194" i="17"/>
  <c r="AO209" i="17"/>
  <c r="CL178" i="17"/>
  <c r="CM178" i="17" s="1"/>
  <c r="D178" i="17"/>
  <c r="F178" i="17" s="1"/>
  <c r="BN178" i="17"/>
  <c r="BO178" i="17" s="1"/>
  <c r="CC178" i="17"/>
  <c r="CD178" i="17" s="1"/>
  <c r="AJ178" i="17"/>
  <c r="AK178" i="17" s="1"/>
  <c r="AY178" i="17"/>
  <c r="AZ178" i="17" s="1"/>
  <c r="AE209" i="17"/>
  <c r="AG209" i="17" s="1"/>
  <c r="AB210" i="17" s="1"/>
  <c r="AT194" i="17"/>
  <c r="AV194" i="17" s="1"/>
  <c r="AQ195" i="17" s="1"/>
  <c r="BR185" i="17"/>
  <c r="BJ185" i="17"/>
  <c r="BH185" i="17"/>
  <c r="BQ185" i="17"/>
  <c r="BX188" i="17"/>
  <c r="BZ188" i="17" s="1"/>
  <c r="BU189" i="17" s="1"/>
  <c r="BS185" i="17" l="1"/>
  <c r="AU195" i="17"/>
  <c r="AS195" i="17"/>
  <c r="BB195" i="17"/>
  <c r="BC195" i="17"/>
  <c r="AX195" i="17"/>
  <c r="BA178" i="17"/>
  <c r="AL178" i="17"/>
  <c r="CE178" i="17"/>
  <c r="BY189" i="17"/>
  <c r="BW189" i="17"/>
  <c r="CF189" i="17"/>
  <c r="CG189" i="17"/>
  <c r="BP178" i="17"/>
  <c r="BI185" i="17"/>
  <c r="BK185" i="17" s="1"/>
  <c r="BF186" i="17" s="1"/>
  <c r="E179" i="17"/>
  <c r="C179" i="17"/>
  <c r="CJ210" i="17"/>
  <c r="CK210" i="17" s="1"/>
  <c r="AN210" i="17"/>
  <c r="AF210" i="17"/>
  <c r="AD210" i="17"/>
  <c r="AM210" i="17"/>
  <c r="AI210" i="17"/>
  <c r="CN178" i="17"/>
  <c r="AO210" i="17" l="1"/>
  <c r="BD195" i="17"/>
  <c r="AE210" i="17"/>
  <c r="AG210" i="17" s="1"/>
  <c r="AB211" i="17" s="1"/>
  <c r="CH189" i="17"/>
  <c r="AT195" i="17"/>
  <c r="AV195" i="17" s="1"/>
  <c r="AQ196" i="17" s="1"/>
  <c r="D179" i="17"/>
  <c r="F179" i="17" s="1"/>
  <c r="CL179" i="17"/>
  <c r="CM179" i="17" s="1"/>
  <c r="BN179" i="17"/>
  <c r="BO179" i="17" s="1"/>
  <c r="CC179" i="17"/>
  <c r="CD179" i="17" s="1"/>
  <c r="AJ179" i="17"/>
  <c r="AK179" i="17" s="1"/>
  <c r="AY179" i="17"/>
  <c r="AZ179" i="17" s="1"/>
  <c r="BR186" i="17"/>
  <c r="BJ186" i="17"/>
  <c r="BH186" i="17"/>
  <c r="BQ186" i="17"/>
  <c r="BX189" i="17"/>
  <c r="BZ189" i="17" s="1"/>
  <c r="BU190" i="17" s="1"/>
  <c r="BS186" i="17" l="1"/>
  <c r="BY190" i="17"/>
  <c r="BW190" i="17"/>
  <c r="CF190" i="17"/>
  <c r="CG190" i="17"/>
  <c r="BP179" i="17"/>
  <c r="CN179" i="17"/>
  <c r="CE179" i="17"/>
  <c r="E180" i="17"/>
  <c r="C180" i="17"/>
  <c r="AU196" i="17"/>
  <c r="AS196" i="17"/>
  <c r="BB196" i="17"/>
  <c r="BC196" i="17"/>
  <c r="AX196" i="17"/>
  <c r="AL179" i="17"/>
  <c r="BI186" i="17"/>
  <c r="BK186" i="17" s="1"/>
  <c r="BF187" i="17" s="1"/>
  <c r="BA179" i="17"/>
  <c r="CJ211" i="17"/>
  <c r="CK211" i="17"/>
  <c r="AD211" i="17"/>
  <c r="AM211" i="17"/>
  <c r="AN211" i="17"/>
  <c r="AF211" i="17"/>
  <c r="AI211" i="17"/>
  <c r="AO211" i="17" l="1"/>
  <c r="BD196" i="17"/>
  <c r="CL180" i="17"/>
  <c r="CM180" i="17" s="1"/>
  <c r="D180" i="17"/>
  <c r="F180" i="17" s="1"/>
  <c r="BN180" i="17"/>
  <c r="BO180" i="17" s="1"/>
  <c r="CC180" i="17"/>
  <c r="CD180" i="17" s="1"/>
  <c r="AJ180" i="17"/>
  <c r="AK180" i="17" s="1"/>
  <c r="AY180" i="17"/>
  <c r="AZ180" i="17" s="1"/>
  <c r="AE211" i="17"/>
  <c r="AG211" i="17" s="1"/>
  <c r="AB212" i="17" s="1"/>
  <c r="BR187" i="17"/>
  <c r="BJ187" i="17"/>
  <c r="BH187" i="17"/>
  <c r="BQ187" i="17"/>
  <c r="CH190" i="17"/>
  <c r="AT196" i="17"/>
  <c r="AV196" i="17" s="1"/>
  <c r="AQ197" i="17" s="1"/>
  <c r="BX190" i="17"/>
  <c r="BZ190" i="17" s="1"/>
  <c r="BU191" i="17" s="1"/>
  <c r="BS187" i="17" l="1"/>
  <c r="BA180" i="17"/>
  <c r="AL180" i="17"/>
  <c r="CJ212" i="17"/>
  <c r="CK212" i="17" s="1"/>
  <c r="AD212" i="17"/>
  <c r="AF212" i="17"/>
  <c r="AM212" i="17"/>
  <c r="AN212" i="17"/>
  <c r="AI212" i="17"/>
  <c r="CE180" i="17"/>
  <c r="AU197" i="17"/>
  <c r="AS197" i="17"/>
  <c r="BB197" i="17"/>
  <c r="BC197" i="17"/>
  <c r="AX197" i="17"/>
  <c r="BP180" i="17"/>
  <c r="E181" i="17"/>
  <c r="C181" i="17"/>
  <c r="BY191" i="17"/>
  <c r="BW191" i="17"/>
  <c r="CF191" i="17"/>
  <c r="CG191" i="17"/>
  <c r="BI187" i="17"/>
  <c r="BK187" i="17" s="1"/>
  <c r="BF188" i="17" s="1"/>
  <c r="CN180" i="17"/>
  <c r="AO212" i="17" l="1"/>
  <c r="BD197" i="17"/>
  <c r="AT197" i="17"/>
  <c r="AV197" i="17" s="1"/>
  <c r="AQ198" i="17" s="1"/>
  <c r="CH191" i="17"/>
  <c r="AE212" i="17"/>
  <c r="AG212" i="17" s="1"/>
  <c r="AB213" i="17" s="1"/>
  <c r="BX191" i="17"/>
  <c r="BZ191" i="17" s="1"/>
  <c r="BU192" i="17" s="1"/>
  <c r="BJ188" i="17"/>
  <c r="BH188" i="17"/>
  <c r="BQ188" i="17"/>
  <c r="BR188" i="17"/>
  <c r="D181" i="17"/>
  <c r="F181" i="17" s="1"/>
  <c r="CL181" i="17"/>
  <c r="CM181" i="17" s="1"/>
  <c r="BN181" i="17"/>
  <c r="BO181" i="17" s="1"/>
  <c r="CC181" i="17"/>
  <c r="CD181" i="17" s="1"/>
  <c r="AJ181" i="17"/>
  <c r="AK181" i="17" s="1"/>
  <c r="AY181" i="17"/>
  <c r="AZ181" i="17" s="1"/>
  <c r="BS188" i="17" l="1"/>
  <c r="BA181" i="17"/>
  <c r="BI188" i="17"/>
  <c r="BK188" i="17" s="1"/>
  <c r="BF189" i="17" s="1"/>
  <c r="AL181" i="17"/>
  <c r="BY192" i="17"/>
  <c r="BW192" i="17"/>
  <c r="CF192" i="17"/>
  <c r="CG192" i="17"/>
  <c r="CE181" i="17"/>
  <c r="CJ213" i="17"/>
  <c r="CK213" i="17" s="1"/>
  <c r="AF213" i="17"/>
  <c r="AD213" i="17"/>
  <c r="AM213" i="17"/>
  <c r="AN213" i="17"/>
  <c r="AI213" i="17"/>
  <c r="CN181" i="17"/>
  <c r="BP181" i="17"/>
  <c r="E182" i="17"/>
  <c r="C182" i="17"/>
  <c r="AU198" i="17"/>
  <c r="AS198" i="17"/>
  <c r="BB198" i="17"/>
  <c r="BC198" i="17"/>
  <c r="AX198" i="17"/>
  <c r="BD198" i="17" l="1"/>
  <c r="CH192" i="17"/>
  <c r="AO213" i="17"/>
  <c r="AE213" i="17"/>
  <c r="AG213" i="17" s="1"/>
  <c r="AB214" i="17" s="1"/>
  <c r="BX192" i="17"/>
  <c r="BZ192" i="17" s="1"/>
  <c r="BU193" i="17" s="1"/>
  <c r="BJ189" i="17"/>
  <c r="BH189" i="17"/>
  <c r="BS189" i="17" s="1"/>
  <c r="BQ189" i="17"/>
  <c r="BR189" i="17"/>
  <c r="AT198" i="17"/>
  <c r="AV198" i="17" s="1"/>
  <c r="AQ199" i="17" s="1"/>
  <c r="CL182" i="17"/>
  <c r="CM182" i="17" s="1"/>
  <c r="D182" i="17"/>
  <c r="F182" i="17" s="1"/>
  <c r="BN182" i="17"/>
  <c r="BO182" i="17" s="1"/>
  <c r="CC182" i="17"/>
  <c r="CD182" i="17" s="1"/>
  <c r="AJ182" i="17"/>
  <c r="AK182" i="17" s="1"/>
  <c r="AY182" i="17"/>
  <c r="AZ182" i="17" s="1"/>
  <c r="CE182" i="17" l="1"/>
  <c r="BP182" i="17"/>
  <c r="BI189" i="17"/>
  <c r="BK189" i="17" s="1"/>
  <c r="BF190" i="17" s="1"/>
  <c r="BA182" i="17"/>
  <c r="E183" i="17"/>
  <c r="C183" i="17"/>
  <c r="CN182" i="17"/>
  <c r="BY193" i="17"/>
  <c r="BW193" i="17"/>
  <c r="CF193" i="17"/>
  <c r="CG193" i="17"/>
  <c r="AL182" i="17"/>
  <c r="AU199" i="17"/>
  <c r="AS199" i="17"/>
  <c r="BB199" i="17"/>
  <c r="BC199" i="17"/>
  <c r="AX199" i="17"/>
  <c r="CJ214" i="17"/>
  <c r="CK214" i="17" s="1"/>
  <c r="AN214" i="17"/>
  <c r="AF214" i="17"/>
  <c r="AD214" i="17"/>
  <c r="AM214" i="17"/>
  <c r="AI214" i="17"/>
  <c r="BD199" i="17" l="1"/>
  <c r="AO214" i="17"/>
  <c r="CH193" i="17"/>
  <c r="AT199" i="17"/>
  <c r="AV199" i="17" s="1"/>
  <c r="AQ200" i="17" s="1"/>
  <c r="BX193" i="17"/>
  <c r="BZ193" i="17" s="1"/>
  <c r="BU194" i="17" s="1"/>
  <c r="BJ190" i="17"/>
  <c r="BH190" i="17"/>
  <c r="BQ190" i="17"/>
  <c r="BR190" i="17"/>
  <c r="AE214" i="17"/>
  <c r="AG214" i="17" s="1"/>
  <c r="AB215" i="17" s="1"/>
  <c r="D183" i="17"/>
  <c r="F183" i="17" s="1"/>
  <c r="CL183" i="17"/>
  <c r="CM183" i="17" s="1"/>
  <c r="BN183" i="17"/>
  <c r="BO183" i="17" s="1"/>
  <c r="CC183" i="17"/>
  <c r="CD183" i="17" s="1"/>
  <c r="AJ183" i="17"/>
  <c r="AK183" i="17" s="1"/>
  <c r="AY183" i="17"/>
  <c r="AZ183" i="17" s="1"/>
  <c r="BS190" i="17" l="1"/>
  <c r="BP183" i="17"/>
  <c r="BI190" i="17"/>
  <c r="BK190" i="17" s="1"/>
  <c r="BF191" i="17" s="1"/>
  <c r="BA183" i="17"/>
  <c r="CN183" i="17"/>
  <c r="AL183" i="17"/>
  <c r="E184" i="17"/>
  <c r="C184" i="17"/>
  <c r="BY194" i="17"/>
  <c r="BW194" i="17"/>
  <c r="CF194" i="17"/>
  <c r="CG194" i="17"/>
  <c r="CE183" i="17"/>
  <c r="CJ215" i="17"/>
  <c r="CK215" i="17" s="1"/>
  <c r="AM215" i="17"/>
  <c r="AF215" i="17"/>
  <c r="AD215" i="17"/>
  <c r="AN215" i="17"/>
  <c r="AI215" i="17"/>
  <c r="AU200" i="17"/>
  <c r="AS200" i="17"/>
  <c r="BB200" i="17"/>
  <c r="BC200" i="17"/>
  <c r="AX200" i="17"/>
  <c r="BD200" i="17" l="1"/>
  <c r="AO215" i="17"/>
  <c r="CH194" i="17"/>
  <c r="AE215" i="17"/>
  <c r="AG215" i="17" s="1"/>
  <c r="AB216" i="17" s="1"/>
  <c r="BX194" i="17"/>
  <c r="BZ194" i="17" s="1"/>
  <c r="BU195" i="17" s="1"/>
  <c r="AT200" i="17"/>
  <c r="AV200" i="17" s="1"/>
  <c r="AQ201" i="17" s="1"/>
  <c r="CL184" i="17"/>
  <c r="CM184" i="17" s="1"/>
  <c r="D184" i="17"/>
  <c r="F184" i="17" s="1"/>
  <c r="BN184" i="17"/>
  <c r="BO184" i="17" s="1"/>
  <c r="CC184" i="17"/>
  <c r="CD184" i="17" s="1"/>
  <c r="AJ184" i="17"/>
  <c r="AK184" i="17" s="1"/>
  <c r="AY184" i="17"/>
  <c r="AZ184" i="17" s="1"/>
  <c r="BJ191" i="17"/>
  <c r="BH191" i="17"/>
  <c r="BQ191" i="17"/>
  <c r="BR191" i="17"/>
  <c r="BS191" i="17" l="1"/>
  <c r="AL184" i="17"/>
  <c r="BP184" i="17"/>
  <c r="E185" i="17"/>
  <c r="C185" i="17"/>
  <c r="CN184" i="17"/>
  <c r="CE184" i="17"/>
  <c r="AU201" i="17"/>
  <c r="AS201" i="17"/>
  <c r="BB201" i="17"/>
  <c r="BC201" i="17"/>
  <c r="AX201" i="17"/>
  <c r="BI191" i="17"/>
  <c r="BK191" i="17" s="1"/>
  <c r="BF192" i="17" s="1"/>
  <c r="BY195" i="17"/>
  <c r="BW195" i="17"/>
  <c r="CH195" i="17" s="1"/>
  <c r="CF195" i="17"/>
  <c r="CG195" i="17"/>
  <c r="BA184" i="17"/>
  <c r="CJ216" i="17"/>
  <c r="CK216" i="17" s="1"/>
  <c r="AD216" i="17"/>
  <c r="AF216" i="17"/>
  <c r="AM216" i="17"/>
  <c r="AN216" i="17"/>
  <c r="AI216" i="17"/>
  <c r="BX195" i="17" l="1"/>
  <c r="BZ195" i="17" s="1"/>
  <c r="BU196" i="17" s="1"/>
  <c r="BY196" i="17" s="1"/>
  <c r="AO216" i="17"/>
  <c r="BD201" i="17"/>
  <c r="BJ192" i="17"/>
  <c r="BH192" i="17"/>
  <c r="BS192" i="17" s="1"/>
  <c r="BQ192" i="17"/>
  <c r="BR192" i="17"/>
  <c r="D185" i="17"/>
  <c r="F185" i="17" s="1"/>
  <c r="CL185" i="17"/>
  <c r="CM185" i="17" s="1"/>
  <c r="BN185" i="17"/>
  <c r="BO185" i="17" s="1"/>
  <c r="CC185" i="17"/>
  <c r="CD185" i="17" s="1"/>
  <c r="AJ185" i="17"/>
  <c r="AK185" i="17" s="1"/>
  <c r="AY185" i="17"/>
  <c r="AZ185" i="17" s="1"/>
  <c r="AE216" i="17"/>
  <c r="AG216" i="17" s="1"/>
  <c r="AB217" i="17" s="1"/>
  <c r="AT201" i="17"/>
  <c r="AV201" i="17" s="1"/>
  <c r="AQ202" i="17" s="1"/>
  <c r="CG196" i="17" l="1"/>
  <c r="CF196" i="17"/>
  <c r="BW196" i="17"/>
  <c r="CH196" i="17" s="1"/>
  <c r="CE185" i="17"/>
  <c r="BI192" i="17"/>
  <c r="BK192" i="17" s="1"/>
  <c r="BF193" i="17" s="1"/>
  <c r="BP185" i="17"/>
  <c r="CN185" i="17"/>
  <c r="E186" i="17"/>
  <c r="C186" i="17"/>
  <c r="AU202" i="17"/>
  <c r="AS202" i="17"/>
  <c r="BB202" i="17"/>
  <c r="BC202" i="17"/>
  <c r="AX202" i="17"/>
  <c r="CJ217" i="17"/>
  <c r="CK217" i="17" s="1"/>
  <c r="AF217" i="17"/>
  <c r="AD217" i="17"/>
  <c r="AM217" i="17"/>
  <c r="AN217" i="17"/>
  <c r="AI217" i="17"/>
  <c r="BA185" i="17"/>
  <c r="AL185" i="17"/>
  <c r="BX196" i="17"/>
  <c r="BZ196" i="17" s="1"/>
  <c r="BU197" i="17" s="1"/>
  <c r="AE217" i="17" l="1"/>
  <c r="AG217" i="17" s="1"/>
  <c r="AB218" i="17" s="1"/>
  <c r="CJ218" i="17" s="1"/>
  <c r="CK218" i="17" s="1"/>
  <c r="BD202" i="17"/>
  <c r="AF218" i="17"/>
  <c r="AD218" i="17"/>
  <c r="AM218" i="17"/>
  <c r="AI218" i="17"/>
  <c r="BY197" i="17"/>
  <c r="BW197" i="17"/>
  <c r="CF197" i="17"/>
  <c r="CG197" i="17"/>
  <c r="AT202" i="17"/>
  <c r="AV202" i="17" s="1"/>
  <c r="AQ203" i="17" s="1"/>
  <c r="BJ193" i="17"/>
  <c r="BH193" i="17"/>
  <c r="BS193" i="17" s="1"/>
  <c r="BQ193" i="17"/>
  <c r="BR193" i="17"/>
  <c r="AO217" i="17"/>
  <c r="CL186" i="17"/>
  <c r="CM186" i="17" s="1"/>
  <c r="D186" i="17"/>
  <c r="F186" i="17" s="1"/>
  <c r="BN186" i="17"/>
  <c r="BO186" i="17" s="1"/>
  <c r="CC186" i="17"/>
  <c r="CD186" i="17" s="1"/>
  <c r="AJ186" i="17"/>
  <c r="AK186" i="17" s="1"/>
  <c r="AY186" i="17"/>
  <c r="AZ186" i="17" s="1"/>
  <c r="AN218" i="17" l="1"/>
  <c r="AE218" i="17"/>
  <c r="AG218" i="17" s="1"/>
  <c r="AB219" i="17" s="1"/>
  <c r="CJ219" i="17" s="1"/>
  <c r="CK219" i="17" s="1"/>
  <c r="CH197" i="17"/>
  <c r="AN219" i="17"/>
  <c r="AI219" i="17"/>
  <c r="CE186" i="17"/>
  <c r="BI193" i="17"/>
  <c r="BK193" i="17" s="1"/>
  <c r="BF194" i="17" s="1"/>
  <c r="AU203" i="17"/>
  <c r="AS203" i="17"/>
  <c r="BB203" i="17"/>
  <c r="BC203" i="17"/>
  <c r="AX203" i="17"/>
  <c r="BP186" i="17"/>
  <c r="CN186" i="17"/>
  <c r="BX197" i="17"/>
  <c r="BZ197" i="17" s="1"/>
  <c r="BU198" i="17" s="1"/>
  <c r="AL186" i="17"/>
  <c r="E187" i="17"/>
  <c r="C187" i="17"/>
  <c r="BA186" i="17"/>
  <c r="AO218" i="17"/>
  <c r="AM219" i="17" l="1"/>
  <c r="AD219" i="17"/>
  <c r="AO219" i="17" s="1"/>
  <c r="AF219" i="17"/>
  <c r="BD203" i="17"/>
  <c r="BY198" i="17"/>
  <c r="BW198" i="17"/>
  <c r="CF198" i="17"/>
  <c r="CG198" i="17"/>
  <c r="AT203" i="17"/>
  <c r="AV203" i="17" s="1"/>
  <c r="AQ204" i="17" s="1"/>
  <c r="D187" i="17"/>
  <c r="F187" i="17" s="1"/>
  <c r="CL187" i="17"/>
  <c r="CM187" i="17" s="1"/>
  <c r="BN187" i="17"/>
  <c r="BO187" i="17" s="1"/>
  <c r="CC187" i="17"/>
  <c r="CD187" i="17" s="1"/>
  <c r="AJ187" i="17"/>
  <c r="AK187" i="17" s="1"/>
  <c r="AY187" i="17"/>
  <c r="AZ187" i="17" s="1"/>
  <c r="AE219" i="17"/>
  <c r="AG219" i="17" s="1"/>
  <c r="AB220" i="17" s="1"/>
  <c r="BJ194" i="17"/>
  <c r="BH194" i="17"/>
  <c r="BQ194" i="17"/>
  <c r="BR194" i="17"/>
  <c r="BS194" i="17" l="1"/>
  <c r="CH198" i="17"/>
  <c r="BI194" i="17"/>
  <c r="BK194" i="17" s="1"/>
  <c r="BF195" i="17" s="1"/>
  <c r="E188" i="17"/>
  <c r="C188" i="17"/>
  <c r="AU204" i="17"/>
  <c r="AS204" i="17"/>
  <c r="BB204" i="17"/>
  <c r="BC204" i="17"/>
  <c r="AX204" i="17"/>
  <c r="CJ220" i="17"/>
  <c r="CK220" i="17" s="1"/>
  <c r="AD220" i="17"/>
  <c r="AM220" i="17"/>
  <c r="AN220" i="17"/>
  <c r="AF220" i="17"/>
  <c r="AI220" i="17"/>
  <c r="BA187" i="17"/>
  <c r="AL187" i="17"/>
  <c r="CE187" i="17"/>
  <c r="BP187" i="17"/>
  <c r="CN187" i="17"/>
  <c r="BX198" i="17"/>
  <c r="BZ198" i="17" s="1"/>
  <c r="BU199" i="17" s="1"/>
  <c r="BD204" i="17" l="1"/>
  <c r="AO220" i="17"/>
  <c r="AE220" i="17"/>
  <c r="AG220" i="17" s="1"/>
  <c r="AB221" i="17" s="1"/>
  <c r="AT204" i="17"/>
  <c r="AV204" i="17" s="1"/>
  <c r="AQ205" i="17" s="1"/>
  <c r="CL188" i="17"/>
  <c r="CM188" i="17" s="1"/>
  <c r="D188" i="17"/>
  <c r="F188" i="17" s="1"/>
  <c r="BN188" i="17"/>
  <c r="BO188" i="17" s="1"/>
  <c r="CC188" i="17"/>
  <c r="CD188" i="17" s="1"/>
  <c r="AJ188" i="17"/>
  <c r="AK188" i="17" s="1"/>
  <c r="AY188" i="17"/>
  <c r="AZ188" i="17" s="1"/>
  <c r="BY199" i="17"/>
  <c r="BW199" i="17"/>
  <c r="CF199" i="17"/>
  <c r="CG199" i="17"/>
  <c r="BJ195" i="17"/>
  <c r="BH195" i="17"/>
  <c r="BQ195" i="17"/>
  <c r="BR195" i="17"/>
  <c r="BS195" i="17" l="1"/>
  <c r="CH199" i="17"/>
  <c r="BI195" i="17"/>
  <c r="BK195" i="17" s="1"/>
  <c r="BF196" i="17" s="1"/>
  <c r="BA188" i="17"/>
  <c r="AL188" i="17"/>
  <c r="CE188" i="17"/>
  <c r="BP188" i="17"/>
  <c r="E189" i="17"/>
  <c r="C189" i="17"/>
  <c r="CN188" i="17"/>
  <c r="AU205" i="17"/>
  <c r="AS205" i="17"/>
  <c r="AT205" i="17" s="1"/>
  <c r="AV205" i="17" s="1"/>
  <c r="AQ206" i="17" s="1"/>
  <c r="BB205" i="17"/>
  <c r="BC205" i="17"/>
  <c r="AX205" i="17"/>
  <c r="BX199" i="17"/>
  <c r="BZ199" i="17" s="1"/>
  <c r="BU200" i="17" s="1"/>
  <c r="CJ221" i="17"/>
  <c r="CK221" i="17" s="1"/>
  <c r="AF221" i="17"/>
  <c r="AD221" i="17"/>
  <c r="AM221" i="17"/>
  <c r="AN221" i="17"/>
  <c r="AI221" i="17"/>
  <c r="AO221" i="17" l="1"/>
  <c r="AU206" i="17"/>
  <c r="AS206" i="17"/>
  <c r="BB206" i="17"/>
  <c r="BC206" i="17"/>
  <c r="AX206" i="17"/>
  <c r="D189" i="17"/>
  <c r="F189" i="17" s="1"/>
  <c r="CL189" i="17"/>
  <c r="CM189" i="17" s="1"/>
  <c r="BN189" i="17"/>
  <c r="BO189" i="17" s="1"/>
  <c r="CC189" i="17"/>
  <c r="CD189" i="17" s="1"/>
  <c r="AJ189" i="17"/>
  <c r="AK189" i="17" s="1"/>
  <c r="AY189" i="17"/>
  <c r="AZ189" i="17" s="1"/>
  <c r="AE221" i="17"/>
  <c r="AG221" i="17" s="1"/>
  <c r="AB222" i="17" s="1"/>
  <c r="BD205" i="17"/>
  <c r="BY200" i="17"/>
  <c r="BW200" i="17"/>
  <c r="CF200" i="17"/>
  <c r="CG200" i="17"/>
  <c r="BJ196" i="17"/>
  <c r="BH196" i="17"/>
  <c r="BQ196" i="17"/>
  <c r="BR196" i="17"/>
  <c r="CH200" i="17" l="1"/>
  <c r="BD206" i="17"/>
  <c r="BS196" i="17"/>
  <c r="BA189" i="17"/>
  <c r="AL189" i="17"/>
  <c r="CE189" i="17"/>
  <c r="BP189" i="17"/>
  <c r="BX200" i="17"/>
  <c r="BZ200" i="17" s="1"/>
  <c r="BU201" i="17" s="1"/>
  <c r="E190" i="17"/>
  <c r="C190" i="17"/>
  <c r="AT206" i="17"/>
  <c r="AV206" i="17" s="1"/>
  <c r="AQ207" i="17" s="1"/>
  <c r="CN189" i="17"/>
  <c r="BI196" i="17"/>
  <c r="BK196" i="17" s="1"/>
  <c r="BF197" i="17" s="1"/>
  <c r="CJ222" i="17"/>
  <c r="CK222" i="17"/>
  <c r="AF222" i="17"/>
  <c r="AD222" i="17"/>
  <c r="AM222" i="17"/>
  <c r="AN222" i="17"/>
  <c r="AI222" i="17"/>
  <c r="AO222" i="17" l="1"/>
  <c r="BJ197" i="17"/>
  <c r="BH197" i="17"/>
  <c r="BQ197" i="17"/>
  <c r="BR197" i="17"/>
  <c r="AU207" i="17"/>
  <c r="AS207" i="17"/>
  <c r="AT207" i="17" s="1"/>
  <c r="AV207" i="17" s="1"/>
  <c r="AQ208" i="17" s="1"/>
  <c r="BB207" i="17"/>
  <c r="BC207" i="17"/>
  <c r="AX207" i="17"/>
  <c r="CL190" i="17"/>
  <c r="CM190" i="17" s="1"/>
  <c r="D190" i="17"/>
  <c r="F190" i="17" s="1"/>
  <c r="BN190" i="17"/>
  <c r="BO190" i="17" s="1"/>
  <c r="CC190" i="17"/>
  <c r="CD190" i="17" s="1"/>
  <c r="AJ190" i="17"/>
  <c r="AK190" i="17" s="1"/>
  <c r="AY190" i="17"/>
  <c r="AZ190" i="17" s="1"/>
  <c r="AE222" i="17"/>
  <c r="AG222" i="17" s="1"/>
  <c r="AB223" i="17" s="1"/>
  <c r="BY201" i="17"/>
  <c r="BW201" i="17"/>
  <c r="BX201" i="17" s="1"/>
  <c r="BZ201" i="17" s="1"/>
  <c r="BU202" i="17" s="1"/>
  <c r="CF201" i="17"/>
  <c r="CG201" i="17"/>
  <c r="BS197" i="17" l="1"/>
  <c r="AU208" i="17"/>
  <c r="AS208" i="17"/>
  <c r="BB208" i="17"/>
  <c r="BC208" i="17"/>
  <c r="AX208" i="17"/>
  <c r="BY202" i="17"/>
  <c r="BW202" i="17"/>
  <c r="CH202" i="17" s="1"/>
  <c r="CF202" i="17"/>
  <c r="CG202" i="17"/>
  <c r="CJ223" i="17"/>
  <c r="CK223" i="17" s="1"/>
  <c r="AM223" i="17"/>
  <c r="AN223" i="17"/>
  <c r="AF223" i="17"/>
  <c r="AD223" i="17"/>
  <c r="AI223" i="17"/>
  <c r="BA190" i="17"/>
  <c r="AL190" i="17"/>
  <c r="CE190" i="17"/>
  <c r="BP190" i="17"/>
  <c r="BD207" i="17"/>
  <c r="BI197" i="17"/>
  <c r="BK197" i="17" s="1"/>
  <c r="BF198" i="17" s="1"/>
  <c r="CH201" i="17"/>
  <c r="E191" i="17"/>
  <c r="C191" i="17"/>
  <c r="CN190" i="17"/>
  <c r="AO223" i="17" l="1"/>
  <c r="BD208" i="17"/>
  <c r="BJ198" i="17"/>
  <c r="BH198" i="17"/>
  <c r="BQ198" i="17"/>
  <c r="BR198" i="17"/>
  <c r="D191" i="17"/>
  <c r="F191" i="17" s="1"/>
  <c r="CL191" i="17"/>
  <c r="CM191" i="17" s="1"/>
  <c r="BN191" i="17"/>
  <c r="BO191" i="17" s="1"/>
  <c r="CC191" i="17"/>
  <c r="CD191" i="17" s="1"/>
  <c r="AJ191" i="17"/>
  <c r="AK191" i="17" s="1"/>
  <c r="AY191" i="17"/>
  <c r="AZ191" i="17" s="1"/>
  <c r="BX202" i="17"/>
  <c r="BZ202" i="17" s="1"/>
  <c r="BU203" i="17" s="1"/>
  <c r="AE223" i="17"/>
  <c r="AG223" i="17" s="1"/>
  <c r="AB224" i="17" s="1"/>
  <c r="AT208" i="17"/>
  <c r="AV208" i="17" s="1"/>
  <c r="AQ209" i="17" s="1"/>
  <c r="BS198" i="17" l="1"/>
  <c r="CN191" i="17"/>
  <c r="BY203" i="17"/>
  <c r="BW203" i="17"/>
  <c r="CF203" i="17"/>
  <c r="CG203" i="17"/>
  <c r="AU209" i="17"/>
  <c r="AS209" i="17"/>
  <c r="BB209" i="17"/>
  <c r="BC209" i="17"/>
  <c r="AX209" i="17"/>
  <c r="AL191" i="17"/>
  <c r="E192" i="17"/>
  <c r="C192" i="17"/>
  <c r="CE191" i="17"/>
  <c r="BI198" i="17"/>
  <c r="BK198" i="17" s="1"/>
  <c r="BF199" i="17" s="1"/>
  <c r="CJ224" i="17"/>
  <c r="CK224" i="17"/>
  <c r="AF224" i="17"/>
  <c r="AD224" i="17"/>
  <c r="AM224" i="17"/>
  <c r="AN224" i="17"/>
  <c r="AI224" i="17"/>
  <c r="BA191" i="17"/>
  <c r="BP191" i="17"/>
  <c r="AO224" i="17" l="1"/>
  <c r="CH203" i="17"/>
  <c r="CL192" i="17"/>
  <c r="CM192" i="17" s="1"/>
  <c r="D192" i="17"/>
  <c r="F192" i="17" s="1"/>
  <c r="BN192" i="17"/>
  <c r="BO192" i="17" s="1"/>
  <c r="CC192" i="17"/>
  <c r="CD192" i="17" s="1"/>
  <c r="AJ192" i="17"/>
  <c r="AK192" i="17" s="1"/>
  <c r="AY192" i="17"/>
  <c r="AZ192" i="17" s="1"/>
  <c r="BD209" i="17"/>
  <c r="AE224" i="17"/>
  <c r="AG224" i="17" s="1"/>
  <c r="AB225" i="17" s="1"/>
  <c r="BX203" i="17"/>
  <c r="BZ203" i="17" s="1"/>
  <c r="BU204" i="17" s="1"/>
  <c r="BJ199" i="17"/>
  <c r="BH199" i="17"/>
  <c r="BQ199" i="17"/>
  <c r="BR199" i="17"/>
  <c r="AT209" i="17"/>
  <c r="AV209" i="17" s="1"/>
  <c r="AQ210" i="17" s="1"/>
  <c r="BS199" i="17" l="1"/>
  <c r="CJ225" i="17"/>
  <c r="CK225" i="17" s="1"/>
  <c r="AF225" i="17"/>
  <c r="AD225" i="17"/>
  <c r="AM225" i="17"/>
  <c r="AN225" i="17"/>
  <c r="AI225" i="17"/>
  <c r="BA192" i="17"/>
  <c r="AU210" i="17"/>
  <c r="AS210" i="17"/>
  <c r="BB210" i="17"/>
  <c r="BC210" i="17"/>
  <c r="AX210" i="17"/>
  <c r="CE192" i="17"/>
  <c r="BP192" i="17"/>
  <c r="AL192" i="17"/>
  <c r="BI199" i="17"/>
  <c r="BK199" i="17" s="1"/>
  <c r="BF200" i="17" s="1"/>
  <c r="E193" i="17"/>
  <c r="C193" i="17"/>
  <c r="BY204" i="17"/>
  <c r="BW204" i="17"/>
  <c r="CF204" i="17"/>
  <c r="CG204" i="17"/>
  <c r="CN192" i="17"/>
  <c r="CH204" i="17" l="1"/>
  <c r="AO225" i="17"/>
  <c r="BX204" i="17"/>
  <c r="BZ204" i="17" s="1"/>
  <c r="BU205" i="17" s="1"/>
  <c r="BD210" i="17"/>
  <c r="D193" i="17"/>
  <c r="F193" i="17" s="1"/>
  <c r="CL193" i="17"/>
  <c r="CM193" i="17" s="1"/>
  <c r="BN193" i="17"/>
  <c r="BO193" i="17" s="1"/>
  <c r="CC193" i="17"/>
  <c r="CD193" i="17" s="1"/>
  <c r="AJ193" i="17"/>
  <c r="AK193" i="17" s="1"/>
  <c r="AY193" i="17"/>
  <c r="AZ193" i="17" s="1"/>
  <c r="AT210" i="17"/>
  <c r="AV210" i="17" s="1"/>
  <c r="AQ211" i="17" s="1"/>
  <c r="BJ200" i="17"/>
  <c r="BH200" i="17"/>
  <c r="BQ200" i="17"/>
  <c r="BR200" i="17"/>
  <c r="AE225" i="17"/>
  <c r="AG225" i="17" s="1"/>
  <c r="AB226" i="17" s="1"/>
  <c r="BS200" i="17" l="1"/>
  <c r="BA193" i="17"/>
  <c r="CE193" i="17"/>
  <c r="AL193" i="17"/>
  <c r="CJ226" i="17"/>
  <c r="CK226" i="17" s="1"/>
  <c r="AN226" i="17"/>
  <c r="AF226" i="17"/>
  <c r="AD226" i="17"/>
  <c r="AM226" i="17"/>
  <c r="AI226" i="17"/>
  <c r="CN193" i="17"/>
  <c r="E194" i="17"/>
  <c r="C194" i="17"/>
  <c r="BP193" i="17"/>
  <c r="BI200" i="17"/>
  <c r="BK200" i="17" s="1"/>
  <c r="BF201" i="17" s="1"/>
  <c r="AU211" i="17"/>
  <c r="AS211" i="17"/>
  <c r="BB211" i="17"/>
  <c r="BC211" i="17"/>
  <c r="AX211" i="17"/>
  <c r="BY205" i="17"/>
  <c r="BW205" i="17"/>
  <c r="BX205" i="17" s="1"/>
  <c r="BZ205" i="17" s="1"/>
  <c r="BU206" i="17" s="1"/>
  <c r="CF205" i="17"/>
  <c r="CG205" i="17"/>
  <c r="AO226" i="17" l="1"/>
  <c r="BD211" i="17"/>
  <c r="BY206" i="17"/>
  <c r="BW206" i="17"/>
  <c r="CF206" i="17"/>
  <c r="CG206" i="17"/>
  <c r="CL194" i="17"/>
  <c r="CM194" i="17" s="1"/>
  <c r="D194" i="17"/>
  <c r="F194" i="17" s="1"/>
  <c r="BN194" i="17"/>
  <c r="BO194" i="17" s="1"/>
  <c r="CC194" i="17"/>
  <c r="CD194" i="17" s="1"/>
  <c r="AJ194" i="17"/>
  <c r="AK194" i="17" s="1"/>
  <c r="AY194" i="17"/>
  <c r="AZ194" i="17" s="1"/>
  <c r="AE226" i="17"/>
  <c r="AG226" i="17" s="1"/>
  <c r="AB227" i="17" s="1"/>
  <c r="AT211" i="17"/>
  <c r="AV211" i="17" s="1"/>
  <c r="AQ212" i="17" s="1"/>
  <c r="BJ201" i="17"/>
  <c r="BH201" i="17"/>
  <c r="BQ201" i="17"/>
  <c r="BR201" i="17"/>
  <c r="CH205" i="17"/>
  <c r="BS201" i="17" l="1"/>
  <c r="CH206" i="17"/>
  <c r="BI201" i="17"/>
  <c r="BK201" i="17" s="1"/>
  <c r="BF202" i="17" s="1"/>
  <c r="E195" i="17"/>
  <c r="C195" i="17"/>
  <c r="CN194" i="17"/>
  <c r="AU212" i="17"/>
  <c r="AS212" i="17"/>
  <c r="BB212" i="17"/>
  <c r="BC212" i="17"/>
  <c r="AX212" i="17"/>
  <c r="BA194" i="17"/>
  <c r="CE194" i="17"/>
  <c r="AF227" i="17"/>
  <c r="AD227" i="17"/>
  <c r="AE227" i="17" s="1"/>
  <c r="AG227" i="17" s="1"/>
  <c r="AB228" i="17" s="1"/>
  <c r="AM227" i="17"/>
  <c r="AN227" i="17"/>
  <c r="CJ227" i="17"/>
  <c r="CK227" i="17" s="1"/>
  <c r="AI227" i="17"/>
  <c r="AL194" i="17"/>
  <c r="BP194" i="17"/>
  <c r="BX206" i="17"/>
  <c r="BZ206" i="17" s="1"/>
  <c r="BU207" i="17" s="1"/>
  <c r="AT212" i="17" l="1"/>
  <c r="AV212" i="17" s="1"/>
  <c r="AQ213" i="17" s="1"/>
  <c r="AU213" i="17" s="1"/>
  <c r="CJ228" i="17"/>
  <c r="CK228" i="17" s="1"/>
  <c r="AD228" i="17"/>
  <c r="AM228" i="17"/>
  <c r="AN228" i="17"/>
  <c r="AF228" i="17"/>
  <c r="AI228" i="17"/>
  <c r="BY207" i="17"/>
  <c r="BW207" i="17"/>
  <c r="CF207" i="17"/>
  <c r="CG207" i="17"/>
  <c r="AO227" i="17"/>
  <c r="D195" i="17"/>
  <c r="F195" i="17" s="1"/>
  <c r="CL195" i="17"/>
  <c r="CM195" i="17" s="1"/>
  <c r="BN195" i="17"/>
  <c r="BO195" i="17" s="1"/>
  <c r="CC195" i="17"/>
  <c r="CD195" i="17" s="1"/>
  <c r="AJ195" i="17"/>
  <c r="AK195" i="17" s="1"/>
  <c r="AY195" i="17"/>
  <c r="AZ195" i="17" s="1"/>
  <c r="BD212" i="17"/>
  <c r="BJ202" i="17"/>
  <c r="BH202" i="17"/>
  <c r="BQ202" i="17"/>
  <c r="BR202" i="17"/>
  <c r="AE228" i="17" l="1"/>
  <c r="AG228" i="17" s="1"/>
  <c r="AB229" i="17" s="1"/>
  <c r="AX213" i="17"/>
  <c r="BC213" i="17"/>
  <c r="BB213" i="17"/>
  <c r="AS213" i="17"/>
  <c r="AT213" i="17" s="1"/>
  <c r="AV213" i="17" s="1"/>
  <c r="AQ214" i="17" s="1"/>
  <c r="CH207" i="17"/>
  <c r="BS202" i="17"/>
  <c r="CJ229" i="17"/>
  <c r="CK229" i="17" s="1"/>
  <c r="AF229" i="17"/>
  <c r="AD229" i="17"/>
  <c r="AM229" i="17"/>
  <c r="AN229" i="17"/>
  <c r="AI229" i="17"/>
  <c r="E196" i="17"/>
  <c r="C196" i="17"/>
  <c r="BI202" i="17"/>
  <c r="BK202" i="17" s="1"/>
  <c r="BF203" i="17" s="1"/>
  <c r="BA195" i="17"/>
  <c r="AL195" i="17"/>
  <c r="BP195" i="17"/>
  <c r="CE195" i="17"/>
  <c r="CN195" i="17"/>
  <c r="BX207" i="17"/>
  <c r="BZ207" i="17" s="1"/>
  <c r="BU208" i="17" s="1"/>
  <c r="AO228" i="17"/>
  <c r="BD213" i="17" l="1"/>
  <c r="AO229" i="17"/>
  <c r="CL196" i="17"/>
  <c r="CM196" i="17" s="1"/>
  <c r="D196" i="17"/>
  <c r="F196" i="17" s="1"/>
  <c r="BN196" i="17"/>
  <c r="BO196" i="17" s="1"/>
  <c r="CC196" i="17"/>
  <c r="CD196" i="17" s="1"/>
  <c r="AJ196" i="17"/>
  <c r="AK196" i="17" s="1"/>
  <c r="AY196" i="17"/>
  <c r="AZ196" i="17" s="1"/>
  <c r="BJ203" i="17"/>
  <c r="BH203" i="17"/>
  <c r="BQ203" i="17"/>
  <c r="BR203" i="17"/>
  <c r="BY208" i="17"/>
  <c r="CF208" i="17"/>
  <c r="BW208" i="17"/>
  <c r="CG208" i="17"/>
  <c r="AU214" i="17"/>
  <c r="AS214" i="17"/>
  <c r="BB214" i="17"/>
  <c r="BC214" i="17"/>
  <c r="AX214" i="17"/>
  <c r="AE229" i="17"/>
  <c r="AG229" i="17" s="1"/>
  <c r="AB230" i="17" s="1"/>
  <c r="BI203" i="17" l="1"/>
  <c r="BK203" i="17" s="1"/>
  <c r="BF204" i="17" s="1"/>
  <c r="BJ204" i="17" s="1"/>
  <c r="CH208" i="17"/>
  <c r="BD214" i="17"/>
  <c r="BR204" i="17"/>
  <c r="BA196" i="17"/>
  <c r="BX208" i="17"/>
  <c r="BZ208" i="17" s="1"/>
  <c r="BU209" i="17" s="1"/>
  <c r="AL196" i="17"/>
  <c r="CE196" i="17"/>
  <c r="BP196" i="17"/>
  <c r="BS203" i="17"/>
  <c r="E197" i="17"/>
  <c r="C197" i="17"/>
  <c r="CJ230" i="17"/>
  <c r="CK230" i="17" s="1"/>
  <c r="AF230" i="17"/>
  <c r="AD230" i="17"/>
  <c r="AM230" i="17"/>
  <c r="AN230" i="17"/>
  <c r="AI230" i="17"/>
  <c r="AT214" i="17"/>
  <c r="AV214" i="17" s="1"/>
  <c r="AQ215" i="17" s="1"/>
  <c r="CN196" i="17"/>
  <c r="BQ204" i="17" l="1"/>
  <c r="BH204" i="17"/>
  <c r="BS204" i="17" s="1"/>
  <c r="AE230" i="17"/>
  <c r="AG230" i="17" s="1"/>
  <c r="AB231" i="17" s="1"/>
  <c r="CJ231" i="17" s="1"/>
  <c r="AO230" i="17"/>
  <c r="D197" i="17"/>
  <c r="F197" i="17" s="1"/>
  <c r="CL197" i="17"/>
  <c r="CM197" i="17" s="1"/>
  <c r="BN197" i="17"/>
  <c r="BO197" i="17" s="1"/>
  <c r="CC197" i="17"/>
  <c r="CD197" i="17" s="1"/>
  <c r="AJ197" i="17"/>
  <c r="AK197" i="17" s="1"/>
  <c r="AY197" i="17"/>
  <c r="AZ197" i="17" s="1"/>
  <c r="AU215" i="17"/>
  <c r="AS215" i="17"/>
  <c r="AT215" i="17" s="1"/>
  <c r="AV215" i="17" s="1"/>
  <c r="AQ216" i="17" s="1"/>
  <c r="BB215" i="17"/>
  <c r="BC215" i="17"/>
  <c r="AX215" i="17"/>
  <c r="BY209" i="17"/>
  <c r="CF209" i="17"/>
  <c r="BW209" i="17"/>
  <c r="CG209" i="17"/>
  <c r="BI204" i="17" l="1"/>
  <c r="BK204" i="17" s="1"/>
  <c r="BF205" i="17" s="1"/>
  <c r="AI231" i="17"/>
  <c r="AD231" i="17"/>
  <c r="AF231" i="17"/>
  <c r="AN231" i="17"/>
  <c r="AM231" i="17"/>
  <c r="CK231" i="17"/>
  <c r="BD215" i="17"/>
  <c r="CH209" i="17"/>
  <c r="AU216" i="17"/>
  <c r="AS216" i="17"/>
  <c r="BB216" i="17"/>
  <c r="BC216" i="17"/>
  <c r="AX216" i="17"/>
  <c r="E198" i="17"/>
  <c r="C198" i="17"/>
  <c r="BA197" i="17"/>
  <c r="AL197" i="17"/>
  <c r="CE197" i="17"/>
  <c r="BJ205" i="17"/>
  <c r="BH205" i="17"/>
  <c r="BQ205" i="17"/>
  <c r="BR205" i="17"/>
  <c r="BP197" i="17"/>
  <c r="BX209" i="17"/>
  <c r="BZ209" i="17" s="1"/>
  <c r="BU210" i="17" s="1"/>
  <c r="CN197" i="17"/>
  <c r="AE231" i="17"/>
  <c r="AG231" i="17" s="1"/>
  <c r="AB232" i="17" s="1"/>
  <c r="AO231" i="17" l="1"/>
  <c r="BS205" i="17"/>
  <c r="BD216" i="17"/>
  <c r="BI205" i="17"/>
  <c r="BK205" i="17" s="1"/>
  <c r="BF206" i="17" s="1"/>
  <c r="BY210" i="17"/>
  <c r="CF210" i="17"/>
  <c r="BW210" i="17"/>
  <c r="CG210" i="17"/>
  <c r="CL198" i="17"/>
  <c r="CM198" i="17" s="1"/>
  <c r="D198" i="17"/>
  <c r="F198" i="17" s="1"/>
  <c r="BN198" i="17"/>
  <c r="BO198" i="17" s="1"/>
  <c r="CC198" i="17"/>
  <c r="CD198" i="17" s="1"/>
  <c r="AJ198" i="17"/>
  <c r="AK198" i="17" s="1"/>
  <c r="AY198" i="17"/>
  <c r="AZ198" i="17" s="1"/>
  <c r="AT216" i="17"/>
  <c r="AV216" i="17" s="1"/>
  <c r="AQ217" i="17" s="1"/>
  <c r="CJ232" i="17"/>
  <c r="CK232" i="17" s="1"/>
  <c r="AF232" i="17"/>
  <c r="AD232" i="17"/>
  <c r="AM232" i="17"/>
  <c r="AN232" i="17"/>
  <c r="AI232" i="17"/>
  <c r="CH210" i="17" l="1"/>
  <c r="AO232" i="17"/>
  <c r="CN198" i="17"/>
  <c r="AE232" i="17"/>
  <c r="AG232" i="17" s="1"/>
  <c r="AB233" i="17" s="1"/>
  <c r="AL198" i="17"/>
  <c r="BX210" i="17"/>
  <c r="BZ210" i="17" s="1"/>
  <c r="BU211" i="17" s="1"/>
  <c r="BA198" i="17"/>
  <c r="CE198" i="17"/>
  <c r="AU217" i="17"/>
  <c r="AS217" i="17"/>
  <c r="BB217" i="17"/>
  <c r="BC217" i="17"/>
  <c r="AX217" i="17"/>
  <c r="BP198" i="17"/>
  <c r="E199" i="17"/>
  <c r="C199" i="17"/>
  <c r="BJ206" i="17"/>
  <c r="BH206" i="17"/>
  <c r="BQ206" i="17"/>
  <c r="BR206" i="17"/>
  <c r="BD217" i="17" l="1"/>
  <c r="BS206" i="17"/>
  <c r="BY211" i="17"/>
  <c r="CF211" i="17"/>
  <c r="BW211" i="17"/>
  <c r="CG211" i="17"/>
  <c r="AT217" i="17"/>
  <c r="AV217" i="17" s="1"/>
  <c r="AQ218" i="17" s="1"/>
  <c r="BI206" i="17"/>
  <c r="BK206" i="17" s="1"/>
  <c r="BF207" i="17" s="1"/>
  <c r="CJ233" i="17"/>
  <c r="CK233" i="17" s="1"/>
  <c r="AF233" i="17"/>
  <c r="AD233" i="17"/>
  <c r="AM233" i="17"/>
  <c r="AN233" i="17"/>
  <c r="AI233" i="17"/>
  <c r="D199" i="17"/>
  <c r="F199" i="17" s="1"/>
  <c r="CL199" i="17"/>
  <c r="CM199" i="17" s="1"/>
  <c r="BN199" i="17"/>
  <c r="BO199" i="17" s="1"/>
  <c r="CC199" i="17"/>
  <c r="CD199" i="17" s="1"/>
  <c r="AJ199" i="17"/>
  <c r="AK199" i="17" s="1"/>
  <c r="AY199" i="17"/>
  <c r="AZ199" i="17" s="1"/>
  <c r="CH211" i="17" l="1"/>
  <c r="AO233" i="17"/>
  <c r="AU218" i="17"/>
  <c r="AS218" i="17"/>
  <c r="BB218" i="17"/>
  <c r="BC218" i="17"/>
  <c r="AX218" i="17"/>
  <c r="E200" i="17"/>
  <c r="C200" i="17"/>
  <c r="BA199" i="17"/>
  <c r="AL199" i="17"/>
  <c r="BX211" i="17"/>
  <c r="BZ211" i="17" s="1"/>
  <c r="BU212" i="17" s="1"/>
  <c r="CE199" i="17"/>
  <c r="BP199" i="17"/>
  <c r="AE233" i="17"/>
  <c r="AG233" i="17" s="1"/>
  <c r="AB234" i="17" s="1"/>
  <c r="CN199" i="17"/>
  <c r="BJ207" i="17"/>
  <c r="BH207" i="17"/>
  <c r="BQ207" i="17"/>
  <c r="BR207" i="17"/>
  <c r="BS207" i="17" l="1"/>
  <c r="BD218" i="17"/>
  <c r="CJ234" i="17"/>
  <c r="CK234" i="17" s="1"/>
  <c r="AN234" i="17"/>
  <c r="AF234" i="17"/>
  <c r="AD234" i="17"/>
  <c r="AE234" i="17" s="1"/>
  <c r="AG234" i="17" s="1"/>
  <c r="AB235" i="17" s="1"/>
  <c r="AM234" i="17"/>
  <c r="AI234" i="17"/>
  <c r="CL200" i="17"/>
  <c r="CM200" i="17" s="1"/>
  <c r="D200" i="17"/>
  <c r="F200" i="17" s="1"/>
  <c r="BN200" i="17"/>
  <c r="BO200" i="17" s="1"/>
  <c r="CC200" i="17"/>
  <c r="CD200" i="17" s="1"/>
  <c r="AJ200" i="17"/>
  <c r="AK200" i="17" s="1"/>
  <c r="AY200" i="17"/>
  <c r="AZ200" i="17" s="1"/>
  <c r="BI207" i="17"/>
  <c r="BK207" i="17" s="1"/>
  <c r="BF208" i="17" s="1"/>
  <c r="AT218" i="17"/>
  <c r="AV218" i="17" s="1"/>
  <c r="AQ219" i="17" s="1"/>
  <c r="BY212" i="17"/>
  <c r="CF212" i="17"/>
  <c r="BW212" i="17"/>
  <c r="CG212" i="17"/>
  <c r="CH212" i="17" l="1"/>
  <c r="CJ235" i="17"/>
  <c r="CK235" i="17" s="1"/>
  <c r="AF235" i="17"/>
  <c r="AD235" i="17"/>
  <c r="AM235" i="17"/>
  <c r="AN235" i="17"/>
  <c r="AI235" i="17"/>
  <c r="E201" i="17"/>
  <c r="C201" i="17"/>
  <c r="BJ208" i="17"/>
  <c r="BH208" i="17"/>
  <c r="BQ208" i="17"/>
  <c r="BR208" i="17"/>
  <c r="AU219" i="17"/>
  <c r="AS219" i="17"/>
  <c r="BB219" i="17"/>
  <c r="BC219" i="17"/>
  <c r="AX219" i="17"/>
  <c r="BA200" i="17"/>
  <c r="CN200" i="17"/>
  <c r="AL200" i="17"/>
  <c r="CE200" i="17"/>
  <c r="BX212" i="17"/>
  <c r="BZ212" i="17" s="1"/>
  <c r="BU213" i="17" s="1"/>
  <c r="BP200" i="17"/>
  <c r="AO234" i="17"/>
  <c r="AO235" i="17" l="1"/>
  <c r="BS208" i="17"/>
  <c r="BD219" i="17"/>
  <c r="BI208" i="17"/>
  <c r="BK208" i="17" s="1"/>
  <c r="BF209" i="17" s="1"/>
  <c r="BY213" i="17"/>
  <c r="CF213" i="17"/>
  <c r="BW213" i="17"/>
  <c r="CG213" i="17"/>
  <c r="AE235" i="17"/>
  <c r="AG235" i="17" s="1"/>
  <c r="AB236" i="17" s="1"/>
  <c r="AT219" i="17"/>
  <c r="AV219" i="17" s="1"/>
  <c r="AQ220" i="17" s="1"/>
  <c r="D201" i="17"/>
  <c r="F201" i="17" s="1"/>
  <c r="CL201" i="17"/>
  <c r="CM201" i="17" s="1"/>
  <c r="BN201" i="17"/>
  <c r="BO201" i="17" s="1"/>
  <c r="CC201" i="17"/>
  <c r="CD201" i="17" s="1"/>
  <c r="AJ201" i="17"/>
  <c r="AK201" i="17" s="1"/>
  <c r="AY201" i="17"/>
  <c r="AZ201" i="17" s="1"/>
  <c r="CH213" i="17" l="1"/>
  <c r="BP201" i="17"/>
  <c r="BX213" i="17"/>
  <c r="BZ213" i="17" s="1"/>
  <c r="BU214" i="17" s="1"/>
  <c r="CE201" i="17"/>
  <c r="E202" i="17"/>
  <c r="C202" i="17"/>
  <c r="AL201" i="17"/>
  <c r="AU220" i="17"/>
  <c r="AS220" i="17"/>
  <c r="BB220" i="17"/>
  <c r="BC220" i="17"/>
  <c r="AX220" i="17"/>
  <c r="BJ209" i="17"/>
  <c r="BH209" i="17"/>
  <c r="BQ209" i="17"/>
  <c r="BR209" i="17"/>
  <c r="BA201" i="17"/>
  <c r="CN201" i="17"/>
  <c r="CJ236" i="17"/>
  <c r="CK236" i="17"/>
  <c r="AD236" i="17"/>
  <c r="AM236" i="17"/>
  <c r="AN236" i="17"/>
  <c r="AF236" i="17"/>
  <c r="AI236" i="17"/>
  <c r="AO236" i="17" l="1"/>
  <c r="BS209" i="17"/>
  <c r="AE236" i="17"/>
  <c r="AG236" i="17" s="1"/>
  <c r="AB237" i="17" s="1"/>
  <c r="CL202" i="17"/>
  <c r="CM202" i="17" s="1"/>
  <c r="D202" i="17"/>
  <c r="F202" i="17" s="1"/>
  <c r="BN202" i="17"/>
  <c r="BO202" i="17" s="1"/>
  <c r="CC202" i="17"/>
  <c r="CD202" i="17" s="1"/>
  <c r="AJ202" i="17"/>
  <c r="AK202" i="17" s="1"/>
  <c r="AY202" i="17"/>
  <c r="AZ202" i="17" s="1"/>
  <c r="BI209" i="17"/>
  <c r="BK209" i="17" s="1"/>
  <c r="BF210" i="17" s="1"/>
  <c r="BD220" i="17"/>
  <c r="AT220" i="17"/>
  <c r="AV220" i="17" s="1"/>
  <c r="AQ221" i="17" s="1"/>
  <c r="BY214" i="17"/>
  <c r="CF214" i="17"/>
  <c r="BW214" i="17"/>
  <c r="CG214" i="17"/>
  <c r="CH214" i="17" l="1"/>
  <c r="BJ210" i="17"/>
  <c r="BH210" i="17"/>
  <c r="BQ210" i="17"/>
  <c r="BR210" i="17"/>
  <c r="AL202" i="17"/>
  <c r="BX214" i="17"/>
  <c r="BZ214" i="17" s="1"/>
  <c r="BU215" i="17" s="1"/>
  <c r="BP202" i="17"/>
  <c r="BA202" i="17"/>
  <c r="E203" i="17"/>
  <c r="C203" i="17"/>
  <c r="CE202" i="17"/>
  <c r="CN202" i="17"/>
  <c r="AU221" i="17"/>
  <c r="AS221" i="17"/>
  <c r="BD221" i="17" s="1"/>
  <c r="BB221" i="17"/>
  <c r="BC221" i="17"/>
  <c r="AX221" i="17"/>
  <c r="CJ237" i="17"/>
  <c r="CK237" i="17" s="1"/>
  <c r="AF237" i="17"/>
  <c r="AD237" i="17"/>
  <c r="AM237" i="17"/>
  <c r="AN237" i="17"/>
  <c r="AI237" i="17"/>
  <c r="BS210" i="17" l="1"/>
  <c r="D203" i="17"/>
  <c r="F203" i="17" s="1"/>
  <c r="CL203" i="17"/>
  <c r="CM203" i="17" s="1"/>
  <c r="BN203" i="17"/>
  <c r="BO203" i="17" s="1"/>
  <c r="CC203" i="17"/>
  <c r="CD203" i="17" s="1"/>
  <c r="AJ203" i="17"/>
  <c r="AK203" i="17" s="1"/>
  <c r="AY203" i="17"/>
  <c r="AZ203" i="17" s="1"/>
  <c r="AT221" i="17"/>
  <c r="AV221" i="17" s="1"/>
  <c r="AQ222" i="17" s="1"/>
  <c r="AO237" i="17"/>
  <c r="AE237" i="17"/>
  <c r="AG237" i="17" s="1"/>
  <c r="AB238" i="17" s="1"/>
  <c r="BI210" i="17"/>
  <c r="BK210" i="17" s="1"/>
  <c r="BF211" i="17" s="1"/>
  <c r="BY215" i="17"/>
  <c r="CF215" i="17"/>
  <c r="BW215" i="17"/>
  <c r="CG215" i="17"/>
  <c r="CH215" i="17" l="1"/>
  <c r="BA203" i="17"/>
  <c r="AL203" i="17"/>
  <c r="CE203" i="17"/>
  <c r="AU222" i="17"/>
  <c r="AS222" i="17"/>
  <c r="AT222" i="17" s="1"/>
  <c r="AV222" i="17" s="1"/>
  <c r="AQ223" i="17" s="1"/>
  <c r="BB222" i="17"/>
  <c r="BC222" i="17"/>
  <c r="AX222" i="17"/>
  <c r="BP203" i="17"/>
  <c r="BJ211" i="17"/>
  <c r="BH211" i="17"/>
  <c r="BQ211" i="17"/>
  <c r="BR211" i="17"/>
  <c r="CN203" i="17"/>
  <c r="BX215" i="17"/>
  <c r="BZ215" i="17" s="1"/>
  <c r="BU216" i="17" s="1"/>
  <c r="CJ238" i="17"/>
  <c r="CK238" i="17"/>
  <c r="AF238" i="17"/>
  <c r="AD238" i="17"/>
  <c r="AM238" i="17"/>
  <c r="AN238" i="17"/>
  <c r="AI238" i="17"/>
  <c r="E204" i="17"/>
  <c r="C204" i="17"/>
  <c r="AO238" i="17" l="1"/>
  <c r="AU223" i="17"/>
  <c r="AS223" i="17"/>
  <c r="BB223" i="17"/>
  <c r="BC223" i="17"/>
  <c r="AX223" i="17"/>
  <c r="BS211" i="17"/>
  <c r="CL204" i="17"/>
  <c r="CM204" i="17" s="1"/>
  <c r="D204" i="17"/>
  <c r="F204" i="17" s="1"/>
  <c r="BN204" i="17"/>
  <c r="BO204" i="17" s="1"/>
  <c r="CC204" i="17"/>
  <c r="CD204" i="17" s="1"/>
  <c r="AJ204" i="17"/>
  <c r="AK204" i="17" s="1"/>
  <c r="AY204" i="17"/>
  <c r="AZ204" i="17" s="1"/>
  <c r="AE238" i="17"/>
  <c r="AG238" i="17" s="1"/>
  <c r="AB239" i="17" s="1"/>
  <c r="BY216" i="17"/>
  <c r="CF216" i="17"/>
  <c r="BW216" i="17"/>
  <c r="CG216" i="17"/>
  <c r="BI211" i="17"/>
  <c r="BK211" i="17" s="1"/>
  <c r="BF212" i="17" s="1"/>
  <c r="BD222" i="17"/>
  <c r="BD223" i="17" l="1"/>
  <c r="CH216" i="17"/>
  <c r="AL204" i="17"/>
  <c r="E205" i="17"/>
  <c r="C205" i="17"/>
  <c r="BP204" i="17"/>
  <c r="CN204" i="17"/>
  <c r="CJ239" i="17"/>
  <c r="CK239" i="17" s="1"/>
  <c r="AM239" i="17"/>
  <c r="AN239" i="17"/>
  <c r="AF239" i="17"/>
  <c r="AD239" i="17"/>
  <c r="AI239" i="17"/>
  <c r="AT223" i="17"/>
  <c r="AV223" i="17" s="1"/>
  <c r="AQ224" i="17" s="1"/>
  <c r="CE204" i="17"/>
  <c r="BX216" i="17"/>
  <c r="BZ216" i="17" s="1"/>
  <c r="BU217" i="17" s="1"/>
  <c r="BJ212" i="17"/>
  <c r="BH212" i="17"/>
  <c r="BQ212" i="17"/>
  <c r="BR212" i="17"/>
  <c r="BA204" i="17"/>
  <c r="AO239" i="17" l="1"/>
  <c r="BS212" i="17"/>
  <c r="D205" i="17"/>
  <c r="F205" i="17" s="1"/>
  <c r="CL205" i="17"/>
  <c r="CM205" i="17" s="1"/>
  <c r="BN205" i="17"/>
  <c r="BO205" i="17" s="1"/>
  <c r="CC205" i="17"/>
  <c r="CD205" i="17" s="1"/>
  <c r="AJ205" i="17"/>
  <c r="AK205" i="17" s="1"/>
  <c r="AY205" i="17"/>
  <c r="AZ205" i="17" s="1"/>
  <c r="AU224" i="17"/>
  <c r="AS224" i="17"/>
  <c r="AT224" i="17" s="1"/>
  <c r="AV224" i="17" s="1"/>
  <c r="AQ225" i="17" s="1"/>
  <c r="BB224" i="17"/>
  <c r="BC224" i="17"/>
  <c r="AX224" i="17"/>
  <c r="BI212" i="17"/>
  <c r="BK212" i="17" s="1"/>
  <c r="BF213" i="17" s="1"/>
  <c r="BY217" i="17"/>
  <c r="CF217" i="17"/>
  <c r="BW217" i="17"/>
  <c r="CG217" i="17"/>
  <c r="AE239" i="17"/>
  <c r="AG239" i="17" s="1"/>
  <c r="AB240" i="17" s="1"/>
  <c r="CH217" i="17" l="1"/>
  <c r="AU225" i="17"/>
  <c r="AS225" i="17"/>
  <c r="BB225" i="17"/>
  <c r="BC225" i="17"/>
  <c r="AX225" i="17"/>
  <c r="BA205" i="17"/>
  <c r="AL205" i="17"/>
  <c r="BX217" i="17"/>
  <c r="BZ217" i="17" s="1"/>
  <c r="BU218" i="17" s="1"/>
  <c r="CE205" i="17"/>
  <c r="BP205" i="17"/>
  <c r="CJ240" i="17"/>
  <c r="CK240" i="17" s="1"/>
  <c r="AF240" i="17"/>
  <c r="AD240" i="17"/>
  <c r="AM240" i="17"/>
  <c r="AN240" i="17"/>
  <c r="AI240" i="17"/>
  <c r="BD224" i="17"/>
  <c r="CN205" i="17"/>
  <c r="BJ213" i="17"/>
  <c r="BH213" i="17"/>
  <c r="BQ213" i="17"/>
  <c r="BR213" i="17"/>
  <c r="E206" i="17"/>
  <c r="C206" i="17"/>
  <c r="BS213" i="17" l="1"/>
  <c r="AO240" i="17"/>
  <c r="BD225" i="17"/>
  <c r="BY218" i="17"/>
  <c r="CF218" i="17"/>
  <c r="BW218" i="17"/>
  <c r="CG218" i="17"/>
  <c r="BI213" i="17"/>
  <c r="BK213" i="17" s="1"/>
  <c r="BF214" i="17" s="1"/>
  <c r="AE240" i="17"/>
  <c r="AG240" i="17" s="1"/>
  <c r="AB241" i="17" s="1"/>
  <c r="AT225" i="17"/>
  <c r="AV225" i="17" s="1"/>
  <c r="AQ226" i="17" s="1"/>
  <c r="CL206" i="17"/>
  <c r="CM206" i="17" s="1"/>
  <c r="D206" i="17"/>
  <c r="F206" i="17" s="1"/>
  <c r="BN206" i="17"/>
  <c r="BO206" i="17" s="1"/>
  <c r="CC206" i="17"/>
  <c r="CD206" i="17" s="1"/>
  <c r="AJ206" i="17"/>
  <c r="AK206" i="17" s="1"/>
  <c r="AY206" i="17"/>
  <c r="AZ206" i="17" s="1"/>
  <c r="CH218" i="17" l="1"/>
  <c r="CJ241" i="17"/>
  <c r="CK241" i="17" s="1"/>
  <c r="AF241" i="17"/>
  <c r="AD241" i="17"/>
  <c r="AM241" i="17"/>
  <c r="AN241" i="17"/>
  <c r="AI241" i="17"/>
  <c r="BA206" i="17"/>
  <c r="BJ214" i="17"/>
  <c r="BH214" i="17"/>
  <c r="BQ214" i="17"/>
  <c r="BR214" i="17"/>
  <c r="CE206" i="17"/>
  <c r="BP206" i="17"/>
  <c r="BX218" i="17"/>
  <c r="BZ218" i="17" s="1"/>
  <c r="BU219" i="17" s="1"/>
  <c r="CN206" i="17"/>
  <c r="AL206" i="17"/>
  <c r="E207" i="17"/>
  <c r="C207" i="17"/>
  <c r="AU226" i="17"/>
  <c r="AS226" i="17"/>
  <c r="BB226" i="17"/>
  <c r="BC226" i="17"/>
  <c r="AX226" i="17"/>
  <c r="AO241" i="17" l="1"/>
  <c r="BD226" i="17"/>
  <c r="BS214" i="17"/>
  <c r="BY219" i="17"/>
  <c r="CF219" i="17"/>
  <c r="BW219" i="17"/>
  <c r="CG219" i="17"/>
  <c r="D207" i="17"/>
  <c r="F207" i="17" s="1"/>
  <c r="CL207" i="17"/>
  <c r="CM207" i="17" s="1"/>
  <c r="BN207" i="17"/>
  <c r="BO207" i="17" s="1"/>
  <c r="CC207" i="17"/>
  <c r="CD207" i="17" s="1"/>
  <c r="AJ207" i="17"/>
  <c r="AK207" i="17" s="1"/>
  <c r="AY207" i="17"/>
  <c r="AZ207" i="17" s="1"/>
  <c r="BI214" i="17"/>
  <c r="BK214" i="17" s="1"/>
  <c r="BF215" i="17" s="1"/>
  <c r="AT226" i="17"/>
  <c r="AV226" i="17" s="1"/>
  <c r="AQ227" i="17" s="1"/>
  <c r="AE241" i="17"/>
  <c r="AG241" i="17" s="1"/>
  <c r="AB242" i="17" s="1"/>
  <c r="CH219" i="17" l="1"/>
  <c r="BJ215" i="17"/>
  <c r="BH215" i="17"/>
  <c r="BQ215" i="17"/>
  <c r="BR215" i="17"/>
  <c r="AL207" i="17"/>
  <c r="CE207" i="17"/>
  <c r="AU227" i="17"/>
  <c r="AS227" i="17"/>
  <c r="BB227" i="17"/>
  <c r="BC227" i="17"/>
  <c r="AX227" i="17"/>
  <c r="BP207" i="17"/>
  <c r="BX219" i="17"/>
  <c r="BZ219" i="17" s="1"/>
  <c r="BU220" i="17" s="1"/>
  <c r="CN207" i="17"/>
  <c r="BA207" i="17"/>
  <c r="CK242" i="17"/>
  <c r="CJ242" i="17"/>
  <c r="AN242" i="17"/>
  <c r="AF242" i="17"/>
  <c r="AD242" i="17"/>
  <c r="AO242" i="17" s="1"/>
  <c r="AM242" i="17"/>
  <c r="AI242" i="17"/>
  <c r="E208" i="17"/>
  <c r="C208" i="17"/>
  <c r="BS215" i="17" l="1"/>
  <c r="BD227" i="17"/>
  <c r="BY220" i="17"/>
  <c r="CF220" i="17"/>
  <c r="BW220" i="17"/>
  <c r="CG220" i="17"/>
  <c r="AE242" i="17"/>
  <c r="AG242" i="17" s="1"/>
  <c r="AB243" i="17" s="1"/>
  <c r="AT227" i="17"/>
  <c r="AV227" i="17" s="1"/>
  <c r="AQ228" i="17" s="1"/>
  <c r="CL208" i="17"/>
  <c r="CM208" i="17" s="1"/>
  <c r="D208" i="17"/>
  <c r="F208" i="17" s="1"/>
  <c r="BN208" i="17"/>
  <c r="BO208" i="17" s="1"/>
  <c r="CC208" i="17"/>
  <c r="CD208" i="17" s="1"/>
  <c r="AJ208" i="17"/>
  <c r="AK208" i="17" s="1"/>
  <c r="AY208" i="17"/>
  <c r="AZ208" i="17" s="1"/>
  <c r="BI215" i="17"/>
  <c r="BK215" i="17" s="1"/>
  <c r="BF216" i="17" s="1"/>
  <c r="CH220" i="17" l="1"/>
  <c r="AU228" i="17"/>
  <c r="AS228" i="17"/>
  <c r="BB228" i="17"/>
  <c r="BC228" i="17"/>
  <c r="AX228" i="17"/>
  <c r="CJ243" i="17"/>
  <c r="CK243" i="17" s="1"/>
  <c r="AF243" i="17"/>
  <c r="AD243" i="17"/>
  <c r="AM243" i="17"/>
  <c r="AN243" i="17"/>
  <c r="AI243" i="17"/>
  <c r="AL208" i="17"/>
  <c r="BX220" i="17"/>
  <c r="BZ220" i="17" s="1"/>
  <c r="BU221" i="17" s="1"/>
  <c r="BJ216" i="17"/>
  <c r="BH216" i="17"/>
  <c r="BQ216" i="17"/>
  <c r="BR216" i="17"/>
  <c r="CE208" i="17"/>
  <c r="E209" i="17"/>
  <c r="C209" i="17"/>
  <c r="BA208" i="17"/>
  <c r="BP208" i="17"/>
  <c r="CN208" i="17"/>
  <c r="AE243" i="17" l="1"/>
  <c r="AG243" i="17" s="1"/>
  <c r="AB244" i="17" s="1"/>
  <c r="CJ244" i="17" s="1"/>
  <c r="CK244" i="17" s="1"/>
  <c r="BD228" i="17"/>
  <c r="BS216" i="17"/>
  <c r="D209" i="17"/>
  <c r="F209" i="17" s="1"/>
  <c r="CL209" i="17"/>
  <c r="CM209" i="17" s="1"/>
  <c r="BN209" i="17"/>
  <c r="BO209" i="17" s="1"/>
  <c r="CC209" i="17"/>
  <c r="CD209" i="17" s="1"/>
  <c r="AJ209" i="17"/>
  <c r="AK209" i="17" s="1"/>
  <c r="AY209" i="17"/>
  <c r="AZ209" i="17" s="1"/>
  <c r="BI216" i="17"/>
  <c r="BK216" i="17" s="1"/>
  <c r="BF217" i="17" s="1"/>
  <c r="CF221" i="17"/>
  <c r="BY221" i="17"/>
  <c r="BW221" i="17"/>
  <c r="CG221" i="17"/>
  <c r="AO243" i="17"/>
  <c r="AT228" i="17"/>
  <c r="AV228" i="17" s="1"/>
  <c r="AQ229" i="17" s="1"/>
  <c r="AI244" i="17" l="1"/>
  <c r="AF244" i="17"/>
  <c r="AN244" i="17"/>
  <c r="AM244" i="17"/>
  <c r="AD244" i="17"/>
  <c r="AO244" i="17" s="1"/>
  <c r="CH221" i="17"/>
  <c r="CN209" i="17"/>
  <c r="BJ217" i="17"/>
  <c r="BH217" i="17"/>
  <c r="BQ217" i="17"/>
  <c r="BR217" i="17"/>
  <c r="AU229" i="17"/>
  <c r="AS229" i="17"/>
  <c r="BB229" i="17"/>
  <c r="BC229" i="17"/>
  <c r="AX229" i="17"/>
  <c r="BA209" i="17"/>
  <c r="E210" i="17"/>
  <c r="C210" i="17"/>
  <c r="AL209" i="17"/>
  <c r="BX221" i="17"/>
  <c r="BZ221" i="17" s="1"/>
  <c r="BU222" i="17" s="1"/>
  <c r="CE209" i="17"/>
  <c r="BP209" i="17"/>
  <c r="AE244" i="17"/>
  <c r="AG244" i="17" s="1"/>
  <c r="AB245" i="17" s="1"/>
  <c r="BS217" i="17" l="1"/>
  <c r="CL210" i="17"/>
  <c r="CM210" i="17" s="1"/>
  <c r="D210" i="17"/>
  <c r="F210" i="17" s="1"/>
  <c r="BN210" i="17"/>
  <c r="BO210" i="17" s="1"/>
  <c r="CC210" i="17"/>
  <c r="CD210" i="17" s="1"/>
  <c r="AJ210" i="17"/>
  <c r="AK210" i="17" s="1"/>
  <c r="AY210" i="17"/>
  <c r="AZ210" i="17" s="1"/>
  <c r="BD229" i="17"/>
  <c r="BI217" i="17"/>
  <c r="BK217" i="17" s="1"/>
  <c r="BF218" i="17" s="1"/>
  <c r="CJ245" i="17"/>
  <c r="CK245" i="17" s="1"/>
  <c r="AF245" i="17"/>
  <c r="AD245" i="17"/>
  <c r="AM245" i="17"/>
  <c r="AN245" i="17"/>
  <c r="AI245" i="17"/>
  <c r="AT229" i="17"/>
  <c r="AV229" i="17" s="1"/>
  <c r="AQ230" i="17" s="1"/>
  <c r="CF222" i="17"/>
  <c r="BW222" i="17"/>
  <c r="BX222" i="17" s="1"/>
  <c r="BZ222" i="17" s="1"/>
  <c r="BU223" i="17" s="1"/>
  <c r="CG222" i="17"/>
  <c r="BY222" i="17"/>
  <c r="AO245" i="17" l="1"/>
  <c r="CF223" i="17"/>
  <c r="BY223" i="17"/>
  <c r="BW223" i="17"/>
  <c r="CG223" i="17"/>
  <c r="BJ218" i="17"/>
  <c r="BH218" i="17"/>
  <c r="BS218" i="17" s="1"/>
  <c r="BQ218" i="17"/>
  <c r="BR218" i="17"/>
  <c r="AU230" i="17"/>
  <c r="AS230" i="17"/>
  <c r="BB230" i="17"/>
  <c r="BC230" i="17"/>
  <c r="AX230" i="17"/>
  <c r="BA210" i="17"/>
  <c r="AL210" i="17"/>
  <c r="CE210" i="17"/>
  <c r="BP210" i="17"/>
  <c r="E211" i="17"/>
  <c r="C211" i="17"/>
  <c r="CH222" i="17"/>
  <c r="AE245" i="17"/>
  <c r="AG245" i="17" s="1"/>
  <c r="AB246" i="17" s="1"/>
  <c r="CN210" i="17"/>
  <c r="CH223" i="17" l="1"/>
  <c r="BD230" i="17"/>
  <c r="BI218" i="17"/>
  <c r="BK218" i="17" s="1"/>
  <c r="BF219" i="17" s="1"/>
  <c r="AT230" i="17"/>
  <c r="AV230" i="17" s="1"/>
  <c r="AQ231" i="17" s="1"/>
  <c r="D211" i="17"/>
  <c r="F211" i="17" s="1"/>
  <c r="CL211" i="17"/>
  <c r="CM211" i="17" s="1"/>
  <c r="BN211" i="17"/>
  <c r="BO211" i="17" s="1"/>
  <c r="CC211" i="17"/>
  <c r="CD211" i="17" s="1"/>
  <c r="AJ211" i="17"/>
  <c r="AK211" i="17" s="1"/>
  <c r="AY211" i="17"/>
  <c r="AZ211" i="17" s="1"/>
  <c r="CJ246" i="17"/>
  <c r="CK246" i="17"/>
  <c r="AF246" i="17"/>
  <c r="AD246" i="17"/>
  <c r="AM246" i="17"/>
  <c r="AN246" i="17"/>
  <c r="AI246" i="17"/>
  <c r="BX223" i="17"/>
  <c r="BZ223" i="17" s="1"/>
  <c r="BU224" i="17" s="1"/>
  <c r="AO246" i="17" l="1"/>
  <c r="BA211" i="17"/>
  <c r="AL211" i="17"/>
  <c r="CE211" i="17"/>
  <c r="BP211" i="17"/>
  <c r="CN211" i="17"/>
  <c r="CF224" i="17"/>
  <c r="BY224" i="17"/>
  <c r="BW224" i="17"/>
  <c r="CG224" i="17"/>
  <c r="E212" i="17"/>
  <c r="C212" i="17"/>
  <c r="AU231" i="17"/>
  <c r="AS231" i="17"/>
  <c r="BB231" i="17"/>
  <c r="BC231" i="17"/>
  <c r="AX231" i="17"/>
  <c r="AE246" i="17"/>
  <c r="AG246" i="17" s="1"/>
  <c r="AB247" i="17" s="1"/>
  <c r="BJ219" i="17"/>
  <c r="BH219" i="17"/>
  <c r="BQ219" i="17"/>
  <c r="BR219" i="17"/>
  <c r="BD231" i="17" l="1"/>
  <c r="BS219" i="17"/>
  <c r="BI219" i="17"/>
  <c r="BK219" i="17" s="1"/>
  <c r="BF220" i="17" s="1"/>
  <c r="CJ247" i="17"/>
  <c r="CK247" i="17"/>
  <c r="AM247" i="17"/>
  <c r="AN247" i="17"/>
  <c r="AF247" i="17"/>
  <c r="AD247" i="17"/>
  <c r="AI247" i="17"/>
  <c r="CH224" i="17"/>
  <c r="AT231" i="17"/>
  <c r="AV231" i="17" s="1"/>
  <c r="AQ232" i="17" s="1"/>
  <c r="BX224" i="17"/>
  <c r="BZ224" i="17" s="1"/>
  <c r="BU225" i="17" s="1"/>
  <c r="CL212" i="17"/>
  <c r="CM212" i="17" s="1"/>
  <c r="D212" i="17"/>
  <c r="F212" i="17" s="1"/>
  <c r="BN212" i="17"/>
  <c r="BO212" i="17" s="1"/>
  <c r="CC212" i="17"/>
  <c r="CD212" i="17" s="1"/>
  <c r="AJ212" i="17"/>
  <c r="AK212" i="17" s="1"/>
  <c r="AY212" i="17"/>
  <c r="AZ212" i="17" s="1"/>
  <c r="AO247" i="17" l="1"/>
  <c r="BP212" i="17"/>
  <c r="E213" i="17"/>
  <c r="C213" i="17"/>
  <c r="CN212" i="17"/>
  <c r="CF225" i="17"/>
  <c r="BY225" i="17"/>
  <c r="BW225" i="17"/>
  <c r="CH225" i="17" s="1"/>
  <c r="CG225" i="17"/>
  <c r="BA212" i="17"/>
  <c r="AU232" i="17"/>
  <c r="AS232" i="17"/>
  <c r="BB232" i="17"/>
  <c r="BC232" i="17"/>
  <c r="AX232" i="17"/>
  <c r="AE247" i="17"/>
  <c r="AG247" i="17" s="1"/>
  <c r="AB248" i="17" s="1"/>
  <c r="AL212" i="17"/>
  <c r="CE212" i="17"/>
  <c r="BJ220" i="17"/>
  <c r="BH220" i="17"/>
  <c r="BQ220" i="17"/>
  <c r="BR220" i="17"/>
  <c r="BD232" i="17" l="1"/>
  <c r="BS220" i="17"/>
  <c r="BI220" i="17"/>
  <c r="BK220" i="17" s="1"/>
  <c r="BF221" i="17" s="1"/>
  <c r="CL213" i="17"/>
  <c r="CM213" i="17" s="1"/>
  <c r="D213" i="17"/>
  <c r="F213" i="17" s="1"/>
  <c r="BN213" i="17"/>
  <c r="BO213" i="17" s="1"/>
  <c r="CC213" i="17"/>
  <c r="CD213" i="17" s="1"/>
  <c r="AJ213" i="17"/>
  <c r="AK213" i="17" s="1"/>
  <c r="AY213" i="17"/>
  <c r="AZ213" i="17" s="1"/>
  <c r="CJ248" i="17"/>
  <c r="CK248" i="17" s="1"/>
  <c r="AF248" i="17"/>
  <c r="AD248" i="17"/>
  <c r="AM248" i="17"/>
  <c r="AN248" i="17"/>
  <c r="AI248" i="17"/>
  <c r="AT232" i="17"/>
  <c r="AV232" i="17" s="1"/>
  <c r="AQ233" i="17" s="1"/>
  <c r="BX225" i="17"/>
  <c r="BZ225" i="17" s="1"/>
  <c r="BU226" i="17" s="1"/>
  <c r="AO248" i="17" l="1"/>
  <c r="AE248" i="17"/>
  <c r="AG248" i="17" s="1"/>
  <c r="AB249" i="17" s="1"/>
  <c r="BA213" i="17"/>
  <c r="AL213" i="17"/>
  <c r="CE213" i="17"/>
  <c r="BP213" i="17"/>
  <c r="E214" i="17"/>
  <c r="C214" i="17"/>
  <c r="CF226" i="17"/>
  <c r="BW226" i="17"/>
  <c r="CG226" i="17"/>
  <c r="BY226" i="17"/>
  <c r="CN213" i="17"/>
  <c r="AU233" i="17"/>
  <c r="AS233" i="17"/>
  <c r="BB233" i="17"/>
  <c r="BC233" i="17"/>
  <c r="AX233" i="17"/>
  <c r="BJ221" i="17"/>
  <c r="BH221" i="17"/>
  <c r="BI221" i="17" s="1"/>
  <c r="BK221" i="17" s="1"/>
  <c r="BF222" i="17" s="1"/>
  <c r="BQ221" i="17"/>
  <c r="BR221" i="17"/>
  <c r="BD233" i="17" l="1"/>
  <c r="CH226" i="17"/>
  <c r="BJ222" i="17"/>
  <c r="BH222" i="17"/>
  <c r="BQ222" i="17"/>
  <c r="BR222" i="17"/>
  <c r="AT233" i="17"/>
  <c r="AV233" i="17" s="1"/>
  <c r="AQ234" i="17" s="1"/>
  <c r="CL214" i="17"/>
  <c r="CM214" i="17" s="1"/>
  <c r="D214" i="17"/>
  <c r="F214" i="17" s="1"/>
  <c r="BN214" i="17"/>
  <c r="BO214" i="17" s="1"/>
  <c r="CC214" i="17"/>
  <c r="CD214" i="17" s="1"/>
  <c r="AJ214" i="17"/>
  <c r="AK214" i="17" s="1"/>
  <c r="AY214" i="17"/>
  <c r="AZ214" i="17" s="1"/>
  <c r="BS221" i="17"/>
  <c r="BX226" i="17"/>
  <c r="BZ226" i="17" s="1"/>
  <c r="BU227" i="17" s="1"/>
  <c r="CJ249" i="17"/>
  <c r="CK249" i="17" s="1"/>
  <c r="AF249" i="17"/>
  <c r="AD249" i="17"/>
  <c r="AM249" i="17"/>
  <c r="AN249" i="17"/>
  <c r="AI249" i="17"/>
  <c r="AO249" i="17" l="1"/>
  <c r="BS222" i="17"/>
  <c r="CN214" i="17"/>
  <c r="AU234" i="17"/>
  <c r="AS234" i="17"/>
  <c r="BB234" i="17"/>
  <c r="BC234" i="17"/>
  <c r="AX234" i="17"/>
  <c r="AE249" i="17"/>
  <c r="AG249" i="17" s="1"/>
  <c r="AB250" i="17" s="1"/>
  <c r="BA214" i="17"/>
  <c r="CE214" i="17"/>
  <c r="CF227" i="17"/>
  <c r="BY227" i="17"/>
  <c r="BW227" i="17"/>
  <c r="CG227" i="17"/>
  <c r="AL214" i="17"/>
  <c r="BP214" i="17"/>
  <c r="BI222" i="17"/>
  <c r="BK222" i="17" s="1"/>
  <c r="BF223" i="17" s="1"/>
  <c r="C215" i="17"/>
  <c r="E215" i="17"/>
  <c r="CH227" i="17" l="1"/>
  <c r="BD234" i="17"/>
  <c r="CL215" i="17"/>
  <c r="CM215" i="17" s="1"/>
  <c r="D215" i="17"/>
  <c r="F215" i="17" s="1"/>
  <c r="BN215" i="17"/>
  <c r="BO215" i="17" s="1"/>
  <c r="CC215" i="17"/>
  <c r="CD215" i="17" s="1"/>
  <c r="AJ215" i="17"/>
  <c r="AK215" i="17" s="1"/>
  <c r="AY215" i="17"/>
  <c r="AZ215" i="17" s="1"/>
  <c r="CJ250" i="17"/>
  <c r="CK250" i="17" s="1"/>
  <c r="AN250" i="17"/>
  <c r="AF250" i="17"/>
  <c r="AD250" i="17"/>
  <c r="AM250" i="17"/>
  <c r="AI250" i="17"/>
  <c r="AT234" i="17"/>
  <c r="AV234" i="17" s="1"/>
  <c r="AQ235" i="17" s="1"/>
  <c r="BJ223" i="17"/>
  <c r="BH223" i="17"/>
  <c r="BQ223" i="17"/>
  <c r="BR223" i="17"/>
  <c r="BX227" i="17"/>
  <c r="BZ227" i="17" s="1"/>
  <c r="BU228" i="17" s="1"/>
  <c r="AO250" i="17" l="1"/>
  <c r="BS223" i="17"/>
  <c r="AU235" i="17"/>
  <c r="AS235" i="17"/>
  <c r="BB235" i="17"/>
  <c r="BC235" i="17"/>
  <c r="AX235" i="17"/>
  <c r="AE250" i="17"/>
  <c r="AG250" i="17" s="1"/>
  <c r="AB251" i="17" s="1"/>
  <c r="BI223" i="17"/>
  <c r="BK223" i="17" s="1"/>
  <c r="BF224" i="17" s="1"/>
  <c r="BA215" i="17"/>
  <c r="AL215" i="17"/>
  <c r="CE215" i="17"/>
  <c r="BY228" i="17"/>
  <c r="BW228" i="17"/>
  <c r="CF228" i="17"/>
  <c r="CG228" i="17"/>
  <c r="BP215" i="17"/>
  <c r="E216" i="17"/>
  <c r="C216" i="17"/>
  <c r="CN215" i="17"/>
  <c r="CH228" i="17" l="1"/>
  <c r="BD235" i="17"/>
  <c r="BX228" i="17"/>
  <c r="BZ228" i="17" s="1"/>
  <c r="BU229" i="17" s="1"/>
  <c r="BJ224" i="17"/>
  <c r="BH224" i="17"/>
  <c r="BQ224" i="17"/>
  <c r="BR224" i="17"/>
  <c r="CJ251" i="17"/>
  <c r="CK251" i="17" s="1"/>
  <c r="AF251" i="17"/>
  <c r="AD251" i="17"/>
  <c r="AM251" i="17"/>
  <c r="AN251" i="17"/>
  <c r="AI251" i="17"/>
  <c r="AT235" i="17"/>
  <c r="AV235" i="17" s="1"/>
  <c r="AQ236" i="17" s="1"/>
  <c r="CL216" i="17"/>
  <c r="CM216" i="17" s="1"/>
  <c r="D216" i="17"/>
  <c r="F216" i="17" s="1"/>
  <c r="BN216" i="17"/>
  <c r="BO216" i="17" s="1"/>
  <c r="CC216" i="17"/>
  <c r="CD216" i="17" s="1"/>
  <c r="AJ216" i="17"/>
  <c r="AK216" i="17" s="1"/>
  <c r="AY216" i="17"/>
  <c r="AZ216" i="17" s="1"/>
  <c r="AO251" i="17" l="1"/>
  <c r="BS224" i="17"/>
  <c r="E217" i="17"/>
  <c r="C217" i="17"/>
  <c r="AU236" i="17"/>
  <c r="AS236" i="17"/>
  <c r="BB236" i="17"/>
  <c r="BC236" i="17"/>
  <c r="AX236" i="17"/>
  <c r="BA216" i="17"/>
  <c r="AL216" i="17"/>
  <c r="BI224" i="17"/>
  <c r="BK224" i="17" s="1"/>
  <c r="BF225" i="17" s="1"/>
  <c r="CE216" i="17"/>
  <c r="CN216" i="17"/>
  <c r="BP216" i="17"/>
  <c r="AE251" i="17"/>
  <c r="AG251" i="17" s="1"/>
  <c r="AB252" i="17" s="1"/>
  <c r="BY229" i="17"/>
  <c r="BW229" i="17"/>
  <c r="CF229" i="17"/>
  <c r="CG229" i="17"/>
  <c r="BD236" i="17" l="1"/>
  <c r="AT236" i="17"/>
  <c r="AV236" i="17" s="1"/>
  <c r="AQ237" i="17" s="1"/>
  <c r="CH229" i="17"/>
  <c r="BX229" i="17"/>
  <c r="BZ229" i="17" s="1"/>
  <c r="BU230" i="17" s="1"/>
  <c r="BJ225" i="17"/>
  <c r="BH225" i="17"/>
  <c r="BQ225" i="17"/>
  <c r="BR225" i="17"/>
  <c r="D217" i="17"/>
  <c r="F217" i="17" s="1"/>
  <c r="CL217" i="17"/>
  <c r="CM217" i="17" s="1"/>
  <c r="BN217" i="17"/>
  <c r="BO217" i="17" s="1"/>
  <c r="CC217" i="17"/>
  <c r="CD217" i="17" s="1"/>
  <c r="AJ217" i="17"/>
  <c r="AK217" i="17" s="1"/>
  <c r="AY217" i="17"/>
  <c r="AZ217" i="17" s="1"/>
  <c r="CJ252" i="17"/>
  <c r="CK252" i="17"/>
  <c r="AD252" i="17"/>
  <c r="AM252" i="17"/>
  <c r="AN252" i="17"/>
  <c r="AF252" i="17"/>
  <c r="AI252" i="17"/>
  <c r="BS225" i="17" l="1"/>
  <c r="AO252" i="17"/>
  <c r="AE252" i="17"/>
  <c r="AG252" i="17" s="1"/>
  <c r="AB253" i="17" s="1"/>
  <c r="AL217" i="17"/>
  <c r="CE217" i="17"/>
  <c r="BI225" i="17"/>
  <c r="BK225" i="17" s="1"/>
  <c r="BF226" i="17" s="1"/>
  <c r="BP217" i="17"/>
  <c r="BY230" i="17"/>
  <c r="BW230" i="17"/>
  <c r="CF230" i="17"/>
  <c r="CG230" i="17"/>
  <c r="CN217" i="17"/>
  <c r="E218" i="17"/>
  <c r="C218" i="17"/>
  <c r="BA217" i="17"/>
  <c r="AU237" i="17"/>
  <c r="AS237" i="17"/>
  <c r="BB237" i="17"/>
  <c r="BC237" i="17"/>
  <c r="AX237" i="17"/>
  <c r="AT237" i="17" l="1"/>
  <c r="AV237" i="17" s="1"/>
  <c r="AQ238" i="17" s="1"/>
  <c r="AU238" i="17" s="1"/>
  <c r="BJ226" i="17"/>
  <c r="BH226" i="17"/>
  <c r="BS226" i="17" s="1"/>
  <c r="BQ226" i="17"/>
  <c r="BR226" i="17"/>
  <c r="CH230" i="17"/>
  <c r="CL218" i="17"/>
  <c r="CM218" i="17" s="1"/>
  <c r="D218" i="17"/>
  <c r="F218" i="17" s="1"/>
  <c r="BN218" i="17"/>
  <c r="BO218" i="17" s="1"/>
  <c r="CC218" i="17"/>
  <c r="CD218" i="17" s="1"/>
  <c r="AJ218" i="17"/>
  <c r="AK218" i="17" s="1"/>
  <c r="AY218" i="17"/>
  <c r="AZ218" i="17" s="1"/>
  <c r="BX230" i="17"/>
  <c r="BZ230" i="17" s="1"/>
  <c r="BU231" i="17" s="1"/>
  <c r="BD237" i="17"/>
  <c r="CJ253" i="17"/>
  <c r="CK253" i="17" s="1"/>
  <c r="AF253" i="17"/>
  <c r="AD253" i="17"/>
  <c r="AM253" i="17"/>
  <c r="AN253" i="17"/>
  <c r="AI253" i="17"/>
  <c r="AX238" i="17" l="1"/>
  <c r="BC238" i="17"/>
  <c r="BB238" i="17"/>
  <c r="AS238" i="17"/>
  <c r="AT238" i="17" s="1"/>
  <c r="AV238" i="17" s="1"/>
  <c r="AQ239" i="17" s="1"/>
  <c r="AE253" i="17"/>
  <c r="AG253" i="17" s="1"/>
  <c r="AB254" i="17" s="1"/>
  <c r="CJ254" i="17" s="1"/>
  <c r="CK254" i="17" s="1"/>
  <c r="BY231" i="17"/>
  <c r="BW231" i="17"/>
  <c r="BX231" i="17" s="1"/>
  <c r="BZ231" i="17" s="1"/>
  <c r="BU232" i="17" s="1"/>
  <c r="CF231" i="17"/>
  <c r="CG231" i="17"/>
  <c r="BA218" i="17"/>
  <c r="CE218" i="17"/>
  <c r="BP218" i="17"/>
  <c r="BI226" i="17"/>
  <c r="BK226" i="17" s="1"/>
  <c r="BF227" i="17" s="1"/>
  <c r="E219" i="17"/>
  <c r="C219" i="17"/>
  <c r="CN218" i="17"/>
  <c r="AL218" i="17"/>
  <c r="AO253" i="17"/>
  <c r="BD238" i="17" l="1"/>
  <c r="AI254" i="17"/>
  <c r="AN254" i="17"/>
  <c r="AM254" i="17"/>
  <c r="AD254" i="17"/>
  <c r="AO254" i="17" s="1"/>
  <c r="AF254" i="17"/>
  <c r="CH231" i="17"/>
  <c r="BY232" i="17"/>
  <c r="BW232" i="17"/>
  <c r="CF232" i="17"/>
  <c r="CG232" i="17"/>
  <c r="BJ227" i="17"/>
  <c r="BH227" i="17"/>
  <c r="BS227" i="17" s="1"/>
  <c r="BQ227" i="17"/>
  <c r="BR227" i="17"/>
  <c r="CL219" i="17"/>
  <c r="CM219" i="17" s="1"/>
  <c r="D219" i="17"/>
  <c r="F219" i="17" s="1"/>
  <c r="BN219" i="17"/>
  <c r="BO219" i="17" s="1"/>
  <c r="CC219" i="17"/>
  <c r="CD219" i="17" s="1"/>
  <c r="AJ219" i="17"/>
  <c r="AK219" i="17" s="1"/>
  <c r="AY219" i="17"/>
  <c r="AZ219" i="17" s="1"/>
  <c r="AU239" i="17"/>
  <c r="AS239" i="17"/>
  <c r="BB239" i="17"/>
  <c r="BC239" i="17"/>
  <c r="AX239" i="17"/>
  <c r="AE254" i="17" l="1"/>
  <c r="AG254" i="17" s="1"/>
  <c r="AB255" i="17" s="1"/>
  <c r="CJ255" i="17" s="1"/>
  <c r="CK255" i="17" s="1"/>
  <c r="CH232" i="17"/>
  <c r="BD239" i="17"/>
  <c r="CE219" i="17"/>
  <c r="BI227" i="17"/>
  <c r="BK227" i="17" s="1"/>
  <c r="BF228" i="17" s="1"/>
  <c r="BP219" i="17"/>
  <c r="E220" i="17"/>
  <c r="C220" i="17"/>
  <c r="CN219" i="17"/>
  <c r="AF255" i="17"/>
  <c r="AD255" i="17"/>
  <c r="AI255" i="17"/>
  <c r="BX232" i="17"/>
  <c r="BZ232" i="17" s="1"/>
  <c r="BU233" i="17" s="1"/>
  <c r="AT239" i="17"/>
  <c r="AV239" i="17" s="1"/>
  <c r="AQ240" i="17" s="1"/>
  <c r="BA219" i="17"/>
  <c r="AL219" i="17"/>
  <c r="AN255" i="17" l="1"/>
  <c r="AM255" i="17"/>
  <c r="AO255" i="17" s="1"/>
  <c r="CL220" i="17"/>
  <c r="CM220" i="17" s="1"/>
  <c r="D220" i="17"/>
  <c r="F220" i="17" s="1"/>
  <c r="BN220" i="17"/>
  <c r="BO220" i="17" s="1"/>
  <c r="CC220" i="17"/>
  <c r="CD220" i="17" s="1"/>
  <c r="AJ220" i="17"/>
  <c r="AK220" i="17" s="1"/>
  <c r="AY220" i="17"/>
  <c r="AZ220" i="17" s="1"/>
  <c r="AE255" i="17"/>
  <c r="AG255" i="17" s="1"/>
  <c r="AB256" i="17" s="1"/>
  <c r="BJ228" i="17"/>
  <c r="BH228" i="17"/>
  <c r="BQ228" i="17"/>
  <c r="BR228" i="17"/>
  <c r="AU240" i="17"/>
  <c r="AS240" i="17"/>
  <c r="AT240" i="17" s="1"/>
  <c r="AV240" i="17" s="1"/>
  <c r="AQ241" i="17" s="1"/>
  <c r="BB240" i="17"/>
  <c r="BC240" i="17"/>
  <c r="AX240" i="17"/>
  <c r="BY233" i="17"/>
  <c r="BW233" i="17"/>
  <c r="CF233" i="17"/>
  <c r="CG233" i="17"/>
  <c r="CH233" i="17" l="1"/>
  <c r="BS228" i="17"/>
  <c r="AU241" i="17"/>
  <c r="AS241" i="17"/>
  <c r="BB241" i="17"/>
  <c r="BC241" i="17"/>
  <c r="AX241" i="17"/>
  <c r="CK256" i="17"/>
  <c r="CJ256" i="17"/>
  <c r="AF256" i="17"/>
  <c r="AD256" i="17"/>
  <c r="AE256" i="17" s="1"/>
  <c r="AG256" i="17" s="1"/>
  <c r="AB257" i="17" s="1"/>
  <c r="AM256" i="17"/>
  <c r="AN256" i="17"/>
  <c r="AI256" i="17"/>
  <c r="BA220" i="17"/>
  <c r="AL220" i="17"/>
  <c r="CE220" i="17"/>
  <c r="BP220" i="17"/>
  <c r="E221" i="17"/>
  <c r="C221" i="17"/>
  <c r="BX233" i="17"/>
  <c r="BZ233" i="17" s="1"/>
  <c r="BU234" i="17" s="1"/>
  <c r="BD240" i="17"/>
  <c r="BI228" i="17"/>
  <c r="BK228" i="17" s="1"/>
  <c r="BF229" i="17" s="1"/>
  <c r="CN220" i="17"/>
  <c r="BD241" i="17" l="1"/>
  <c r="CJ257" i="17"/>
  <c r="CK257" i="17" s="1"/>
  <c r="AF257" i="17"/>
  <c r="AD257" i="17"/>
  <c r="AM257" i="17"/>
  <c r="AN257" i="17"/>
  <c r="AI257" i="17"/>
  <c r="BJ229" i="17"/>
  <c r="BH229" i="17"/>
  <c r="BQ229" i="17"/>
  <c r="BR229" i="17"/>
  <c r="BY234" i="17"/>
  <c r="BW234" i="17"/>
  <c r="CF234" i="17"/>
  <c r="CG234" i="17"/>
  <c r="AO256" i="17"/>
  <c r="AT241" i="17"/>
  <c r="AV241" i="17" s="1"/>
  <c r="AQ242" i="17" s="1"/>
  <c r="CL221" i="17"/>
  <c r="CM221" i="17" s="1"/>
  <c r="D221" i="17"/>
  <c r="F221" i="17" s="1"/>
  <c r="BN221" i="17"/>
  <c r="BO221" i="17" s="1"/>
  <c r="CC221" i="17"/>
  <c r="CD221" i="17" s="1"/>
  <c r="AJ221" i="17"/>
  <c r="AK221" i="17" s="1"/>
  <c r="AY221" i="17"/>
  <c r="AZ221" i="17" s="1"/>
  <c r="CH234" i="17" l="1"/>
  <c r="BS229" i="17"/>
  <c r="AO257" i="17"/>
  <c r="BI229" i="17"/>
  <c r="BK229" i="17" s="1"/>
  <c r="BF230" i="17" s="1"/>
  <c r="CE221" i="17"/>
  <c r="CN221" i="17"/>
  <c r="BP221" i="17"/>
  <c r="BX234" i="17"/>
  <c r="BZ234" i="17" s="1"/>
  <c r="BU235" i="17" s="1"/>
  <c r="E222" i="17"/>
  <c r="C222" i="17"/>
  <c r="AU242" i="17"/>
  <c r="AS242" i="17"/>
  <c r="BB242" i="17"/>
  <c r="BC242" i="17"/>
  <c r="AX242" i="17"/>
  <c r="BA221" i="17"/>
  <c r="AE257" i="17"/>
  <c r="AG257" i="17" s="1"/>
  <c r="AB258" i="17" s="1"/>
  <c r="AL221" i="17"/>
  <c r="BD242" i="17" l="1"/>
  <c r="BY235" i="17"/>
  <c r="BW235" i="17"/>
  <c r="CF235" i="17"/>
  <c r="CG235" i="17"/>
  <c r="CJ258" i="17"/>
  <c r="CK258" i="17" s="1"/>
  <c r="AN258" i="17"/>
  <c r="AF258" i="17"/>
  <c r="AD258" i="17"/>
  <c r="AM258" i="17"/>
  <c r="AI258" i="17"/>
  <c r="AT242" i="17"/>
  <c r="AV242" i="17" s="1"/>
  <c r="AQ243" i="17" s="1"/>
  <c r="CL222" i="17"/>
  <c r="CM222" i="17" s="1"/>
  <c r="D222" i="17"/>
  <c r="F222" i="17" s="1"/>
  <c r="BN222" i="17"/>
  <c r="BO222" i="17" s="1"/>
  <c r="CC222" i="17"/>
  <c r="CD222" i="17" s="1"/>
  <c r="AJ222" i="17"/>
  <c r="AK222" i="17" s="1"/>
  <c r="AY222" i="17"/>
  <c r="AZ222" i="17" s="1"/>
  <c r="BJ230" i="17"/>
  <c r="BH230" i="17"/>
  <c r="BQ230" i="17"/>
  <c r="BR230" i="17"/>
  <c r="CH235" i="17" l="1"/>
  <c r="BS230" i="17"/>
  <c r="AO258" i="17"/>
  <c r="BP222" i="17"/>
  <c r="AE258" i="17"/>
  <c r="AG258" i="17" s="1"/>
  <c r="AB259" i="17" s="1"/>
  <c r="CN222" i="17"/>
  <c r="BI230" i="17"/>
  <c r="BK230" i="17" s="1"/>
  <c r="BF231" i="17" s="1"/>
  <c r="BA222" i="17"/>
  <c r="AU243" i="17"/>
  <c r="AS243" i="17"/>
  <c r="BB243" i="17"/>
  <c r="BC243" i="17"/>
  <c r="AX243" i="17"/>
  <c r="AL222" i="17"/>
  <c r="BX235" i="17"/>
  <c r="BZ235" i="17" s="1"/>
  <c r="BU236" i="17" s="1"/>
  <c r="C223" i="17"/>
  <c r="E223" i="17"/>
  <c r="CE222" i="17"/>
  <c r="BD243" i="17" l="1"/>
  <c r="CL223" i="17"/>
  <c r="CM223" i="17" s="1"/>
  <c r="D223" i="17"/>
  <c r="F223" i="17" s="1"/>
  <c r="BN223" i="17"/>
  <c r="BO223" i="17" s="1"/>
  <c r="CC223" i="17"/>
  <c r="CD223" i="17" s="1"/>
  <c r="AJ223" i="17"/>
  <c r="AK223" i="17" s="1"/>
  <c r="AY223" i="17"/>
  <c r="AZ223" i="17" s="1"/>
  <c r="BJ231" i="17"/>
  <c r="BH231" i="17"/>
  <c r="BQ231" i="17"/>
  <c r="BR231" i="17"/>
  <c r="BY236" i="17"/>
  <c r="BW236" i="17"/>
  <c r="CF236" i="17"/>
  <c r="CG236" i="17"/>
  <c r="CJ259" i="17"/>
  <c r="CK259" i="17" s="1"/>
  <c r="AF259" i="17"/>
  <c r="AD259" i="17"/>
  <c r="AM259" i="17"/>
  <c r="AN259" i="17"/>
  <c r="AI259" i="17"/>
  <c r="AT243" i="17"/>
  <c r="AV243" i="17" s="1"/>
  <c r="AQ244" i="17" s="1"/>
  <c r="CH236" i="17" l="1"/>
  <c r="AO259" i="17"/>
  <c r="BS231" i="17"/>
  <c r="BI231" i="17"/>
  <c r="BK231" i="17" s="1"/>
  <c r="BF232" i="17" s="1"/>
  <c r="BX236" i="17"/>
  <c r="BZ236" i="17" s="1"/>
  <c r="BU237" i="17" s="1"/>
  <c r="BA223" i="17"/>
  <c r="AL223" i="17"/>
  <c r="CE223" i="17"/>
  <c r="AE259" i="17"/>
  <c r="AG259" i="17" s="1"/>
  <c r="AB260" i="17" s="1"/>
  <c r="BP223" i="17"/>
  <c r="E224" i="17"/>
  <c r="C224" i="17"/>
  <c r="AU244" i="17"/>
  <c r="AS244" i="17"/>
  <c r="AT244" i="17" s="1"/>
  <c r="AV244" i="17" s="1"/>
  <c r="AQ245" i="17" s="1"/>
  <c r="BB244" i="17"/>
  <c r="BC244" i="17"/>
  <c r="AX244" i="17"/>
  <c r="CN223" i="17"/>
  <c r="AU245" i="17" l="1"/>
  <c r="AS245" i="17"/>
  <c r="BB245" i="17"/>
  <c r="BC245" i="17"/>
  <c r="AX245" i="17"/>
  <c r="CL224" i="17"/>
  <c r="CM224" i="17" s="1"/>
  <c r="D224" i="17"/>
  <c r="F224" i="17" s="1"/>
  <c r="BN224" i="17"/>
  <c r="BO224" i="17" s="1"/>
  <c r="CC224" i="17"/>
  <c r="CD224" i="17" s="1"/>
  <c r="AJ224" i="17"/>
  <c r="AK224" i="17" s="1"/>
  <c r="AY224" i="17"/>
  <c r="AZ224" i="17" s="1"/>
  <c r="BD244" i="17"/>
  <c r="BY237" i="17"/>
  <c r="BW237" i="17"/>
  <c r="CF237" i="17"/>
  <c r="CG237" i="17"/>
  <c r="CJ260" i="17"/>
  <c r="CK260" i="17" s="1"/>
  <c r="AD260" i="17"/>
  <c r="AM260" i="17"/>
  <c r="AN260" i="17"/>
  <c r="AF260" i="17"/>
  <c r="AI260" i="17"/>
  <c r="BJ232" i="17"/>
  <c r="BH232" i="17"/>
  <c r="BQ232" i="17"/>
  <c r="BR232" i="17"/>
  <c r="BI232" i="17" l="1"/>
  <c r="BK232" i="17" s="1"/>
  <c r="BF233" i="17" s="1"/>
  <c r="CH237" i="17"/>
  <c r="AO260" i="17"/>
  <c r="BD245" i="17"/>
  <c r="BJ233" i="17"/>
  <c r="BH233" i="17"/>
  <c r="BQ233" i="17"/>
  <c r="BR233" i="17"/>
  <c r="AE260" i="17"/>
  <c r="AG260" i="17" s="1"/>
  <c r="AB261" i="17" s="1"/>
  <c r="BA224" i="17"/>
  <c r="AL224" i="17"/>
  <c r="CE224" i="17"/>
  <c r="BP224" i="17"/>
  <c r="E225" i="17"/>
  <c r="C225" i="17"/>
  <c r="BX237" i="17"/>
  <c r="BZ237" i="17" s="1"/>
  <c r="BU238" i="17" s="1"/>
  <c r="CN224" i="17"/>
  <c r="AT245" i="17"/>
  <c r="AV245" i="17" s="1"/>
  <c r="AQ246" i="17" s="1"/>
  <c r="BS232" i="17"/>
  <c r="BS233" i="17" l="1"/>
  <c r="CJ261" i="17"/>
  <c r="CK261" i="17" s="1"/>
  <c r="AF261" i="17"/>
  <c r="AD261" i="17"/>
  <c r="AM261" i="17"/>
  <c r="AN261" i="17"/>
  <c r="AI261" i="17"/>
  <c r="AU246" i="17"/>
  <c r="AS246" i="17"/>
  <c r="BB246" i="17"/>
  <c r="BC246" i="17"/>
  <c r="AX246" i="17"/>
  <c r="BY238" i="17"/>
  <c r="BW238" i="17"/>
  <c r="CF238" i="17"/>
  <c r="CG238" i="17"/>
  <c r="BI233" i="17"/>
  <c r="BK233" i="17" s="1"/>
  <c r="BF234" i="17" s="1"/>
  <c r="D225" i="17"/>
  <c r="F225" i="17" s="1"/>
  <c r="CL225" i="17"/>
  <c r="CM225" i="17" s="1"/>
  <c r="BN225" i="17"/>
  <c r="BO225" i="17" s="1"/>
  <c r="CC225" i="17"/>
  <c r="CD225" i="17" s="1"/>
  <c r="AJ225" i="17"/>
  <c r="AK225" i="17" s="1"/>
  <c r="AY225" i="17"/>
  <c r="AZ225" i="17" s="1"/>
  <c r="CH238" i="17" l="1"/>
  <c r="AT246" i="17"/>
  <c r="AV246" i="17" s="1"/>
  <c r="AQ247" i="17" s="1"/>
  <c r="AX247" i="17" s="1"/>
  <c r="BD246" i="17"/>
  <c r="AO261" i="17"/>
  <c r="AU247" i="17"/>
  <c r="AS247" i="17"/>
  <c r="BB247" i="17"/>
  <c r="BC247" i="17"/>
  <c r="BA225" i="17"/>
  <c r="CE225" i="17"/>
  <c r="BJ234" i="17"/>
  <c r="BH234" i="17"/>
  <c r="BI234" i="17" s="1"/>
  <c r="BK234" i="17" s="1"/>
  <c r="BF235" i="17" s="1"/>
  <c r="BQ234" i="17"/>
  <c r="BR234" i="17"/>
  <c r="E226" i="17"/>
  <c r="C226" i="17"/>
  <c r="AL225" i="17"/>
  <c r="BP225" i="17"/>
  <c r="BX238" i="17"/>
  <c r="BZ238" i="17" s="1"/>
  <c r="BU239" i="17" s="1"/>
  <c r="CN225" i="17"/>
  <c r="AE261" i="17"/>
  <c r="AG261" i="17" s="1"/>
  <c r="AB262" i="17" s="1"/>
  <c r="BD247" i="17" l="1"/>
  <c r="BJ235" i="17"/>
  <c r="BH235" i="17"/>
  <c r="BQ235" i="17"/>
  <c r="BR235" i="17"/>
  <c r="CL226" i="17"/>
  <c r="CM226" i="17" s="1"/>
  <c r="D226" i="17"/>
  <c r="F226" i="17" s="1"/>
  <c r="BN226" i="17"/>
  <c r="BO226" i="17" s="1"/>
  <c r="CC226" i="17"/>
  <c r="CD226" i="17" s="1"/>
  <c r="AJ226" i="17"/>
  <c r="AK226" i="17" s="1"/>
  <c r="AY226" i="17"/>
  <c r="AZ226" i="17" s="1"/>
  <c r="CJ262" i="17"/>
  <c r="CK262" i="17" s="1"/>
  <c r="AF262" i="17"/>
  <c r="AD262" i="17"/>
  <c r="AM262" i="17"/>
  <c r="AN262" i="17"/>
  <c r="AI262" i="17"/>
  <c r="BY239" i="17"/>
  <c r="BW239" i="17"/>
  <c r="CF239" i="17"/>
  <c r="CG239" i="17"/>
  <c r="AT247" i="17"/>
  <c r="AV247" i="17" s="1"/>
  <c r="AQ248" i="17" s="1"/>
  <c r="BS234" i="17"/>
  <c r="AO262" i="17" l="1"/>
  <c r="CH239" i="17"/>
  <c r="BS235" i="17"/>
  <c r="E227" i="17"/>
  <c r="C227" i="17"/>
  <c r="CN226" i="17"/>
  <c r="AE262" i="17"/>
  <c r="AG262" i="17" s="1"/>
  <c r="AB263" i="17" s="1"/>
  <c r="BX239" i="17"/>
  <c r="BZ239" i="17" s="1"/>
  <c r="BU240" i="17" s="1"/>
  <c r="BA226" i="17"/>
  <c r="AL226" i="17"/>
  <c r="CE226" i="17"/>
  <c r="BI235" i="17"/>
  <c r="BK235" i="17" s="1"/>
  <c r="BF236" i="17" s="1"/>
  <c r="AU248" i="17"/>
  <c r="AS248" i="17"/>
  <c r="BD248" i="17" s="1"/>
  <c r="BB248" i="17"/>
  <c r="BC248" i="17"/>
  <c r="AX248" i="17"/>
  <c r="BP226" i="17"/>
  <c r="AT248" i="17" l="1"/>
  <c r="AV248" i="17" s="1"/>
  <c r="AQ249" i="17" s="1"/>
  <c r="AU249" i="17" s="1"/>
  <c r="BY240" i="17"/>
  <c r="BW240" i="17"/>
  <c r="CF240" i="17"/>
  <c r="CG240" i="17"/>
  <c r="BJ236" i="17"/>
  <c r="BH236" i="17"/>
  <c r="BQ236" i="17"/>
  <c r="BR236" i="17"/>
  <c r="CJ263" i="17"/>
  <c r="CK263" i="17" s="1"/>
  <c r="AM263" i="17"/>
  <c r="AN263" i="17"/>
  <c r="AF263" i="17"/>
  <c r="AD263" i="17"/>
  <c r="AI263" i="17"/>
  <c r="CL227" i="17"/>
  <c r="CM227" i="17" s="1"/>
  <c r="D227" i="17"/>
  <c r="F227" i="17" s="1"/>
  <c r="BN227" i="17"/>
  <c r="BO227" i="17" s="1"/>
  <c r="CC227" i="17"/>
  <c r="CD227" i="17" s="1"/>
  <c r="AJ227" i="17"/>
  <c r="AK227" i="17" s="1"/>
  <c r="AY227" i="17"/>
  <c r="AZ227" i="17" s="1"/>
  <c r="AX249" i="17" l="1"/>
  <c r="BC249" i="17"/>
  <c r="CH240" i="17"/>
  <c r="BB249" i="17"/>
  <c r="AS249" i="17"/>
  <c r="BD249" i="17" s="1"/>
  <c r="AE263" i="17"/>
  <c r="AG263" i="17" s="1"/>
  <c r="AB264" i="17" s="1"/>
  <c r="AD264" i="17" s="1"/>
  <c r="BS236" i="17"/>
  <c r="CE227" i="17"/>
  <c r="BP227" i="17"/>
  <c r="CN227" i="17"/>
  <c r="BX240" i="17"/>
  <c r="BZ240" i="17" s="1"/>
  <c r="BU241" i="17" s="1"/>
  <c r="C228" i="17"/>
  <c r="E228" i="17"/>
  <c r="BA227" i="17"/>
  <c r="BI236" i="17"/>
  <c r="BK236" i="17" s="1"/>
  <c r="BF237" i="17" s="1"/>
  <c r="AL227" i="17"/>
  <c r="AO263" i="17"/>
  <c r="CJ264" i="17" l="1"/>
  <c r="CK264" i="17" s="1"/>
  <c r="AT249" i="17"/>
  <c r="AV249" i="17" s="1"/>
  <c r="AQ250" i="17" s="1"/>
  <c r="AU250" i="17" s="1"/>
  <c r="AI264" i="17"/>
  <c r="AN264" i="17"/>
  <c r="AF264" i="17"/>
  <c r="AE264" i="17" s="1"/>
  <c r="AG264" i="17" s="1"/>
  <c r="AB265" i="17" s="1"/>
  <c r="AM264" i="17"/>
  <c r="BY241" i="17"/>
  <c r="BW241" i="17"/>
  <c r="CF241" i="17"/>
  <c r="CG241" i="17"/>
  <c r="D228" i="17"/>
  <c r="F228" i="17" s="1"/>
  <c r="CL228" i="17"/>
  <c r="CM228" i="17" s="1"/>
  <c r="BN228" i="17"/>
  <c r="BO228" i="17" s="1"/>
  <c r="CC228" i="17"/>
  <c r="CD228" i="17" s="1"/>
  <c r="AJ228" i="17"/>
  <c r="AK228" i="17" s="1"/>
  <c r="AY228" i="17"/>
  <c r="AZ228" i="17" s="1"/>
  <c r="BJ237" i="17"/>
  <c r="BH237" i="17"/>
  <c r="BQ237" i="17"/>
  <c r="BR237" i="17"/>
  <c r="AX250" i="17" l="1"/>
  <c r="BC250" i="17"/>
  <c r="BB250" i="17"/>
  <c r="AS250" i="17"/>
  <c r="BD250" i="17" s="1"/>
  <c r="AO264" i="17"/>
  <c r="CH241" i="17"/>
  <c r="BS237" i="17"/>
  <c r="CN228" i="17"/>
  <c r="E229" i="17"/>
  <c r="C229" i="17"/>
  <c r="CJ265" i="17"/>
  <c r="CK265" i="17" s="1"/>
  <c r="AF265" i="17"/>
  <c r="AD265" i="17"/>
  <c r="AM265" i="17"/>
  <c r="AN265" i="17"/>
  <c r="AI265" i="17"/>
  <c r="BI237" i="17"/>
  <c r="BK237" i="17" s="1"/>
  <c r="BF238" i="17" s="1"/>
  <c r="BA228" i="17"/>
  <c r="AL228" i="17"/>
  <c r="CE228" i="17"/>
  <c r="BX241" i="17"/>
  <c r="BZ241" i="17" s="1"/>
  <c r="BU242" i="17" s="1"/>
  <c r="BP228" i="17"/>
  <c r="AT250" i="17" l="1"/>
  <c r="AV250" i="17" s="1"/>
  <c r="AQ251" i="17" s="1"/>
  <c r="AU251" i="17" s="1"/>
  <c r="AO265" i="17"/>
  <c r="BC251" i="17"/>
  <c r="AX251" i="17"/>
  <c r="BJ238" i="17"/>
  <c r="BH238" i="17"/>
  <c r="BS238" i="17" s="1"/>
  <c r="BQ238" i="17"/>
  <c r="BR238" i="17"/>
  <c r="CL229" i="17"/>
  <c r="CM229" i="17" s="1"/>
  <c r="D229" i="17"/>
  <c r="F229" i="17" s="1"/>
  <c r="BN229" i="17"/>
  <c r="BO229" i="17" s="1"/>
  <c r="CC229" i="17"/>
  <c r="CD229" i="17" s="1"/>
  <c r="AJ229" i="17"/>
  <c r="AK229" i="17" s="1"/>
  <c r="AY229" i="17"/>
  <c r="AZ229" i="17" s="1"/>
  <c r="AE265" i="17"/>
  <c r="AG265" i="17" s="1"/>
  <c r="AB266" i="17" s="1"/>
  <c r="BY242" i="17"/>
  <c r="BW242" i="17"/>
  <c r="CF242" i="17"/>
  <c r="CG242" i="17"/>
  <c r="BB251" i="17" l="1"/>
  <c r="AS251" i="17"/>
  <c r="BD251" i="17" s="1"/>
  <c r="CH242" i="17"/>
  <c r="CJ266" i="17"/>
  <c r="CK266" i="17" s="1"/>
  <c r="AN266" i="17"/>
  <c r="AF266" i="17"/>
  <c r="AD266" i="17"/>
  <c r="AM266" i="17"/>
  <c r="AI266" i="17"/>
  <c r="AL229" i="17"/>
  <c r="BA229" i="17"/>
  <c r="BI238" i="17"/>
  <c r="BK238" i="17" s="1"/>
  <c r="BF239" i="17" s="1"/>
  <c r="BP229" i="17"/>
  <c r="CE229" i="17"/>
  <c r="AT251" i="17"/>
  <c r="AV251" i="17" s="1"/>
  <c r="AQ252" i="17" s="1"/>
  <c r="C230" i="17"/>
  <c r="E230" i="17"/>
  <c r="BX242" i="17"/>
  <c r="BZ242" i="17" s="1"/>
  <c r="BU243" i="17" s="1"/>
  <c r="CN229" i="17"/>
  <c r="AU252" i="17" l="1"/>
  <c r="AS252" i="17"/>
  <c r="BB252" i="17"/>
  <c r="BC252" i="17"/>
  <c r="AX252" i="17"/>
  <c r="CL230" i="17"/>
  <c r="CM230" i="17" s="1"/>
  <c r="D230" i="17"/>
  <c r="F230" i="17" s="1"/>
  <c r="BN230" i="17"/>
  <c r="BO230" i="17" s="1"/>
  <c r="CC230" i="17"/>
  <c r="CD230" i="17" s="1"/>
  <c r="AJ230" i="17"/>
  <c r="AK230" i="17" s="1"/>
  <c r="AY230" i="17"/>
  <c r="AZ230" i="17" s="1"/>
  <c r="BY243" i="17"/>
  <c r="BW243" i="17"/>
  <c r="CF243" i="17"/>
  <c r="CG243" i="17"/>
  <c r="BJ239" i="17"/>
  <c r="BH239" i="17"/>
  <c r="BQ239" i="17"/>
  <c r="BR239" i="17"/>
  <c r="AO266" i="17"/>
  <c r="AE266" i="17"/>
  <c r="AG266" i="17" s="1"/>
  <c r="AB267" i="17" s="1"/>
  <c r="BI239" i="17" l="1"/>
  <c r="BK239" i="17" s="1"/>
  <c r="BF240" i="17" s="1"/>
  <c r="CH243" i="17"/>
  <c r="BD252" i="17"/>
  <c r="BJ240" i="17"/>
  <c r="BH240" i="17"/>
  <c r="BQ240" i="17"/>
  <c r="BR240" i="17"/>
  <c r="BA230" i="17"/>
  <c r="AL230" i="17"/>
  <c r="CE230" i="17"/>
  <c r="CJ267" i="17"/>
  <c r="CK267" i="17" s="1"/>
  <c r="AF267" i="17"/>
  <c r="AD267" i="17"/>
  <c r="AM267" i="17"/>
  <c r="AN267" i="17"/>
  <c r="AI267" i="17"/>
  <c r="BP230" i="17"/>
  <c r="E231" i="17"/>
  <c r="C231" i="17"/>
  <c r="CN230" i="17"/>
  <c r="AT252" i="17"/>
  <c r="AV252" i="17" s="1"/>
  <c r="AQ253" i="17" s="1"/>
  <c r="BS239" i="17"/>
  <c r="BX243" i="17"/>
  <c r="BZ243" i="17" s="1"/>
  <c r="BU244" i="17" s="1"/>
  <c r="AO267" i="17" l="1"/>
  <c r="BS240" i="17"/>
  <c r="CL231" i="17"/>
  <c r="CM231" i="17" s="1"/>
  <c r="D231" i="17"/>
  <c r="F231" i="17" s="1"/>
  <c r="BN231" i="17"/>
  <c r="BO231" i="17" s="1"/>
  <c r="CC231" i="17"/>
  <c r="CD231" i="17" s="1"/>
  <c r="AJ231" i="17"/>
  <c r="AK231" i="17" s="1"/>
  <c r="AY231" i="17"/>
  <c r="AZ231" i="17" s="1"/>
  <c r="AE267" i="17"/>
  <c r="AG267" i="17" s="1"/>
  <c r="AB268" i="17" s="1"/>
  <c r="BY244" i="17"/>
  <c r="BW244" i="17"/>
  <c r="CF244" i="17"/>
  <c r="CG244" i="17"/>
  <c r="AU253" i="17"/>
  <c r="AS253" i="17"/>
  <c r="BD253" i="17" s="1"/>
  <c r="BB253" i="17"/>
  <c r="BC253" i="17"/>
  <c r="AX253" i="17"/>
  <c r="BI240" i="17"/>
  <c r="BK240" i="17" s="1"/>
  <c r="BF241" i="17" s="1"/>
  <c r="AT253" i="17" l="1"/>
  <c r="AV253" i="17" s="1"/>
  <c r="AQ254" i="17" s="1"/>
  <c r="AU254" i="17" s="1"/>
  <c r="BJ241" i="17"/>
  <c r="BH241" i="17"/>
  <c r="BS241" i="17" s="1"/>
  <c r="BQ241" i="17"/>
  <c r="BR241" i="17"/>
  <c r="CJ268" i="17"/>
  <c r="CK268" i="17" s="1"/>
  <c r="AD268" i="17"/>
  <c r="AM268" i="17"/>
  <c r="AN268" i="17"/>
  <c r="AF268" i="17"/>
  <c r="AI268" i="17"/>
  <c r="BA231" i="17"/>
  <c r="AL231" i="17"/>
  <c r="CE231" i="17"/>
  <c r="BP231" i="17"/>
  <c r="CH244" i="17"/>
  <c r="E232" i="17"/>
  <c r="C232" i="17"/>
  <c r="BX244" i="17"/>
  <c r="BZ244" i="17" s="1"/>
  <c r="BU245" i="17" s="1"/>
  <c r="CN231" i="17"/>
  <c r="AX254" i="17" l="1"/>
  <c r="BC254" i="17"/>
  <c r="BB254" i="17"/>
  <c r="AS254" i="17"/>
  <c r="BD254" i="17" s="1"/>
  <c r="AO268" i="17"/>
  <c r="BY245" i="17"/>
  <c r="BW245" i="17"/>
  <c r="CF245" i="17"/>
  <c r="CG245" i="17"/>
  <c r="BI241" i="17"/>
  <c r="BK241" i="17" s="1"/>
  <c r="BF242" i="17" s="1"/>
  <c r="AJ268" i="17"/>
  <c r="D232" i="17"/>
  <c r="F232" i="17" s="1"/>
  <c r="CL232" i="17"/>
  <c r="CM232" i="17" s="1"/>
  <c r="BN232" i="17"/>
  <c r="BO232" i="17" s="1"/>
  <c r="CC232" i="17"/>
  <c r="CD232" i="17" s="1"/>
  <c r="AJ232" i="17"/>
  <c r="AK232" i="17" s="1"/>
  <c r="AY232" i="17"/>
  <c r="AZ232" i="17" s="1"/>
  <c r="AE268" i="17"/>
  <c r="AG268" i="17" s="1"/>
  <c r="AB269" i="17" s="1"/>
  <c r="AT254" i="17" l="1"/>
  <c r="AV254" i="17" s="1"/>
  <c r="AQ255" i="17" s="1"/>
  <c r="CH245" i="17"/>
  <c r="BJ242" i="17"/>
  <c r="BH242" i="17"/>
  <c r="BQ242" i="17"/>
  <c r="BR242" i="17"/>
  <c r="AL232" i="17"/>
  <c r="CE232" i="17"/>
  <c r="BP232" i="17"/>
  <c r="E233" i="17"/>
  <c r="C233" i="17"/>
  <c r="BX245" i="17"/>
  <c r="BZ245" i="17" s="1"/>
  <c r="BU246" i="17" s="1"/>
  <c r="AU255" i="17"/>
  <c r="AS255" i="17"/>
  <c r="BB255" i="17"/>
  <c r="BC255" i="17"/>
  <c r="AX255" i="17"/>
  <c r="BA232" i="17"/>
  <c r="CN232" i="17"/>
  <c r="CJ269" i="17"/>
  <c r="CK269" i="17" s="1"/>
  <c r="AF269" i="17"/>
  <c r="AD269" i="17"/>
  <c r="AM269" i="17"/>
  <c r="AN269" i="17"/>
  <c r="AI269" i="17"/>
  <c r="AO269" i="17" l="1"/>
  <c r="BD255" i="17"/>
  <c r="BS242" i="17"/>
  <c r="AJ269" i="17"/>
  <c r="BY246" i="17"/>
  <c r="BW246" i="17"/>
  <c r="CF246" i="17"/>
  <c r="CG246" i="17"/>
  <c r="CL233" i="17"/>
  <c r="CM233" i="17" s="1"/>
  <c r="D233" i="17"/>
  <c r="F233" i="17" s="1"/>
  <c r="BN233" i="17"/>
  <c r="BO233" i="17" s="1"/>
  <c r="CC233" i="17"/>
  <c r="CD233" i="17" s="1"/>
  <c r="AJ233" i="17"/>
  <c r="AK233" i="17" s="1"/>
  <c r="AY233" i="17"/>
  <c r="AZ233" i="17" s="1"/>
  <c r="AT255" i="17"/>
  <c r="AV255" i="17" s="1"/>
  <c r="AQ256" i="17" s="1"/>
  <c r="BI242" i="17"/>
  <c r="BK242" i="17" s="1"/>
  <c r="BF243" i="17" s="1"/>
  <c r="AE269" i="17"/>
  <c r="AG269" i="17" s="1"/>
  <c r="AB270" i="17" s="1"/>
  <c r="CH246" i="17" l="1"/>
  <c r="CN233" i="17"/>
  <c r="BJ243" i="17"/>
  <c r="BH243" i="17"/>
  <c r="BQ243" i="17"/>
  <c r="BR243" i="17"/>
  <c r="AU256" i="17"/>
  <c r="AS256" i="17"/>
  <c r="BB256" i="17"/>
  <c r="BC256" i="17"/>
  <c r="AX256" i="17"/>
  <c r="CJ270" i="17"/>
  <c r="CK270" i="17" s="1"/>
  <c r="AF270" i="17"/>
  <c r="AD270" i="17"/>
  <c r="AE270" i="17" s="1"/>
  <c r="AG270" i="17" s="1"/>
  <c r="AB271" i="17" s="1"/>
  <c r="AM270" i="17"/>
  <c r="AN270" i="17"/>
  <c r="AI270" i="17"/>
  <c r="AL233" i="17"/>
  <c r="BX246" i="17"/>
  <c r="BZ246" i="17" s="1"/>
  <c r="BU247" i="17" s="1"/>
  <c r="BA233" i="17"/>
  <c r="BP233" i="17"/>
  <c r="CE233" i="17"/>
  <c r="E234" i="17"/>
  <c r="C234" i="17"/>
  <c r="BS243" i="17" l="1"/>
  <c r="CJ271" i="17"/>
  <c r="AM271" i="17"/>
  <c r="AN271" i="17"/>
  <c r="CK271" i="17"/>
  <c r="AF271" i="17"/>
  <c r="AD271" i="17"/>
  <c r="AJ271" i="17" s="1"/>
  <c r="AI271" i="17"/>
  <c r="AJ270" i="17"/>
  <c r="BD256" i="17"/>
  <c r="BI243" i="17"/>
  <c r="BK243" i="17" s="1"/>
  <c r="BF244" i="17" s="1"/>
  <c r="CL234" i="17"/>
  <c r="CM234" i="17" s="1"/>
  <c r="D234" i="17"/>
  <c r="F234" i="17" s="1"/>
  <c r="BN234" i="17"/>
  <c r="BO234" i="17" s="1"/>
  <c r="CC234" i="17"/>
  <c r="CD234" i="17" s="1"/>
  <c r="AJ234" i="17"/>
  <c r="AK234" i="17" s="1"/>
  <c r="AY234" i="17"/>
  <c r="AZ234" i="17" s="1"/>
  <c r="BY247" i="17"/>
  <c r="BW247" i="17"/>
  <c r="CF247" i="17"/>
  <c r="CG247" i="17"/>
  <c r="AO270" i="17"/>
  <c r="AT256" i="17"/>
  <c r="AV256" i="17" s="1"/>
  <c r="AQ257" i="17" s="1"/>
  <c r="CH247" i="17" l="1"/>
  <c r="AU257" i="17"/>
  <c r="AS257" i="17"/>
  <c r="BB257" i="17"/>
  <c r="BC257" i="17"/>
  <c r="AX257" i="17"/>
  <c r="CE234" i="17"/>
  <c r="BP234" i="17"/>
  <c r="E235" i="17"/>
  <c r="C235" i="17"/>
  <c r="AL234" i="17"/>
  <c r="AO271" i="17"/>
  <c r="BA234" i="17"/>
  <c r="CN234" i="17"/>
  <c r="BX247" i="17"/>
  <c r="BZ247" i="17" s="1"/>
  <c r="BU248" i="17" s="1"/>
  <c r="BJ244" i="17"/>
  <c r="BH244" i="17"/>
  <c r="BQ244" i="17"/>
  <c r="BR244" i="17"/>
  <c r="AE271" i="17"/>
  <c r="AG271" i="17" s="1"/>
  <c r="AB272" i="17" s="1"/>
  <c r="BD257" i="17" l="1"/>
  <c r="BS244" i="17"/>
  <c r="CL235" i="17"/>
  <c r="CM235" i="17" s="1"/>
  <c r="D235" i="17"/>
  <c r="F235" i="17" s="1"/>
  <c r="BN235" i="17"/>
  <c r="BO235" i="17" s="1"/>
  <c r="CC235" i="17"/>
  <c r="CD235" i="17" s="1"/>
  <c r="AJ235" i="17"/>
  <c r="AK235" i="17" s="1"/>
  <c r="AY235" i="17"/>
  <c r="AZ235" i="17" s="1"/>
  <c r="CJ272" i="17"/>
  <c r="CK272" i="17" s="1"/>
  <c r="AF272" i="17"/>
  <c r="AD272" i="17"/>
  <c r="AM272" i="17"/>
  <c r="AN272" i="17"/>
  <c r="AI272" i="17"/>
  <c r="BI244" i="17"/>
  <c r="BK244" i="17" s="1"/>
  <c r="BF245" i="17" s="1"/>
  <c r="AT257" i="17"/>
  <c r="AV257" i="17" s="1"/>
  <c r="AQ258" i="17" s="1"/>
  <c r="BY248" i="17"/>
  <c r="BW248" i="17"/>
  <c r="BX248" i="17" s="1"/>
  <c r="BZ248" i="17" s="1"/>
  <c r="BU249" i="17" s="1"/>
  <c r="CF248" i="17"/>
  <c r="CG248" i="17"/>
  <c r="CH248" i="17" l="1"/>
  <c r="AO272" i="17"/>
  <c r="BY249" i="17"/>
  <c r="BW249" i="17"/>
  <c r="CF249" i="17"/>
  <c r="CG249" i="17"/>
  <c r="AE272" i="17"/>
  <c r="AG272" i="17" s="1"/>
  <c r="AB273" i="17" s="1"/>
  <c r="BA235" i="17"/>
  <c r="AU258" i="17"/>
  <c r="AS258" i="17"/>
  <c r="BB258" i="17"/>
  <c r="BC258" i="17"/>
  <c r="AX258" i="17"/>
  <c r="AL235" i="17"/>
  <c r="CE235" i="17"/>
  <c r="BJ245" i="17"/>
  <c r="BH245" i="17"/>
  <c r="BQ245" i="17"/>
  <c r="BR245" i="17"/>
  <c r="BP235" i="17"/>
  <c r="E236" i="17"/>
  <c r="C236" i="17"/>
  <c r="AJ272" i="17"/>
  <c r="CN235" i="17"/>
  <c r="CH249" i="17" l="1"/>
  <c r="CJ273" i="17"/>
  <c r="CK273" i="17" s="1"/>
  <c r="AF273" i="17"/>
  <c r="AD273" i="17"/>
  <c r="AM273" i="17"/>
  <c r="AN273" i="17"/>
  <c r="AI273" i="17"/>
  <c r="BD258" i="17"/>
  <c r="AT258" i="17"/>
  <c r="AV258" i="17" s="1"/>
  <c r="AQ259" i="17" s="1"/>
  <c r="CL236" i="17"/>
  <c r="CM236" i="17" s="1"/>
  <c r="D236" i="17"/>
  <c r="F236" i="17" s="1"/>
  <c r="BN236" i="17"/>
  <c r="BO236" i="17" s="1"/>
  <c r="CC236" i="17"/>
  <c r="CD236" i="17" s="1"/>
  <c r="AJ236" i="17"/>
  <c r="AK236" i="17" s="1"/>
  <c r="AY236" i="17"/>
  <c r="AZ236" i="17" s="1"/>
  <c r="BX249" i="17"/>
  <c r="BZ249" i="17" s="1"/>
  <c r="BU250" i="17" s="1"/>
  <c r="BS245" i="17"/>
  <c r="BI245" i="17"/>
  <c r="BK245" i="17" s="1"/>
  <c r="BF246" i="17" s="1"/>
  <c r="AO273" i="17" l="1"/>
  <c r="BY250" i="17"/>
  <c r="BW250" i="17"/>
  <c r="CF250" i="17"/>
  <c r="CG250" i="17"/>
  <c r="BA236" i="17"/>
  <c r="CE236" i="17"/>
  <c r="AE273" i="17"/>
  <c r="AG273" i="17" s="1"/>
  <c r="AB274" i="17" s="1"/>
  <c r="AU259" i="17"/>
  <c r="AS259" i="17"/>
  <c r="BB259" i="17"/>
  <c r="BC259" i="17"/>
  <c r="AX259" i="17"/>
  <c r="BP236" i="17"/>
  <c r="AJ273" i="17"/>
  <c r="AL236" i="17"/>
  <c r="E237" i="17"/>
  <c r="C237" i="17"/>
  <c r="BJ246" i="17"/>
  <c r="BH246" i="17"/>
  <c r="BQ246" i="17"/>
  <c r="BR246" i="17"/>
  <c r="CN236" i="17"/>
  <c r="BS246" i="17" l="1"/>
  <c r="CH250" i="17"/>
  <c r="BD259" i="17"/>
  <c r="AT259" i="17"/>
  <c r="AV259" i="17" s="1"/>
  <c r="AQ260" i="17" s="1"/>
  <c r="CJ274" i="17"/>
  <c r="CK274" i="17" s="1"/>
  <c r="AN274" i="17"/>
  <c r="AF274" i="17"/>
  <c r="AD274" i="17"/>
  <c r="AJ274" i="17" s="1"/>
  <c r="AM274" i="17"/>
  <c r="AI274" i="17"/>
  <c r="BI246" i="17"/>
  <c r="BK246" i="17" s="1"/>
  <c r="BF247" i="17" s="1"/>
  <c r="CL237" i="17"/>
  <c r="CM237" i="17" s="1"/>
  <c r="D237" i="17"/>
  <c r="F237" i="17" s="1"/>
  <c r="BN237" i="17"/>
  <c r="BO237" i="17" s="1"/>
  <c r="CC237" i="17"/>
  <c r="CD237" i="17" s="1"/>
  <c r="AJ237" i="17"/>
  <c r="AK237" i="17" s="1"/>
  <c r="AY237" i="17"/>
  <c r="AZ237" i="17" s="1"/>
  <c r="BX250" i="17"/>
  <c r="BZ250" i="17" s="1"/>
  <c r="BU251" i="17" s="1"/>
  <c r="BA237" i="17" l="1"/>
  <c r="CE237" i="17"/>
  <c r="AL237" i="17"/>
  <c r="BP237" i="17"/>
  <c r="BJ247" i="17"/>
  <c r="BH247" i="17"/>
  <c r="BQ247" i="17"/>
  <c r="BR247" i="17"/>
  <c r="AO274" i="17"/>
  <c r="AE274" i="17"/>
  <c r="AG274" i="17" s="1"/>
  <c r="AB275" i="17" s="1"/>
  <c r="BY251" i="17"/>
  <c r="BW251" i="17"/>
  <c r="CF251" i="17"/>
  <c r="CG251" i="17"/>
  <c r="C238" i="17"/>
  <c r="E238" i="17"/>
  <c r="CN237" i="17"/>
  <c r="AU260" i="17"/>
  <c r="AS260" i="17"/>
  <c r="BB260" i="17"/>
  <c r="BC260" i="17"/>
  <c r="AX260" i="17"/>
  <c r="BS247" i="17" l="1"/>
  <c r="CH251" i="17"/>
  <c r="BD260" i="17"/>
  <c r="CJ275" i="17"/>
  <c r="CK275" i="17"/>
  <c r="AF275" i="17"/>
  <c r="AD275" i="17"/>
  <c r="AO275" i="17" s="1"/>
  <c r="AM275" i="17"/>
  <c r="AN275" i="17"/>
  <c r="AI275" i="17"/>
  <c r="CL238" i="17"/>
  <c r="CM238" i="17" s="1"/>
  <c r="D238" i="17"/>
  <c r="F238" i="17" s="1"/>
  <c r="BN238" i="17"/>
  <c r="BO238" i="17" s="1"/>
  <c r="CC238" i="17"/>
  <c r="CD238" i="17" s="1"/>
  <c r="AJ238" i="17"/>
  <c r="AK238" i="17" s="1"/>
  <c r="AY238" i="17"/>
  <c r="AZ238" i="17" s="1"/>
  <c r="AT260" i="17"/>
  <c r="AV260" i="17" s="1"/>
  <c r="AQ261" i="17" s="1"/>
  <c r="BX251" i="17"/>
  <c r="BZ251" i="17" s="1"/>
  <c r="BU252" i="17" s="1"/>
  <c r="BI247" i="17"/>
  <c r="BK247" i="17" s="1"/>
  <c r="BF248" i="17" s="1"/>
  <c r="CN238" i="17" l="1"/>
  <c r="BY252" i="17"/>
  <c r="BW252" i="17"/>
  <c r="CF252" i="17"/>
  <c r="CG252" i="17"/>
  <c r="AU261" i="17"/>
  <c r="AS261" i="17"/>
  <c r="BB261" i="17"/>
  <c r="BC261" i="17"/>
  <c r="AX261" i="17"/>
  <c r="E239" i="17"/>
  <c r="C239" i="17"/>
  <c r="AJ275" i="17"/>
  <c r="AL238" i="17"/>
  <c r="BJ248" i="17"/>
  <c r="BH248" i="17"/>
  <c r="BQ248" i="17"/>
  <c r="BR248" i="17"/>
  <c r="CE238" i="17"/>
  <c r="BA238" i="17"/>
  <c r="BP238" i="17"/>
  <c r="AE275" i="17"/>
  <c r="AG275" i="17" s="1"/>
  <c r="AB276" i="17" s="1"/>
  <c r="BS248" i="17" l="1"/>
  <c r="CH252" i="17"/>
  <c r="AG276" i="17"/>
  <c r="AB277" i="17" s="1"/>
  <c r="CN276" i="17"/>
  <c r="AF276" i="17"/>
  <c r="CJ276" i="17"/>
  <c r="AL276" i="17"/>
  <c r="AE276" i="17"/>
  <c r="AM276" i="17"/>
  <c r="AD276" i="17"/>
  <c r="AO276" i="17" s="1"/>
  <c r="AN276" i="17"/>
  <c r="AJ276" i="17"/>
  <c r="AK276" i="17"/>
  <c r="CK276" i="17"/>
  <c r="AI276" i="17"/>
  <c r="CM276" i="17"/>
  <c r="BD261" i="17"/>
  <c r="BX252" i="17"/>
  <c r="BZ252" i="17" s="1"/>
  <c r="BU253" i="17" s="1"/>
  <c r="CL239" i="17"/>
  <c r="CM239" i="17" s="1"/>
  <c r="D239" i="17"/>
  <c r="F239" i="17" s="1"/>
  <c r="BN239" i="17"/>
  <c r="BO239" i="17" s="1"/>
  <c r="CC239" i="17"/>
  <c r="CD239" i="17" s="1"/>
  <c r="AJ239" i="17"/>
  <c r="AK239" i="17" s="1"/>
  <c r="AY239" i="17"/>
  <c r="AZ239" i="17" s="1"/>
  <c r="BI248" i="17"/>
  <c r="BK248" i="17" s="1"/>
  <c r="BF249" i="17" s="1"/>
  <c r="AT261" i="17"/>
  <c r="AV261" i="17" s="1"/>
  <c r="AQ262" i="17" s="1"/>
  <c r="BY253" i="17" l="1"/>
  <c r="BW253" i="17"/>
  <c r="CF253" i="17"/>
  <c r="CG253" i="17"/>
  <c r="BJ249" i="17"/>
  <c r="BH249" i="17"/>
  <c r="BI249" i="17" s="1"/>
  <c r="BK249" i="17" s="1"/>
  <c r="BF250" i="17" s="1"/>
  <c r="BQ249" i="17"/>
  <c r="BR249" i="17"/>
  <c r="BA239" i="17"/>
  <c r="AU262" i="17"/>
  <c r="AS262" i="17"/>
  <c r="AT262" i="17" s="1"/>
  <c r="AV262" i="17" s="1"/>
  <c r="AQ263" i="17" s="1"/>
  <c r="BB262" i="17"/>
  <c r="BC262" i="17"/>
  <c r="AX262" i="17"/>
  <c r="CE239" i="17"/>
  <c r="CN239" i="17"/>
  <c r="BP239" i="17"/>
  <c r="AL239" i="17"/>
  <c r="E240" i="17"/>
  <c r="C240" i="17"/>
  <c r="AG277" i="17"/>
  <c r="AB278" i="17" s="1"/>
  <c r="CN277" i="17"/>
  <c r="AD277" i="17"/>
  <c r="AO277" i="17" s="1"/>
  <c r="AF277" i="17"/>
  <c r="AJ277" i="17"/>
  <c r="AN277" i="17"/>
  <c r="CJ277" i="17"/>
  <c r="AL277" i="17"/>
  <c r="AE277" i="17"/>
  <c r="AM277" i="17"/>
  <c r="AK277" i="17"/>
  <c r="CK277" i="17"/>
  <c r="CM277" i="17"/>
  <c r="AI277" i="17"/>
  <c r="CH253" i="17" l="1"/>
  <c r="AU263" i="17"/>
  <c r="AS263" i="17"/>
  <c r="BB263" i="17"/>
  <c r="BC263" i="17"/>
  <c r="AX263" i="17"/>
  <c r="BJ250" i="17"/>
  <c r="BH250" i="17"/>
  <c r="BS250" i="17" s="1"/>
  <c r="BQ250" i="17"/>
  <c r="BR250" i="17"/>
  <c r="AG278" i="17"/>
  <c r="AB279" i="17" s="1"/>
  <c r="CN278" i="17"/>
  <c r="AD278" i="17"/>
  <c r="AO278" i="17" s="1"/>
  <c r="AF278" i="17"/>
  <c r="AJ278" i="17"/>
  <c r="AN278" i="17"/>
  <c r="CJ278" i="17"/>
  <c r="AL278" i="17"/>
  <c r="AE278" i="17"/>
  <c r="AM278" i="17"/>
  <c r="AK278" i="17"/>
  <c r="CM278" i="17"/>
  <c r="AI278" i="17"/>
  <c r="CK278" i="17"/>
  <c r="D240" i="17"/>
  <c r="F240" i="17" s="1"/>
  <c r="CL240" i="17"/>
  <c r="CM240" i="17" s="1"/>
  <c r="BN240" i="17"/>
  <c r="BO240" i="17" s="1"/>
  <c r="CC240" i="17"/>
  <c r="CD240" i="17" s="1"/>
  <c r="AJ240" i="17"/>
  <c r="AK240" i="17" s="1"/>
  <c r="AY240" i="17"/>
  <c r="AZ240" i="17" s="1"/>
  <c r="BS249" i="17"/>
  <c r="BX253" i="17"/>
  <c r="BZ253" i="17" s="1"/>
  <c r="BU254" i="17" s="1"/>
  <c r="BD262" i="17"/>
  <c r="BD263" i="17" l="1"/>
  <c r="CN240" i="17"/>
  <c r="E241" i="17"/>
  <c r="C241" i="17"/>
  <c r="BY254" i="17"/>
  <c r="BW254" i="17"/>
  <c r="CF254" i="17"/>
  <c r="CG254" i="17"/>
  <c r="BI250" i="17"/>
  <c r="BK250" i="17" s="1"/>
  <c r="BF251" i="17" s="1"/>
  <c r="AL240" i="17"/>
  <c r="CE240" i="17"/>
  <c r="AT263" i="17"/>
  <c r="AV263" i="17" s="1"/>
  <c r="AQ264" i="17" s="1"/>
  <c r="BA240" i="17"/>
  <c r="BP240" i="17"/>
  <c r="AG279" i="17"/>
  <c r="AB280" i="17" s="1"/>
  <c r="CN279" i="17"/>
  <c r="AF279" i="17"/>
  <c r="AD279" i="17"/>
  <c r="AO279" i="17" s="1"/>
  <c r="AJ279" i="17"/>
  <c r="AN279" i="17"/>
  <c r="CJ279" i="17"/>
  <c r="AL279" i="17"/>
  <c r="AE279" i="17"/>
  <c r="AM279" i="17"/>
  <c r="AK279" i="17"/>
  <c r="CK279" i="17"/>
  <c r="AI279" i="17"/>
  <c r="CM279" i="17"/>
  <c r="CH254" i="17" l="1"/>
  <c r="BX254" i="17"/>
  <c r="BZ254" i="17" s="1"/>
  <c r="BU255" i="17" s="1"/>
  <c r="AG280" i="17"/>
  <c r="AB281" i="17" s="1"/>
  <c r="CN280" i="17"/>
  <c r="AF280" i="17"/>
  <c r="AJ280" i="17"/>
  <c r="AN280" i="17"/>
  <c r="AD280" i="17"/>
  <c r="AO280" i="17" s="1"/>
  <c r="CJ280" i="17"/>
  <c r="AL280" i="17"/>
  <c r="AE280" i="17"/>
  <c r="AM280" i="17"/>
  <c r="AI280" i="17"/>
  <c r="AK280" i="17"/>
  <c r="CK280" i="17"/>
  <c r="CM280" i="17"/>
  <c r="CL241" i="17"/>
  <c r="CM241" i="17" s="1"/>
  <c r="D241" i="17"/>
  <c r="F241" i="17" s="1"/>
  <c r="BN241" i="17"/>
  <c r="BO241" i="17" s="1"/>
  <c r="CC241" i="17"/>
  <c r="CD241" i="17" s="1"/>
  <c r="AJ241" i="17"/>
  <c r="AK241" i="17" s="1"/>
  <c r="AY241" i="17"/>
  <c r="AZ241" i="17" s="1"/>
  <c r="BJ251" i="17"/>
  <c r="BH251" i="17"/>
  <c r="BS251" i="17" s="1"/>
  <c r="BQ251" i="17"/>
  <c r="BR251" i="17"/>
  <c r="AU264" i="17"/>
  <c r="AS264" i="17"/>
  <c r="BB264" i="17"/>
  <c r="BC264" i="17"/>
  <c r="AX264" i="17"/>
  <c r="BD264" i="17" l="1"/>
  <c r="CN241" i="17"/>
  <c r="BI251" i="17"/>
  <c r="BK251" i="17" s="1"/>
  <c r="BF252" i="17" s="1"/>
  <c r="BA241" i="17"/>
  <c r="AT264" i="17"/>
  <c r="AV264" i="17" s="1"/>
  <c r="AQ265" i="17" s="1"/>
  <c r="AL241" i="17"/>
  <c r="CE241" i="17"/>
  <c r="BP241" i="17"/>
  <c r="AG281" i="17"/>
  <c r="AB282" i="17" s="1"/>
  <c r="CN281" i="17"/>
  <c r="AD281" i="17"/>
  <c r="AO281" i="17" s="1"/>
  <c r="AJ281" i="17"/>
  <c r="AN281" i="17"/>
  <c r="CJ281" i="17"/>
  <c r="AF281" i="17"/>
  <c r="AL281" i="17"/>
  <c r="AE281" i="17"/>
  <c r="AM281" i="17"/>
  <c r="AI281" i="17"/>
  <c r="CM281" i="17"/>
  <c r="AK281" i="17"/>
  <c r="CK281" i="17"/>
  <c r="E242" i="17"/>
  <c r="C242" i="17"/>
  <c r="BY255" i="17"/>
  <c r="BW255" i="17"/>
  <c r="CF255" i="17"/>
  <c r="CG255" i="17"/>
  <c r="CH255" i="17" l="1"/>
  <c r="CL242" i="17"/>
  <c r="CM242" i="17" s="1"/>
  <c r="D242" i="17"/>
  <c r="F242" i="17" s="1"/>
  <c r="BN242" i="17"/>
  <c r="BO242" i="17" s="1"/>
  <c r="CC242" i="17"/>
  <c r="CD242" i="17" s="1"/>
  <c r="AJ242" i="17"/>
  <c r="AK242" i="17" s="1"/>
  <c r="AY242" i="17"/>
  <c r="AZ242" i="17" s="1"/>
  <c r="BX255" i="17"/>
  <c r="BZ255" i="17" s="1"/>
  <c r="BU256" i="17" s="1"/>
  <c r="AU265" i="17"/>
  <c r="AS265" i="17"/>
  <c r="BB265" i="17"/>
  <c r="BC265" i="17"/>
  <c r="AX265" i="17"/>
  <c r="AG282" i="17"/>
  <c r="AB283" i="17" s="1"/>
  <c r="CN282" i="17"/>
  <c r="AD282" i="17"/>
  <c r="AO282" i="17" s="1"/>
  <c r="AJ282" i="17"/>
  <c r="AN282" i="17"/>
  <c r="CJ282" i="17"/>
  <c r="AM282" i="17"/>
  <c r="AE282" i="17"/>
  <c r="AF282" i="17"/>
  <c r="AL282" i="17"/>
  <c r="CM282" i="17"/>
  <c r="CK282" i="17"/>
  <c r="AK282" i="17"/>
  <c r="AI282" i="17"/>
  <c r="BJ252" i="17"/>
  <c r="BH252" i="17"/>
  <c r="BQ252" i="17"/>
  <c r="BR252" i="17"/>
  <c r="BS252" i="17" l="1"/>
  <c r="BD265" i="17"/>
  <c r="BY256" i="17"/>
  <c r="BW256" i="17"/>
  <c r="CH256" i="17" s="1"/>
  <c r="CF256" i="17"/>
  <c r="CG256" i="17"/>
  <c r="BA242" i="17"/>
  <c r="AL242" i="17"/>
  <c r="CE242" i="17"/>
  <c r="BP242" i="17"/>
  <c r="AG283" i="17"/>
  <c r="AB284" i="17" s="1"/>
  <c r="CN283" i="17"/>
  <c r="AF283" i="17"/>
  <c r="AD283" i="17"/>
  <c r="AO283" i="17" s="1"/>
  <c r="AL283" i="17"/>
  <c r="AE283" i="17"/>
  <c r="AM283" i="17"/>
  <c r="AJ283" i="17"/>
  <c r="AN283" i="17"/>
  <c r="CJ283" i="17"/>
  <c r="CM283" i="17"/>
  <c r="AI283" i="17"/>
  <c r="AK283" i="17"/>
  <c r="CK283" i="17"/>
  <c r="E243" i="17"/>
  <c r="C243" i="17"/>
  <c r="BI252" i="17"/>
  <c r="BK252" i="17" s="1"/>
  <c r="BF253" i="17" s="1"/>
  <c r="AT265" i="17"/>
  <c r="AV265" i="17" s="1"/>
  <c r="AQ266" i="17" s="1"/>
  <c r="CN242" i="17"/>
  <c r="BX256" i="17" l="1"/>
  <c r="BZ256" i="17" s="1"/>
  <c r="BU257" i="17" s="1"/>
  <c r="BJ253" i="17"/>
  <c r="BH253" i="17"/>
  <c r="BQ253" i="17"/>
  <c r="BR253" i="17"/>
  <c r="CL243" i="17"/>
  <c r="CM243" i="17" s="1"/>
  <c r="D243" i="17"/>
  <c r="F243" i="17" s="1"/>
  <c r="BN243" i="17"/>
  <c r="BO243" i="17" s="1"/>
  <c r="CC243" i="17"/>
  <c r="CD243" i="17" s="1"/>
  <c r="AJ243" i="17"/>
  <c r="AK243" i="17" s="1"/>
  <c r="AY243" i="17"/>
  <c r="AZ243" i="17" s="1"/>
  <c r="AG284" i="17"/>
  <c r="AB285" i="17" s="1"/>
  <c r="CN284" i="17"/>
  <c r="AF284" i="17"/>
  <c r="CJ284" i="17"/>
  <c r="AL284" i="17"/>
  <c r="AE284" i="17"/>
  <c r="AM284" i="17"/>
  <c r="AD284" i="17"/>
  <c r="AO284" i="17" s="1"/>
  <c r="AN284" i="17"/>
  <c r="AJ284" i="17"/>
  <c r="AK284" i="17"/>
  <c r="CM284" i="17"/>
  <c r="CK284" i="17"/>
  <c r="AI284" i="17"/>
  <c r="AU266" i="17"/>
  <c r="AS266" i="17"/>
  <c r="BB266" i="17"/>
  <c r="BC266" i="17"/>
  <c r="AX266" i="17"/>
  <c r="BY257" i="17"/>
  <c r="BW257" i="17"/>
  <c r="BX257" i="17" s="1"/>
  <c r="BZ257" i="17" s="1"/>
  <c r="BU258" i="17" s="1"/>
  <c r="CF257" i="17"/>
  <c r="CG257" i="17"/>
  <c r="CH257" i="17" l="1"/>
  <c r="BS253" i="17"/>
  <c r="BD266" i="17"/>
  <c r="C244" i="17"/>
  <c r="E244" i="17"/>
  <c r="CN243" i="17"/>
  <c r="AG285" i="17"/>
  <c r="AB286" i="17" s="1"/>
  <c r="CN285" i="17"/>
  <c r="AD285" i="17"/>
  <c r="AO285" i="17" s="1"/>
  <c r="AF285" i="17"/>
  <c r="AJ285" i="17"/>
  <c r="AN285" i="17"/>
  <c r="CJ285" i="17"/>
  <c r="AL285" i="17"/>
  <c r="AE285" i="17"/>
  <c r="AM285" i="17"/>
  <c r="CM285" i="17"/>
  <c r="CK285" i="17"/>
  <c r="AI285" i="17"/>
  <c r="AK285" i="17"/>
  <c r="BY258" i="17"/>
  <c r="BW258" i="17"/>
  <c r="CH258" i="17" s="1"/>
  <c r="CF258" i="17"/>
  <c r="CG258" i="17"/>
  <c r="AL243" i="17"/>
  <c r="BA243" i="17"/>
  <c r="CE243" i="17"/>
  <c r="BI253" i="17"/>
  <c r="BK253" i="17" s="1"/>
  <c r="BF254" i="17" s="1"/>
  <c r="AT266" i="17"/>
  <c r="AV266" i="17" s="1"/>
  <c r="AQ267" i="17" s="1"/>
  <c r="BP243" i="17"/>
  <c r="BX258" i="17" l="1"/>
  <c r="BZ258" i="17" s="1"/>
  <c r="BU259" i="17" s="1"/>
  <c r="BJ254" i="17"/>
  <c r="BH254" i="17"/>
  <c r="BQ254" i="17"/>
  <c r="BR254" i="17"/>
  <c r="AG286" i="17"/>
  <c r="AB287" i="17" s="1"/>
  <c r="CN286" i="17"/>
  <c r="AD286" i="17"/>
  <c r="AO286" i="17" s="1"/>
  <c r="AF286" i="17"/>
  <c r="AJ286" i="17"/>
  <c r="AN286" i="17"/>
  <c r="CJ286" i="17"/>
  <c r="AL286" i="17"/>
  <c r="AE286" i="17"/>
  <c r="AM286" i="17"/>
  <c r="CK286" i="17"/>
  <c r="CM286" i="17"/>
  <c r="AK286" i="17"/>
  <c r="AI286" i="17"/>
  <c r="BY259" i="17"/>
  <c r="BW259" i="17"/>
  <c r="CF259" i="17"/>
  <c r="CG259" i="17"/>
  <c r="CL244" i="17"/>
  <c r="CM244" i="17" s="1"/>
  <c r="D244" i="17"/>
  <c r="F244" i="17" s="1"/>
  <c r="BN244" i="17"/>
  <c r="BO244" i="17" s="1"/>
  <c r="CC244" i="17"/>
  <c r="CD244" i="17" s="1"/>
  <c r="AJ244" i="17"/>
  <c r="AK244" i="17" s="1"/>
  <c r="AY244" i="17"/>
  <c r="AZ244" i="17" s="1"/>
  <c r="AU267" i="17"/>
  <c r="AS267" i="17"/>
  <c r="BD267" i="17" s="1"/>
  <c r="BB267" i="17"/>
  <c r="BC267" i="17"/>
  <c r="AX267" i="17"/>
  <c r="CH259" i="17" l="1"/>
  <c r="BX259" i="17"/>
  <c r="BZ259" i="17" s="1"/>
  <c r="BU260" i="17" s="1"/>
  <c r="BS254" i="17"/>
  <c r="BA244" i="17"/>
  <c r="AG287" i="17"/>
  <c r="AB288" i="17" s="1"/>
  <c r="CN287" i="17"/>
  <c r="AF287" i="17"/>
  <c r="AD287" i="17"/>
  <c r="AO287" i="17" s="1"/>
  <c r="AJ287" i="17"/>
  <c r="AN287" i="17"/>
  <c r="CJ287" i="17"/>
  <c r="AL287" i="17"/>
  <c r="AE287" i="17"/>
  <c r="AM287" i="17"/>
  <c r="AK287" i="17"/>
  <c r="CM287" i="17"/>
  <c r="AI287" i="17"/>
  <c r="CK287" i="17"/>
  <c r="CE244" i="17"/>
  <c r="BW260" i="17"/>
  <c r="CH260" i="17" s="1"/>
  <c r="BY260" i="17"/>
  <c r="CF260" i="17"/>
  <c r="CG260" i="17"/>
  <c r="AL244" i="17"/>
  <c r="BP244" i="17"/>
  <c r="E245" i="17"/>
  <c r="C245" i="17"/>
  <c r="CN244" i="17"/>
  <c r="AT267" i="17"/>
  <c r="AV267" i="17" s="1"/>
  <c r="AQ268" i="17" s="1"/>
  <c r="BI254" i="17"/>
  <c r="BK254" i="17" s="1"/>
  <c r="BF255" i="17" s="1"/>
  <c r="BX260" i="17" l="1"/>
  <c r="BZ260" i="17" s="1"/>
  <c r="BU261" i="17" s="1"/>
  <c r="CL245" i="17"/>
  <c r="CM245" i="17" s="1"/>
  <c r="D245" i="17"/>
  <c r="F245" i="17" s="1"/>
  <c r="BN245" i="17"/>
  <c r="BO245" i="17" s="1"/>
  <c r="CC245" i="17"/>
  <c r="CD245" i="17" s="1"/>
  <c r="AJ245" i="17"/>
  <c r="AK245" i="17" s="1"/>
  <c r="AY245" i="17"/>
  <c r="AZ245" i="17" s="1"/>
  <c r="BY261" i="17"/>
  <c r="BW261" i="17"/>
  <c r="CH261" i="17" s="1"/>
  <c r="CG261" i="17"/>
  <c r="CF261" i="17"/>
  <c r="BJ255" i="17"/>
  <c r="BH255" i="17"/>
  <c r="BQ255" i="17"/>
  <c r="BR255" i="17"/>
  <c r="AG288" i="17"/>
  <c r="AB289" i="17" s="1"/>
  <c r="AF288" i="17"/>
  <c r="CN288" i="17"/>
  <c r="AJ288" i="17"/>
  <c r="AN288" i="17"/>
  <c r="CJ288" i="17"/>
  <c r="AL288" i="17"/>
  <c r="AE288" i="17"/>
  <c r="AM288" i="17"/>
  <c r="AD288" i="17"/>
  <c r="AO288" i="17" s="1"/>
  <c r="AI288" i="17"/>
  <c r="AK288" i="17"/>
  <c r="CM288" i="17"/>
  <c r="CK288" i="17"/>
  <c r="AU268" i="17"/>
  <c r="AS268" i="17"/>
  <c r="BB268" i="17"/>
  <c r="BC268" i="17"/>
  <c r="AX268" i="17"/>
  <c r="BX261" i="17" l="1"/>
  <c r="BZ261" i="17" s="1"/>
  <c r="BU262" i="17" s="1"/>
  <c r="BW262" i="17" s="1"/>
  <c r="CH262" i="17" s="1"/>
  <c r="BD268" i="17"/>
  <c r="BS255" i="17"/>
  <c r="BX262" i="17"/>
  <c r="CG262" i="17"/>
  <c r="CF262" i="17"/>
  <c r="BI255" i="17"/>
  <c r="BK255" i="17" s="1"/>
  <c r="BF256" i="17" s="1"/>
  <c r="BA245" i="17"/>
  <c r="AL245" i="17"/>
  <c r="AY268" i="17"/>
  <c r="CE245" i="17"/>
  <c r="AG289" i="17"/>
  <c r="AB290" i="17" s="1"/>
  <c r="CN289" i="17"/>
  <c r="AD289" i="17"/>
  <c r="AO289" i="17" s="1"/>
  <c r="AF289" i="17"/>
  <c r="AJ289" i="17"/>
  <c r="AN289" i="17"/>
  <c r="CJ289" i="17"/>
  <c r="AL289" i="17"/>
  <c r="AE289" i="17"/>
  <c r="AM289" i="17"/>
  <c r="AK289" i="17"/>
  <c r="AI289" i="17"/>
  <c r="CK289" i="17"/>
  <c r="CM289" i="17"/>
  <c r="BP245" i="17"/>
  <c r="C246" i="17"/>
  <c r="E246" i="17"/>
  <c r="AT268" i="17"/>
  <c r="AV268" i="17" s="1"/>
  <c r="AQ269" i="17" s="1"/>
  <c r="CN245" i="17"/>
  <c r="BY262" i="17" l="1"/>
  <c r="BZ262" i="17"/>
  <c r="BU263" i="17" s="1"/>
  <c r="AG290" i="17"/>
  <c r="AB291" i="17" s="1"/>
  <c r="CN290" i="17"/>
  <c r="AD290" i="17"/>
  <c r="AO290" i="17" s="1"/>
  <c r="AF290" i="17"/>
  <c r="AJ290" i="17"/>
  <c r="AN290" i="17"/>
  <c r="CJ290" i="17"/>
  <c r="AM290" i="17"/>
  <c r="AE290" i="17"/>
  <c r="AL290" i="17"/>
  <c r="AI290" i="17"/>
  <c r="CK290" i="17"/>
  <c r="AK290" i="17"/>
  <c r="CM290" i="17"/>
  <c r="BJ256" i="17"/>
  <c r="BH256" i="17"/>
  <c r="BS256" i="17" s="1"/>
  <c r="BQ256" i="17"/>
  <c r="BR256" i="17"/>
  <c r="AU269" i="17"/>
  <c r="AS269" i="17"/>
  <c r="BB269" i="17"/>
  <c r="BC269" i="17"/>
  <c r="AX269" i="17"/>
  <c r="BZ263" i="17"/>
  <c r="BU264" i="17" s="1"/>
  <c r="BW263" i="17"/>
  <c r="CH263" i="17" s="1"/>
  <c r="BY263" i="17"/>
  <c r="CF263" i="17"/>
  <c r="CG263" i="17"/>
  <c r="BX263" i="17"/>
  <c r="D246" i="17"/>
  <c r="F246" i="17" s="1"/>
  <c r="CL246" i="17"/>
  <c r="CM246" i="17" s="1"/>
  <c r="BN246" i="17"/>
  <c r="BO246" i="17" s="1"/>
  <c r="CC246" i="17"/>
  <c r="CD246" i="17" s="1"/>
  <c r="AJ246" i="17"/>
  <c r="AK246" i="17" s="1"/>
  <c r="AY246" i="17"/>
  <c r="AZ246" i="17" s="1"/>
  <c r="BI256" i="17" l="1"/>
  <c r="BK256" i="17" s="1"/>
  <c r="BF257" i="17" s="1"/>
  <c r="BJ257" i="17" s="1"/>
  <c r="BD269" i="17"/>
  <c r="AT269" i="17"/>
  <c r="AV269" i="17" s="1"/>
  <c r="AQ270" i="17" s="1"/>
  <c r="E247" i="17"/>
  <c r="C247" i="17"/>
  <c r="CN246" i="17"/>
  <c r="CE246" i="17"/>
  <c r="AY269" i="17"/>
  <c r="BP246" i="17"/>
  <c r="BA246" i="17"/>
  <c r="BW264" i="17"/>
  <c r="CH264" i="17" s="1"/>
  <c r="BZ264" i="17"/>
  <c r="BU265" i="17" s="1"/>
  <c r="BY264" i="17"/>
  <c r="BX264" i="17"/>
  <c r="CF264" i="17"/>
  <c r="CG264" i="17"/>
  <c r="AL246" i="17"/>
  <c r="AG291" i="17"/>
  <c r="AB292" i="17" s="1"/>
  <c r="CN291" i="17"/>
  <c r="AF291" i="17"/>
  <c r="AD291" i="17"/>
  <c r="AO291" i="17" s="1"/>
  <c r="AL291" i="17"/>
  <c r="AE291" i="17"/>
  <c r="AM291" i="17"/>
  <c r="AJ291" i="17"/>
  <c r="AN291" i="17"/>
  <c r="CJ291" i="17"/>
  <c r="CM291" i="17"/>
  <c r="CK291" i="17"/>
  <c r="AI291" i="17"/>
  <c r="AK291" i="17"/>
  <c r="BR257" i="17" l="1"/>
  <c r="BQ257" i="17"/>
  <c r="BH257" i="17"/>
  <c r="BS257" i="17" s="1"/>
  <c r="AU270" i="17"/>
  <c r="AS270" i="17"/>
  <c r="BB270" i="17"/>
  <c r="BC270" i="17"/>
  <c r="AX270" i="17"/>
  <c r="BZ265" i="17"/>
  <c r="BU266" i="17" s="1"/>
  <c r="CG265" i="17"/>
  <c r="BW265" i="17"/>
  <c r="CH265" i="17" s="1"/>
  <c r="BY265" i="17"/>
  <c r="CF265" i="17"/>
  <c r="BX265" i="17"/>
  <c r="AG292" i="17"/>
  <c r="AB293" i="17" s="1"/>
  <c r="CN292" i="17"/>
  <c r="AF292" i="17"/>
  <c r="CJ292" i="17"/>
  <c r="AD292" i="17"/>
  <c r="AO292" i="17" s="1"/>
  <c r="AL292" i="17"/>
  <c r="AE292" i="17"/>
  <c r="AM292" i="17"/>
  <c r="AN292" i="17"/>
  <c r="AJ292" i="17"/>
  <c r="CK292" i="17"/>
  <c r="CM292" i="17"/>
  <c r="AK292" i="17"/>
  <c r="AI292" i="17"/>
  <c r="CL247" i="17"/>
  <c r="CM247" i="17" s="1"/>
  <c r="D247" i="17"/>
  <c r="F247" i="17" s="1"/>
  <c r="BN247" i="17"/>
  <c r="BO247" i="17" s="1"/>
  <c r="CC247" i="17"/>
  <c r="CD247" i="17" s="1"/>
  <c r="AJ247" i="17"/>
  <c r="AK247" i="17" s="1"/>
  <c r="AY247" i="17"/>
  <c r="AZ247" i="17" s="1"/>
  <c r="BI257" i="17" l="1"/>
  <c r="BK257" i="17" s="1"/>
  <c r="BF258" i="17" s="1"/>
  <c r="BQ258" i="17" s="1"/>
  <c r="BD270" i="17"/>
  <c r="E248" i="17"/>
  <c r="C248" i="17"/>
  <c r="AY270" i="17"/>
  <c r="CN247" i="17"/>
  <c r="BA247" i="17"/>
  <c r="AL247" i="17"/>
  <c r="BW266" i="17"/>
  <c r="CH266" i="17" s="1"/>
  <c r="BZ266" i="17"/>
  <c r="BU267" i="17" s="1"/>
  <c r="BX266" i="17"/>
  <c r="BY266" i="17"/>
  <c r="CG266" i="17"/>
  <c r="CF266" i="17"/>
  <c r="CE247" i="17"/>
  <c r="AT270" i="17"/>
  <c r="AV270" i="17" s="1"/>
  <c r="AQ271" i="17" s="1"/>
  <c r="BP247" i="17"/>
  <c r="AG293" i="17"/>
  <c r="AB294" i="17" s="1"/>
  <c r="CN293" i="17"/>
  <c r="AD293" i="17"/>
  <c r="AO293" i="17" s="1"/>
  <c r="AF293" i="17"/>
  <c r="AJ293" i="17"/>
  <c r="AN293" i="17"/>
  <c r="CJ293" i="17"/>
  <c r="AL293" i="17"/>
  <c r="AE293" i="17"/>
  <c r="AM293" i="17"/>
  <c r="AK293" i="17"/>
  <c r="CM293" i="17"/>
  <c r="CK293" i="17"/>
  <c r="AI293" i="17"/>
  <c r="BH258" i="17" l="1"/>
  <c r="BS258" i="17" s="1"/>
  <c r="BR258" i="17"/>
  <c r="BJ258" i="17"/>
  <c r="AG294" i="17"/>
  <c r="AB295" i="17" s="1"/>
  <c r="CN294" i="17"/>
  <c r="AD294" i="17"/>
  <c r="AO294" i="17" s="1"/>
  <c r="AF294" i="17"/>
  <c r="AJ294" i="17"/>
  <c r="AN294" i="17"/>
  <c r="CJ294" i="17"/>
  <c r="AL294" i="17"/>
  <c r="AE294" i="17"/>
  <c r="AM294" i="17"/>
  <c r="AI294" i="17"/>
  <c r="CM294" i="17"/>
  <c r="AK294" i="17"/>
  <c r="CK294" i="17"/>
  <c r="BZ267" i="17"/>
  <c r="BU268" i="17" s="1"/>
  <c r="BW267" i="17"/>
  <c r="CH267" i="17" s="1"/>
  <c r="BY267" i="17"/>
  <c r="CG267" i="17"/>
  <c r="CF267" i="17"/>
  <c r="BX267" i="17"/>
  <c r="D248" i="17"/>
  <c r="F248" i="17" s="1"/>
  <c r="CL248" i="17"/>
  <c r="CM248" i="17" s="1"/>
  <c r="BN248" i="17"/>
  <c r="BO248" i="17" s="1"/>
  <c r="CC248" i="17"/>
  <c r="CD248" i="17" s="1"/>
  <c r="AJ248" i="17"/>
  <c r="AK248" i="17" s="1"/>
  <c r="AY248" i="17"/>
  <c r="AZ248" i="17" s="1"/>
  <c r="AU271" i="17"/>
  <c r="AS271" i="17"/>
  <c r="BB271" i="17"/>
  <c r="BC271" i="17"/>
  <c r="AX271" i="17"/>
  <c r="BI258" i="17" l="1"/>
  <c r="BK258" i="17" s="1"/>
  <c r="BF259" i="17" s="1"/>
  <c r="BR259" i="17" s="1"/>
  <c r="BD271" i="17"/>
  <c r="BA248" i="17"/>
  <c r="AG295" i="17"/>
  <c r="AB296" i="17" s="1"/>
  <c r="CN295" i="17"/>
  <c r="AF295" i="17"/>
  <c r="AD295" i="17"/>
  <c r="AO295" i="17" s="1"/>
  <c r="AJ295" i="17"/>
  <c r="AN295" i="17"/>
  <c r="CJ295" i="17"/>
  <c r="AL295" i="17"/>
  <c r="AE295" i="17"/>
  <c r="AM295" i="17"/>
  <c r="AK295" i="17"/>
  <c r="AI295" i="17"/>
  <c r="CM295" i="17"/>
  <c r="CK295" i="17"/>
  <c r="CE248" i="17"/>
  <c r="BW268" i="17"/>
  <c r="BZ268" i="17"/>
  <c r="BU269" i="17" s="1"/>
  <c r="BX268" i="17"/>
  <c r="BY268" i="17"/>
  <c r="CG268" i="17"/>
  <c r="CF268" i="17"/>
  <c r="CN248" i="17"/>
  <c r="AY271" i="17"/>
  <c r="BP248" i="17"/>
  <c r="E249" i="17"/>
  <c r="C249" i="17"/>
  <c r="AL248" i="17"/>
  <c r="AT271" i="17"/>
  <c r="AV271" i="17" s="1"/>
  <c r="AQ272" i="17" s="1"/>
  <c r="BQ259" i="17" l="1"/>
  <c r="BH259" i="17"/>
  <c r="BS259" i="17" s="1"/>
  <c r="BJ259" i="17"/>
  <c r="BI259" i="17" s="1"/>
  <c r="BK259" i="17" s="1"/>
  <c r="BF260" i="17" s="1"/>
  <c r="CL249" i="17"/>
  <c r="CM249" i="17" s="1"/>
  <c r="D249" i="17"/>
  <c r="F249" i="17" s="1"/>
  <c r="BN249" i="17"/>
  <c r="BO249" i="17" s="1"/>
  <c r="CC249" i="17"/>
  <c r="CD249" i="17" s="1"/>
  <c r="AJ249" i="17"/>
  <c r="AK249" i="17" s="1"/>
  <c r="AY249" i="17"/>
  <c r="AZ249" i="17" s="1"/>
  <c r="BZ269" i="17"/>
  <c r="BU270" i="17" s="1"/>
  <c r="BY269" i="17"/>
  <c r="BW269" i="17"/>
  <c r="BX269" i="17"/>
  <c r="CG269" i="17"/>
  <c r="CF269" i="17"/>
  <c r="AU272" i="17"/>
  <c r="AS272" i="17"/>
  <c r="BB272" i="17"/>
  <c r="BC272" i="17"/>
  <c r="AX272" i="17"/>
  <c r="CH268" i="17"/>
  <c r="CC268" i="17"/>
  <c r="AG296" i="17"/>
  <c r="AB297" i="17" s="1"/>
  <c r="CN296" i="17"/>
  <c r="AF296" i="17"/>
  <c r="AD296" i="17"/>
  <c r="AO296" i="17" s="1"/>
  <c r="AJ296" i="17"/>
  <c r="AN296" i="17"/>
  <c r="CJ296" i="17"/>
  <c r="AL296" i="17"/>
  <c r="AE296" i="17"/>
  <c r="AM296" i="17"/>
  <c r="AI296" i="17"/>
  <c r="CM296" i="17"/>
  <c r="CK296" i="17"/>
  <c r="AK296" i="17"/>
  <c r="BJ260" i="17" l="1"/>
  <c r="BH260" i="17"/>
  <c r="BS260" i="17" s="1"/>
  <c r="BQ260" i="17"/>
  <c r="BR260" i="17"/>
  <c r="BD272" i="17"/>
  <c r="AG297" i="17"/>
  <c r="AB298" i="17" s="1"/>
  <c r="CN297" i="17"/>
  <c r="AD297" i="17"/>
  <c r="AO297" i="17" s="1"/>
  <c r="AF297" i="17"/>
  <c r="AJ297" i="17"/>
  <c r="AN297" i="17"/>
  <c r="CJ297" i="17"/>
  <c r="AL297" i="17"/>
  <c r="AE297" i="17"/>
  <c r="AM297" i="17"/>
  <c r="CK297" i="17"/>
  <c r="AK297" i="17"/>
  <c r="AI297" i="17"/>
  <c r="CM297" i="17"/>
  <c r="CH269" i="17"/>
  <c r="CC269" i="17"/>
  <c r="BA249" i="17"/>
  <c r="BW270" i="17"/>
  <c r="BZ270" i="17"/>
  <c r="BU271" i="17" s="1"/>
  <c r="BY270" i="17"/>
  <c r="BX270" i="17"/>
  <c r="CG270" i="17"/>
  <c r="CF270" i="17"/>
  <c r="AL249" i="17"/>
  <c r="AT272" i="17"/>
  <c r="AV272" i="17" s="1"/>
  <c r="AQ273" i="17" s="1"/>
  <c r="CE249" i="17"/>
  <c r="BP249" i="17"/>
  <c r="E250" i="17"/>
  <c r="C250" i="17"/>
  <c r="AY272" i="17"/>
  <c r="CN249" i="17"/>
  <c r="BI260" i="17" l="1"/>
  <c r="BK260" i="17" s="1"/>
  <c r="BF261" i="17" s="1"/>
  <c r="CL250" i="17"/>
  <c r="CM250" i="17" s="1"/>
  <c r="D250" i="17"/>
  <c r="F250" i="17" s="1"/>
  <c r="BN250" i="17"/>
  <c r="BO250" i="17" s="1"/>
  <c r="CC250" i="17"/>
  <c r="CD250" i="17" s="1"/>
  <c r="AJ250" i="17"/>
  <c r="AK250" i="17" s="1"/>
  <c r="AY250" i="17"/>
  <c r="AZ250" i="17" s="1"/>
  <c r="AG298" i="17"/>
  <c r="AB299" i="17" s="1"/>
  <c r="CN298" i="17"/>
  <c r="AD298" i="17"/>
  <c r="AO298" i="17" s="1"/>
  <c r="AF298" i="17"/>
  <c r="AJ298" i="17"/>
  <c r="AN298" i="17"/>
  <c r="CJ298" i="17"/>
  <c r="AM298" i="17"/>
  <c r="AE298" i="17"/>
  <c r="AL298" i="17"/>
  <c r="CM298" i="17"/>
  <c r="AI298" i="17"/>
  <c r="CK298" i="17"/>
  <c r="AK298" i="17"/>
  <c r="BZ271" i="17"/>
  <c r="BU272" i="17" s="1"/>
  <c r="BY271" i="17"/>
  <c r="BW271" i="17"/>
  <c r="CG271" i="17"/>
  <c r="CF271" i="17"/>
  <c r="BX271" i="17"/>
  <c r="AU273" i="17"/>
  <c r="AS273" i="17"/>
  <c r="BB273" i="17"/>
  <c r="BC273" i="17"/>
  <c r="AX273" i="17"/>
  <c r="CH270" i="17"/>
  <c r="CC270" i="17"/>
  <c r="BR261" i="17" l="1"/>
  <c r="BQ261" i="17"/>
  <c r="BH261" i="17"/>
  <c r="BS261" i="17" s="1"/>
  <c r="BJ261" i="17"/>
  <c r="BD273" i="17"/>
  <c r="AG299" i="17"/>
  <c r="AB300" i="17" s="1"/>
  <c r="AF299" i="17"/>
  <c r="AD299" i="17"/>
  <c r="AO299" i="17" s="1"/>
  <c r="AL299" i="17"/>
  <c r="AE299" i="17"/>
  <c r="AM299" i="17"/>
  <c r="AJ299" i="17"/>
  <c r="AN299" i="17"/>
  <c r="CN299" i="17"/>
  <c r="CJ299" i="17"/>
  <c r="CK299" i="17"/>
  <c r="AK299" i="17"/>
  <c r="AI299" i="17"/>
  <c r="CM299" i="17"/>
  <c r="BA250" i="17"/>
  <c r="AL250" i="17"/>
  <c r="CE250" i="17"/>
  <c r="CH271" i="17"/>
  <c r="CC271" i="17"/>
  <c r="BP250" i="17"/>
  <c r="AT273" i="17"/>
  <c r="AV273" i="17" s="1"/>
  <c r="AQ274" i="17" s="1"/>
  <c r="E251" i="17"/>
  <c r="C251" i="17"/>
  <c r="BW272" i="17"/>
  <c r="BZ272" i="17"/>
  <c r="BU273" i="17" s="1"/>
  <c r="BY272" i="17"/>
  <c r="BX272" i="17"/>
  <c r="CG272" i="17"/>
  <c r="CF272" i="17"/>
  <c r="AY273" i="17"/>
  <c r="CN250" i="17"/>
  <c r="BI261" i="17" l="1"/>
  <c r="BK261" i="17" s="1"/>
  <c r="BF262" i="17" s="1"/>
  <c r="BZ273" i="17"/>
  <c r="BU274" i="17" s="1"/>
  <c r="CG273" i="17"/>
  <c r="BY273" i="17"/>
  <c r="BW273" i="17"/>
  <c r="BX273" i="17"/>
  <c r="CF273" i="17"/>
  <c r="CH272" i="17"/>
  <c r="CC272" i="17"/>
  <c r="AU274" i="17"/>
  <c r="AS274" i="17"/>
  <c r="AY274" i="17" s="1"/>
  <c r="BB274" i="17"/>
  <c r="BC274" i="17"/>
  <c r="AX274" i="17"/>
  <c r="CL251" i="17"/>
  <c r="CM251" i="17" s="1"/>
  <c r="D251" i="17"/>
  <c r="F251" i="17" s="1"/>
  <c r="BN251" i="17"/>
  <c r="BO251" i="17" s="1"/>
  <c r="CC251" i="17"/>
  <c r="CD251" i="17" s="1"/>
  <c r="AJ251" i="17"/>
  <c r="AK251" i="17" s="1"/>
  <c r="AY251" i="17"/>
  <c r="AZ251" i="17" s="1"/>
  <c r="AG300" i="17"/>
  <c r="AB301" i="17" s="1"/>
  <c r="CN300" i="17"/>
  <c r="AF300" i="17"/>
  <c r="CJ300" i="17"/>
  <c r="AL300" i="17"/>
  <c r="AE300" i="17"/>
  <c r="AM300" i="17"/>
  <c r="AD300" i="17"/>
  <c r="AO300" i="17" s="1"/>
  <c r="AN300" i="17"/>
  <c r="AJ300" i="17"/>
  <c r="CM300" i="17"/>
  <c r="AK300" i="17"/>
  <c r="AI300" i="17"/>
  <c r="CK300" i="17"/>
  <c r="BK262" i="17" l="1"/>
  <c r="BF263" i="17" s="1"/>
  <c r="BH262" i="17"/>
  <c r="BS262" i="17" s="1"/>
  <c r="BI262" i="17"/>
  <c r="BQ262" i="17"/>
  <c r="BR262" i="17"/>
  <c r="BJ262" i="17"/>
  <c r="AT274" i="17"/>
  <c r="AV274" i="17" s="1"/>
  <c r="AQ275" i="17" s="1"/>
  <c r="AU275" i="17" s="1"/>
  <c r="AG301" i="17"/>
  <c r="AB302" i="17" s="1"/>
  <c r="CN301" i="17"/>
  <c r="AD301" i="17"/>
  <c r="AO301" i="17" s="1"/>
  <c r="AF301" i="17"/>
  <c r="AJ301" i="17"/>
  <c r="AN301" i="17"/>
  <c r="CJ301" i="17"/>
  <c r="AL301" i="17"/>
  <c r="AE301" i="17"/>
  <c r="AM301" i="17"/>
  <c r="AI301" i="17"/>
  <c r="CM301" i="17"/>
  <c r="AK301" i="17"/>
  <c r="CK301" i="17"/>
  <c r="BA251" i="17"/>
  <c r="AL251" i="17"/>
  <c r="CE251" i="17"/>
  <c r="CH273" i="17"/>
  <c r="CC273" i="17"/>
  <c r="BP251" i="17"/>
  <c r="C252" i="17"/>
  <c r="E252" i="17"/>
  <c r="BD274" i="17"/>
  <c r="CN251" i="17"/>
  <c r="BW274" i="17"/>
  <c r="BZ274" i="17"/>
  <c r="BU275" i="17" s="1"/>
  <c r="BX274" i="17"/>
  <c r="BY274" i="17"/>
  <c r="CG274" i="17"/>
  <c r="CF274" i="17"/>
  <c r="BH263" i="17" l="1"/>
  <c r="BS263" i="17" s="1"/>
  <c r="BQ263" i="17"/>
  <c r="BK263" i="17"/>
  <c r="BF264" i="17" s="1"/>
  <c r="BI263" i="17"/>
  <c r="BR263" i="17"/>
  <c r="BJ263" i="17"/>
  <c r="AX275" i="17"/>
  <c r="BC275" i="17"/>
  <c r="BB275" i="17"/>
  <c r="AS275" i="17"/>
  <c r="BZ275" i="17"/>
  <c r="BU276" i="17" s="1"/>
  <c r="BW275" i="17"/>
  <c r="BY275" i="17"/>
  <c r="BX275" i="17"/>
  <c r="CG275" i="17"/>
  <c r="CF275" i="17"/>
  <c r="CH274" i="17"/>
  <c r="CC274" i="17"/>
  <c r="CL252" i="17"/>
  <c r="CM252" i="17" s="1"/>
  <c r="D252" i="17"/>
  <c r="F252" i="17" s="1"/>
  <c r="BN252" i="17"/>
  <c r="BO252" i="17" s="1"/>
  <c r="CC252" i="17"/>
  <c r="CD252" i="17" s="1"/>
  <c r="AJ252" i="17"/>
  <c r="AK252" i="17" s="1"/>
  <c r="AY252" i="17"/>
  <c r="AZ252" i="17" s="1"/>
  <c r="AG302" i="17"/>
  <c r="AB303" i="17" s="1"/>
  <c r="CN302" i="17"/>
  <c r="AD302" i="17"/>
  <c r="AO302" i="17" s="1"/>
  <c r="AF302" i="17"/>
  <c r="AJ302" i="17"/>
  <c r="AN302" i="17"/>
  <c r="CJ302" i="17"/>
  <c r="AL302" i="17"/>
  <c r="AE302" i="17"/>
  <c r="AM302" i="17"/>
  <c r="CK302" i="17"/>
  <c r="AK302" i="17"/>
  <c r="CM302" i="17"/>
  <c r="AI302" i="17"/>
  <c r="BI264" i="17" l="1"/>
  <c r="BH264" i="17"/>
  <c r="BS264" i="17" s="1"/>
  <c r="BQ264" i="17"/>
  <c r="BR264" i="17"/>
  <c r="BK264" i="17"/>
  <c r="BF265" i="17" s="1"/>
  <c r="BJ264" i="17"/>
  <c r="BD275" i="17"/>
  <c r="AT275" i="17"/>
  <c r="AV275" i="17" s="1"/>
  <c r="AQ276" i="17" s="1"/>
  <c r="AS276" i="17" s="1"/>
  <c r="BD276" i="17" s="1"/>
  <c r="AY275" i="17"/>
  <c r="CN303" i="17"/>
  <c r="AG303" i="17"/>
  <c r="AB304" i="17" s="1"/>
  <c r="AF303" i="17"/>
  <c r="AL303" i="17"/>
  <c r="AD303" i="17"/>
  <c r="AO303" i="17" s="1"/>
  <c r="AJ303" i="17"/>
  <c r="AN303" i="17"/>
  <c r="AE303" i="17"/>
  <c r="AM303" i="17"/>
  <c r="CJ303" i="17"/>
  <c r="AK303" i="17"/>
  <c r="CM303" i="17"/>
  <c r="CK303" i="17"/>
  <c r="AI303" i="17"/>
  <c r="BA252" i="17"/>
  <c r="AL252" i="17"/>
  <c r="CE252" i="17"/>
  <c r="BP252" i="17"/>
  <c r="E253" i="17"/>
  <c r="C253" i="17"/>
  <c r="CN252" i="17"/>
  <c r="CH275" i="17"/>
  <c r="CC275" i="17"/>
  <c r="BW276" i="17"/>
  <c r="CH276" i="17" s="1"/>
  <c r="BZ276" i="17"/>
  <c r="BU277" i="17" s="1"/>
  <c r="BX276" i="17"/>
  <c r="BY276" i="17"/>
  <c r="CG276" i="17"/>
  <c r="CF276" i="17"/>
  <c r="AX276" i="17" l="1"/>
  <c r="BB276" i="17"/>
  <c r="AU276" i="17"/>
  <c r="BC276" i="17"/>
  <c r="AY276" i="17"/>
  <c r="BK265" i="17"/>
  <c r="BF266" i="17" s="1"/>
  <c r="BI265" i="17"/>
  <c r="BQ265" i="17"/>
  <c r="BR265" i="17"/>
  <c r="BH265" i="17"/>
  <c r="BS265" i="17" s="1"/>
  <c r="BJ265" i="17"/>
  <c r="AT276" i="17"/>
  <c r="BA276" i="17"/>
  <c r="AZ276" i="17"/>
  <c r="AV276" i="17"/>
  <c r="AQ277" i="17" s="1"/>
  <c r="BC277" i="17" s="1"/>
  <c r="BA277" i="17"/>
  <c r="BZ277" i="17"/>
  <c r="BU278" i="17" s="1"/>
  <c r="BY277" i="17"/>
  <c r="BW277" i="17"/>
  <c r="CH277" i="17" s="1"/>
  <c r="BX277" i="17"/>
  <c r="CG277" i="17"/>
  <c r="CF277" i="17"/>
  <c r="CN304" i="17"/>
  <c r="AG304" i="17"/>
  <c r="AB305" i="17" s="1"/>
  <c r="AF304" i="17"/>
  <c r="AL304" i="17"/>
  <c r="AJ304" i="17"/>
  <c r="AN304" i="17"/>
  <c r="AE304" i="17"/>
  <c r="AM304" i="17"/>
  <c r="CJ304" i="17"/>
  <c r="AD304" i="17"/>
  <c r="AO304" i="17" s="1"/>
  <c r="AK304" i="17"/>
  <c r="CK304" i="17"/>
  <c r="CM304" i="17"/>
  <c r="AI304" i="17"/>
  <c r="CL253" i="17"/>
  <c r="CM253" i="17" s="1"/>
  <c r="D253" i="17"/>
  <c r="F253" i="17" s="1"/>
  <c r="BN253" i="17"/>
  <c r="BO253" i="17" s="1"/>
  <c r="CC253" i="17"/>
  <c r="CD253" i="17" s="1"/>
  <c r="AJ253" i="17"/>
  <c r="AK253" i="17" s="1"/>
  <c r="AY253" i="17"/>
  <c r="AZ253" i="17" s="1"/>
  <c r="AT277" i="17" l="1"/>
  <c r="BB277" i="17"/>
  <c r="AS277" i="17"/>
  <c r="BD277" i="17" s="1"/>
  <c r="AX277" i="17"/>
  <c r="AU277" i="17"/>
  <c r="AY277" i="17"/>
  <c r="AZ277" i="17"/>
  <c r="AV277" i="17"/>
  <c r="AQ278" i="17" s="1"/>
  <c r="AS278" i="17" s="1"/>
  <c r="BD278" i="17" s="1"/>
  <c r="BK266" i="17"/>
  <c r="BF267" i="17" s="1"/>
  <c r="BJ266" i="17"/>
  <c r="BI266" i="17"/>
  <c r="BH266" i="17"/>
  <c r="BS266" i="17" s="1"/>
  <c r="BR266" i="17"/>
  <c r="BQ266" i="17"/>
  <c r="AL253" i="17"/>
  <c r="CE253" i="17"/>
  <c r="BW278" i="17"/>
  <c r="CH278" i="17" s="1"/>
  <c r="BZ278" i="17"/>
  <c r="BU279" i="17" s="1"/>
  <c r="BY278" i="17"/>
  <c r="BX278" i="17"/>
  <c r="CG278" i="17"/>
  <c r="CF278" i="17"/>
  <c r="CN305" i="17"/>
  <c r="AG305" i="17"/>
  <c r="AB306" i="17" s="1"/>
  <c r="AD305" i="17"/>
  <c r="AO305" i="17" s="1"/>
  <c r="AL305" i="17"/>
  <c r="AF305" i="17"/>
  <c r="AJ305" i="17"/>
  <c r="AN305" i="17"/>
  <c r="AE305" i="17"/>
  <c r="AM305" i="17"/>
  <c r="CJ305" i="17"/>
  <c r="CM305" i="17"/>
  <c r="AI305" i="17"/>
  <c r="CK305" i="17"/>
  <c r="AK305" i="17"/>
  <c r="BA253" i="17"/>
  <c r="C254" i="17"/>
  <c r="E254" i="17"/>
  <c r="BP253" i="17"/>
  <c r="CN253" i="17"/>
  <c r="AX278" i="17" l="1"/>
  <c r="BC278" i="17"/>
  <c r="AY278" i="17"/>
  <c r="BA278" i="17"/>
  <c r="BB278" i="17"/>
  <c r="AZ278" i="17"/>
  <c r="AV278" i="17"/>
  <c r="AQ279" i="17" s="1"/>
  <c r="AY279" i="17" s="1"/>
  <c r="AT278" i="17"/>
  <c r="AU278" i="17"/>
  <c r="BK267" i="17"/>
  <c r="BF268" i="17" s="1"/>
  <c r="BJ267" i="17"/>
  <c r="BI267" i="17"/>
  <c r="BR267" i="17"/>
  <c r="BQ267" i="17"/>
  <c r="BH267" i="17"/>
  <c r="BS267" i="17" s="1"/>
  <c r="D254" i="17"/>
  <c r="F254" i="17" s="1"/>
  <c r="CL254" i="17"/>
  <c r="CM254" i="17" s="1"/>
  <c r="BN254" i="17"/>
  <c r="BO254" i="17" s="1"/>
  <c r="CC254" i="17"/>
  <c r="AJ254" i="17"/>
  <c r="AK254" i="17" s="1"/>
  <c r="AY254" i="17"/>
  <c r="AZ254" i="17" s="1"/>
  <c r="CN306" i="17"/>
  <c r="AG306" i="17"/>
  <c r="AB307" i="17" s="1"/>
  <c r="AD306" i="17"/>
  <c r="AO306" i="17" s="1"/>
  <c r="AL306" i="17"/>
  <c r="AF306" i="17"/>
  <c r="AJ306" i="17"/>
  <c r="AN306" i="17"/>
  <c r="CJ306" i="17"/>
  <c r="AM306" i="17"/>
  <c r="AE306" i="17"/>
  <c r="AI306" i="17"/>
  <c r="CM306" i="17"/>
  <c r="CK306" i="17"/>
  <c r="AK306" i="17"/>
  <c r="AS279" i="17"/>
  <c r="BD279" i="17" s="1"/>
  <c r="BB279" i="17"/>
  <c r="BA279" i="17"/>
  <c r="AT279" i="17"/>
  <c r="BC279" i="17"/>
  <c r="AX279" i="17"/>
  <c r="BZ279" i="17"/>
  <c r="BU280" i="17" s="1"/>
  <c r="BW279" i="17"/>
  <c r="CH279" i="17" s="1"/>
  <c r="BY279" i="17"/>
  <c r="CF279" i="17"/>
  <c r="BX279" i="17"/>
  <c r="CG279" i="17"/>
  <c r="AZ279" i="17" l="1"/>
  <c r="AV279" i="17"/>
  <c r="AQ280" i="17" s="1"/>
  <c r="BC280" i="17" s="1"/>
  <c r="AU279" i="17"/>
  <c r="BI268" i="17"/>
  <c r="BH268" i="17"/>
  <c r="BR268" i="17"/>
  <c r="BQ268" i="17"/>
  <c r="BJ268" i="17"/>
  <c r="BK268" i="17"/>
  <c r="BF269" i="17" s="1"/>
  <c r="AS280" i="17"/>
  <c r="BD280" i="17" s="1"/>
  <c r="BB280" i="17"/>
  <c r="BA280" i="17"/>
  <c r="AT280" i="17"/>
  <c r="AY280" i="17"/>
  <c r="AZ280" i="17"/>
  <c r="BA254" i="17"/>
  <c r="AL254" i="17"/>
  <c r="CD254" i="17"/>
  <c r="BP254" i="17"/>
  <c r="CN254" i="17"/>
  <c r="E255" i="17"/>
  <c r="C255" i="17"/>
  <c r="CN307" i="17"/>
  <c r="AG307" i="17"/>
  <c r="AB308" i="17" s="1"/>
  <c r="AF307" i="17"/>
  <c r="AD307" i="17"/>
  <c r="AO307" i="17" s="1"/>
  <c r="AE307" i="17"/>
  <c r="AM307" i="17"/>
  <c r="CJ307" i="17"/>
  <c r="AL307" i="17"/>
  <c r="AJ307" i="17"/>
  <c r="AN307" i="17"/>
  <c r="AI307" i="17"/>
  <c r="CM307" i="17"/>
  <c r="CK307" i="17"/>
  <c r="AK307" i="17"/>
  <c r="BW280" i="17"/>
  <c r="CH280" i="17" s="1"/>
  <c r="BZ280" i="17"/>
  <c r="BU281" i="17" s="1"/>
  <c r="BY280" i="17"/>
  <c r="BX280" i="17"/>
  <c r="CG280" i="17"/>
  <c r="CF280" i="17"/>
  <c r="AU280" i="17" l="1"/>
  <c r="AX280" i="17"/>
  <c r="AV280" i="17"/>
  <c r="AQ281" i="17" s="1"/>
  <c r="AV281" i="17" s="1"/>
  <c r="AQ282" i="17" s="1"/>
  <c r="BH269" i="17"/>
  <c r="BJ269" i="17"/>
  <c r="BK269" i="17"/>
  <c r="BF270" i="17" s="1"/>
  <c r="BI269" i="17"/>
  <c r="BR269" i="17"/>
  <c r="BQ269" i="17"/>
  <c r="BS268" i="17"/>
  <c r="BN268" i="17"/>
  <c r="CE254" i="17"/>
  <c r="CL255" i="17"/>
  <c r="CM255" i="17" s="1"/>
  <c r="D255" i="17"/>
  <c r="F255" i="17" s="1"/>
  <c r="BN255" i="17"/>
  <c r="BO255" i="17" s="1"/>
  <c r="CC255" i="17"/>
  <c r="CD255" i="17" s="1"/>
  <c r="AJ255" i="17"/>
  <c r="AK255" i="17" s="1"/>
  <c r="AY255" i="17"/>
  <c r="AZ255" i="17" s="1"/>
  <c r="BZ281" i="17"/>
  <c r="BU282" i="17" s="1"/>
  <c r="BW281" i="17"/>
  <c r="CH281" i="17" s="1"/>
  <c r="BY281" i="17"/>
  <c r="CG281" i="17"/>
  <c r="CF281" i="17"/>
  <c r="BX281" i="17"/>
  <c r="AS281" i="17"/>
  <c r="BD281" i="17" s="1"/>
  <c r="AU281" i="17"/>
  <c r="BB281" i="17"/>
  <c r="BA281" i="17"/>
  <c r="AT281" i="17"/>
  <c r="AX281" i="17"/>
  <c r="AY281" i="17"/>
  <c r="BC281" i="17"/>
  <c r="AZ281" i="17"/>
  <c r="CN308" i="17"/>
  <c r="AG308" i="17"/>
  <c r="AB309" i="17" s="1"/>
  <c r="AF308" i="17"/>
  <c r="AD308" i="17"/>
  <c r="AO308" i="17" s="1"/>
  <c r="AE308" i="17"/>
  <c r="AM308" i="17"/>
  <c r="CJ308" i="17"/>
  <c r="AL308" i="17"/>
  <c r="AN308" i="17"/>
  <c r="AJ308" i="17"/>
  <c r="CM308" i="17"/>
  <c r="CK308" i="17"/>
  <c r="AK308" i="17"/>
  <c r="AI308" i="17"/>
  <c r="BQ270" i="17" l="1"/>
  <c r="BR270" i="17"/>
  <c r="BJ270" i="17"/>
  <c r="BK270" i="17"/>
  <c r="BF271" i="17" s="1"/>
  <c r="BH270" i="17"/>
  <c r="BI270" i="17"/>
  <c r="BS269" i="17"/>
  <c r="BN269" i="17"/>
  <c r="BA255" i="17"/>
  <c r="AS282" i="17"/>
  <c r="BD282" i="17" s="1"/>
  <c r="AV282" i="17"/>
  <c r="AQ283" i="17" s="1"/>
  <c r="BC282" i="17"/>
  <c r="AU282" i="17"/>
  <c r="BB282" i="17"/>
  <c r="BA282" i="17"/>
  <c r="AT282" i="17"/>
  <c r="AY282" i="17"/>
  <c r="AZ282" i="17"/>
  <c r="AX282" i="17"/>
  <c r="AL255" i="17"/>
  <c r="CE255" i="17"/>
  <c r="BP255" i="17"/>
  <c r="E256" i="17"/>
  <c r="C256" i="17"/>
  <c r="CN255" i="17"/>
  <c r="CN309" i="17"/>
  <c r="AG309" i="17"/>
  <c r="AB310" i="17" s="1"/>
  <c r="AD309" i="17"/>
  <c r="AO309" i="17" s="1"/>
  <c r="AF309" i="17"/>
  <c r="AJ309" i="17"/>
  <c r="AN309" i="17"/>
  <c r="AE309" i="17"/>
  <c r="AM309" i="17"/>
  <c r="CJ309" i="17"/>
  <c r="AL309" i="17"/>
  <c r="CK309" i="17"/>
  <c r="AI309" i="17"/>
  <c r="AK309" i="17"/>
  <c r="CM309" i="17"/>
  <c r="BW282" i="17"/>
  <c r="CH282" i="17" s="1"/>
  <c r="BZ282" i="17"/>
  <c r="BU283" i="17" s="1"/>
  <c r="BX282" i="17"/>
  <c r="BY282" i="17"/>
  <c r="CG282" i="17"/>
  <c r="CF282" i="17"/>
  <c r="BS270" i="17" l="1"/>
  <c r="BN270" i="17"/>
  <c r="BJ271" i="17"/>
  <c r="BH271" i="17"/>
  <c r="BK271" i="17"/>
  <c r="BF272" i="17" s="1"/>
  <c r="BI271" i="17"/>
  <c r="BQ271" i="17"/>
  <c r="BR271" i="17"/>
  <c r="D256" i="17"/>
  <c r="F256" i="17" s="1"/>
  <c r="CL256" i="17"/>
  <c r="CM256" i="17" s="1"/>
  <c r="BN256" i="17"/>
  <c r="BO256" i="17" s="1"/>
  <c r="CC256" i="17"/>
  <c r="CD256" i="17" s="1"/>
  <c r="AJ256" i="17"/>
  <c r="AK256" i="17" s="1"/>
  <c r="AY256" i="17"/>
  <c r="AZ256" i="17" s="1"/>
  <c r="CN310" i="17"/>
  <c r="AG310" i="17"/>
  <c r="AB311" i="17" s="1"/>
  <c r="AD310" i="17"/>
  <c r="AO310" i="17" s="1"/>
  <c r="AF310" i="17"/>
  <c r="AL310" i="17"/>
  <c r="AJ310" i="17"/>
  <c r="AN310" i="17"/>
  <c r="AE310" i="17"/>
  <c r="AM310" i="17"/>
  <c r="CJ310" i="17"/>
  <c r="AI310" i="17"/>
  <c r="CM310" i="17"/>
  <c r="CK310" i="17"/>
  <c r="AK310" i="17"/>
  <c r="AV283" i="17"/>
  <c r="AQ284" i="17" s="1"/>
  <c r="AS283" i="17"/>
  <c r="BD283" i="17" s="1"/>
  <c r="AY283" i="17"/>
  <c r="BC283" i="17"/>
  <c r="AU283" i="17"/>
  <c r="BB283" i="17"/>
  <c r="BA283" i="17"/>
  <c r="AT283" i="17"/>
  <c r="AX283" i="17"/>
  <c r="AZ283" i="17"/>
  <c r="BZ283" i="17"/>
  <c r="BU284" i="17" s="1"/>
  <c r="BW283" i="17"/>
  <c r="CH283" i="17" s="1"/>
  <c r="BY283" i="17"/>
  <c r="CG283" i="17"/>
  <c r="CF283" i="17"/>
  <c r="BX283" i="17"/>
  <c r="BR272" i="17" l="1"/>
  <c r="BI272" i="17"/>
  <c r="BK272" i="17"/>
  <c r="BF273" i="17" s="1"/>
  <c r="BJ272" i="17"/>
  <c r="BH272" i="17"/>
  <c r="BQ272" i="17"/>
  <c r="BS271" i="17"/>
  <c r="BN271" i="17"/>
  <c r="BA256" i="17"/>
  <c r="AS284" i="17"/>
  <c r="BD284" i="17" s="1"/>
  <c r="AV284" i="17"/>
  <c r="AQ285" i="17" s="1"/>
  <c r="BA284" i="17"/>
  <c r="AT284" i="17"/>
  <c r="AY284" i="17"/>
  <c r="BC284" i="17"/>
  <c r="AU284" i="17"/>
  <c r="AX284" i="17"/>
  <c r="BB284" i="17"/>
  <c r="AZ284" i="17"/>
  <c r="AL256" i="17"/>
  <c r="CE256" i="17"/>
  <c r="BP256" i="17"/>
  <c r="CN256" i="17"/>
  <c r="E257" i="17"/>
  <c r="C257" i="17"/>
  <c r="CN311" i="17"/>
  <c r="AG311" i="17"/>
  <c r="AB312" i="17" s="1"/>
  <c r="AF311" i="17"/>
  <c r="AD311" i="17"/>
  <c r="AO311" i="17" s="1"/>
  <c r="AL311" i="17"/>
  <c r="AJ311" i="17"/>
  <c r="AN311" i="17"/>
  <c r="AE311" i="17"/>
  <c r="AM311" i="17"/>
  <c r="CJ311" i="17"/>
  <c r="CK311" i="17"/>
  <c r="CM311" i="17"/>
  <c r="AK311" i="17"/>
  <c r="AI311" i="17"/>
  <c r="BW284" i="17"/>
  <c r="CH284" i="17" s="1"/>
  <c r="BZ284" i="17"/>
  <c r="BU285" i="17" s="1"/>
  <c r="BX284" i="17"/>
  <c r="BY284" i="17"/>
  <c r="CG284" i="17"/>
  <c r="CF284" i="17"/>
  <c r="BS272" i="17" l="1"/>
  <c r="BN272" i="17"/>
  <c r="BI273" i="17"/>
  <c r="BQ273" i="17"/>
  <c r="BR273" i="17"/>
  <c r="BK273" i="17"/>
  <c r="BF274" i="17" s="1"/>
  <c r="BH273" i="17"/>
  <c r="BJ273" i="17"/>
  <c r="AG312" i="17"/>
  <c r="AB313" i="17" s="1"/>
  <c r="CN312" i="17"/>
  <c r="AF312" i="17"/>
  <c r="CJ312" i="17"/>
  <c r="AL312" i="17"/>
  <c r="AD312" i="17"/>
  <c r="AO312" i="17" s="1"/>
  <c r="AJ312" i="17"/>
  <c r="AN312" i="17"/>
  <c r="AE312" i="17"/>
  <c r="AM312" i="17"/>
  <c r="AK312" i="17"/>
  <c r="CK312" i="17"/>
  <c r="CM312" i="17"/>
  <c r="AI312" i="17"/>
  <c r="BZ285" i="17"/>
  <c r="BU286" i="17" s="1"/>
  <c r="BY285" i="17"/>
  <c r="BW285" i="17"/>
  <c r="CH285" i="17" s="1"/>
  <c r="CG285" i="17"/>
  <c r="BX285" i="17"/>
  <c r="CF285" i="17"/>
  <c r="AS285" i="17"/>
  <c r="BD285" i="17" s="1"/>
  <c r="BB285" i="17"/>
  <c r="BA285" i="17"/>
  <c r="AT285" i="17"/>
  <c r="AV285" i="17"/>
  <c r="AQ286" i="17" s="1"/>
  <c r="AY285" i="17"/>
  <c r="BC285" i="17"/>
  <c r="AU285" i="17"/>
  <c r="AX285" i="17"/>
  <c r="AZ285" i="17"/>
  <c r="CL257" i="17"/>
  <c r="CM257" i="17" s="1"/>
  <c r="D257" i="17"/>
  <c r="F257" i="17" s="1"/>
  <c r="BN257" i="17"/>
  <c r="BO257" i="17" s="1"/>
  <c r="CC257" i="17"/>
  <c r="CD257" i="17" s="1"/>
  <c r="AJ257" i="17"/>
  <c r="AK257" i="17" s="1"/>
  <c r="AY257" i="17"/>
  <c r="AZ257" i="17" s="1"/>
  <c r="BN273" i="17" l="1"/>
  <c r="BS273" i="17"/>
  <c r="BK274" i="17"/>
  <c r="BF275" i="17" s="1"/>
  <c r="BJ274" i="17"/>
  <c r="BI274" i="17"/>
  <c r="BH274" i="17"/>
  <c r="BR274" i="17"/>
  <c r="BQ274" i="17"/>
  <c r="E258" i="17"/>
  <c r="C258" i="17"/>
  <c r="BW286" i="17"/>
  <c r="CH286" i="17" s="1"/>
  <c r="BZ286" i="17"/>
  <c r="BU287" i="17" s="1"/>
  <c r="BY286" i="17"/>
  <c r="BX286" i="17"/>
  <c r="CG286" i="17"/>
  <c r="CF286" i="17"/>
  <c r="BB286" i="17"/>
  <c r="BA286" i="17"/>
  <c r="AT286" i="17"/>
  <c r="AY286" i="17"/>
  <c r="AS286" i="17"/>
  <c r="BD286" i="17" s="1"/>
  <c r="BC286" i="17"/>
  <c r="AV286" i="17"/>
  <c r="AQ287" i="17" s="1"/>
  <c r="AU286" i="17"/>
  <c r="AX286" i="17"/>
  <c r="AZ286" i="17"/>
  <c r="CN257" i="17"/>
  <c r="BP257" i="17"/>
  <c r="BA257" i="17"/>
  <c r="CE257" i="17"/>
  <c r="AL257" i="17"/>
  <c r="CN313" i="17"/>
  <c r="AG313" i="17"/>
  <c r="AB314" i="17" s="1"/>
  <c r="AD313" i="17"/>
  <c r="AO313" i="17" s="1"/>
  <c r="CJ313" i="17"/>
  <c r="AL313" i="17"/>
  <c r="AJ313" i="17"/>
  <c r="AN313" i="17"/>
  <c r="AF313" i="17"/>
  <c r="AE313" i="17"/>
  <c r="AM313" i="17"/>
  <c r="CK313" i="17"/>
  <c r="CM313" i="17"/>
  <c r="AI313" i="17"/>
  <c r="AK313" i="17"/>
  <c r="BS274" i="17" l="1"/>
  <c r="BN274" i="17"/>
  <c r="BK275" i="17"/>
  <c r="BF276" i="17" s="1"/>
  <c r="BI275" i="17"/>
  <c r="BR275" i="17"/>
  <c r="BJ275" i="17"/>
  <c r="BQ275" i="17"/>
  <c r="BH275" i="17"/>
  <c r="CL258" i="17"/>
  <c r="CM258" i="17" s="1"/>
  <c r="D258" i="17"/>
  <c r="F258" i="17" s="1"/>
  <c r="BN258" i="17"/>
  <c r="BO258" i="17" s="1"/>
  <c r="CC258" i="17"/>
  <c r="CD258" i="17" s="1"/>
  <c r="AJ258" i="17"/>
  <c r="AK258" i="17" s="1"/>
  <c r="AY258" i="17"/>
  <c r="AZ258" i="17" s="1"/>
  <c r="AS287" i="17"/>
  <c r="BD287" i="17" s="1"/>
  <c r="AV287" i="17"/>
  <c r="AQ288" i="17" s="1"/>
  <c r="BB287" i="17"/>
  <c r="BA287" i="17"/>
  <c r="AT287" i="17"/>
  <c r="AY287" i="17"/>
  <c r="BC287" i="17"/>
  <c r="AX287" i="17"/>
  <c r="AU287" i="17"/>
  <c r="AZ287" i="17"/>
  <c r="CN314" i="17"/>
  <c r="AG314" i="17"/>
  <c r="AB315" i="17" s="1"/>
  <c r="AD314" i="17"/>
  <c r="AO314" i="17" s="1"/>
  <c r="CJ314" i="17"/>
  <c r="AL314" i="17"/>
  <c r="AJ314" i="17"/>
  <c r="AN314" i="17"/>
  <c r="AE314" i="17"/>
  <c r="AF314" i="17"/>
  <c r="AM314" i="17"/>
  <c r="AK314" i="17"/>
  <c r="CK314" i="17"/>
  <c r="AI314" i="17"/>
  <c r="CM314" i="17"/>
  <c r="BZ287" i="17"/>
  <c r="BU288" i="17" s="1"/>
  <c r="BY287" i="17"/>
  <c r="BW287" i="17"/>
  <c r="CH287" i="17" s="1"/>
  <c r="CF287" i="17"/>
  <c r="BX287" i="17"/>
  <c r="CG287" i="17"/>
  <c r="BI276" i="17" l="1"/>
  <c r="BH276" i="17"/>
  <c r="BS276" i="17" s="1"/>
  <c r="BQ276" i="17"/>
  <c r="BK276" i="17"/>
  <c r="BF277" i="17" s="1"/>
  <c r="BR276" i="17"/>
  <c r="BJ276" i="17"/>
  <c r="BS275" i="17"/>
  <c r="BN275" i="17"/>
  <c r="AU288" i="17"/>
  <c r="BB288" i="17"/>
  <c r="AS288" i="17"/>
  <c r="BD288" i="17" s="1"/>
  <c r="BA288" i="17"/>
  <c r="AT288" i="17"/>
  <c r="AY288" i="17"/>
  <c r="AV288" i="17"/>
  <c r="AQ289" i="17" s="1"/>
  <c r="BC288" i="17"/>
  <c r="AZ288" i="17"/>
  <c r="AX288" i="17"/>
  <c r="BA258" i="17"/>
  <c r="AL258" i="17"/>
  <c r="CE258" i="17"/>
  <c r="BW288" i="17"/>
  <c r="CH288" i="17" s="1"/>
  <c r="BZ288" i="17"/>
  <c r="BU289" i="17" s="1"/>
  <c r="BY288" i="17"/>
  <c r="BX288" i="17"/>
  <c r="CG288" i="17"/>
  <c r="CF288" i="17"/>
  <c r="BP258" i="17"/>
  <c r="CN315" i="17"/>
  <c r="AG315" i="17"/>
  <c r="AB316" i="17" s="1"/>
  <c r="AF315" i="17"/>
  <c r="AD315" i="17"/>
  <c r="AO315" i="17" s="1"/>
  <c r="AE315" i="17"/>
  <c r="AM315" i="17"/>
  <c r="CJ315" i="17"/>
  <c r="AL315" i="17"/>
  <c r="AJ315" i="17"/>
  <c r="AN315" i="17"/>
  <c r="CM315" i="17"/>
  <c r="AK315" i="17"/>
  <c r="AI315" i="17"/>
  <c r="CK315" i="17"/>
  <c r="E259" i="17"/>
  <c r="C259" i="17"/>
  <c r="CN258" i="17"/>
  <c r="BK277" i="17" l="1"/>
  <c r="BF278" i="17" s="1"/>
  <c r="BI277" i="17"/>
  <c r="BR277" i="17"/>
  <c r="BH277" i="17"/>
  <c r="BS277" i="17" s="1"/>
  <c r="BJ277" i="17"/>
  <c r="BQ277" i="17"/>
  <c r="CN316" i="17"/>
  <c r="AG316" i="17"/>
  <c r="AB317" i="17" s="1"/>
  <c r="AF316" i="17"/>
  <c r="AE316" i="17"/>
  <c r="AM316" i="17"/>
  <c r="CJ316" i="17"/>
  <c r="AD316" i="17"/>
  <c r="AO316" i="17" s="1"/>
  <c r="AL316" i="17"/>
  <c r="AJ316" i="17"/>
  <c r="AN316" i="17"/>
  <c r="AI316" i="17"/>
  <c r="CK316" i="17"/>
  <c r="CM316" i="17"/>
  <c r="AK316" i="17"/>
  <c r="BZ289" i="17"/>
  <c r="BU290" i="17" s="1"/>
  <c r="BY289" i="17"/>
  <c r="BW289" i="17"/>
  <c r="CH289" i="17" s="1"/>
  <c r="BX289" i="17"/>
  <c r="CG289" i="17"/>
  <c r="CF289" i="17"/>
  <c r="AS289" i="17"/>
  <c r="BD289" i="17" s="1"/>
  <c r="AU289" i="17"/>
  <c r="AV289" i="17"/>
  <c r="AQ290" i="17" s="1"/>
  <c r="BB289" i="17"/>
  <c r="BA289" i="17"/>
  <c r="AT289" i="17"/>
  <c r="AX289" i="17"/>
  <c r="AY289" i="17"/>
  <c r="BC289" i="17"/>
  <c r="AZ289" i="17"/>
  <c r="CL259" i="17"/>
  <c r="CM259" i="17" s="1"/>
  <c r="D259" i="17"/>
  <c r="F259" i="17" s="1"/>
  <c r="BN259" i="17"/>
  <c r="BO259" i="17" s="1"/>
  <c r="CC259" i="17"/>
  <c r="CD259" i="17" s="1"/>
  <c r="AJ259" i="17"/>
  <c r="AK259" i="17" s="1"/>
  <c r="AY259" i="17"/>
  <c r="AZ259" i="17" s="1"/>
  <c r="BH278" i="17" l="1"/>
  <c r="BS278" i="17" s="1"/>
  <c r="BI278" i="17"/>
  <c r="BK278" i="17"/>
  <c r="BF279" i="17" s="1"/>
  <c r="BQ278" i="17"/>
  <c r="BR278" i="17"/>
  <c r="BJ278" i="17"/>
  <c r="CE259" i="17"/>
  <c r="BW290" i="17"/>
  <c r="CH290" i="17" s="1"/>
  <c r="BZ290" i="17"/>
  <c r="BU291" i="17" s="1"/>
  <c r="BX290" i="17"/>
  <c r="BY290" i="17"/>
  <c r="CG290" i="17"/>
  <c r="CF290" i="17"/>
  <c r="C260" i="17"/>
  <c r="E260" i="17"/>
  <c r="BP259" i="17"/>
  <c r="BC290" i="17"/>
  <c r="AU290" i="17"/>
  <c r="AS290" i="17"/>
  <c r="BD290" i="17" s="1"/>
  <c r="BB290" i="17"/>
  <c r="AV290" i="17"/>
  <c r="AQ291" i="17" s="1"/>
  <c r="BA290" i="17"/>
  <c r="AT290" i="17"/>
  <c r="AY290" i="17"/>
  <c r="AX290" i="17"/>
  <c r="AZ290" i="17"/>
  <c r="CN259" i="17"/>
  <c r="CN317" i="17"/>
  <c r="AD317" i="17"/>
  <c r="AO317" i="17" s="1"/>
  <c r="AF317" i="17"/>
  <c r="AG317" i="17"/>
  <c r="AB318" i="17" s="1"/>
  <c r="AJ317" i="17"/>
  <c r="AN317" i="17"/>
  <c r="AE317" i="17"/>
  <c r="AM317" i="17"/>
  <c r="CJ317" i="17"/>
  <c r="AL317" i="17"/>
  <c r="AK317" i="17"/>
  <c r="CK317" i="17"/>
  <c r="CM317" i="17"/>
  <c r="AI317" i="17"/>
  <c r="BA259" i="17"/>
  <c r="AL259" i="17"/>
  <c r="BJ279" i="17" l="1"/>
  <c r="BH279" i="17"/>
  <c r="BS279" i="17" s="1"/>
  <c r="BK279" i="17"/>
  <c r="BF280" i="17" s="1"/>
  <c r="BI279" i="17"/>
  <c r="BQ279" i="17"/>
  <c r="BR279" i="17"/>
  <c r="AS291" i="17"/>
  <c r="BD291" i="17" s="1"/>
  <c r="AY291" i="17"/>
  <c r="BC291" i="17"/>
  <c r="AV291" i="17"/>
  <c r="AQ292" i="17" s="1"/>
  <c r="AU291" i="17"/>
  <c r="BB291" i="17"/>
  <c r="BA291" i="17"/>
  <c r="AT291" i="17"/>
  <c r="AZ291" i="17"/>
  <c r="AX291" i="17"/>
  <c r="BZ291" i="17"/>
  <c r="BU292" i="17" s="1"/>
  <c r="BW291" i="17"/>
  <c r="CH291" i="17" s="1"/>
  <c r="BY291" i="17"/>
  <c r="BX291" i="17"/>
  <c r="CG291" i="17"/>
  <c r="CF291" i="17"/>
  <c r="CN318" i="17"/>
  <c r="AG318" i="17"/>
  <c r="AB319" i="17" s="1"/>
  <c r="AD318" i="17"/>
  <c r="AO318" i="17" s="1"/>
  <c r="AF318" i="17"/>
  <c r="AL318" i="17"/>
  <c r="AJ318" i="17"/>
  <c r="AN318" i="17"/>
  <c r="AE318" i="17"/>
  <c r="AM318" i="17"/>
  <c r="CJ318" i="17"/>
  <c r="AK318" i="17"/>
  <c r="CK318" i="17"/>
  <c r="AI318" i="17"/>
  <c r="CM318" i="17"/>
  <c r="CL260" i="17"/>
  <c r="CM260" i="17" s="1"/>
  <c r="D260" i="17"/>
  <c r="F260" i="17" s="1"/>
  <c r="BN260" i="17"/>
  <c r="BO260" i="17" s="1"/>
  <c r="CC260" i="17"/>
  <c r="CD260" i="17" s="1"/>
  <c r="AJ260" i="17"/>
  <c r="AK260" i="17" s="1"/>
  <c r="AY260" i="17"/>
  <c r="AZ260" i="17" s="1"/>
  <c r="BQ280" i="17" l="1"/>
  <c r="BR280" i="17"/>
  <c r="BH280" i="17"/>
  <c r="BS280" i="17" s="1"/>
  <c r="BI280" i="17"/>
  <c r="BK280" i="17"/>
  <c r="BF281" i="17" s="1"/>
  <c r="BJ280" i="17"/>
  <c r="CN319" i="17"/>
  <c r="AG319" i="17"/>
  <c r="AB320" i="17" s="1"/>
  <c r="AF319" i="17"/>
  <c r="AD319" i="17"/>
  <c r="AO319" i="17" s="1"/>
  <c r="AL319" i="17"/>
  <c r="AJ319" i="17"/>
  <c r="AN319" i="17"/>
  <c r="AE319" i="17"/>
  <c r="AM319" i="17"/>
  <c r="CJ319" i="17"/>
  <c r="AK319" i="17"/>
  <c r="CM319" i="17"/>
  <c r="AI319" i="17"/>
  <c r="CK319" i="17"/>
  <c r="BP260" i="17"/>
  <c r="CE260" i="17"/>
  <c r="CN260" i="17"/>
  <c r="BA292" i="17"/>
  <c r="AT292" i="17"/>
  <c r="AY292" i="17"/>
  <c r="BC292" i="17"/>
  <c r="AS292" i="17"/>
  <c r="BD292" i="17" s="1"/>
  <c r="AU292" i="17"/>
  <c r="AV292" i="17"/>
  <c r="AQ293" i="17" s="1"/>
  <c r="BB292" i="17"/>
  <c r="AZ292" i="17"/>
  <c r="AX292" i="17"/>
  <c r="E261" i="17"/>
  <c r="C261" i="17"/>
  <c r="BA260" i="17"/>
  <c r="AL260" i="17"/>
  <c r="BW292" i="17"/>
  <c r="CH292" i="17" s="1"/>
  <c r="BZ292" i="17"/>
  <c r="BU293" i="17" s="1"/>
  <c r="BX292" i="17"/>
  <c r="BY292" i="17"/>
  <c r="CG292" i="17"/>
  <c r="CF292" i="17"/>
  <c r="BH281" i="17" l="1"/>
  <c r="BS281" i="17" s="1"/>
  <c r="BJ281" i="17"/>
  <c r="BK281" i="17"/>
  <c r="BF282" i="17" s="1"/>
  <c r="BR281" i="17"/>
  <c r="BI281" i="17"/>
  <c r="BQ281" i="17"/>
  <c r="CL261" i="17"/>
  <c r="CM261" i="17" s="1"/>
  <c r="D261" i="17"/>
  <c r="F261" i="17" s="1"/>
  <c r="BN261" i="17"/>
  <c r="BO261" i="17" s="1"/>
  <c r="CC261" i="17"/>
  <c r="CD261" i="17" s="1"/>
  <c r="AJ261" i="17"/>
  <c r="AK261" i="17" s="1"/>
  <c r="AY261" i="17"/>
  <c r="AZ261" i="17" s="1"/>
  <c r="BZ293" i="17"/>
  <c r="BU294" i="17" s="1"/>
  <c r="BY293" i="17"/>
  <c r="BW293" i="17"/>
  <c r="CH293" i="17" s="1"/>
  <c r="BX293" i="17"/>
  <c r="CG293" i="17"/>
  <c r="CF293" i="17"/>
  <c r="AS293" i="17"/>
  <c r="BD293" i="17" s="1"/>
  <c r="BB293" i="17"/>
  <c r="BA293" i="17"/>
  <c r="AT293" i="17"/>
  <c r="AV293" i="17"/>
  <c r="AQ294" i="17" s="1"/>
  <c r="AY293" i="17"/>
  <c r="BC293" i="17"/>
  <c r="AU293" i="17"/>
  <c r="AX293" i="17"/>
  <c r="AZ293" i="17"/>
  <c r="AG320" i="17"/>
  <c r="AB321" i="17" s="1"/>
  <c r="CN320" i="17"/>
  <c r="AF320" i="17"/>
  <c r="CJ320" i="17"/>
  <c r="AL320" i="17"/>
  <c r="AJ320" i="17"/>
  <c r="AN320" i="17"/>
  <c r="AE320" i="17"/>
  <c r="AM320" i="17"/>
  <c r="AD320" i="17"/>
  <c r="AO320" i="17" s="1"/>
  <c r="CM320" i="17"/>
  <c r="CK320" i="17"/>
  <c r="AI320" i="17"/>
  <c r="AK320" i="17"/>
  <c r="BR282" i="17" l="1"/>
  <c r="BQ282" i="17"/>
  <c r="BK282" i="17"/>
  <c r="BF283" i="17" s="1"/>
  <c r="BH282" i="17"/>
  <c r="BS282" i="17" s="1"/>
  <c r="BJ282" i="17"/>
  <c r="BI282" i="17"/>
  <c r="C262" i="17"/>
  <c r="E262" i="17"/>
  <c r="CN261" i="17"/>
  <c r="CN321" i="17"/>
  <c r="AG321" i="17"/>
  <c r="AB322" i="17" s="1"/>
  <c r="AD321" i="17"/>
  <c r="AO321" i="17" s="1"/>
  <c r="AF321" i="17"/>
  <c r="CJ321" i="17"/>
  <c r="AL321" i="17"/>
  <c r="AJ321" i="17"/>
  <c r="AN321" i="17"/>
  <c r="AE321" i="17"/>
  <c r="AM321" i="17"/>
  <c r="AK321" i="17"/>
  <c r="AI321" i="17"/>
  <c r="CM321" i="17"/>
  <c r="CK321" i="17"/>
  <c r="BW294" i="17"/>
  <c r="CH294" i="17" s="1"/>
  <c r="BZ294" i="17"/>
  <c r="BU295" i="17" s="1"/>
  <c r="BY294" i="17"/>
  <c r="BX294" i="17"/>
  <c r="CG294" i="17"/>
  <c r="CF294" i="17"/>
  <c r="BA261" i="17"/>
  <c r="BB294" i="17"/>
  <c r="BA294" i="17"/>
  <c r="AT294" i="17"/>
  <c r="AY294" i="17"/>
  <c r="AS294" i="17"/>
  <c r="BD294" i="17" s="1"/>
  <c r="BC294" i="17"/>
  <c r="AV294" i="17"/>
  <c r="AQ295" i="17" s="1"/>
  <c r="AU294" i="17"/>
  <c r="AZ294" i="17"/>
  <c r="AX294" i="17"/>
  <c r="AL261" i="17"/>
  <c r="CE261" i="17"/>
  <c r="BP261" i="17"/>
  <c r="BH283" i="17" l="1"/>
  <c r="BS283" i="17" s="1"/>
  <c r="BK283" i="17"/>
  <c r="BF284" i="17" s="1"/>
  <c r="BJ283" i="17"/>
  <c r="BI283" i="17"/>
  <c r="BR283" i="17"/>
  <c r="BQ283" i="17"/>
  <c r="CN322" i="17"/>
  <c r="AG322" i="17"/>
  <c r="AB323" i="17" s="1"/>
  <c r="AD322" i="17"/>
  <c r="AO322" i="17" s="1"/>
  <c r="AF322" i="17"/>
  <c r="CJ322" i="17"/>
  <c r="AL322" i="17"/>
  <c r="AJ322" i="17"/>
  <c r="AN322" i="17"/>
  <c r="AM322" i="17"/>
  <c r="AE322" i="17"/>
  <c r="CK322" i="17"/>
  <c r="AI322" i="17"/>
  <c r="CM322" i="17"/>
  <c r="AK322" i="17"/>
  <c r="BZ295" i="17"/>
  <c r="BU296" i="17" s="1"/>
  <c r="BW295" i="17"/>
  <c r="CH295" i="17" s="1"/>
  <c r="BY295" i="17"/>
  <c r="CF295" i="17"/>
  <c r="BX295" i="17"/>
  <c r="CG295" i="17"/>
  <c r="AS295" i="17"/>
  <c r="BD295" i="17" s="1"/>
  <c r="AZ295" i="17"/>
  <c r="AV295" i="17"/>
  <c r="AQ296" i="17" s="1"/>
  <c r="BB295" i="17"/>
  <c r="BA295" i="17"/>
  <c r="AT295" i="17"/>
  <c r="AY295" i="17"/>
  <c r="BC295" i="17"/>
  <c r="AU295" i="17"/>
  <c r="AX295" i="17"/>
  <c r="D262" i="17"/>
  <c r="F262" i="17" s="1"/>
  <c r="CL262" i="17"/>
  <c r="CM262" i="17" s="1"/>
  <c r="BN262" i="17"/>
  <c r="BO262" i="17" s="1"/>
  <c r="CC262" i="17"/>
  <c r="CD262" i="17" s="1"/>
  <c r="AJ262" i="17"/>
  <c r="AK262" i="17" s="1"/>
  <c r="AY262" i="17"/>
  <c r="AZ262" i="17" s="1"/>
  <c r="BK284" i="17" l="1"/>
  <c r="BF285" i="17" s="1"/>
  <c r="BJ284" i="17"/>
  <c r="BI284" i="17"/>
  <c r="BH284" i="17"/>
  <c r="BS284" i="17" s="1"/>
  <c r="BR284" i="17"/>
  <c r="BQ284" i="17"/>
  <c r="BW296" i="17"/>
  <c r="CH296" i="17" s="1"/>
  <c r="BZ296" i="17"/>
  <c r="BU297" i="17" s="1"/>
  <c r="BY296" i="17"/>
  <c r="BX296" i="17"/>
  <c r="CG296" i="17"/>
  <c r="CF296" i="17"/>
  <c r="BP262" i="17"/>
  <c r="AU296" i="17"/>
  <c r="BB296" i="17"/>
  <c r="AS296" i="17"/>
  <c r="BD296" i="17" s="1"/>
  <c r="BA296" i="17"/>
  <c r="AT296" i="17"/>
  <c r="AY296" i="17"/>
  <c r="AV296" i="17"/>
  <c r="AQ297" i="17" s="1"/>
  <c r="BC296" i="17"/>
  <c r="AZ296" i="17"/>
  <c r="AX296" i="17"/>
  <c r="E263" i="17"/>
  <c r="C263" i="17"/>
  <c r="CE262" i="17"/>
  <c r="BA262" i="17"/>
  <c r="CN323" i="17"/>
  <c r="AG323" i="17"/>
  <c r="AB324" i="17" s="1"/>
  <c r="AF323" i="17"/>
  <c r="AD323" i="17"/>
  <c r="AO323" i="17" s="1"/>
  <c r="AE323" i="17"/>
  <c r="AM323" i="17"/>
  <c r="CJ323" i="17"/>
  <c r="AL323" i="17"/>
  <c r="AJ323" i="17"/>
  <c r="AN323" i="17"/>
  <c r="AK323" i="17"/>
  <c r="CM323" i="17"/>
  <c r="AI323" i="17"/>
  <c r="CK323" i="17"/>
  <c r="CN262" i="17"/>
  <c r="AL262" i="17"/>
  <c r="BH285" i="17" l="1"/>
  <c r="BS285" i="17" s="1"/>
  <c r="BK285" i="17"/>
  <c r="BF286" i="17" s="1"/>
  <c r="BQ285" i="17"/>
  <c r="BI285" i="17"/>
  <c r="BJ285" i="17"/>
  <c r="BR285" i="17"/>
  <c r="AS297" i="17"/>
  <c r="BD297" i="17" s="1"/>
  <c r="AU297" i="17"/>
  <c r="AV297" i="17"/>
  <c r="AQ298" i="17" s="1"/>
  <c r="BB297" i="17"/>
  <c r="BA297" i="17"/>
  <c r="AT297" i="17"/>
  <c r="AX297" i="17"/>
  <c r="AY297" i="17"/>
  <c r="AZ297" i="17"/>
  <c r="BC297" i="17"/>
  <c r="CL263" i="17"/>
  <c r="CM263" i="17" s="1"/>
  <c r="D263" i="17"/>
  <c r="F263" i="17" s="1"/>
  <c r="BN263" i="17"/>
  <c r="BO263" i="17" s="1"/>
  <c r="CC263" i="17"/>
  <c r="CD263" i="17" s="1"/>
  <c r="AJ263" i="17"/>
  <c r="AK263" i="17" s="1"/>
  <c r="AY263" i="17"/>
  <c r="AZ263" i="17" s="1"/>
  <c r="BZ297" i="17"/>
  <c r="BU298" i="17" s="1"/>
  <c r="BW297" i="17"/>
  <c r="CH297" i="17" s="1"/>
  <c r="BY297" i="17"/>
  <c r="CG297" i="17"/>
  <c r="CF297" i="17"/>
  <c r="BX297" i="17"/>
  <c r="CN324" i="17"/>
  <c r="AG324" i="17"/>
  <c r="AB325" i="17" s="1"/>
  <c r="AF324" i="17"/>
  <c r="AD324" i="17"/>
  <c r="AO324" i="17" s="1"/>
  <c r="AE324" i="17"/>
  <c r="AM324" i="17"/>
  <c r="CJ324" i="17"/>
  <c r="AL324" i="17"/>
  <c r="AJ324" i="17"/>
  <c r="AN324" i="17"/>
  <c r="CK324" i="17"/>
  <c r="AI324" i="17"/>
  <c r="AK324" i="17"/>
  <c r="CM324" i="17"/>
  <c r="BH286" i="17" l="1"/>
  <c r="BS286" i="17" s="1"/>
  <c r="BI286" i="17"/>
  <c r="BQ286" i="17"/>
  <c r="BR286" i="17"/>
  <c r="BK286" i="17"/>
  <c r="BF287" i="17" s="1"/>
  <c r="BJ286" i="17"/>
  <c r="BZ298" i="17"/>
  <c r="BU299" i="17" s="1"/>
  <c r="BX298" i="17"/>
  <c r="BW298" i="17"/>
  <c r="CH298" i="17" s="1"/>
  <c r="BY298" i="17"/>
  <c r="CG298" i="17"/>
  <c r="CF298" i="17"/>
  <c r="BA263" i="17"/>
  <c r="AL263" i="17"/>
  <c r="CN325" i="17"/>
  <c r="AD325" i="17"/>
  <c r="AO325" i="17" s="1"/>
  <c r="AF325" i="17"/>
  <c r="AG325" i="17"/>
  <c r="AB326" i="17" s="1"/>
  <c r="AJ325" i="17"/>
  <c r="AN325" i="17"/>
  <c r="AE325" i="17"/>
  <c r="AM325" i="17"/>
  <c r="CJ325" i="17"/>
  <c r="AL325" i="17"/>
  <c r="AI325" i="17"/>
  <c r="AK325" i="17"/>
  <c r="CK325" i="17"/>
  <c r="CM325" i="17"/>
  <c r="CE263" i="17"/>
  <c r="BC298" i="17"/>
  <c r="AU298" i="17"/>
  <c r="AS298" i="17"/>
  <c r="BD298" i="17" s="1"/>
  <c r="BB298" i="17"/>
  <c r="AV298" i="17"/>
  <c r="AQ299" i="17" s="1"/>
  <c r="BA298" i="17"/>
  <c r="AT298" i="17"/>
  <c r="AY298" i="17"/>
  <c r="AX298" i="17"/>
  <c r="AZ298" i="17"/>
  <c r="BP263" i="17"/>
  <c r="E264" i="17"/>
  <c r="C264" i="17"/>
  <c r="CN263" i="17"/>
  <c r="BJ287" i="17" l="1"/>
  <c r="BI287" i="17"/>
  <c r="BH287" i="17"/>
  <c r="BS287" i="17" s="1"/>
  <c r="BK287" i="17"/>
  <c r="BF288" i="17" s="1"/>
  <c r="BQ287" i="17"/>
  <c r="BR287" i="17"/>
  <c r="CN326" i="17"/>
  <c r="AG326" i="17"/>
  <c r="AB327" i="17" s="1"/>
  <c r="AD326" i="17"/>
  <c r="AO326" i="17" s="1"/>
  <c r="AF326" i="17"/>
  <c r="AL326" i="17"/>
  <c r="AJ326" i="17"/>
  <c r="AN326" i="17"/>
  <c r="AE326" i="17"/>
  <c r="AM326" i="17"/>
  <c r="CJ326" i="17"/>
  <c r="CM326" i="17"/>
  <c r="CK326" i="17"/>
  <c r="AI326" i="17"/>
  <c r="AK326" i="17"/>
  <c r="AS299" i="17"/>
  <c r="BD299" i="17" s="1"/>
  <c r="AY299" i="17"/>
  <c r="BC299" i="17"/>
  <c r="AZ299" i="17"/>
  <c r="AV299" i="17"/>
  <c r="AQ300" i="17" s="1"/>
  <c r="AX299" i="17"/>
  <c r="AU299" i="17"/>
  <c r="BB299" i="17"/>
  <c r="BA299" i="17"/>
  <c r="AT299" i="17"/>
  <c r="D264" i="17"/>
  <c r="F264" i="17" s="1"/>
  <c r="CL264" i="17"/>
  <c r="CM264" i="17" s="1"/>
  <c r="BN264" i="17"/>
  <c r="BO264" i="17" s="1"/>
  <c r="CC264" i="17"/>
  <c r="CD264" i="17" s="1"/>
  <c r="AJ264" i="17"/>
  <c r="AK264" i="17" s="1"/>
  <c r="AY264" i="17"/>
  <c r="AZ264" i="17" s="1"/>
  <c r="BZ299" i="17"/>
  <c r="BU300" i="17" s="1"/>
  <c r="BW299" i="17"/>
  <c r="CH299" i="17" s="1"/>
  <c r="BY299" i="17"/>
  <c r="CG299" i="17"/>
  <c r="CF299" i="17"/>
  <c r="BX299" i="17"/>
  <c r="BH288" i="17" l="1"/>
  <c r="BS288" i="17" s="1"/>
  <c r="BK288" i="17"/>
  <c r="BF289" i="17" s="1"/>
  <c r="BJ288" i="17"/>
  <c r="BR288" i="17"/>
  <c r="BI288" i="17"/>
  <c r="BQ288" i="17"/>
  <c r="BA264" i="17"/>
  <c r="AL264" i="17"/>
  <c r="CE264" i="17"/>
  <c r="BP264" i="17"/>
  <c r="BA300" i="17"/>
  <c r="AT300" i="17"/>
  <c r="AY300" i="17"/>
  <c r="BC300" i="17"/>
  <c r="AZ300" i="17"/>
  <c r="AS300" i="17"/>
  <c r="BD300" i="17" s="1"/>
  <c r="AU300" i="17"/>
  <c r="AX300" i="17"/>
  <c r="AV300" i="17"/>
  <c r="AQ301" i="17" s="1"/>
  <c r="BB300" i="17"/>
  <c r="CN264" i="17"/>
  <c r="CN327" i="17"/>
  <c r="AG327" i="17"/>
  <c r="AB328" i="17" s="1"/>
  <c r="AF327" i="17"/>
  <c r="AD327" i="17"/>
  <c r="AO327" i="17" s="1"/>
  <c r="AL327" i="17"/>
  <c r="AJ327" i="17"/>
  <c r="AN327" i="17"/>
  <c r="AE327" i="17"/>
  <c r="AM327" i="17"/>
  <c r="CJ327" i="17"/>
  <c r="CK327" i="17"/>
  <c r="AK327" i="17"/>
  <c r="AI327" i="17"/>
  <c r="CM327" i="17"/>
  <c r="BZ300" i="17"/>
  <c r="BU301" i="17" s="1"/>
  <c r="BX300" i="17"/>
  <c r="BW300" i="17"/>
  <c r="CH300" i="17" s="1"/>
  <c r="BY300" i="17"/>
  <c r="CG300" i="17"/>
  <c r="CF300" i="17"/>
  <c r="E265" i="17"/>
  <c r="C265" i="17"/>
  <c r="BI289" i="17" l="1"/>
  <c r="BQ289" i="17"/>
  <c r="BR289" i="17"/>
  <c r="BK289" i="17"/>
  <c r="BF290" i="17" s="1"/>
  <c r="BH289" i="17"/>
  <c r="BS289" i="17" s="1"/>
  <c r="BJ289" i="17"/>
  <c r="CL265" i="17"/>
  <c r="CM265" i="17" s="1"/>
  <c r="D265" i="17"/>
  <c r="F265" i="17" s="1"/>
  <c r="BN265" i="17"/>
  <c r="BO265" i="17" s="1"/>
  <c r="CC265" i="17"/>
  <c r="CD265" i="17" s="1"/>
  <c r="AJ265" i="17"/>
  <c r="AK265" i="17" s="1"/>
  <c r="AY265" i="17"/>
  <c r="AZ265" i="17" s="1"/>
  <c r="AS301" i="17"/>
  <c r="BD301" i="17" s="1"/>
  <c r="BB301" i="17"/>
  <c r="BA301" i="17"/>
  <c r="AT301" i="17"/>
  <c r="AV301" i="17"/>
  <c r="AQ302" i="17" s="1"/>
  <c r="AY301" i="17"/>
  <c r="BC301" i="17"/>
  <c r="AU301" i="17"/>
  <c r="AZ301" i="17"/>
  <c r="AX301" i="17"/>
  <c r="AG328" i="17"/>
  <c r="AB329" i="17" s="1"/>
  <c r="CN328" i="17"/>
  <c r="AF328" i="17"/>
  <c r="CJ328" i="17"/>
  <c r="AL328" i="17"/>
  <c r="AD328" i="17"/>
  <c r="AO328" i="17" s="1"/>
  <c r="AJ328" i="17"/>
  <c r="AN328" i="17"/>
  <c r="AE328" i="17"/>
  <c r="AM328" i="17"/>
  <c r="AI328" i="17"/>
  <c r="AK328" i="17"/>
  <c r="CK328" i="17"/>
  <c r="CM328" i="17"/>
  <c r="BZ301" i="17"/>
  <c r="BU302" i="17" s="1"/>
  <c r="BY301" i="17"/>
  <c r="BW301" i="17"/>
  <c r="CH301" i="17" s="1"/>
  <c r="CG301" i="17"/>
  <c r="BX301" i="17"/>
  <c r="CF301" i="17"/>
  <c r="BK290" i="17" l="1"/>
  <c r="BF291" i="17" s="1"/>
  <c r="BJ290" i="17"/>
  <c r="BI290" i="17"/>
  <c r="BH290" i="17"/>
  <c r="BS290" i="17" s="1"/>
  <c r="BR290" i="17"/>
  <c r="BQ290" i="17"/>
  <c r="CN329" i="17"/>
  <c r="AG329" i="17"/>
  <c r="AB330" i="17" s="1"/>
  <c r="AD329" i="17"/>
  <c r="AO329" i="17" s="1"/>
  <c r="CJ329" i="17"/>
  <c r="AF329" i="17"/>
  <c r="AL329" i="17"/>
  <c r="AJ329" i="17"/>
  <c r="AN329" i="17"/>
  <c r="AE329" i="17"/>
  <c r="AM329" i="17"/>
  <c r="CK329" i="17"/>
  <c r="AK329" i="17"/>
  <c r="CM329" i="17"/>
  <c r="AI329" i="17"/>
  <c r="BA265" i="17"/>
  <c r="BZ302" i="17"/>
  <c r="BU303" i="17" s="1"/>
  <c r="BW302" i="17"/>
  <c r="CH302" i="17" s="1"/>
  <c r="BY302" i="17"/>
  <c r="BX302" i="17"/>
  <c r="CG302" i="17"/>
  <c r="CF302" i="17"/>
  <c r="AL265" i="17"/>
  <c r="CE265" i="17"/>
  <c r="BB302" i="17"/>
  <c r="BA302" i="17"/>
  <c r="AT302" i="17"/>
  <c r="AY302" i="17"/>
  <c r="AS302" i="17"/>
  <c r="BD302" i="17" s="1"/>
  <c r="BC302" i="17"/>
  <c r="AV302" i="17"/>
  <c r="AQ303" i="17" s="1"/>
  <c r="AU302" i="17"/>
  <c r="AZ302" i="17"/>
  <c r="AX302" i="17"/>
  <c r="BP265" i="17"/>
  <c r="E266" i="17"/>
  <c r="C266" i="17"/>
  <c r="CN265" i="17"/>
  <c r="BI291" i="17" l="1"/>
  <c r="BR291" i="17"/>
  <c r="BQ291" i="17"/>
  <c r="BH291" i="17"/>
  <c r="BS291" i="17" s="1"/>
  <c r="BK291" i="17"/>
  <c r="BF292" i="17" s="1"/>
  <c r="BJ291" i="17"/>
  <c r="CL266" i="17"/>
  <c r="CM266" i="17" s="1"/>
  <c r="D266" i="17"/>
  <c r="F266" i="17" s="1"/>
  <c r="BN266" i="17"/>
  <c r="BO266" i="17" s="1"/>
  <c r="CC266" i="17"/>
  <c r="CD266" i="17" s="1"/>
  <c r="AJ266" i="17"/>
  <c r="AK266" i="17" s="1"/>
  <c r="AY266" i="17"/>
  <c r="AZ266" i="17" s="1"/>
  <c r="CN330" i="17"/>
  <c r="AG330" i="17"/>
  <c r="AB331" i="17" s="1"/>
  <c r="AD330" i="17"/>
  <c r="AO330" i="17" s="1"/>
  <c r="CJ330" i="17"/>
  <c r="AF330" i="17"/>
  <c r="AL330" i="17"/>
  <c r="AJ330" i="17"/>
  <c r="AN330" i="17"/>
  <c r="AM330" i="17"/>
  <c r="AE330" i="17"/>
  <c r="AK330" i="17"/>
  <c r="CK330" i="17"/>
  <c r="AI330" i="17"/>
  <c r="CM330" i="17"/>
  <c r="AS303" i="17"/>
  <c r="BD303" i="17" s="1"/>
  <c r="AX303" i="17"/>
  <c r="AV303" i="17"/>
  <c r="AQ304" i="17" s="1"/>
  <c r="BB303" i="17"/>
  <c r="AZ303" i="17"/>
  <c r="AT303" i="17"/>
  <c r="AY303" i="17"/>
  <c r="BC303" i="17"/>
  <c r="AU303" i="17"/>
  <c r="BA303" i="17"/>
  <c r="BZ303" i="17"/>
  <c r="BU304" i="17" s="1"/>
  <c r="BW303" i="17"/>
  <c r="CH303" i="17" s="1"/>
  <c r="BY303" i="17"/>
  <c r="CF303" i="17"/>
  <c r="BX303" i="17"/>
  <c r="CG303" i="17"/>
  <c r="BR292" i="17" l="1"/>
  <c r="BK292" i="17"/>
  <c r="BF293" i="17" s="1"/>
  <c r="BQ292" i="17"/>
  <c r="BJ292" i="17"/>
  <c r="BH292" i="17"/>
  <c r="BS292" i="17" s="1"/>
  <c r="BI292" i="17"/>
  <c r="CN331" i="17"/>
  <c r="AG331" i="17"/>
  <c r="AB332" i="17" s="1"/>
  <c r="AF331" i="17"/>
  <c r="AD331" i="17"/>
  <c r="AO331" i="17" s="1"/>
  <c r="AE331" i="17"/>
  <c r="AM331" i="17"/>
  <c r="CJ331" i="17"/>
  <c r="AL331" i="17"/>
  <c r="AJ331" i="17"/>
  <c r="AN331" i="17"/>
  <c r="CK331" i="17"/>
  <c r="AK331" i="17"/>
  <c r="CM331" i="17"/>
  <c r="AI331" i="17"/>
  <c r="BA266" i="17"/>
  <c r="AL266" i="17"/>
  <c r="BW304" i="17"/>
  <c r="CH304" i="17" s="1"/>
  <c r="BZ304" i="17"/>
  <c r="BU305" i="17" s="1"/>
  <c r="BY304" i="17"/>
  <c r="BX304" i="17"/>
  <c r="CG304" i="17"/>
  <c r="CF304" i="17"/>
  <c r="CE266" i="17"/>
  <c r="AU304" i="17"/>
  <c r="BA304" i="17"/>
  <c r="BB304" i="17"/>
  <c r="AZ304" i="17"/>
  <c r="AS304" i="17"/>
  <c r="BD304" i="17" s="1"/>
  <c r="AT304" i="17"/>
  <c r="AX304" i="17"/>
  <c r="AY304" i="17"/>
  <c r="AV304" i="17"/>
  <c r="AQ305" i="17" s="1"/>
  <c r="BC304" i="17"/>
  <c r="BP266" i="17"/>
  <c r="E267" i="17"/>
  <c r="E25" i="17" s="1"/>
  <c r="C267" i="17"/>
  <c r="CN266" i="17"/>
  <c r="BH293" i="17" l="1"/>
  <c r="BS293" i="17" s="1"/>
  <c r="BK293" i="17"/>
  <c r="BF294" i="17" s="1"/>
  <c r="BI293" i="17"/>
  <c r="BJ293" i="17"/>
  <c r="BR293" i="17"/>
  <c r="BQ293" i="17"/>
  <c r="CL267" i="17"/>
  <c r="D267" i="17"/>
  <c r="BN267" i="17"/>
  <c r="BO267" i="17" s="1"/>
  <c r="CC267" i="17"/>
  <c r="C25" i="17"/>
  <c r="AJ267" i="17"/>
  <c r="AK267" i="17" s="1"/>
  <c r="AY267" i="17"/>
  <c r="AZ267" i="17" s="1"/>
  <c r="AS305" i="17"/>
  <c r="BD305" i="17" s="1"/>
  <c r="AU305" i="17"/>
  <c r="BA305" i="17"/>
  <c r="AV305" i="17"/>
  <c r="AQ306" i="17" s="1"/>
  <c r="BB305" i="17"/>
  <c r="AT305" i="17"/>
  <c r="AX305" i="17"/>
  <c r="AY305" i="17"/>
  <c r="AZ305" i="17"/>
  <c r="BC305" i="17"/>
  <c r="BW305" i="17"/>
  <c r="CH305" i="17" s="1"/>
  <c r="BY305" i="17"/>
  <c r="BZ305" i="17"/>
  <c r="BU306" i="17" s="1"/>
  <c r="BX305" i="17"/>
  <c r="CG305" i="17"/>
  <c r="CF305" i="17"/>
  <c r="CN332" i="17"/>
  <c r="AG332" i="17"/>
  <c r="AB333" i="17" s="1"/>
  <c r="AF332" i="17"/>
  <c r="AE332" i="17"/>
  <c r="AM332" i="17"/>
  <c r="CJ332" i="17"/>
  <c r="AD332" i="17"/>
  <c r="AO332" i="17" s="1"/>
  <c r="AL332" i="17"/>
  <c r="AN332" i="17"/>
  <c r="AJ332" i="17"/>
  <c r="CM332" i="17"/>
  <c r="AK332" i="17"/>
  <c r="AI332" i="17"/>
  <c r="CK332" i="17"/>
  <c r="J10" i="17"/>
  <c r="J4" i="17"/>
  <c r="N4" i="17" s="1"/>
  <c r="BH294" i="17" l="1"/>
  <c r="BS294" i="17" s="1"/>
  <c r="BI294" i="17"/>
  <c r="BQ294" i="17"/>
  <c r="BR294" i="17"/>
  <c r="BK294" i="17"/>
  <c r="BF295" i="17" s="1"/>
  <c r="BJ294" i="17"/>
  <c r="CN333" i="17"/>
  <c r="AD333" i="17"/>
  <c r="AO333" i="17" s="1"/>
  <c r="AG333" i="17"/>
  <c r="AB334" i="17" s="1"/>
  <c r="AF333" i="17"/>
  <c r="AJ333" i="17"/>
  <c r="AN333" i="17"/>
  <c r="AE333" i="17"/>
  <c r="AM333" i="17"/>
  <c r="CJ333" i="17"/>
  <c r="AL333" i="17"/>
  <c r="CK333" i="17"/>
  <c r="CM333" i="17"/>
  <c r="AI333" i="17"/>
  <c r="AK333" i="17"/>
  <c r="BA267" i="17"/>
  <c r="AZ268" i="17"/>
  <c r="AL267" i="17"/>
  <c r="AK268" i="17"/>
  <c r="CC25" i="17"/>
  <c r="CD267" i="17"/>
  <c r="BO268" i="17"/>
  <c r="BP267" i="17"/>
  <c r="BW306" i="17"/>
  <c r="CH306" i="17" s="1"/>
  <c r="BZ306" i="17"/>
  <c r="BU307" i="17" s="1"/>
  <c r="BX306" i="17"/>
  <c r="BY306" i="17"/>
  <c r="CG306" i="17"/>
  <c r="CF306" i="17"/>
  <c r="D25" i="17"/>
  <c r="O4" i="17" s="1"/>
  <c r="F267" i="17"/>
  <c r="BC306" i="17"/>
  <c r="AU306" i="17"/>
  <c r="BA306" i="17"/>
  <c r="AS306" i="17"/>
  <c r="BD306" i="17" s="1"/>
  <c r="BB306" i="17"/>
  <c r="AV306" i="17"/>
  <c r="AQ307" i="17" s="1"/>
  <c r="AT306" i="17"/>
  <c r="AY306" i="17"/>
  <c r="AX306" i="17"/>
  <c r="AZ306" i="17"/>
  <c r="CL25" i="17"/>
  <c r="CM267" i="17"/>
  <c r="BJ295" i="17" l="1"/>
  <c r="BH295" i="17"/>
  <c r="BS295" i="17" s="1"/>
  <c r="BI295" i="17"/>
  <c r="BK295" i="17"/>
  <c r="BF296" i="17" s="1"/>
  <c r="BQ295" i="17"/>
  <c r="BR295" i="17"/>
  <c r="O10" i="17"/>
  <c r="Q10" i="17" s="1"/>
  <c r="Q4" i="17"/>
  <c r="R4" i="17" s="1"/>
  <c r="BA268" i="17"/>
  <c r="AZ269" i="17"/>
  <c r="AS307" i="17"/>
  <c r="BD307" i="17" s="1"/>
  <c r="AY307" i="17"/>
  <c r="BC307" i="17"/>
  <c r="AX307" i="17"/>
  <c r="AV307" i="17"/>
  <c r="AQ308" i="17" s="1"/>
  <c r="AZ307" i="17"/>
  <c r="AU307" i="17"/>
  <c r="BA307" i="17"/>
  <c r="BB307" i="17"/>
  <c r="AT307" i="17"/>
  <c r="CN267" i="17"/>
  <c r="CM268" i="17"/>
  <c r="BP268" i="17"/>
  <c r="BO269" i="17"/>
  <c r="CD268" i="17"/>
  <c r="CE267" i="17"/>
  <c r="CN334" i="17"/>
  <c r="AG334" i="17"/>
  <c r="AB335" i="17" s="1"/>
  <c r="AD334" i="17"/>
  <c r="AO334" i="17" s="1"/>
  <c r="AF334" i="17"/>
  <c r="AL334" i="17"/>
  <c r="AJ334" i="17"/>
  <c r="AN334" i="17"/>
  <c r="AE334" i="17"/>
  <c r="AM334" i="17"/>
  <c r="CJ334" i="17"/>
  <c r="CM334" i="17"/>
  <c r="CK334" i="17"/>
  <c r="AK334" i="17"/>
  <c r="AI334" i="17"/>
  <c r="BW307" i="17"/>
  <c r="CH307" i="17" s="1"/>
  <c r="BZ307" i="17"/>
  <c r="BU308" i="17" s="1"/>
  <c r="BY307" i="17"/>
  <c r="BX307" i="17"/>
  <c r="CG307" i="17"/>
  <c r="CF307" i="17"/>
  <c r="AL268" i="17"/>
  <c r="AK269" i="17"/>
  <c r="BQ296" i="17" l="1"/>
  <c r="BK296" i="17"/>
  <c r="BF297" i="17" s="1"/>
  <c r="BJ296" i="17"/>
  <c r="BI296" i="17"/>
  <c r="BH296" i="17"/>
  <c r="BS296" i="17" s="1"/>
  <c r="BR296" i="17"/>
  <c r="CN268" i="17"/>
  <c r="CM269" i="17"/>
  <c r="CN335" i="17"/>
  <c r="AG335" i="17"/>
  <c r="AB336" i="17" s="1"/>
  <c r="AF335" i="17"/>
  <c r="AD335" i="17"/>
  <c r="AO335" i="17" s="1"/>
  <c r="AL335" i="17"/>
  <c r="AJ335" i="17"/>
  <c r="AN335" i="17"/>
  <c r="AE335" i="17"/>
  <c r="AM335" i="17"/>
  <c r="CJ335" i="17"/>
  <c r="CM335" i="17"/>
  <c r="AI335" i="17"/>
  <c r="AK335" i="17"/>
  <c r="CK335" i="17"/>
  <c r="BA269" i="17"/>
  <c r="AZ270" i="17"/>
  <c r="CE268" i="17"/>
  <c r="CD269" i="17"/>
  <c r="BZ308" i="17"/>
  <c r="BU309" i="17" s="1"/>
  <c r="BX308" i="17"/>
  <c r="BW308" i="17"/>
  <c r="CH308" i="17" s="1"/>
  <c r="BY308" i="17"/>
  <c r="CG308" i="17"/>
  <c r="CF308" i="17"/>
  <c r="AL269" i="17"/>
  <c r="AK270" i="17"/>
  <c r="BO270" i="17"/>
  <c r="BP269" i="17"/>
  <c r="AT308" i="17"/>
  <c r="AY308" i="17"/>
  <c r="BC308" i="17"/>
  <c r="AZ308" i="17"/>
  <c r="AS308" i="17"/>
  <c r="BD308" i="17" s="1"/>
  <c r="AU308" i="17"/>
  <c r="AX308" i="17"/>
  <c r="BA308" i="17"/>
  <c r="AV308" i="17"/>
  <c r="AQ309" i="17" s="1"/>
  <c r="BB308" i="17"/>
  <c r="BI297" i="17" l="1"/>
  <c r="BQ297" i="17"/>
  <c r="BK297" i="17"/>
  <c r="BF298" i="17" s="1"/>
  <c r="BR297" i="17"/>
  <c r="BH297" i="17"/>
  <c r="BS297" i="17" s="1"/>
  <c r="BJ297" i="17"/>
  <c r="BA270" i="17"/>
  <c r="AZ271" i="17"/>
  <c r="BP270" i="17"/>
  <c r="BO271" i="17"/>
  <c r="AG336" i="17"/>
  <c r="AB337" i="17" s="1"/>
  <c r="CN336" i="17"/>
  <c r="AF336" i="17"/>
  <c r="CJ336" i="17"/>
  <c r="AL336" i="17"/>
  <c r="AJ336" i="17"/>
  <c r="AN336" i="17"/>
  <c r="AE336" i="17"/>
  <c r="AM336" i="17"/>
  <c r="AD336" i="17"/>
  <c r="AO336" i="17" s="1"/>
  <c r="AI336" i="17"/>
  <c r="AK336" i="17"/>
  <c r="CM336" i="17"/>
  <c r="CK336" i="17"/>
  <c r="AS309" i="17"/>
  <c r="BD309" i="17" s="1"/>
  <c r="BB309" i="17"/>
  <c r="AT309" i="17"/>
  <c r="AV309" i="17"/>
  <c r="AQ310" i="17" s="1"/>
  <c r="AY309" i="17"/>
  <c r="BC309" i="17"/>
  <c r="AU309" i="17"/>
  <c r="AZ309" i="17"/>
  <c r="BA309" i="17"/>
  <c r="AX309" i="17"/>
  <c r="AL270" i="17"/>
  <c r="AK271" i="17"/>
  <c r="BY309" i="17"/>
  <c r="BW309" i="17"/>
  <c r="CH309" i="17" s="1"/>
  <c r="BZ309" i="17"/>
  <c r="BU310" i="17" s="1"/>
  <c r="BX309" i="17"/>
  <c r="CG309" i="17"/>
  <c r="CF309" i="17"/>
  <c r="CD270" i="17"/>
  <c r="CE269" i="17"/>
  <c r="CN269" i="17"/>
  <c r="CM270" i="17"/>
  <c r="BH298" i="17" l="1"/>
  <c r="BS298" i="17" s="1"/>
  <c r="BQ298" i="17"/>
  <c r="BR298" i="17"/>
  <c r="BK298" i="17"/>
  <c r="BF299" i="17" s="1"/>
  <c r="BI298" i="17"/>
  <c r="BJ298" i="17"/>
  <c r="BB310" i="17"/>
  <c r="AT310" i="17"/>
  <c r="AY310" i="17"/>
  <c r="AS310" i="17"/>
  <c r="BD310" i="17" s="1"/>
  <c r="BC310" i="17"/>
  <c r="AV310" i="17"/>
  <c r="AQ311" i="17" s="1"/>
  <c r="AU310" i="17"/>
  <c r="BA310" i="17"/>
  <c r="AZ310" i="17"/>
  <c r="AX310" i="17"/>
  <c r="CN270" i="17"/>
  <c r="CM271" i="17"/>
  <c r="CE270" i="17"/>
  <c r="CD271" i="17"/>
  <c r="CN337" i="17"/>
  <c r="AG337" i="17"/>
  <c r="AB338" i="17" s="1"/>
  <c r="AD337" i="17"/>
  <c r="AO337" i="17" s="1"/>
  <c r="CJ337" i="17"/>
  <c r="AL337" i="17"/>
  <c r="AF337" i="17"/>
  <c r="AJ337" i="17"/>
  <c r="AN337" i="17"/>
  <c r="AE337" i="17"/>
  <c r="AM337" i="17"/>
  <c r="CM337" i="17"/>
  <c r="CK337" i="17"/>
  <c r="AI337" i="17"/>
  <c r="AK337" i="17"/>
  <c r="BP271" i="17"/>
  <c r="BO272" i="17"/>
  <c r="AL271" i="17"/>
  <c r="AK272" i="17"/>
  <c r="BA271" i="17"/>
  <c r="AZ272" i="17"/>
  <c r="BZ310" i="17"/>
  <c r="BU311" i="17" s="1"/>
  <c r="BY310" i="17"/>
  <c r="BX310" i="17"/>
  <c r="BW310" i="17"/>
  <c r="CH310" i="17" s="1"/>
  <c r="CG310" i="17"/>
  <c r="CF310" i="17"/>
  <c r="BJ299" i="17" l="1"/>
  <c r="BI299" i="17"/>
  <c r="BR299" i="17"/>
  <c r="BQ299" i="17"/>
  <c r="BK299" i="17"/>
  <c r="BF300" i="17" s="1"/>
  <c r="BH299" i="17"/>
  <c r="BS299" i="17" s="1"/>
  <c r="CN338" i="17"/>
  <c r="AG338" i="17"/>
  <c r="AB339" i="17" s="1"/>
  <c r="AD338" i="17"/>
  <c r="AO338" i="17" s="1"/>
  <c r="CJ338" i="17"/>
  <c r="AL338" i="17"/>
  <c r="AF338" i="17"/>
  <c r="AJ338" i="17"/>
  <c r="AN338" i="17"/>
  <c r="AM338" i="17"/>
  <c r="AE338" i="17"/>
  <c r="CK338" i="17"/>
  <c r="CM338" i="17"/>
  <c r="AK338" i="17"/>
  <c r="AI338" i="17"/>
  <c r="CD272" i="17"/>
  <c r="CE271" i="17"/>
  <c r="AS311" i="17"/>
  <c r="BD311" i="17" s="1"/>
  <c r="BA311" i="17"/>
  <c r="AZ311" i="17"/>
  <c r="AV311" i="17"/>
  <c r="AQ312" i="17" s="1"/>
  <c r="BB311" i="17"/>
  <c r="AX311" i="17"/>
  <c r="AT311" i="17"/>
  <c r="AY311" i="17"/>
  <c r="BC311" i="17"/>
  <c r="AU311" i="17"/>
  <c r="CN271" i="17"/>
  <c r="CM272" i="17"/>
  <c r="AL272" i="17"/>
  <c r="AK273" i="17"/>
  <c r="BY311" i="17"/>
  <c r="BW311" i="17"/>
  <c r="CH311" i="17" s="1"/>
  <c r="BZ311" i="17"/>
  <c r="BU312" i="17" s="1"/>
  <c r="CF311" i="17"/>
  <c r="BX311" i="17"/>
  <c r="CG311" i="17"/>
  <c r="BP272" i="17"/>
  <c r="BO273" i="17"/>
  <c r="BA272" i="17"/>
  <c r="AZ273" i="17"/>
  <c r="BK300" i="17" l="1"/>
  <c r="BF301" i="17" s="1"/>
  <c r="BI300" i="17"/>
  <c r="BJ300" i="17"/>
  <c r="BH300" i="17"/>
  <c r="BS300" i="17" s="1"/>
  <c r="BR300" i="17"/>
  <c r="BQ300" i="17"/>
  <c r="CE272" i="17"/>
  <c r="CD273" i="17"/>
  <c r="BA273" i="17"/>
  <c r="AZ274" i="17"/>
  <c r="BZ312" i="17"/>
  <c r="BU313" i="17" s="1"/>
  <c r="BY312" i="17"/>
  <c r="BW312" i="17"/>
  <c r="CH312" i="17" s="1"/>
  <c r="BX312" i="17"/>
  <c r="CG312" i="17"/>
  <c r="CF312" i="17"/>
  <c r="BO274" i="17"/>
  <c r="BP273" i="17"/>
  <c r="AL273" i="17"/>
  <c r="AK274" i="17"/>
  <c r="CN272" i="17"/>
  <c r="CM273" i="17"/>
  <c r="AU312" i="17"/>
  <c r="BA312" i="17"/>
  <c r="BB312" i="17"/>
  <c r="AX312" i="17"/>
  <c r="AS312" i="17"/>
  <c r="BD312" i="17" s="1"/>
  <c r="AT312" i="17"/>
  <c r="AZ312" i="17"/>
  <c r="AY312" i="17"/>
  <c r="AV312" i="17"/>
  <c r="AQ313" i="17" s="1"/>
  <c r="BC312" i="17"/>
  <c r="CN339" i="17"/>
  <c r="AG339" i="17"/>
  <c r="AB340" i="17" s="1"/>
  <c r="AF339" i="17"/>
  <c r="AD339" i="17"/>
  <c r="AO339" i="17" s="1"/>
  <c r="AE339" i="17"/>
  <c r="AM339" i="17"/>
  <c r="CJ339" i="17"/>
  <c r="AL339" i="17"/>
  <c r="AJ339" i="17"/>
  <c r="AN339" i="17"/>
  <c r="CK339" i="17"/>
  <c r="AI339" i="17"/>
  <c r="CM339" i="17"/>
  <c r="AK339" i="17"/>
  <c r="BJ301" i="17" l="1"/>
  <c r="BI301" i="17"/>
  <c r="BR301" i="17"/>
  <c r="BQ301" i="17"/>
  <c r="BK301" i="17"/>
  <c r="BF302" i="17" s="1"/>
  <c r="BH301" i="17"/>
  <c r="BS301" i="17" s="1"/>
  <c r="AS313" i="17"/>
  <c r="BD313" i="17" s="1"/>
  <c r="AU313" i="17"/>
  <c r="AV313" i="17"/>
  <c r="AQ314" i="17" s="1"/>
  <c r="BA313" i="17"/>
  <c r="BB313" i="17"/>
  <c r="AT313" i="17"/>
  <c r="AX313" i="17"/>
  <c r="AY313" i="17"/>
  <c r="AZ313" i="17"/>
  <c r="BC313" i="17"/>
  <c r="CN273" i="17"/>
  <c r="CM274" i="17"/>
  <c r="AL274" i="17"/>
  <c r="AK275" i="17"/>
  <c r="AL275" i="17" s="1"/>
  <c r="BW313" i="17"/>
  <c r="CH313" i="17" s="1"/>
  <c r="BY313" i="17"/>
  <c r="BZ313" i="17"/>
  <c r="BU314" i="17" s="1"/>
  <c r="CG313" i="17"/>
  <c r="CF313" i="17"/>
  <c r="BX313" i="17"/>
  <c r="BA274" i="17"/>
  <c r="AZ275" i="17"/>
  <c r="BA275" i="17" s="1"/>
  <c r="BP274" i="17"/>
  <c r="BO275" i="17"/>
  <c r="BP275" i="17" s="1"/>
  <c r="BP25" i="17" s="1"/>
  <c r="L8" i="17" s="1"/>
  <c r="CD274" i="17"/>
  <c r="CE273" i="17"/>
  <c r="CN340" i="17"/>
  <c r="AG340" i="17"/>
  <c r="AB341" i="17" s="1"/>
  <c r="AF340" i="17"/>
  <c r="AD340" i="17"/>
  <c r="AO340" i="17" s="1"/>
  <c r="AE340" i="17"/>
  <c r="AM340" i="17"/>
  <c r="CJ340" i="17"/>
  <c r="AL340" i="17"/>
  <c r="AN340" i="17"/>
  <c r="AJ340" i="17"/>
  <c r="CK340" i="17"/>
  <c r="AK340" i="17"/>
  <c r="AI340" i="17"/>
  <c r="CM340" i="17"/>
  <c r="BQ302" i="17" l="1"/>
  <c r="BR302" i="17"/>
  <c r="BJ302" i="17"/>
  <c r="BK302" i="17"/>
  <c r="BF303" i="17" s="1"/>
  <c r="BI302" i="17"/>
  <c r="BH302" i="17"/>
  <c r="BS302" i="17" s="1"/>
  <c r="CE274" i="17"/>
  <c r="CD275" i="17"/>
  <c r="CE275" i="17" s="1"/>
  <c r="CE25" i="17" s="1"/>
  <c r="BZ314" i="17"/>
  <c r="BU315" i="17" s="1"/>
  <c r="BX314" i="17"/>
  <c r="BY314" i="17"/>
  <c r="BW314" i="17"/>
  <c r="CH314" i="17" s="1"/>
  <c r="CG314" i="17"/>
  <c r="CF314" i="17"/>
  <c r="CN274" i="17"/>
  <c r="CM275" i="17"/>
  <c r="CN275" i="17" s="1"/>
  <c r="BC314" i="17"/>
  <c r="AU314" i="17"/>
  <c r="BA314" i="17"/>
  <c r="AS314" i="17"/>
  <c r="BD314" i="17" s="1"/>
  <c r="BB314" i="17"/>
  <c r="AV314" i="17"/>
  <c r="AQ315" i="17" s="1"/>
  <c r="AT314" i="17"/>
  <c r="AY314" i="17"/>
  <c r="AX314" i="17"/>
  <c r="AZ314" i="17"/>
  <c r="CN341" i="17"/>
  <c r="AD341" i="17"/>
  <c r="AO341" i="17" s="1"/>
  <c r="AF341" i="17"/>
  <c r="AG341" i="17"/>
  <c r="AB342" i="17" s="1"/>
  <c r="AJ341" i="17"/>
  <c r="AN341" i="17"/>
  <c r="AE341" i="17"/>
  <c r="AM341" i="17"/>
  <c r="CJ341" i="17"/>
  <c r="AL341" i="17"/>
  <c r="CM341" i="17"/>
  <c r="CK341" i="17"/>
  <c r="AK341" i="17"/>
  <c r="AI341" i="17"/>
  <c r="BK303" i="17" l="1"/>
  <c r="BF304" i="17" s="1"/>
  <c r="BI303" i="17"/>
  <c r="BH303" i="17"/>
  <c r="BS303" i="17" s="1"/>
  <c r="BQ303" i="17"/>
  <c r="BR303" i="17"/>
  <c r="BJ303" i="17"/>
  <c r="AS315" i="17"/>
  <c r="BD315" i="17" s="1"/>
  <c r="AY315" i="17"/>
  <c r="BC315" i="17"/>
  <c r="AX315" i="17"/>
  <c r="AV315" i="17"/>
  <c r="AQ316" i="17" s="1"/>
  <c r="AZ315" i="17"/>
  <c r="AU315" i="17"/>
  <c r="BA315" i="17"/>
  <c r="BB315" i="17"/>
  <c r="AT315" i="17"/>
  <c r="CN342" i="17"/>
  <c r="AG342" i="17"/>
  <c r="AB343" i="17" s="1"/>
  <c r="AD342" i="17"/>
  <c r="AO342" i="17" s="1"/>
  <c r="AF342" i="17"/>
  <c r="AL342" i="17"/>
  <c r="AJ342" i="17"/>
  <c r="AN342" i="17"/>
  <c r="AE342" i="17"/>
  <c r="AM342" i="17"/>
  <c r="CJ342" i="17"/>
  <c r="CK342" i="17"/>
  <c r="AI342" i="17"/>
  <c r="CM342" i="17"/>
  <c r="AK342" i="17"/>
  <c r="BW315" i="17"/>
  <c r="CH315" i="17" s="1"/>
  <c r="BZ315" i="17"/>
  <c r="BU316" i="17" s="1"/>
  <c r="BY315" i="17"/>
  <c r="CG315" i="17"/>
  <c r="CF315" i="17"/>
  <c r="BX315" i="17"/>
  <c r="L9" i="17"/>
  <c r="CD25" i="17"/>
  <c r="BK304" i="17" l="1"/>
  <c r="BF305" i="17" s="1"/>
  <c r="BR304" i="17"/>
  <c r="BJ304" i="17"/>
  <c r="BH304" i="17"/>
  <c r="BS304" i="17" s="1"/>
  <c r="BI304" i="17"/>
  <c r="BQ304" i="17"/>
  <c r="AT316" i="17"/>
  <c r="AY316" i="17"/>
  <c r="BC316" i="17"/>
  <c r="AZ316" i="17"/>
  <c r="AS316" i="17"/>
  <c r="BD316" i="17" s="1"/>
  <c r="AU316" i="17"/>
  <c r="AX316" i="17"/>
  <c r="BA316" i="17"/>
  <c r="AV316" i="17"/>
  <c r="AQ317" i="17" s="1"/>
  <c r="BB316" i="17"/>
  <c r="CN343" i="17"/>
  <c r="AG343" i="17"/>
  <c r="AB344" i="17" s="1"/>
  <c r="AF343" i="17"/>
  <c r="AD343" i="17"/>
  <c r="AO343" i="17" s="1"/>
  <c r="AL343" i="17"/>
  <c r="AJ343" i="17"/>
  <c r="AN343" i="17"/>
  <c r="AE343" i="17"/>
  <c r="AM343" i="17"/>
  <c r="CJ343" i="17"/>
  <c r="CK343" i="17"/>
  <c r="CM343" i="17"/>
  <c r="AK343" i="17"/>
  <c r="AI343" i="17"/>
  <c r="BZ316" i="17"/>
  <c r="BU317" i="17" s="1"/>
  <c r="BX316" i="17"/>
  <c r="BW316" i="17"/>
  <c r="CH316" i="17" s="1"/>
  <c r="BY316" i="17"/>
  <c r="CG316" i="17"/>
  <c r="CF316" i="17"/>
  <c r="BH305" i="17" l="1"/>
  <c r="BS305" i="17" s="1"/>
  <c r="BJ305" i="17"/>
  <c r="BK305" i="17"/>
  <c r="BF306" i="17" s="1"/>
  <c r="BI305" i="17"/>
  <c r="BQ305" i="17"/>
  <c r="BR305" i="17"/>
  <c r="AG344" i="17"/>
  <c r="AB345" i="17" s="1"/>
  <c r="AF344" i="17"/>
  <c r="CN344" i="17"/>
  <c r="CJ344" i="17"/>
  <c r="AL344" i="17"/>
  <c r="AD344" i="17"/>
  <c r="AO344" i="17" s="1"/>
  <c r="AJ344" i="17"/>
  <c r="AN344" i="17"/>
  <c r="AE344" i="17"/>
  <c r="AM344" i="17"/>
  <c r="CM344" i="17"/>
  <c r="CK344" i="17"/>
  <c r="AI344" i="17"/>
  <c r="AK344" i="17"/>
  <c r="BY317" i="17"/>
  <c r="BW317" i="17"/>
  <c r="CH317" i="17" s="1"/>
  <c r="BZ317" i="17"/>
  <c r="BU318" i="17" s="1"/>
  <c r="CG317" i="17"/>
  <c r="BX317" i="17"/>
  <c r="CF317" i="17"/>
  <c r="AS317" i="17"/>
  <c r="BD317" i="17" s="1"/>
  <c r="BB317" i="17"/>
  <c r="AT317" i="17"/>
  <c r="AV317" i="17"/>
  <c r="AQ318" i="17" s="1"/>
  <c r="AY317" i="17"/>
  <c r="BC317" i="17"/>
  <c r="AU317" i="17"/>
  <c r="AZ317" i="17"/>
  <c r="BA317" i="17"/>
  <c r="AX317" i="17"/>
  <c r="BR306" i="17" l="1"/>
  <c r="BQ306" i="17"/>
  <c r="BK306" i="17"/>
  <c r="BF307" i="17" s="1"/>
  <c r="BJ306" i="17"/>
  <c r="BI306" i="17"/>
  <c r="BH306" i="17"/>
  <c r="BS306" i="17" s="1"/>
  <c r="BB318" i="17"/>
  <c r="AT318" i="17"/>
  <c r="AY318" i="17"/>
  <c r="AS318" i="17"/>
  <c r="BD318" i="17" s="1"/>
  <c r="BC318" i="17"/>
  <c r="AV318" i="17"/>
  <c r="AQ319" i="17" s="1"/>
  <c r="AU318" i="17"/>
  <c r="AZ318" i="17"/>
  <c r="BA318" i="17"/>
  <c r="AX318" i="17"/>
  <c r="BZ318" i="17"/>
  <c r="BU319" i="17" s="1"/>
  <c r="BY318" i="17"/>
  <c r="BX318" i="17"/>
  <c r="BW318" i="17"/>
  <c r="CH318" i="17" s="1"/>
  <c r="CG318" i="17"/>
  <c r="CF318" i="17"/>
  <c r="CN345" i="17"/>
  <c r="AG345" i="17"/>
  <c r="AB346" i="17" s="1"/>
  <c r="AD345" i="17"/>
  <c r="AO345" i="17" s="1"/>
  <c r="CJ345" i="17"/>
  <c r="AL345" i="17"/>
  <c r="AJ345" i="17"/>
  <c r="AN345" i="17"/>
  <c r="AF345" i="17"/>
  <c r="AE345" i="17"/>
  <c r="AM345" i="17"/>
  <c r="AK345" i="17"/>
  <c r="CM345" i="17"/>
  <c r="AI345" i="17"/>
  <c r="CK345" i="17"/>
  <c r="BJ307" i="17" l="1"/>
  <c r="BI307" i="17"/>
  <c r="BR307" i="17"/>
  <c r="BQ307" i="17"/>
  <c r="BK307" i="17"/>
  <c r="BF308" i="17" s="1"/>
  <c r="BH307" i="17"/>
  <c r="BS307" i="17" s="1"/>
  <c r="CN346" i="17"/>
  <c r="AG346" i="17"/>
  <c r="AB347" i="17" s="1"/>
  <c r="AD346" i="17"/>
  <c r="AO346" i="17" s="1"/>
  <c r="CJ346" i="17"/>
  <c r="AL346" i="17"/>
  <c r="AJ346" i="17"/>
  <c r="AN346" i="17"/>
  <c r="AM346" i="17"/>
  <c r="AE346" i="17"/>
  <c r="AF346" i="17"/>
  <c r="CK346" i="17"/>
  <c r="CM346" i="17"/>
  <c r="AI346" i="17"/>
  <c r="AK346" i="17"/>
  <c r="AS319" i="17"/>
  <c r="BD319" i="17" s="1"/>
  <c r="BA319" i="17"/>
  <c r="AX319" i="17"/>
  <c r="AZ319" i="17"/>
  <c r="AV319" i="17"/>
  <c r="AQ320" i="17" s="1"/>
  <c r="BB319" i="17"/>
  <c r="AT319" i="17"/>
  <c r="AY319" i="17"/>
  <c r="BC319" i="17"/>
  <c r="AU319" i="17"/>
  <c r="BY319" i="17"/>
  <c r="BW319" i="17"/>
  <c r="CH319" i="17" s="1"/>
  <c r="BZ319" i="17"/>
  <c r="BU320" i="17" s="1"/>
  <c r="CF319" i="17"/>
  <c r="BX319" i="17"/>
  <c r="CG319" i="17"/>
  <c r="BI308" i="17" l="1"/>
  <c r="BH308" i="17"/>
  <c r="BS308" i="17" s="1"/>
  <c r="BR308" i="17"/>
  <c r="BK308" i="17"/>
  <c r="BF309" i="17" s="1"/>
  <c r="BJ308" i="17"/>
  <c r="BQ308" i="17"/>
  <c r="AU320" i="17"/>
  <c r="BA320" i="17"/>
  <c r="AZ320" i="17"/>
  <c r="BB320" i="17"/>
  <c r="AX320" i="17"/>
  <c r="AS320" i="17"/>
  <c r="BD320" i="17" s="1"/>
  <c r="AT320" i="17"/>
  <c r="AY320" i="17"/>
  <c r="AV320" i="17"/>
  <c r="AQ321" i="17" s="1"/>
  <c r="BC320" i="17"/>
  <c r="CN347" i="17"/>
  <c r="AG347" i="17"/>
  <c r="AB348" i="17" s="1"/>
  <c r="AF347" i="17"/>
  <c r="AD347" i="17"/>
  <c r="AO347" i="17" s="1"/>
  <c r="AE347" i="17"/>
  <c r="AM347" i="17"/>
  <c r="CJ347" i="17"/>
  <c r="AL347" i="17"/>
  <c r="AJ347" i="17"/>
  <c r="AN347" i="17"/>
  <c r="AK347" i="17"/>
  <c r="CM347" i="17"/>
  <c r="AI347" i="17"/>
  <c r="CK347" i="17"/>
  <c r="BZ320" i="17"/>
  <c r="BU321" i="17" s="1"/>
  <c r="BY320" i="17"/>
  <c r="BW320" i="17"/>
  <c r="CH320" i="17" s="1"/>
  <c r="BX320" i="17"/>
  <c r="CG320" i="17"/>
  <c r="CF320" i="17"/>
  <c r="BR309" i="17" l="1"/>
  <c r="BQ309" i="17"/>
  <c r="BJ309" i="17"/>
  <c r="BI309" i="17"/>
  <c r="BH309" i="17"/>
  <c r="BS309" i="17" s="1"/>
  <c r="BK309" i="17"/>
  <c r="BF310" i="17" s="1"/>
  <c r="CN348" i="17"/>
  <c r="AG348" i="17"/>
  <c r="AB349" i="17" s="1"/>
  <c r="AF348" i="17"/>
  <c r="AE348" i="17"/>
  <c r="AM348" i="17"/>
  <c r="CJ348" i="17"/>
  <c r="AD348" i="17"/>
  <c r="AO348" i="17" s="1"/>
  <c r="AL348" i="17"/>
  <c r="AN348" i="17"/>
  <c r="AJ348" i="17"/>
  <c r="CK348" i="17"/>
  <c r="AK348" i="17"/>
  <c r="CM348" i="17"/>
  <c r="AI348" i="17"/>
  <c r="BW321" i="17"/>
  <c r="CH321" i="17" s="1"/>
  <c r="BY321" i="17"/>
  <c r="BZ321" i="17"/>
  <c r="BU322" i="17" s="1"/>
  <c r="BX321" i="17"/>
  <c r="CG321" i="17"/>
  <c r="CF321" i="17"/>
  <c r="AS321" i="17"/>
  <c r="BD321" i="17" s="1"/>
  <c r="AZ321" i="17"/>
  <c r="AU321" i="17"/>
  <c r="AX321" i="17"/>
  <c r="AV321" i="17"/>
  <c r="AQ322" i="17" s="1"/>
  <c r="BA321" i="17"/>
  <c r="BB321" i="17"/>
  <c r="AT321" i="17"/>
  <c r="AY321" i="17"/>
  <c r="BC321" i="17"/>
  <c r="BQ310" i="17" l="1"/>
  <c r="BR310" i="17"/>
  <c r="BK310" i="17"/>
  <c r="BF311" i="17" s="1"/>
  <c r="BH310" i="17"/>
  <c r="BS310" i="17" s="1"/>
  <c r="BJ310" i="17"/>
  <c r="BI310" i="17"/>
  <c r="BZ322" i="17"/>
  <c r="BU323" i="17" s="1"/>
  <c r="BX322" i="17"/>
  <c r="BY322" i="17"/>
  <c r="BW322" i="17"/>
  <c r="CH322" i="17" s="1"/>
  <c r="CG322" i="17"/>
  <c r="CF322" i="17"/>
  <c r="CN349" i="17"/>
  <c r="AG349" i="17"/>
  <c r="AB350" i="17" s="1"/>
  <c r="AD349" i="17"/>
  <c r="AO349" i="17" s="1"/>
  <c r="AF349" i="17"/>
  <c r="AJ349" i="17"/>
  <c r="AN349" i="17"/>
  <c r="AE349" i="17"/>
  <c r="AM349" i="17"/>
  <c r="CJ349" i="17"/>
  <c r="AL349" i="17"/>
  <c r="CK349" i="17"/>
  <c r="AK349" i="17"/>
  <c r="CM349" i="17"/>
  <c r="AI349" i="17"/>
  <c r="BC322" i="17"/>
  <c r="AU322" i="17"/>
  <c r="AX322" i="17"/>
  <c r="BA322" i="17"/>
  <c r="AZ322" i="17"/>
  <c r="AS322" i="17"/>
  <c r="BD322" i="17" s="1"/>
  <c r="BB322" i="17"/>
  <c r="AV322" i="17"/>
  <c r="AQ323" i="17" s="1"/>
  <c r="AT322" i="17"/>
  <c r="AY322" i="17"/>
  <c r="BK311" i="17" l="1"/>
  <c r="BF312" i="17" s="1"/>
  <c r="BI311" i="17"/>
  <c r="BQ311" i="17"/>
  <c r="BH311" i="17"/>
  <c r="BS311" i="17" s="1"/>
  <c r="BR311" i="17"/>
  <c r="BJ311" i="17"/>
  <c r="CN350" i="17"/>
  <c r="AG350" i="17"/>
  <c r="AB351" i="17" s="1"/>
  <c r="AD350" i="17"/>
  <c r="AO350" i="17" s="1"/>
  <c r="AF350" i="17"/>
  <c r="AL350" i="17"/>
  <c r="AJ350" i="17"/>
  <c r="AN350" i="17"/>
  <c r="AE350" i="17"/>
  <c r="AM350" i="17"/>
  <c r="CJ350" i="17"/>
  <c r="CM350" i="17"/>
  <c r="CK350" i="17"/>
  <c r="AK350" i="17"/>
  <c r="AI350" i="17"/>
  <c r="AS323" i="17"/>
  <c r="BD323" i="17" s="1"/>
  <c r="AY323" i="17"/>
  <c r="BC323" i="17"/>
  <c r="AV323" i="17"/>
  <c r="AQ324" i="17" s="1"/>
  <c r="AU323" i="17"/>
  <c r="BA323" i="17"/>
  <c r="AZ323" i="17"/>
  <c r="AX323" i="17"/>
  <c r="BB323" i="17"/>
  <c r="AT323" i="17"/>
  <c r="BW323" i="17"/>
  <c r="CH323" i="17" s="1"/>
  <c r="BZ323" i="17"/>
  <c r="BU324" i="17" s="1"/>
  <c r="BY323" i="17"/>
  <c r="BX323" i="17"/>
  <c r="CG323" i="17"/>
  <c r="CF323" i="17"/>
  <c r="BH312" i="17" l="1"/>
  <c r="BS312" i="17" s="1"/>
  <c r="BI312" i="17"/>
  <c r="BQ312" i="17"/>
  <c r="BR312" i="17"/>
  <c r="BJ312" i="17"/>
  <c r="BK312" i="17"/>
  <c r="BF313" i="17" s="1"/>
  <c r="CN351" i="17"/>
  <c r="AG351" i="17"/>
  <c r="AB352" i="17" s="1"/>
  <c r="AF351" i="17"/>
  <c r="AD351" i="17"/>
  <c r="AO351" i="17" s="1"/>
  <c r="AL351" i="17"/>
  <c r="AJ351" i="17"/>
  <c r="AN351" i="17"/>
  <c r="AE351" i="17"/>
  <c r="AM351" i="17"/>
  <c r="CJ351" i="17"/>
  <c r="AK351" i="17"/>
  <c r="CM351" i="17"/>
  <c r="CK351" i="17"/>
  <c r="AI351" i="17"/>
  <c r="AT324" i="17"/>
  <c r="AY324" i="17"/>
  <c r="BC324" i="17"/>
  <c r="AS324" i="17"/>
  <c r="BD324" i="17" s="1"/>
  <c r="AU324" i="17"/>
  <c r="BA324" i="17"/>
  <c r="AV324" i="17"/>
  <c r="AQ325" i="17" s="1"/>
  <c r="AZ324" i="17"/>
  <c r="BB324" i="17"/>
  <c r="AX324" i="17"/>
  <c r="BZ324" i="17"/>
  <c r="BU325" i="17" s="1"/>
  <c r="BW324" i="17"/>
  <c r="CH324" i="17" s="1"/>
  <c r="BY324" i="17"/>
  <c r="BX324" i="17"/>
  <c r="CG324" i="17"/>
  <c r="CF324" i="17"/>
  <c r="BQ313" i="17" l="1"/>
  <c r="BR313" i="17"/>
  <c r="BH313" i="17"/>
  <c r="BS313" i="17" s="1"/>
  <c r="BI313" i="17"/>
  <c r="BJ313" i="17"/>
  <c r="BK313" i="17"/>
  <c r="BF314" i="17" s="1"/>
  <c r="AS325" i="17"/>
  <c r="BD325" i="17" s="1"/>
  <c r="BB325" i="17"/>
  <c r="AX325" i="17"/>
  <c r="AT325" i="17"/>
  <c r="AZ325" i="17"/>
  <c r="AV325" i="17"/>
  <c r="AQ326" i="17" s="1"/>
  <c r="AY325" i="17"/>
  <c r="BC325" i="17"/>
  <c r="AU325" i="17"/>
  <c r="BA325" i="17"/>
  <c r="AG352" i="17"/>
  <c r="AB353" i="17" s="1"/>
  <c r="CN352" i="17"/>
  <c r="AF352" i="17"/>
  <c r="CJ352" i="17"/>
  <c r="AL352" i="17"/>
  <c r="AJ352" i="17"/>
  <c r="AN352" i="17"/>
  <c r="AE352" i="17"/>
  <c r="AM352" i="17"/>
  <c r="AD352" i="17"/>
  <c r="AO352" i="17" s="1"/>
  <c r="AK352" i="17"/>
  <c r="CK352" i="17"/>
  <c r="AI352" i="17"/>
  <c r="CM352" i="17"/>
  <c r="BY325" i="17"/>
  <c r="BW325" i="17"/>
  <c r="CH325" i="17" s="1"/>
  <c r="BZ325" i="17"/>
  <c r="BU326" i="17" s="1"/>
  <c r="BX325" i="17"/>
  <c r="CG325" i="17"/>
  <c r="CF325" i="17"/>
  <c r="BR314" i="17" l="1"/>
  <c r="BQ314" i="17"/>
  <c r="BJ314" i="17"/>
  <c r="BK314" i="17"/>
  <c r="BF315" i="17" s="1"/>
  <c r="BH314" i="17"/>
  <c r="BS314" i="17" s="1"/>
  <c r="BI314" i="17"/>
  <c r="BB326" i="17"/>
  <c r="AT326" i="17"/>
  <c r="AX326" i="17"/>
  <c r="AY326" i="17"/>
  <c r="AZ326" i="17"/>
  <c r="AS326" i="17"/>
  <c r="BD326" i="17" s="1"/>
  <c r="BC326" i="17"/>
  <c r="AV326" i="17"/>
  <c r="AQ327" i="17" s="1"/>
  <c r="AU326" i="17"/>
  <c r="BA326" i="17"/>
  <c r="BZ326" i="17"/>
  <c r="BU327" i="17" s="1"/>
  <c r="BY326" i="17"/>
  <c r="BX326" i="17"/>
  <c r="BW326" i="17"/>
  <c r="CH326" i="17" s="1"/>
  <c r="CG326" i="17"/>
  <c r="CF326" i="17"/>
  <c r="CN353" i="17"/>
  <c r="AG353" i="17"/>
  <c r="AB354" i="17" s="1"/>
  <c r="AD353" i="17"/>
  <c r="AO353" i="17" s="1"/>
  <c r="AF353" i="17"/>
  <c r="CJ353" i="17"/>
  <c r="AL353" i="17"/>
  <c r="AJ353" i="17"/>
  <c r="AN353" i="17"/>
  <c r="AE353" i="17"/>
  <c r="AM353" i="17"/>
  <c r="AK353" i="17"/>
  <c r="CM353" i="17"/>
  <c r="AI353" i="17"/>
  <c r="CK353" i="17"/>
  <c r="BR315" i="17" l="1"/>
  <c r="BQ315" i="17"/>
  <c r="BI315" i="17"/>
  <c r="BH315" i="17"/>
  <c r="BS315" i="17" s="1"/>
  <c r="BK315" i="17"/>
  <c r="BF316" i="17" s="1"/>
  <c r="BJ315" i="17"/>
  <c r="AS327" i="17"/>
  <c r="BD327" i="17" s="1"/>
  <c r="BA327" i="17"/>
  <c r="AV327" i="17"/>
  <c r="AQ328" i="17" s="1"/>
  <c r="BB327" i="17"/>
  <c r="AT327" i="17"/>
  <c r="AY327" i="17"/>
  <c r="AZ327" i="17"/>
  <c r="BC327" i="17"/>
  <c r="AX327" i="17"/>
  <c r="AU327" i="17"/>
  <c r="CN354" i="17"/>
  <c r="AG354" i="17"/>
  <c r="AB355" i="17" s="1"/>
  <c r="AD354" i="17"/>
  <c r="AO354" i="17" s="1"/>
  <c r="AF354" i="17"/>
  <c r="CJ354" i="17"/>
  <c r="AL354" i="17"/>
  <c r="AJ354" i="17"/>
  <c r="AN354" i="17"/>
  <c r="AM354" i="17"/>
  <c r="AE354" i="17"/>
  <c r="AK354" i="17"/>
  <c r="CK354" i="17"/>
  <c r="CM354" i="17"/>
  <c r="AI354" i="17"/>
  <c r="BY327" i="17"/>
  <c r="BW327" i="17"/>
  <c r="CH327" i="17" s="1"/>
  <c r="BZ327" i="17"/>
  <c r="BU328" i="17" s="1"/>
  <c r="CF327" i="17"/>
  <c r="BX327" i="17"/>
  <c r="CG327" i="17"/>
  <c r="BI316" i="17" l="1"/>
  <c r="BJ316" i="17"/>
  <c r="BH316" i="17"/>
  <c r="BS316" i="17" s="1"/>
  <c r="BR316" i="17"/>
  <c r="BQ316" i="17"/>
  <c r="BK316" i="17"/>
  <c r="BF317" i="17" s="1"/>
  <c r="AU328" i="17"/>
  <c r="BA328" i="17"/>
  <c r="BB328" i="17"/>
  <c r="AS328" i="17"/>
  <c r="BD328" i="17" s="1"/>
  <c r="AT328" i="17"/>
  <c r="AY328" i="17"/>
  <c r="AV328" i="17"/>
  <c r="AQ329" i="17" s="1"/>
  <c r="BC328" i="17"/>
  <c r="AZ328" i="17"/>
  <c r="AX328" i="17"/>
  <c r="CN355" i="17"/>
  <c r="AG355" i="17"/>
  <c r="AB356" i="17" s="1"/>
  <c r="AF355" i="17"/>
  <c r="AD355" i="17"/>
  <c r="AO355" i="17" s="1"/>
  <c r="AE355" i="17"/>
  <c r="AM355" i="17"/>
  <c r="CJ355" i="17"/>
  <c r="AL355" i="17"/>
  <c r="AJ355" i="17"/>
  <c r="AN355" i="17"/>
  <c r="AK355" i="17"/>
  <c r="CK355" i="17"/>
  <c r="AI355" i="17"/>
  <c r="CM355" i="17"/>
  <c r="BZ328" i="17"/>
  <c r="BU329" i="17" s="1"/>
  <c r="BY328" i="17"/>
  <c r="BW328" i="17"/>
  <c r="CH328" i="17" s="1"/>
  <c r="CG328" i="17"/>
  <c r="CF328" i="17"/>
  <c r="BX328" i="17"/>
  <c r="BR317" i="17" l="1"/>
  <c r="BQ317" i="17"/>
  <c r="BH317" i="17"/>
  <c r="BS317" i="17" s="1"/>
  <c r="BK317" i="17"/>
  <c r="BF318" i="17" s="1"/>
  <c r="BI317" i="17"/>
  <c r="BJ317" i="17"/>
  <c r="AS329" i="17"/>
  <c r="BD329" i="17" s="1"/>
  <c r="AU329" i="17"/>
  <c r="AV329" i="17"/>
  <c r="AQ330" i="17" s="1"/>
  <c r="BA329" i="17"/>
  <c r="BB329" i="17"/>
  <c r="AT329" i="17"/>
  <c r="AY329" i="17"/>
  <c r="AZ329" i="17"/>
  <c r="BC329" i="17"/>
  <c r="AX329" i="17"/>
  <c r="BW329" i="17"/>
  <c r="CH329" i="17" s="1"/>
  <c r="BY329" i="17"/>
  <c r="BZ329" i="17"/>
  <c r="BU330" i="17" s="1"/>
  <c r="CG329" i="17"/>
  <c r="CF329" i="17"/>
  <c r="BX329" i="17"/>
  <c r="CN356" i="17"/>
  <c r="AG356" i="17"/>
  <c r="AB357" i="17" s="1"/>
  <c r="AF356" i="17"/>
  <c r="AD356" i="17"/>
  <c r="AO356" i="17" s="1"/>
  <c r="AE356" i="17"/>
  <c r="AM356" i="17"/>
  <c r="CJ356" i="17"/>
  <c r="AL356" i="17"/>
  <c r="AN356" i="17"/>
  <c r="AJ356" i="17"/>
  <c r="AK356" i="17"/>
  <c r="AI356" i="17"/>
  <c r="CK356" i="17"/>
  <c r="CM356" i="17"/>
  <c r="BH318" i="17" l="1"/>
  <c r="BS318" i="17" s="1"/>
  <c r="BI318" i="17"/>
  <c r="BQ318" i="17"/>
  <c r="BR318" i="17"/>
  <c r="BK318" i="17"/>
  <c r="BF319" i="17" s="1"/>
  <c r="BJ318" i="17"/>
  <c r="CN357" i="17"/>
  <c r="AD357" i="17"/>
  <c r="AO357" i="17" s="1"/>
  <c r="AF357" i="17"/>
  <c r="AG357" i="17"/>
  <c r="AB358" i="17" s="1"/>
  <c r="AJ357" i="17"/>
  <c r="AN357" i="17"/>
  <c r="AE357" i="17"/>
  <c r="AM357" i="17"/>
  <c r="CJ357" i="17"/>
  <c r="AL357" i="17"/>
  <c r="AI357" i="17"/>
  <c r="AK357" i="17"/>
  <c r="CM357" i="17"/>
  <c r="CK357" i="17"/>
  <c r="BZ330" i="17"/>
  <c r="BU331" i="17" s="1"/>
  <c r="BX330" i="17"/>
  <c r="BY330" i="17"/>
  <c r="BW330" i="17"/>
  <c r="CH330" i="17" s="1"/>
  <c r="CG330" i="17"/>
  <c r="CF330" i="17"/>
  <c r="BC330" i="17"/>
  <c r="AX330" i="17"/>
  <c r="AZ330" i="17"/>
  <c r="AU330" i="17"/>
  <c r="BA330" i="17"/>
  <c r="AS330" i="17"/>
  <c r="BD330" i="17" s="1"/>
  <c r="BB330" i="17"/>
  <c r="AV330" i="17"/>
  <c r="AQ331" i="17" s="1"/>
  <c r="AT330" i="17"/>
  <c r="AY330" i="17"/>
  <c r="BJ319" i="17" l="1"/>
  <c r="BI319" i="17"/>
  <c r="BH319" i="17"/>
  <c r="BS319" i="17" s="1"/>
  <c r="BK319" i="17"/>
  <c r="BF320" i="17" s="1"/>
  <c r="BR319" i="17"/>
  <c r="BQ319" i="17"/>
  <c r="CN358" i="17"/>
  <c r="AG358" i="17"/>
  <c r="AB359" i="17" s="1"/>
  <c r="AD358" i="17"/>
  <c r="AO358" i="17" s="1"/>
  <c r="AF358" i="17"/>
  <c r="AL358" i="17"/>
  <c r="AJ358" i="17"/>
  <c r="AN358" i="17"/>
  <c r="AE358" i="17"/>
  <c r="AM358" i="17"/>
  <c r="CJ358" i="17"/>
  <c r="AK358" i="17"/>
  <c r="AI358" i="17"/>
  <c r="CK358" i="17"/>
  <c r="CM358" i="17"/>
  <c r="AS331" i="17"/>
  <c r="BD331" i="17" s="1"/>
  <c r="AY331" i="17"/>
  <c r="BC331" i="17"/>
  <c r="AV331" i="17"/>
  <c r="AQ332" i="17" s="1"/>
  <c r="AZ331" i="17"/>
  <c r="AU331" i="17"/>
  <c r="AX331" i="17"/>
  <c r="BA331" i="17"/>
  <c r="BB331" i="17"/>
  <c r="AT331" i="17"/>
  <c r="BW331" i="17"/>
  <c r="CH331" i="17" s="1"/>
  <c r="BZ331" i="17"/>
  <c r="BU332" i="17" s="1"/>
  <c r="BY331" i="17"/>
  <c r="CG331" i="17"/>
  <c r="CF331" i="17"/>
  <c r="BX331" i="17"/>
  <c r="BK320" i="17" l="1"/>
  <c r="BF321" i="17" s="1"/>
  <c r="BJ320" i="17"/>
  <c r="BH320" i="17"/>
  <c r="BS320" i="17" s="1"/>
  <c r="BI320" i="17"/>
  <c r="BQ320" i="17"/>
  <c r="BR320" i="17"/>
  <c r="BZ332" i="17"/>
  <c r="BU333" i="17" s="1"/>
  <c r="BW332" i="17"/>
  <c r="CH332" i="17" s="1"/>
  <c r="BY332" i="17"/>
  <c r="BX332" i="17"/>
  <c r="CG332" i="17"/>
  <c r="CF332" i="17"/>
  <c r="CN359" i="17"/>
  <c r="AG359" i="17"/>
  <c r="AB360" i="17" s="1"/>
  <c r="AF359" i="17"/>
  <c r="AD359" i="17"/>
  <c r="AO359" i="17" s="1"/>
  <c r="AL359" i="17"/>
  <c r="AJ359" i="17"/>
  <c r="AN359" i="17"/>
  <c r="AE359" i="17"/>
  <c r="AM359" i="17"/>
  <c r="CJ359" i="17"/>
  <c r="AI359" i="17"/>
  <c r="CM359" i="17"/>
  <c r="CK359" i="17"/>
  <c r="AK359" i="17"/>
  <c r="AT332" i="17"/>
  <c r="AY332" i="17"/>
  <c r="BC332" i="17"/>
  <c r="AS332" i="17"/>
  <c r="BD332" i="17" s="1"/>
  <c r="AU332" i="17"/>
  <c r="AZ332" i="17"/>
  <c r="BA332" i="17"/>
  <c r="AX332" i="17"/>
  <c r="AV332" i="17"/>
  <c r="AQ333" i="17" s="1"/>
  <c r="BB332" i="17"/>
  <c r="BK321" i="17" l="1"/>
  <c r="BF322" i="17" s="1"/>
  <c r="BI321" i="17"/>
  <c r="BQ321" i="17"/>
  <c r="BR321" i="17"/>
  <c r="BH321" i="17"/>
  <c r="BS321" i="17" s="1"/>
  <c r="BJ321" i="17"/>
  <c r="AG360" i="17"/>
  <c r="AB361" i="17" s="1"/>
  <c r="CN360" i="17"/>
  <c r="AF360" i="17"/>
  <c r="CJ360" i="17"/>
  <c r="AL360" i="17"/>
  <c r="AD360" i="17"/>
  <c r="AO360" i="17" s="1"/>
  <c r="AJ360" i="17"/>
  <c r="AN360" i="17"/>
  <c r="AE360" i="17"/>
  <c r="AM360" i="17"/>
  <c r="CM360" i="17"/>
  <c r="CK360" i="17"/>
  <c r="AK360" i="17"/>
  <c r="AI360" i="17"/>
  <c r="AS333" i="17"/>
  <c r="BD333" i="17" s="1"/>
  <c r="BB333" i="17"/>
  <c r="AT333" i="17"/>
  <c r="AV333" i="17"/>
  <c r="AQ334" i="17" s="1"/>
  <c r="AY333" i="17"/>
  <c r="BC333" i="17"/>
  <c r="AU333" i="17"/>
  <c r="BA333" i="17"/>
  <c r="AZ333" i="17"/>
  <c r="AX333" i="17"/>
  <c r="BY333" i="17"/>
  <c r="BW333" i="17"/>
  <c r="CH333" i="17" s="1"/>
  <c r="BZ333" i="17"/>
  <c r="BU334" i="17" s="1"/>
  <c r="BX333" i="17"/>
  <c r="CG333" i="17"/>
  <c r="CF333" i="17"/>
  <c r="BI322" i="17" l="1"/>
  <c r="BH322" i="17"/>
  <c r="BS322" i="17" s="1"/>
  <c r="BR322" i="17"/>
  <c r="BQ322" i="17"/>
  <c r="BJ322" i="17"/>
  <c r="BK322" i="17"/>
  <c r="BF323" i="17" s="1"/>
  <c r="AZ334" i="17"/>
  <c r="BB334" i="17"/>
  <c r="AX334" i="17"/>
  <c r="AT334" i="17"/>
  <c r="AY334" i="17"/>
  <c r="AS334" i="17"/>
  <c r="BD334" i="17" s="1"/>
  <c r="BC334" i="17"/>
  <c r="AV334" i="17"/>
  <c r="AQ335" i="17" s="1"/>
  <c r="AU334" i="17"/>
  <c r="BA334" i="17"/>
  <c r="BZ334" i="17"/>
  <c r="BU335" i="17" s="1"/>
  <c r="BY334" i="17"/>
  <c r="BX334" i="17"/>
  <c r="BW334" i="17"/>
  <c r="CH334" i="17" s="1"/>
  <c r="CG334" i="17"/>
  <c r="CF334" i="17"/>
  <c r="CN361" i="17"/>
  <c r="AG361" i="17"/>
  <c r="AB362" i="17" s="1"/>
  <c r="AD361" i="17"/>
  <c r="AO361" i="17" s="1"/>
  <c r="CJ361" i="17"/>
  <c r="AF361" i="17"/>
  <c r="AL361" i="17"/>
  <c r="AJ361" i="17"/>
  <c r="AN361" i="17"/>
  <c r="AE361" i="17"/>
  <c r="AM361" i="17"/>
  <c r="CK361" i="17"/>
  <c r="AK361" i="17"/>
  <c r="CM361" i="17"/>
  <c r="AI361" i="17"/>
  <c r="BR323" i="17" l="1"/>
  <c r="BQ323" i="17"/>
  <c r="BH323" i="17"/>
  <c r="BS323" i="17" s="1"/>
  <c r="BJ323" i="17"/>
  <c r="BI323" i="17"/>
  <c r="BK323" i="17"/>
  <c r="BF324" i="17" s="1"/>
  <c r="CN362" i="17"/>
  <c r="AG362" i="17"/>
  <c r="AB363" i="17" s="1"/>
  <c r="AD362" i="17"/>
  <c r="AO362" i="17" s="1"/>
  <c r="CJ362" i="17"/>
  <c r="AF362" i="17"/>
  <c r="AL362" i="17"/>
  <c r="AJ362" i="17"/>
  <c r="AN362" i="17"/>
  <c r="AM362" i="17"/>
  <c r="AE362" i="17"/>
  <c r="CK362" i="17"/>
  <c r="CM362" i="17"/>
  <c r="AK362" i="17"/>
  <c r="AI362" i="17"/>
  <c r="AS335" i="17"/>
  <c r="BD335" i="17" s="1"/>
  <c r="BA335" i="17"/>
  <c r="AV335" i="17"/>
  <c r="AQ336" i="17" s="1"/>
  <c r="BB335" i="17"/>
  <c r="AZ335" i="17"/>
  <c r="AT335" i="17"/>
  <c r="AX335" i="17"/>
  <c r="AY335" i="17"/>
  <c r="BC335" i="17"/>
  <c r="AU335" i="17"/>
  <c r="BY335" i="17"/>
  <c r="BW335" i="17"/>
  <c r="CH335" i="17" s="1"/>
  <c r="BZ335" i="17"/>
  <c r="BU336" i="17" s="1"/>
  <c r="CF335" i="17"/>
  <c r="BX335" i="17"/>
  <c r="CG335" i="17"/>
  <c r="BI324" i="17" l="1"/>
  <c r="BH324" i="17"/>
  <c r="BS324" i="17" s="1"/>
  <c r="BR324" i="17"/>
  <c r="BQ324" i="17"/>
  <c r="BJ324" i="17"/>
  <c r="BK324" i="17"/>
  <c r="BF325" i="17" s="1"/>
  <c r="CN363" i="17"/>
  <c r="AG363" i="17"/>
  <c r="AB364" i="17" s="1"/>
  <c r="AF363" i="17"/>
  <c r="AD363" i="17"/>
  <c r="AO363" i="17" s="1"/>
  <c r="AE363" i="17"/>
  <c r="AM363" i="17"/>
  <c r="CJ363" i="17"/>
  <c r="AL363" i="17"/>
  <c r="AJ363" i="17"/>
  <c r="AN363" i="17"/>
  <c r="CM363" i="17"/>
  <c r="AK363" i="17"/>
  <c r="CK363" i="17"/>
  <c r="AI363" i="17"/>
  <c r="BZ336" i="17"/>
  <c r="BU337" i="17" s="1"/>
  <c r="BY336" i="17"/>
  <c r="BW336" i="17"/>
  <c r="CH336" i="17" s="1"/>
  <c r="CG336" i="17"/>
  <c r="CF336" i="17"/>
  <c r="BX336" i="17"/>
  <c r="AU336" i="17"/>
  <c r="BA336" i="17"/>
  <c r="BB336" i="17"/>
  <c r="AS336" i="17"/>
  <c r="BD336" i="17" s="1"/>
  <c r="AT336" i="17"/>
  <c r="AX336" i="17"/>
  <c r="AY336" i="17"/>
  <c r="AZ336" i="17"/>
  <c r="AV336" i="17"/>
  <c r="AQ337" i="17" s="1"/>
  <c r="BC336" i="17"/>
  <c r="BR325" i="17" l="1"/>
  <c r="BK325" i="17"/>
  <c r="BF326" i="17" s="1"/>
  <c r="BQ325" i="17"/>
  <c r="BJ325" i="17"/>
  <c r="BH325" i="17"/>
  <c r="BS325" i="17" s="1"/>
  <c r="BI325" i="17"/>
  <c r="BW337" i="17"/>
  <c r="CH337" i="17" s="1"/>
  <c r="BY337" i="17"/>
  <c r="BZ337" i="17"/>
  <c r="BU338" i="17" s="1"/>
  <c r="CG337" i="17"/>
  <c r="CF337" i="17"/>
  <c r="BX337" i="17"/>
  <c r="AS337" i="17"/>
  <c r="BD337" i="17" s="1"/>
  <c r="AU337" i="17"/>
  <c r="AV337" i="17"/>
  <c r="AQ338" i="17" s="1"/>
  <c r="BA337" i="17"/>
  <c r="BB337" i="17"/>
  <c r="AT337" i="17"/>
  <c r="AY337" i="17"/>
  <c r="AZ337" i="17"/>
  <c r="BC337" i="17"/>
  <c r="AX337" i="17"/>
  <c r="CN364" i="17"/>
  <c r="AG364" i="17"/>
  <c r="AB365" i="17" s="1"/>
  <c r="AF364" i="17"/>
  <c r="AE364" i="17"/>
  <c r="AM364" i="17"/>
  <c r="CJ364" i="17"/>
  <c r="AD364" i="17"/>
  <c r="AO364" i="17" s="1"/>
  <c r="AL364" i="17"/>
  <c r="AN364" i="17"/>
  <c r="AJ364" i="17"/>
  <c r="CK364" i="17"/>
  <c r="CM364" i="17"/>
  <c r="AI364" i="17"/>
  <c r="AK364" i="17"/>
  <c r="BQ326" i="17" l="1"/>
  <c r="BR326" i="17"/>
  <c r="BJ326" i="17"/>
  <c r="BH326" i="17"/>
  <c r="BS326" i="17" s="1"/>
  <c r="BI326" i="17"/>
  <c r="BK326" i="17"/>
  <c r="BF327" i="17" s="1"/>
  <c r="CN365" i="17"/>
  <c r="AD365" i="17"/>
  <c r="AO365" i="17" s="1"/>
  <c r="AF365" i="17"/>
  <c r="AG365" i="17"/>
  <c r="AB366" i="17" s="1"/>
  <c r="AJ365" i="17"/>
  <c r="AN365" i="17"/>
  <c r="AE365" i="17"/>
  <c r="AM365" i="17"/>
  <c r="CJ365" i="17"/>
  <c r="AL365" i="17"/>
  <c r="AI365" i="17"/>
  <c r="CM365" i="17"/>
  <c r="AK365" i="17"/>
  <c r="CK365" i="17"/>
  <c r="BC338" i="17"/>
  <c r="AZ338" i="17"/>
  <c r="AX338" i="17"/>
  <c r="AU338" i="17"/>
  <c r="BA338" i="17"/>
  <c r="AS338" i="17"/>
  <c r="BD338" i="17" s="1"/>
  <c r="BB338" i="17"/>
  <c r="AV338" i="17"/>
  <c r="AQ339" i="17" s="1"/>
  <c r="AT338" i="17"/>
  <c r="AY338" i="17"/>
  <c r="BZ338" i="17"/>
  <c r="BU339" i="17" s="1"/>
  <c r="BX338" i="17"/>
  <c r="BY338" i="17"/>
  <c r="BW338" i="17"/>
  <c r="CH338" i="17" s="1"/>
  <c r="CG338" i="17"/>
  <c r="CF338" i="17"/>
  <c r="BK327" i="17" l="1"/>
  <c r="BF328" i="17" s="1"/>
  <c r="BI327" i="17"/>
  <c r="BQ327" i="17"/>
  <c r="BR327" i="17"/>
  <c r="BH327" i="17"/>
  <c r="BS327" i="17" s="1"/>
  <c r="BJ327" i="17"/>
  <c r="CN366" i="17"/>
  <c r="AG366" i="17"/>
  <c r="AB367" i="17" s="1"/>
  <c r="AD366" i="17"/>
  <c r="AO366" i="17" s="1"/>
  <c r="AF366" i="17"/>
  <c r="AL366" i="17"/>
  <c r="AJ366" i="17"/>
  <c r="AN366" i="17"/>
  <c r="AE366" i="17"/>
  <c r="AM366" i="17"/>
  <c r="CJ366" i="17"/>
  <c r="CK366" i="17"/>
  <c r="AI366" i="17"/>
  <c r="AK366" i="17"/>
  <c r="CM366" i="17"/>
  <c r="AS339" i="17"/>
  <c r="BD339" i="17" s="1"/>
  <c r="AY339" i="17"/>
  <c r="BC339" i="17"/>
  <c r="AV339" i="17"/>
  <c r="AQ340" i="17" s="1"/>
  <c r="AZ339" i="17"/>
  <c r="AU339" i="17"/>
  <c r="AX339" i="17"/>
  <c r="BA339" i="17"/>
  <c r="BB339" i="17"/>
  <c r="AT339" i="17"/>
  <c r="BW339" i="17"/>
  <c r="CH339" i="17" s="1"/>
  <c r="BZ339" i="17"/>
  <c r="BU340" i="17" s="1"/>
  <c r="BY339" i="17"/>
  <c r="CG339" i="17"/>
  <c r="CF339" i="17"/>
  <c r="BX339" i="17"/>
  <c r="BJ328" i="17" l="1"/>
  <c r="BR328" i="17"/>
  <c r="BI328" i="17"/>
  <c r="BQ328" i="17"/>
  <c r="BK328" i="17"/>
  <c r="BF329" i="17" s="1"/>
  <c r="BH328" i="17"/>
  <c r="BS328" i="17" s="1"/>
  <c r="CN367" i="17"/>
  <c r="AG367" i="17"/>
  <c r="AB368" i="17" s="1"/>
  <c r="AF367" i="17"/>
  <c r="AD367" i="17"/>
  <c r="AO367" i="17" s="1"/>
  <c r="AL367" i="17"/>
  <c r="AJ367" i="17"/>
  <c r="AN367" i="17"/>
  <c r="AE367" i="17"/>
  <c r="AM367" i="17"/>
  <c r="CJ367" i="17"/>
  <c r="CM367" i="17"/>
  <c r="AI367" i="17"/>
  <c r="CK367" i="17"/>
  <c r="AK367" i="17"/>
  <c r="BZ340" i="17"/>
  <c r="BU341" i="17" s="1"/>
  <c r="BW340" i="17"/>
  <c r="CH340" i="17" s="1"/>
  <c r="BY340" i="17"/>
  <c r="CG340" i="17"/>
  <c r="CF340" i="17"/>
  <c r="BX340" i="17"/>
  <c r="AT340" i="17"/>
  <c r="AY340" i="17"/>
  <c r="BC340" i="17"/>
  <c r="AS340" i="17"/>
  <c r="BD340" i="17" s="1"/>
  <c r="AU340" i="17"/>
  <c r="AX340" i="17"/>
  <c r="BA340" i="17"/>
  <c r="AZ340" i="17"/>
  <c r="AV340" i="17"/>
  <c r="AQ341" i="17" s="1"/>
  <c r="BB340" i="17"/>
  <c r="BK329" i="17" l="1"/>
  <c r="BF330" i="17" s="1"/>
  <c r="BI329" i="17"/>
  <c r="BQ329" i="17"/>
  <c r="BH329" i="17"/>
  <c r="BS329" i="17" s="1"/>
  <c r="BR329" i="17"/>
  <c r="BJ329" i="17"/>
  <c r="BY341" i="17"/>
  <c r="BW341" i="17"/>
  <c r="CH341" i="17" s="1"/>
  <c r="BZ341" i="17"/>
  <c r="BU342" i="17" s="1"/>
  <c r="CG341" i="17"/>
  <c r="CF341" i="17"/>
  <c r="BX341" i="17"/>
  <c r="AS341" i="17"/>
  <c r="BD341" i="17" s="1"/>
  <c r="BB341" i="17"/>
  <c r="AT341" i="17"/>
  <c r="AV341" i="17"/>
  <c r="AQ342" i="17" s="1"/>
  <c r="AY341" i="17"/>
  <c r="BC341" i="17"/>
  <c r="AU341" i="17"/>
  <c r="BA341" i="17"/>
  <c r="AX341" i="17"/>
  <c r="AZ341" i="17"/>
  <c r="AG368" i="17"/>
  <c r="AB369" i="17" s="1"/>
  <c r="AF368" i="17"/>
  <c r="CJ368" i="17"/>
  <c r="CN368" i="17"/>
  <c r="AL368" i="17"/>
  <c r="AJ368" i="17"/>
  <c r="AN368" i="17"/>
  <c r="AE368" i="17"/>
  <c r="AM368" i="17"/>
  <c r="AD368" i="17"/>
  <c r="AO368" i="17" s="1"/>
  <c r="AI368" i="17"/>
  <c r="AK368" i="17"/>
  <c r="CM368" i="17"/>
  <c r="CK368" i="17"/>
  <c r="BR330" i="17" l="1"/>
  <c r="BQ330" i="17"/>
  <c r="BK330" i="17"/>
  <c r="BF331" i="17" s="1"/>
  <c r="BJ330" i="17"/>
  <c r="BI330" i="17"/>
  <c r="BH330" i="17"/>
  <c r="BS330" i="17" s="1"/>
  <c r="AX342" i="17"/>
  <c r="BB342" i="17"/>
  <c r="AZ342" i="17"/>
  <c r="AT342" i="17"/>
  <c r="AY342" i="17"/>
  <c r="AS342" i="17"/>
  <c r="BD342" i="17" s="1"/>
  <c r="BC342" i="17"/>
  <c r="AV342" i="17"/>
  <c r="AQ343" i="17" s="1"/>
  <c r="AU342" i="17"/>
  <c r="BA342" i="17"/>
  <c r="CN369" i="17"/>
  <c r="AG369" i="17"/>
  <c r="AB370" i="17" s="1"/>
  <c r="AD369" i="17"/>
  <c r="AO369" i="17" s="1"/>
  <c r="CJ369" i="17"/>
  <c r="AL369" i="17"/>
  <c r="AF369" i="17"/>
  <c r="AJ369" i="17"/>
  <c r="AN369" i="17"/>
  <c r="AE369" i="17"/>
  <c r="AM369" i="17"/>
  <c r="AK369" i="17"/>
  <c r="AI369" i="17"/>
  <c r="CM369" i="17"/>
  <c r="CK369" i="17"/>
  <c r="BZ342" i="17"/>
  <c r="BU343" i="17" s="1"/>
  <c r="BY342" i="17"/>
  <c r="BX342" i="17"/>
  <c r="BW342" i="17"/>
  <c r="CH342" i="17" s="1"/>
  <c r="CG342" i="17"/>
  <c r="CF342" i="17"/>
  <c r="BR331" i="17" l="1"/>
  <c r="BJ331" i="17"/>
  <c r="BQ331" i="17"/>
  <c r="BK331" i="17"/>
  <c r="BF332" i="17" s="1"/>
  <c r="BH331" i="17"/>
  <c r="BS331" i="17" s="1"/>
  <c r="BI331" i="17"/>
  <c r="AS343" i="17"/>
  <c r="BD343" i="17" s="1"/>
  <c r="BA343" i="17"/>
  <c r="AV343" i="17"/>
  <c r="AQ344" i="17" s="1"/>
  <c r="BB343" i="17"/>
  <c r="AZ343" i="17"/>
  <c r="AT343" i="17"/>
  <c r="AX343" i="17"/>
  <c r="AY343" i="17"/>
  <c r="BC343" i="17"/>
  <c r="AU343" i="17"/>
  <c r="BY343" i="17"/>
  <c r="BW343" i="17"/>
  <c r="CH343" i="17" s="1"/>
  <c r="BZ343" i="17"/>
  <c r="BU344" i="17" s="1"/>
  <c r="BX343" i="17"/>
  <c r="CF343" i="17"/>
  <c r="CG343" i="17"/>
  <c r="CN370" i="17"/>
  <c r="AG370" i="17"/>
  <c r="AB371" i="17" s="1"/>
  <c r="AD370" i="17"/>
  <c r="AO370" i="17" s="1"/>
  <c r="CJ370" i="17"/>
  <c r="AL370" i="17"/>
  <c r="AF370" i="17"/>
  <c r="AJ370" i="17"/>
  <c r="AN370" i="17"/>
  <c r="AM370" i="17"/>
  <c r="AE370" i="17"/>
  <c r="AI370" i="17"/>
  <c r="CM370" i="17"/>
  <c r="CK370" i="17"/>
  <c r="AK370" i="17"/>
  <c r="BH332" i="17" l="1"/>
  <c r="BS332" i="17" s="1"/>
  <c r="BJ332" i="17"/>
  <c r="BI332" i="17"/>
  <c r="BR332" i="17"/>
  <c r="BQ332" i="17"/>
  <c r="BK332" i="17"/>
  <c r="BF333" i="17" s="1"/>
  <c r="CN371" i="17"/>
  <c r="AG371" i="17"/>
  <c r="AB372" i="17" s="1"/>
  <c r="AF371" i="17"/>
  <c r="AD371" i="17"/>
  <c r="AO371" i="17" s="1"/>
  <c r="AE371" i="17"/>
  <c r="AM371" i="17"/>
  <c r="CJ371" i="17"/>
  <c r="AL371" i="17"/>
  <c r="AJ371" i="17"/>
  <c r="AN371" i="17"/>
  <c r="CK371" i="17"/>
  <c r="AI371" i="17"/>
  <c r="AK371" i="17"/>
  <c r="CM371" i="17"/>
  <c r="AU344" i="17"/>
  <c r="BA344" i="17"/>
  <c r="BB344" i="17"/>
  <c r="AS344" i="17"/>
  <c r="BD344" i="17" s="1"/>
  <c r="AT344" i="17"/>
  <c r="AX344" i="17"/>
  <c r="AY344" i="17"/>
  <c r="AZ344" i="17"/>
  <c r="AV344" i="17"/>
  <c r="AQ345" i="17" s="1"/>
  <c r="BC344" i="17"/>
  <c r="BZ344" i="17"/>
  <c r="BU345" i="17" s="1"/>
  <c r="BY344" i="17"/>
  <c r="BW344" i="17"/>
  <c r="CH344" i="17" s="1"/>
  <c r="CG344" i="17"/>
  <c r="BX344" i="17"/>
  <c r="CF344" i="17"/>
  <c r="BR333" i="17" l="1"/>
  <c r="BQ333" i="17"/>
  <c r="BH333" i="17"/>
  <c r="BS333" i="17" s="1"/>
  <c r="BJ333" i="17"/>
  <c r="BK333" i="17"/>
  <c r="BF334" i="17" s="1"/>
  <c r="BI333" i="17"/>
  <c r="AS345" i="17"/>
  <c r="BD345" i="17" s="1"/>
  <c r="AU345" i="17"/>
  <c r="AV345" i="17"/>
  <c r="AQ346" i="17" s="1"/>
  <c r="BA345" i="17"/>
  <c r="BB345" i="17"/>
  <c r="AT345" i="17"/>
  <c r="AY345" i="17"/>
  <c r="AX345" i="17"/>
  <c r="BC345" i="17"/>
  <c r="AZ345" i="17"/>
  <c r="BW345" i="17"/>
  <c r="CH345" i="17" s="1"/>
  <c r="BY345" i="17"/>
  <c r="BZ345" i="17"/>
  <c r="BU346" i="17" s="1"/>
  <c r="CG345" i="17"/>
  <c r="BX345" i="17"/>
  <c r="CF345" i="17"/>
  <c r="CN372" i="17"/>
  <c r="AG372" i="17"/>
  <c r="AB373" i="17" s="1"/>
  <c r="AF372" i="17"/>
  <c r="AD372" i="17"/>
  <c r="AO372" i="17" s="1"/>
  <c r="AE372" i="17"/>
  <c r="AM372" i="17"/>
  <c r="CJ372" i="17"/>
  <c r="AL372" i="17"/>
  <c r="AN372" i="17"/>
  <c r="AJ372" i="17"/>
  <c r="CM372" i="17"/>
  <c r="CK372" i="17"/>
  <c r="AK372" i="17"/>
  <c r="AI372" i="17"/>
  <c r="BQ334" i="17" l="1"/>
  <c r="BR334" i="17"/>
  <c r="BI334" i="17"/>
  <c r="BK334" i="17"/>
  <c r="BF335" i="17" s="1"/>
  <c r="BJ334" i="17"/>
  <c r="BH334" i="17"/>
  <c r="BS334" i="17" s="1"/>
  <c r="CN373" i="17"/>
  <c r="AG373" i="17"/>
  <c r="AB374" i="17" s="1"/>
  <c r="AD373" i="17"/>
  <c r="AO373" i="17" s="1"/>
  <c r="AF373" i="17"/>
  <c r="AJ373" i="17"/>
  <c r="AN373" i="17"/>
  <c r="AE373" i="17"/>
  <c r="AM373" i="17"/>
  <c r="CJ373" i="17"/>
  <c r="AL373" i="17"/>
  <c r="CK373" i="17"/>
  <c r="AK373" i="17"/>
  <c r="CM373" i="17"/>
  <c r="AI373" i="17"/>
  <c r="BZ346" i="17"/>
  <c r="BU347" i="17" s="1"/>
  <c r="BX346" i="17"/>
  <c r="BY346" i="17"/>
  <c r="BW346" i="17"/>
  <c r="CH346" i="17" s="1"/>
  <c r="CG346" i="17"/>
  <c r="CF346" i="17"/>
  <c r="BC346" i="17"/>
  <c r="AZ346" i="17"/>
  <c r="AX346" i="17"/>
  <c r="AU346" i="17"/>
  <c r="BA346" i="17"/>
  <c r="AS346" i="17"/>
  <c r="BD346" i="17" s="1"/>
  <c r="BB346" i="17"/>
  <c r="AV346" i="17"/>
  <c r="AQ347" i="17" s="1"/>
  <c r="AT346" i="17"/>
  <c r="AY346" i="17"/>
  <c r="BH335" i="17" l="1"/>
  <c r="BS335" i="17" s="1"/>
  <c r="BK335" i="17"/>
  <c r="BF336" i="17" s="1"/>
  <c r="BR335" i="17"/>
  <c r="BJ335" i="17"/>
  <c r="BI335" i="17"/>
  <c r="BQ335" i="17"/>
  <c r="BW347" i="17"/>
  <c r="CH347" i="17" s="1"/>
  <c r="BZ347" i="17"/>
  <c r="BU348" i="17" s="1"/>
  <c r="BY347" i="17"/>
  <c r="BX347" i="17"/>
  <c r="CG347" i="17"/>
  <c r="CF347" i="17"/>
  <c r="AS347" i="17"/>
  <c r="BD347" i="17" s="1"/>
  <c r="AY347" i="17"/>
  <c r="BC347" i="17"/>
  <c r="AV347" i="17"/>
  <c r="AQ348" i="17" s="1"/>
  <c r="AX347" i="17"/>
  <c r="AU347" i="17"/>
  <c r="AZ347" i="17"/>
  <c r="BA347" i="17"/>
  <c r="BB347" i="17"/>
  <c r="AT347" i="17"/>
  <c r="CN374" i="17"/>
  <c r="AG374" i="17"/>
  <c r="AB375" i="17" s="1"/>
  <c r="AD374" i="17"/>
  <c r="AO374" i="17" s="1"/>
  <c r="AF374" i="17"/>
  <c r="AL374" i="17"/>
  <c r="AJ374" i="17"/>
  <c r="AN374" i="17"/>
  <c r="AE374" i="17"/>
  <c r="AM374" i="17"/>
  <c r="CJ374" i="17"/>
  <c r="AK374" i="17"/>
  <c r="CM374" i="17"/>
  <c r="CK374" i="17"/>
  <c r="AI374" i="17"/>
  <c r="BK336" i="17" l="1"/>
  <c r="BF337" i="17" s="1"/>
  <c r="BJ336" i="17"/>
  <c r="BH336" i="17"/>
  <c r="BS336" i="17" s="1"/>
  <c r="BI336" i="17"/>
  <c r="BQ336" i="17"/>
  <c r="BR336" i="17"/>
  <c r="CN375" i="17"/>
  <c r="AG375" i="17"/>
  <c r="AB376" i="17" s="1"/>
  <c r="AF375" i="17"/>
  <c r="AD375" i="17"/>
  <c r="AO375" i="17" s="1"/>
  <c r="AL375" i="17"/>
  <c r="AJ375" i="17"/>
  <c r="AN375" i="17"/>
  <c r="AE375" i="17"/>
  <c r="AM375" i="17"/>
  <c r="CJ375" i="17"/>
  <c r="CK375" i="17"/>
  <c r="CM375" i="17"/>
  <c r="AI375" i="17"/>
  <c r="AK375" i="17"/>
  <c r="AT348" i="17"/>
  <c r="AY348" i="17"/>
  <c r="BC348" i="17"/>
  <c r="AS348" i="17"/>
  <c r="BD348" i="17" s="1"/>
  <c r="AU348" i="17"/>
  <c r="AZ348" i="17"/>
  <c r="BA348" i="17"/>
  <c r="AX348" i="17"/>
  <c r="AV348" i="17"/>
  <c r="AQ349" i="17" s="1"/>
  <c r="BB348" i="17"/>
  <c r="BZ348" i="17"/>
  <c r="BU349" i="17" s="1"/>
  <c r="BW348" i="17"/>
  <c r="CH348" i="17" s="1"/>
  <c r="BY348" i="17"/>
  <c r="BX348" i="17"/>
  <c r="CG348" i="17"/>
  <c r="CF348" i="17"/>
  <c r="BQ337" i="17" l="1"/>
  <c r="BR337" i="17"/>
  <c r="BK337" i="17"/>
  <c r="BF338" i="17" s="1"/>
  <c r="BH337" i="17"/>
  <c r="BS337" i="17" s="1"/>
  <c r="BJ337" i="17"/>
  <c r="BI337" i="17"/>
  <c r="AS349" i="17"/>
  <c r="BD349" i="17" s="1"/>
  <c r="BB349" i="17"/>
  <c r="AT349" i="17"/>
  <c r="AV349" i="17"/>
  <c r="AQ350" i="17" s="1"/>
  <c r="AY349" i="17"/>
  <c r="BC349" i="17"/>
  <c r="AU349" i="17"/>
  <c r="BA349" i="17"/>
  <c r="AX349" i="17"/>
  <c r="AZ349" i="17"/>
  <c r="AG376" i="17"/>
  <c r="AB377" i="17" s="1"/>
  <c r="CN376" i="17"/>
  <c r="AF376" i="17"/>
  <c r="CJ376" i="17"/>
  <c r="AL376" i="17"/>
  <c r="AD376" i="17"/>
  <c r="AO376" i="17" s="1"/>
  <c r="AJ376" i="17"/>
  <c r="AN376" i="17"/>
  <c r="AE376" i="17"/>
  <c r="AM376" i="17"/>
  <c r="CM376" i="17"/>
  <c r="AK376" i="17"/>
  <c r="AI376" i="17"/>
  <c r="CK376" i="17"/>
  <c r="BY349" i="17"/>
  <c r="BW349" i="17"/>
  <c r="CH349" i="17" s="1"/>
  <c r="BZ349" i="17"/>
  <c r="BU350" i="17" s="1"/>
  <c r="BX349" i="17"/>
  <c r="CG349" i="17"/>
  <c r="CF349" i="17"/>
  <c r="BJ338" i="17" l="1"/>
  <c r="BH338" i="17"/>
  <c r="BS338" i="17" s="1"/>
  <c r="BR338" i="17"/>
  <c r="BI338" i="17"/>
  <c r="BQ338" i="17"/>
  <c r="BK338" i="17"/>
  <c r="BF339" i="17" s="1"/>
  <c r="AX350" i="17"/>
  <c r="BB350" i="17"/>
  <c r="AZ350" i="17"/>
  <c r="AT350" i="17"/>
  <c r="AY350" i="17"/>
  <c r="AS350" i="17"/>
  <c r="BD350" i="17" s="1"/>
  <c r="BC350" i="17"/>
  <c r="AV350" i="17"/>
  <c r="AQ351" i="17" s="1"/>
  <c r="AU350" i="17"/>
  <c r="BA350" i="17"/>
  <c r="BZ350" i="17"/>
  <c r="BU351" i="17" s="1"/>
  <c r="BY350" i="17"/>
  <c r="BX350" i="17"/>
  <c r="BW350" i="17"/>
  <c r="CH350" i="17" s="1"/>
  <c r="CG350" i="17"/>
  <c r="CF350" i="17"/>
  <c r="CN377" i="17"/>
  <c r="AG377" i="17"/>
  <c r="AB378" i="17" s="1"/>
  <c r="AD377" i="17"/>
  <c r="AO377" i="17" s="1"/>
  <c r="CJ377" i="17"/>
  <c r="AL377" i="17"/>
  <c r="AJ377" i="17"/>
  <c r="AN377" i="17"/>
  <c r="AF377" i="17"/>
  <c r="AE377" i="17"/>
  <c r="AM377" i="17"/>
  <c r="AI377" i="17"/>
  <c r="CM377" i="17"/>
  <c r="AK377" i="17"/>
  <c r="CK377" i="17"/>
  <c r="BR339" i="17" l="1"/>
  <c r="BQ339" i="17"/>
  <c r="BH339" i="17"/>
  <c r="BS339" i="17" s="1"/>
  <c r="BK339" i="17"/>
  <c r="BF340" i="17" s="1"/>
  <c r="BJ339" i="17"/>
  <c r="BI339" i="17"/>
  <c r="AS351" i="17"/>
  <c r="BD351" i="17" s="1"/>
  <c r="BA351" i="17"/>
  <c r="AV351" i="17"/>
  <c r="AQ352" i="17" s="1"/>
  <c r="BB351" i="17"/>
  <c r="AX351" i="17"/>
  <c r="AT351" i="17"/>
  <c r="AZ351" i="17"/>
  <c r="AY351" i="17"/>
  <c r="BC351" i="17"/>
  <c r="AU351" i="17"/>
  <c r="BY351" i="17"/>
  <c r="BW351" i="17"/>
  <c r="CH351" i="17" s="1"/>
  <c r="BZ351" i="17"/>
  <c r="BU352" i="17" s="1"/>
  <c r="CF351" i="17"/>
  <c r="BX351" i="17"/>
  <c r="CG351" i="17"/>
  <c r="CN378" i="17"/>
  <c r="AG378" i="17"/>
  <c r="AB379" i="17" s="1"/>
  <c r="AD378" i="17"/>
  <c r="AO378" i="17" s="1"/>
  <c r="CJ378" i="17"/>
  <c r="AL378" i="17"/>
  <c r="AJ378" i="17"/>
  <c r="AN378" i="17"/>
  <c r="AF378" i="17"/>
  <c r="AE378" i="17"/>
  <c r="AM378" i="17"/>
  <c r="AK378" i="17"/>
  <c r="AI378" i="17"/>
  <c r="CM378" i="17"/>
  <c r="CK378" i="17"/>
  <c r="BJ340" i="17" l="1"/>
  <c r="BH340" i="17"/>
  <c r="BS340" i="17" s="1"/>
  <c r="BI340" i="17"/>
  <c r="BR340" i="17"/>
  <c r="BQ340" i="17"/>
  <c r="BK340" i="17"/>
  <c r="BF341" i="17" s="1"/>
  <c r="CN379" i="17"/>
  <c r="AG379" i="17"/>
  <c r="AB380" i="17" s="1"/>
  <c r="AF379" i="17"/>
  <c r="AD379" i="17"/>
  <c r="AO379" i="17" s="1"/>
  <c r="AE379" i="17"/>
  <c r="AM379" i="17"/>
  <c r="CJ379" i="17"/>
  <c r="AL379" i="17"/>
  <c r="AJ379" i="17"/>
  <c r="AN379" i="17"/>
  <c r="CM379" i="17"/>
  <c r="AI379" i="17"/>
  <c r="AK379" i="17"/>
  <c r="CK379" i="17"/>
  <c r="AU352" i="17"/>
  <c r="BA352" i="17"/>
  <c r="BB352" i="17"/>
  <c r="AS352" i="17"/>
  <c r="BD352" i="17" s="1"/>
  <c r="AT352" i="17"/>
  <c r="AX352" i="17"/>
  <c r="AY352" i="17"/>
  <c r="AZ352" i="17"/>
  <c r="AV352" i="17"/>
  <c r="AQ353" i="17" s="1"/>
  <c r="BC352" i="17"/>
  <c r="BZ352" i="17"/>
  <c r="BU353" i="17" s="1"/>
  <c r="BY352" i="17"/>
  <c r="BW352" i="17"/>
  <c r="CH352" i="17" s="1"/>
  <c r="CG352" i="17"/>
  <c r="CF352" i="17"/>
  <c r="BX352" i="17"/>
  <c r="BR341" i="17" l="1"/>
  <c r="BQ341" i="17"/>
  <c r="BI341" i="17"/>
  <c r="BJ341" i="17"/>
  <c r="BH341" i="17"/>
  <c r="BS341" i="17" s="1"/>
  <c r="BK341" i="17"/>
  <c r="BF342" i="17" s="1"/>
  <c r="AS353" i="17"/>
  <c r="BD353" i="17" s="1"/>
  <c r="AU353" i="17"/>
  <c r="AV353" i="17"/>
  <c r="AQ354" i="17" s="1"/>
  <c r="BA353" i="17"/>
  <c r="BB353" i="17"/>
  <c r="AT353" i="17"/>
  <c r="AY353" i="17"/>
  <c r="AZ353" i="17"/>
  <c r="BC353" i="17"/>
  <c r="AX353" i="17"/>
  <c r="CN380" i="17"/>
  <c r="AG380" i="17"/>
  <c r="AB381" i="17" s="1"/>
  <c r="AF380" i="17"/>
  <c r="AE380" i="17"/>
  <c r="AM380" i="17"/>
  <c r="CJ380" i="17"/>
  <c r="AD380" i="17"/>
  <c r="AO380" i="17" s="1"/>
  <c r="AL380" i="17"/>
  <c r="AJ380" i="17"/>
  <c r="AN380" i="17"/>
  <c r="CK380" i="17"/>
  <c r="CM380" i="17"/>
  <c r="AI380" i="17"/>
  <c r="AK380" i="17"/>
  <c r="BW353" i="17"/>
  <c r="CH353" i="17" s="1"/>
  <c r="BY353" i="17"/>
  <c r="BZ353" i="17"/>
  <c r="BU354" i="17" s="1"/>
  <c r="BX353" i="17"/>
  <c r="CG353" i="17"/>
  <c r="CF353" i="17"/>
  <c r="BJ342" i="17" l="1"/>
  <c r="BI342" i="17"/>
  <c r="BR342" i="17"/>
  <c r="BH342" i="17"/>
  <c r="BS342" i="17" s="1"/>
  <c r="BQ342" i="17"/>
  <c r="BK342" i="17"/>
  <c r="BF343" i="17" s="1"/>
  <c r="CN381" i="17"/>
  <c r="AD381" i="17"/>
  <c r="AO381" i="17" s="1"/>
  <c r="AF381" i="17"/>
  <c r="AG381" i="17"/>
  <c r="AB382" i="17" s="1"/>
  <c r="AJ381" i="17"/>
  <c r="AN381" i="17"/>
  <c r="AE381" i="17"/>
  <c r="AM381" i="17"/>
  <c r="CJ381" i="17"/>
  <c r="AL381" i="17"/>
  <c r="CK381" i="17"/>
  <c r="AK381" i="17"/>
  <c r="AI381" i="17"/>
  <c r="CM381" i="17"/>
  <c r="BZ354" i="17"/>
  <c r="BU355" i="17" s="1"/>
  <c r="BX354" i="17"/>
  <c r="BY354" i="17"/>
  <c r="BW354" i="17"/>
  <c r="CH354" i="17" s="1"/>
  <c r="CG354" i="17"/>
  <c r="CF354" i="17"/>
  <c r="BC354" i="17"/>
  <c r="AX354" i="17"/>
  <c r="AZ354" i="17"/>
  <c r="AU354" i="17"/>
  <c r="BA354" i="17"/>
  <c r="AS354" i="17"/>
  <c r="BD354" i="17" s="1"/>
  <c r="BB354" i="17"/>
  <c r="AV354" i="17"/>
  <c r="AQ355" i="17" s="1"/>
  <c r="AT354" i="17"/>
  <c r="AY354" i="17"/>
  <c r="BQ343" i="17" l="1"/>
  <c r="BR343" i="17"/>
  <c r="BI343" i="17"/>
  <c r="BH343" i="17"/>
  <c r="BS343" i="17" s="1"/>
  <c r="BK343" i="17"/>
  <c r="BF344" i="17" s="1"/>
  <c r="BJ343" i="17"/>
  <c r="BW355" i="17"/>
  <c r="CH355" i="17" s="1"/>
  <c r="BZ355" i="17"/>
  <c r="BU356" i="17" s="1"/>
  <c r="BY355" i="17"/>
  <c r="BX355" i="17"/>
  <c r="CG355" i="17"/>
  <c r="CF355" i="17"/>
  <c r="CN382" i="17"/>
  <c r="AG382" i="17"/>
  <c r="AB383" i="17" s="1"/>
  <c r="AD382" i="17"/>
  <c r="AO382" i="17" s="1"/>
  <c r="AF382" i="17"/>
  <c r="AL382" i="17"/>
  <c r="AJ382" i="17"/>
  <c r="AN382" i="17"/>
  <c r="AE382" i="17"/>
  <c r="AM382" i="17"/>
  <c r="CJ382" i="17"/>
  <c r="AI382" i="17"/>
  <c r="CK382" i="17"/>
  <c r="AK382" i="17"/>
  <c r="CM382" i="17"/>
  <c r="AS355" i="17"/>
  <c r="BD355" i="17" s="1"/>
  <c r="AY355" i="17"/>
  <c r="BC355" i="17"/>
  <c r="AV355" i="17"/>
  <c r="AQ356" i="17" s="1"/>
  <c r="AZ355" i="17"/>
  <c r="AU355" i="17"/>
  <c r="AX355" i="17"/>
  <c r="BA355" i="17"/>
  <c r="BB355" i="17"/>
  <c r="AT355" i="17"/>
  <c r="BK344" i="17" l="1"/>
  <c r="BF345" i="17" s="1"/>
  <c r="BH344" i="17"/>
  <c r="BS344" i="17" s="1"/>
  <c r="BI344" i="17"/>
  <c r="BJ344" i="17"/>
  <c r="BQ344" i="17"/>
  <c r="BR344" i="17"/>
  <c r="CN383" i="17"/>
  <c r="AG383" i="17"/>
  <c r="AB384" i="17" s="1"/>
  <c r="AF383" i="17"/>
  <c r="AD383" i="17"/>
  <c r="AO383" i="17" s="1"/>
  <c r="AL383" i="17"/>
  <c r="AJ383" i="17"/>
  <c r="AN383" i="17"/>
  <c r="AE383" i="17"/>
  <c r="AM383" i="17"/>
  <c r="CJ383" i="17"/>
  <c r="AK383" i="17"/>
  <c r="CM383" i="17"/>
  <c r="AI383" i="17"/>
  <c r="CK383" i="17"/>
  <c r="AT356" i="17"/>
  <c r="AY356" i="17"/>
  <c r="BC356" i="17"/>
  <c r="AS356" i="17"/>
  <c r="BD356" i="17" s="1"/>
  <c r="AU356" i="17"/>
  <c r="AZ356" i="17"/>
  <c r="BA356" i="17"/>
  <c r="AX356" i="17"/>
  <c r="AV356" i="17"/>
  <c r="AQ357" i="17" s="1"/>
  <c r="BB356" i="17"/>
  <c r="BZ356" i="17"/>
  <c r="BU357" i="17" s="1"/>
  <c r="BW356" i="17"/>
  <c r="CH356" i="17" s="1"/>
  <c r="BY356" i="17"/>
  <c r="BX356" i="17"/>
  <c r="CG356" i="17"/>
  <c r="CF356" i="17"/>
  <c r="BQ345" i="17" l="1"/>
  <c r="BR345" i="17"/>
  <c r="BK345" i="17"/>
  <c r="BF346" i="17" s="1"/>
  <c r="BH345" i="17"/>
  <c r="BS345" i="17" s="1"/>
  <c r="BJ345" i="17"/>
  <c r="BI345" i="17"/>
  <c r="AG384" i="17"/>
  <c r="AB385" i="17" s="1"/>
  <c r="CN384" i="17"/>
  <c r="AF384" i="17"/>
  <c r="CJ384" i="17"/>
  <c r="AL384" i="17"/>
  <c r="AJ384" i="17"/>
  <c r="AN384" i="17"/>
  <c r="AE384" i="17"/>
  <c r="AM384" i="17"/>
  <c r="AD384" i="17"/>
  <c r="AO384" i="17" s="1"/>
  <c r="CM384" i="17"/>
  <c r="CK384" i="17"/>
  <c r="AI384" i="17"/>
  <c r="AK384" i="17"/>
  <c r="AS357" i="17"/>
  <c r="BD357" i="17" s="1"/>
  <c r="BB357" i="17"/>
  <c r="AT357" i="17"/>
  <c r="AV357" i="17"/>
  <c r="AQ358" i="17" s="1"/>
  <c r="AY357" i="17"/>
  <c r="BC357" i="17"/>
  <c r="AU357" i="17"/>
  <c r="BA357" i="17"/>
  <c r="AX357" i="17"/>
  <c r="AZ357" i="17"/>
  <c r="BY357" i="17"/>
  <c r="BW357" i="17"/>
  <c r="CH357" i="17" s="1"/>
  <c r="BZ357" i="17"/>
  <c r="BU358" i="17" s="1"/>
  <c r="BX357" i="17"/>
  <c r="CG357" i="17"/>
  <c r="CF357" i="17"/>
  <c r="BH346" i="17" l="1"/>
  <c r="BS346" i="17" s="1"/>
  <c r="BJ346" i="17"/>
  <c r="BR346" i="17"/>
  <c r="BQ346" i="17"/>
  <c r="BI346" i="17"/>
  <c r="BK346" i="17"/>
  <c r="BF347" i="17" s="1"/>
  <c r="BZ358" i="17"/>
  <c r="BU359" i="17" s="1"/>
  <c r="BY358" i="17"/>
  <c r="BX358" i="17"/>
  <c r="BW358" i="17"/>
  <c r="CH358" i="17" s="1"/>
  <c r="CG358" i="17"/>
  <c r="CF358" i="17"/>
  <c r="AX358" i="17"/>
  <c r="BB358" i="17"/>
  <c r="AZ358" i="17"/>
  <c r="AT358" i="17"/>
  <c r="AY358" i="17"/>
  <c r="AS358" i="17"/>
  <c r="BD358" i="17" s="1"/>
  <c r="BC358" i="17"/>
  <c r="AV358" i="17"/>
  <c r="AQ359" i="17" s="1"/>
  <c r="AU358" i="17"/>
  <c r="BA358" i="17"/>
  <c r="CN385" i="17"/>
  <c r="AG385" i="17"/>
  <c r="AB386" i="17" s="1"/>
  <c r="AD385" i="17"/>
  <c r="AO385" i="17" s="1"/>
  <c r="AF385" i="17"/>
  <c r="CJ385" i="17"/>
  <c r="AL385" i="17"/>
  <c r="AJ385" i="17"/>
  <c r="AN385" i="17"/>
  <c r="AE385" i="17"/>
  <c r="AM385" i="17"/>
  <c r="CM385" i="17"/>
  <c r="CK385" i="17"/>
  <c r="AI385" i="17"/>
  <c r="AK385" i="17"/>
  <c r="BR347" i="17" l="1"/>
  <c r="BH347" i="17"/>
  <c r="BS347" i="17" s="1"/>
  <c r="BI347" i="17"/>
  <c r="BQ347" i="17"/>
  <c r="BJ347" i="17"/>
  <c r="BK347" i="17"/>
  <c r="BF348" i="17" s="1"/>
  <c r="CN386" i="17"/>
  <c r="AG386" i="17"/>
  <c r="AB387" i="17" s="1"/>
  <c r="AD386" i="17"/>
  <c r="AO386" i="17" s="1"/>
  <c r="AF386" i="17"/>
  <c r="CJ386" i="17"/>
  <c r="AL386" i="17"/>
  <c r="AJ386" i="17"/>
  <c r="AN386" i="17"/>
  <c r="AM386" i="17"/>
  <c r="AE386" i="17"/>
  <c r="AK386" i="17"/>
  <c r="CM386" i="17"/>
  <c r="AI386" i="17"/>
  <c r="CK386" i="17"/>
  <c r="BY359" i="17"/>
  <c r="BW359" i="17"/>
  <c r="CH359" i="17" s="1"/>
  <c r="BZ359" i="17"/>
  <c r="BU360" i="17" s="1"/>
  <c r="CF359" i="17"/>
  <c r="BX359" i="17"/>
  <c r="CG359" i="17"/>
  <c r="AS359" i="17"/>
  <c r="BD359" i="17" s="1"/>
  <c r="BA359" i="17"/>
  <c r="AV359" i="17"/>
  <c r="AQ360" i="17" s="1"/>
  <c r="BB359" i="17"/>
  <c r="AX359" i="17"/>
  <c r="AT359" i="17"/>
  <c r="AZ359" i="17"/>
  <c r="AY359" i="17"/>
  <c r="BC359" i="17"/>
  <c r="AU359" i="17"/>
  <c r="BR348" i="17" l="1"/>
  <c r="BQ348" i="17"/>
  <c r="BK348" i="17"/>
  <c r="BF349" i="17" s="1"/>
  <c r="BJ348" i="17"/>
  <c r="BI348" i="17"/>
  <c r="BH348" i="17"/>
  <c r="BS348" i="17" s="1"/>
  <c r="AU360" i="17"/>
  <c r="BA360" i="17"/>
  <c r="BB360" i="17"/>
  <c r="AS360" i="17"/>
  <c r="BD360" i="17" s="1"/>
  <c r="AT360" i="17"/>
  <c r="AZ360" i="17"/>
  <c r="AY360" i="17"/>
  <c r="AX360" i="17"/>
  <c r="AV360" i="17"/>
  <c r="AQ361" i="17" s="1"/>
  <c r="BC360" i="17"/>
  <c r="CN387" i="17"/>
  <c r="AG387" i="17"/>
  <c r="AB388" i="17" s="1"/>
  <c r="AF387" i="17"/>
  <c r="AD387" i="17"/>
  <c r="AO387" i="17" s="1"/>
  <c r="AE387" i="17"/>
  <c r="AM387" i="17"/>
  <c r="CJ387" i="17"/>
  <c r="AL387" i="17"/>
  <c r="AJ387" i="17"/>
  <c r="AN387" i="17"/>
  <c r="AK387" i="17"/>
  <c r="CM387" i="17"/>
  <c r="CK387" i="17"/>
  <c r="AI387" i="17"/>
  <c r="BZ360" i="17"/>
  <c r="BU361" i="17" s="1"/>
  <c r="BY360" i="17"/>
  <c r="BW360" i="17"/>
  <c r="CH360" i="17" s="1"/>
  <c r="CG360" i="17"/>
  <c r="CF360" i="17"/>
  <c r="BX360" i="17"/>
  <c r="BI349" i="17" l="1"/>
  <c r="BJ349" i="17"/>
  <c r="BR349" i="17"/>
  <c r="BQ349" i="17"/>
  <c r="BK349" i="17"/>
  <c r="BF350" i="17" s="1"/>
  <c r="BH349" i="17"/>
  <c r="BS349" i="17" s="1"/>
  <c r="AS361" i="17"/>
  <c r="BD361" i="17" s="1"/>
  <c r="AU361" i="17"/>
  <c r="AV361" i="17"/>
  <c r="AQ362" i="17" s="1"/>
  <c r="BA361" i="17"/>
  <c r="BB361" i="17"/>
  <c r="AT361" i="17"/>
  <c r="AY361" i="17"/>
  <c r="AX361" i="17"/>
  <c r="BC361" i="17"/>
  <c r="AZ361" i="17"/>
  <c r="BW361" i="17"/>
  <c r="CH361" i="17" s="1"/>
  <c r="BY361" i="17"/>
  <c r="BZ361" i="17"/>
  <c r="BU362" i="17" s="1"/>
  <c r="CG361" i="17"/>
  <c r="CF361" i="17"/>
  <c r="BX361" i="17"/>
  <c r="CN388" i="17"/>
  <c r="AG388" i="17"/>
  <c r="AB389" i="17" s="1"/>
  <c r="AF388" i="17"/>
  <c r="AD388" i="17"/>
  <c r="AO388" i="17" s="1"/>
  <c r="AE388" i="17"/>
  <c r="AM388" i="17"/>
  <c r="CJ388" i="17"/>
  <c r="AL388" i="17"/>
  <c r="AJ388" i="17"/>
  <c r="AN388" i="17"/>
  <c r="CM388" i="17"/>
  <c r="CK388" i="17"/>
  <c r="AK388" i="17"/>
  <c r="AI388" i="17"/>
  <c r="BQ350" i="17" l="1"/>
  <c r="BK350" i="17"/>
  <c r="BF351" i="17" s="1"/>
  <c r="BJ350" i="17"/>
  <c r="BR350" i="17"/>
  <c r="BH350" i="17"/>
  <c r="BS350" i="17" s="1"/>
  <c r="BI350" i="17"/>
  <c r="BZ362" i="17"/>
  <c r="BU363" i="17" s="1"/>
  <c r="BX362" i="17"/>
  <c r="BY362" i="17"/>
  <c r="BW362" i="17"/>
  <c r="CH362" i="17" s="1"/>
  <c r="CG362" i="17"/>
  <c r="CF362" i="17"/>
  <c r="BC362" i="17"/>
  <c r="AX362" i="17"/>
  <c r="AZ362" i="17"/>
  <c r="AU362" i="17"/>
  <c r="BA362" i="17"/>
  <c r="AS362" i="17"/>
  <c r="BD362" i="17" s="1"/>
  <c r="BB362" i="17"/>
  <c r="AV362" i="17"/>
  <c r="AQ363" i="17" s="1"/>
  <c r="AT362" i="17"/>
  <c r="AY362" i="17"/>
  <c r="CN389" i="17"/>
  <c r="AD389" i="17"/>
  <c r="AO389" i="17" s="1"/>
  <c r="AF389" i="17"/>
  <c r="AJ389" i="17"/>
  <c r="AN389" i="17"/>
  <c r="AE389" i="17"/>
  <c r="AM389" i="17"/>
  <c r="AG389" i="17"/>
  <c r="AB390" i="17" s="1"/>
  <c r="CJ389" i="17"/>
  <c r="AL389" i="17"/>
  <c r="AI389" i="17"/>
  <c r="CK389" i="17"/>
  <c r="AK389" i="17"/>
  <c r="CM389" i="17"/>
  <c r="BJ351" i="17" l="1"/>
  <c r="BI351" i="17"/>
  <c r="BQ351" i="17"/>
  <c r="BR351" i="17"/>
  <c r="BK351" i="17"/>
  <c r="BF352" i="17" s="1"/>
  <c r="BH351" i="17"/>
  <c r="BS351" i="17" s="1"/>
  <c r="AS363" i="17"/>
  <c r="BD363" i="17" s="1"/>
  <c r="AY363" i="17"/>
  <c r="BC363" i="17"/>
  <c r="AV363" i="17"/>
  <c r="AQ364" i="17" s="1"/>
  <c r="AZ363" i="17"/>
  <c r="AU363" i="17"/>
  <c r="AX363" i="17"/>
  <c r="BA363" i="17"/>
  <c r="BB363" i="17"/>
  <c r="AT363" i="17"/>
  <c r="CN390" i="17"/>
  <c r="AG390" i="17"/>
  <c r="AB391" i="17" s="1"/>
  <c r="AD390" i="17"/>
  <c r="AO390" i="17" s="1"/>
  <c r="AF390" i="17"/>
  <c r="AL390" i="17"/>
  <c r="AJ390" i="17"/>
  <c r="AN390" i="17"/>
  <c r="AE390" i="17"/>
  <c r="AM390" i="17"/>
  <c r="CJ390" i="17"/>
  <c r="AI390" i="17"/>
  <c r="CK390" i="17"/>
  <c r="AK390" i="17"/>
  <c r="CM390" i="17"/>
  <c r="BW363" i="17"/>
  <c r="CH363" i="17" s="1"/>
  <c r="BZ363" i="17"/>
  <c r="BU364" i="17" s="1"/>
  <c r="BY363" i="17"/>
  <c r="CG363" i="17"/>
  <c r="CF363" i="17"/>
  <c r="BX363" i="17"/>
  <c r="BQ352" i="17" l="1"/>
  <c r="BR352" i="17"/>
  <c r="BK352" i="17"/>
  <c r="BF353" i="17" s="1"/>
  <c r="BJ352" i="17"/>
  <c r="BI352" i="17"/>
  <c r="BH352" i="17"/>
  <c r="BS352" i="17" s="1"/>
  <c r="BZ364" i="17"/>
  <c r="BU365" i="17" s="1"/>
  <c r="BW364" i="17"/>
  <c r="CH364" i="17" s="1"/>
  <c r="BY364" i="17"/>
  <c r="BX364" i="17"/>
  <c r="CG364" i="17"/>
  <c r="CF364" i="17"/>
  <c r="CN391" i="17"/>
  <c r="AG391" i="17"/>
  <c r="AB392" i="17" s="1"/>
  <c r="AF391" i="17"/>
  <c r="AD391" i="17"/>
  <c r="AO391" i="17" s="1"/>
  <c r="AL391" i="17"/>
  <c r="AJ391" i="17"/>
  <c r="AN391" i="17"/>
  <c r="AE391" i="17"/>
  <c r="AM391" i="17"/>
  <c r="CJ391" i="17"/>
  <c r="AI391" i="17"/>
  <c r="AK391" i="17"/>
  <c r="CK391" i="17"/>
  <c r="CM391" i="17"/>
  <c r="AT364" i="17"/>
  <c r="AY364" i="17"/>
  <c r="BC364" i="17"/>
  <c r="AS364" i="17"/>
  <c r="BD364" i="17" s="1"/>
  <c r="AU364" i="17"/>
  <c r="AX364" i="17"/>
  <c r="BA364" i="17"/>
  <c r="AZ364" i="17"/>
  <c r="AV364" i="17"/>
  <c r="AQ365" i="17" s="1"/>
  <c r="BB364" i="17"/>
  <c r="BJ353" i="17" l="1"/>
  <c r="BK353" i="17"/>
  <c r="BF354" i="17" s="1"/>
  <c r="BI353" i="17"/>
  <c r="BQ353" i="17"/>
  <c r="BR353" i="17"/>
  <c r="BH353" i="17"/>
  <c r="BS353" i="17" s="1"/>
  <c r="AG392" i="17"/>
  <c r="AB393" i="17" s="1"/>
  <c r="CN392" i="17"/>
  <c r="AF392" i="17"/>
  <c r="CJ392" i="17"/>
  <c r="AL392" i="17"/>
  <c r="AD392" i="17"/>
  <c r="AO392" i="17" s="1"/>
  <c r="AJ392" i="17"/>
  <c r="AN392" i="17"/>
  <c r="AE392" i="17"/>
  <c r="AM392" i="17"/>
  <c r="CK392" i="17"/>
  <c r="CM392" i="17"/>
  <c r="AI392" i="17"/>
  <c r="AK392" i="17"/>
  <c r="AS365" i="17"/>
  <c r="BD365" i="17" s="1"/>
  <c r="BB365" i="17"/>
  <c r="AT365" i="17"/>
  <c r="AV365" i="17"/>
  <c r="AQ366" i="17" s="1"/>
  <c r="AY365" i="17"/>
  <c r="BC365" i="17"/>
  <c r="AU365" i="17"/>
  <c r="BA365" i="17"/>
  <c r="AZ365" i="17"/>
  <c r="AX365" i="17"/>
  <c r="BY365" i="17"/>
  <c r="BW365" i="17"/>
  <c r="CH365" i="17" s="1"/>
  <c r="BZ365" i="17"/>
  <c r="BU366" i="17" s="1"/>
  <c r="BX365" i="17"/>
  <c r="CG365" i="17"/>
  <c r="CF365" i="17"/>
  <c r="BR354" i="17" l="1"/>
  <c r="BQ354" i="17"/>
  <c r="BK354" i="17"/>
  <c r="BF355" i="17" s="1"/>
  <c r="BJ354" i="17"/>
  <c r="BI354" i="17"/>
  <c r="BH354" i="17"/>
  <c r="BS354" i="17" s="1"/>
  <c r="AZ366" i="17"/>
  <c r="BB366" i="17"/>
  <c r="AX366" i="17"/>
  <c r="AT366" i="17"/>
  <c r="AY366" i="17"/>
  <c r="AS366" i="17"/>
  <c r="BD366" i="17" s="1"/>
  <c r="BC366" i="17"/>
  <c r="AV366" i="17"/>
  <c r="AQ367" i="17" s="1"/>
  <c r="AU366" i="17"/>
  <c r="BA366" i="17"/>
  <c r="BZ366" i="17"/>
  <c r="BU367" i="17" s="1"/>
  <c r="BY366" i="17"/>
  <c r="BX366" i="17"/>
  <c r="BW366" i="17"/>
  <c r="CH366" i="17" s="1"/>
  <c r="CG366" i="17"/>
  <c r="CF366" i="17"/>
  <c r="CN393" i="17"/>
  <c r="AG393" i="17"/>
  <c r="AB394" i="17" s="1"/>
  <c r="AD393" i="17"/>
  <c r="AO393" i="17" s="1"/>
  <c r="CK393" i="17"/>
  <c r="CJ393" i="17"/>
  <c r="AI393" i="17"/>
  <c r="AF393" i="17"/>
  <c r="AL393" i="17"/>
  <c r="AJ393" i="17"/>
  <c r="AN393" i="17"/>
  <c r="AE393" i="17"/>
  <c r="AM393" i="17"/>
  <c r="AK393" i="17"/>
  <c r="CM393" i="17"/>
  <c r="BR355" i="17" l="1"/>
  <c r="BQ355" i="17"/>
  <c r="BH355" i="17"/>
  <c r="BS355" i="17" s="1"/>
  <c r="BK355" i="17"/>
  <c r="BF356" i="17" s="1"/>
  <c r="BJ355" i="17"/>
  <c r="BI355" i="17"/>
  <c r="CN394" i="17"/>
  <c r="AG394" i="17"/>
  <c r="AB395" i="17" s="1"/>
  <c r="AD394" i="17"/>
  <c r="AO394" i="17" s="1"/>
  <c r="CJ394" i="17"/>
  <c r="AI394" i="17"/>
  <c r="AF394" i="17"/>
  <c r="CM394" i="17"/>
  <c r="AL394" i="17"/>
  <c r="AK394" i="17"/>
  <c r="AJ394" i="17"/>
  <c r="AN394" i="17"/>
  <c r="CK394" i="17"/>
  <c r="AM394" i="17"/>
  <c r="AE394" i="17"/>
  <c r="AS367" i="17"/>
  <c r="BD367" i="17" s="1"/>
  <c r="BA367" i="17"/>
  <c r="AV367" i="17"/>
  <c r="AQ368" i="17" s="1"/>
  <c r="BB367" i="17"/>
  <c r="AX367" i="17"/>
  <c r="AT367" i="17"/>
  <c r="AZ367" i="17"/>
  <c r="AY367" i="17"/>
  <c r="BC367" i="17"/>
  <c r="AU367" i="17"/>
  <c r="BY367" i="17"/>
  <c r="BW367" i="17"/>
  <c r="CH367" i="17" s="1"/>
  <c r="BZ367" i="17"/>
  <c r="BU368" i="17" s="1"/>
  <c r="CF367" i="17"/>
  <c r="BX367" i="17"/>
  <c r="CG367" i="17"/>
  <c r="BJ356" i="17" l="1"/>
  <c r="BH356" i="17"/>
  <c r="BS356" i="17" s="1"/>
  <c r="BR356" i="17"/>
  <c r="BQ356" i="17"/>
  <c r="BI356" i="17"/>
  <c r="BK356" i="17"/>
  <c r="BF357" i="17" s="1"/>
  <c r="CN395" i="17"/>
  <c r="CN25" i="17" s="1"/>
  <c r="AF395" i="17"/>
  <c r="AF25" i="17" s="1"/>
  <c r="J6" i="17" s="1"/>
  <c r="AD395" i="17"/>
  <c r="AE395" i="17"/>
  <c r="AE25" i="17" s="1"/>
  <c r="O6" i="17" s="1"/>
  <c r="Q6" i="17" s="1"/>
  <c r="AM395" i="17"/>
  <c r="AM25" i="17" s="1"/>
  <c r="CK395" i="17"/>
  <c r="AG395" i="17"/>
  <c r="AI395" i="17"/>
  <c r="AK395" i="17"/>
  <c r="CJ395" i="17"/>
  <c r="S10" i="17" s="1"/>
  <c r="T10" i="17" s="1"/>
  <c r="AL395" i="17"/>
  <c r="AL25" i="17" s="1"/>
  <c r="L6" i="17" s="1"/>
  <c r="AJ395" i="17"/>
  <c r="AJ25" i="17" s="1"/>
  <c r="AK25" i="17" s="1"/>
  <c r="CM395" i="17"/>
  <c r="AN395" i="17"/>
  <c r="AN25" i="17" s="1"/>
  <c r="S6" i="17"/>
  <c r="T6" i="17" s="1"/>
  <c r="BZ368" i="17"/>
  <c r="BU369" i="17" s="1"/>
  <c r="BY368" i="17"/>
  <c r="BW368" i="17"/>
  <c r="CH368" i="17" s="1"/>
  <c r="CG368" i="17"/>
  <c r="CF368" i="17"/>
  <c r="BX368" i="17"/>
  <c r="AU368" i="17"/>
  <c r="BA368" i="17"/>
  <c r="BB368" i="17"/>
  <c r="AS368" i="17"/>
  <c r="BD368" i="17" s="1"/>
  <c r="AT368" i="17"/>
  <c r="AX368" i="17"/>
  <c r="AY368" i="17"/>
  <c r="AZ368" i="17"/>
  <c r="AV368" i="17"/>
  <c r="AQ369" i="17" s="1"/>
  <c r="BC368" i="17"/>
  <c r="BR357" i="17" l="1"/>
  <c r="BQ357" i="17"/>
  <c r="BH357" i="17"/>
  <c r="BS357" i="17" s="1"/>
  <c r="BK357" i="17"/>
  <c r="BF358" i="17" s="1"/>
  <c r="BI357" i="17"/>
  <c r="BJ357" i="17"/>
  <c r="BW369" i="17"/>
  <c r="CH369" i="17" s="1"/>
  <c r="BY369" i="17"/>
  <c r="BZ369" i="17"/>
  <c r="BU370" i="17" s="1"/>
  <c r="CG369" i="17"/>
  <c r="CF369" i="17"/>
  <c r="BX369" i="17"/>
  <c r="AO395" i="17"/>
  <c r="AO25" i="17" s="1"/>
  <c r="K6" i="17" s="1"/>
  <c r="N6" i="17" s="1"/>
  <c r="R6" i="17" s="1"/>
  <c r="AD25" i="17"/>
  <c r="AS369" i="17"/>
  <c r="BD369" i="17" s="1"/>
  <c r="AU369" i="17"/>
  <c r="AV369" i="17"/>
  <c r="AQ370" i="17" s="1"/>
  <c r="BA369" i="17"/>
  <c r="BB369" i="17"/>
  <c r="AT369" i="17"/>
  <c r="AY369" i="17"/>
  <c r="AZ369" i="17"/>
  <c r="BC369" i="17"/>
  <c r="AX369" i="17"/>
  <c r="CM25" i="17"/>
  <c r="L10" i="17"/>
  <c r="N10" i="17" s="1"/>
  <c r="R10" i="17" s="1"/>
  <c r="BQ358" i="17" l="1"/>
  <c r="BR358" i="17"/>
  <c r="BH358" i="17"/>
  <c r="BS358" i="17" s="1"/>
  <c r="BK358" i="17"/>
  <c r="BF359" i="17" s="1"/>
  <c r="BJ358" i="17"/>
  <c r="BI358" i="17"/>
  <c r="BZ370" i="17"/>
  <c r="BU371" i="17" s="1"/>
  <c r="BX370" i="17"/>
  <c r="BY370" i="17"/>
  <c r="BW370" i="17"/>
  <c r="CH370" i="17" s="1"/>
  <c r="CG370" i="17"/>
  <c r="CF370" i="17"/>
  <c r="BC370" i="17"/>
  <c r="AX370" i="17"/>
  <c r="AZ370" i="17"/>
  <c r="AU370" i="17"/>
  <c r="BA370" i="17"/>
  <c r="AS370" i="17"/>
  <c r="BD370" i="17" s="1"/>
  <c r="BB370" i="17"/>
  <c r="AV370" i="17"/>
  <c r="AQ371" i="17" s="1"/>
  <c r="AT370" i="17"/>
  <c r="AY370" i="17"/>
  <c r="BJ359" i="17" l="1"/>
  <c r="BI359" i="17"/>
  <c r="BK359" i="17"/>
  <c r="BF360" i="17" s="1"/>
  <c r="BQ359" i="17"/>
  <c r="BR359" i="17"/>
  <c r="BH359" i="17"/>
  <c r="BS359" i="17" s="1"/>
  <c r="BW371" i="17"/>
  <c r="CH371" i="17" s="1"/>
  <c r="BZ371" i="17"/>
  <c r="BU372" i="17" s="1"/>
  <c r="BY371" i="17"/>
  <c r="CG371" i="17"/>
  <c r="CF371" i="17"/>
  <c r="BX371" i="17"/>
  <c r="AS371" i="17"/>
  <c r="BD371" i="17" s="1"/>
  <c r="AY371" i="17"/>
  <c r="BC371" i="17"/>
  <c r="AV371" i="17"/>
  <c r="AQ372" i="17" s="1"/>
  <c r="AZ371" i="17"/>
  <c r="AU371" i="17"/>
  <c r="AX371" i="17"/>
  <c r="BA371" i="17"/>
  <c r="BB371" i="17"/>
  <c r="AT371" i="17"/>
  <c r="BJ360" i="17" l="1"/>
  <c r="BR360" i="17"/>
  <c r="BI360" i="17"/>
  <c r="BQ360" i="17"/>
  <c r="BK360" i="17"/>
  <c r="BF361" i="17" s="1"/>
  <c r="BH360" i="17"/>
  <c r="BS360" i="17" s="1"/>
  <c r="AT372" i="17"/>
  <c r="AY372" i="17"/>
  <c r="BC372" i="17"/>
  <c r="AS372" i="17"/>
  <c r="BD372" i="17" s="1"/>
  <c r="AU372" i="17"/>
  <c r="AZ372" i="17"/>
  <c r="BA372" i="17"/>
  <c r="AX372" i="17"/>
  <c r="AV372" i="17"/>
  <c r="AQ373" i="17" s="1"/>
  <c r="BB372" i="17"/>
  <c r="BZ372" i="17"/>
  <c r="BU373" i="17" s="1"/>
  <c r="BW372" i="17"/>
  <c r="CH372" i="17" s="1"/>
  <c r="BY372" i="17"/>
  <c r="CG372" i="17"/>
  <c r="CF372" i="17"/>
  <c r="BX372" i="17"/>
  <c r="BR361" i="17" l="1"/>
  <c r="BH361" i="17"/>
  <c r="BS361" i="17" s="1"/>
  <c r="BK361" i="17"/>
  <c r="BF362" i="17" s="1"/>
  <c r="BQ361" i="17"/>
  <c r="BJ361" i="17"/>
  <c r="BI361" i="17"/>
  <c r="BY373" i="17"/>
  <c r="BW373" i="17"/>
  <c r="CH373" i="17" s="1"/>
  <c r="BZ373" i="17"/>
  <c r="BU374" i="17" s="1"/>
  <c r="CG373" i="17"/>
  <c r="CF373" i="17"/>
  <c r="BX373" i="17"/>
  <c r="AS373" i="17"/>
  <c r="BD373" i="17" s="1"/>
  <c r="BB373" i="17"/>
  <c r="AT373" i="17"/>
  <c r="AV373" i="17"/>
  <c r="AQ374" i="17" s="1"/>
  <c r="AY373" i="17"/>
  <c r="BC373" i="17"/>
  <c r="AU373" i="17"/>
  <c r="BA373" i="17"/>
  <c r="AZ373" i="17"/>
  <c r="AX373" i="17"/>
  <c r="BR362" i="17" l="1"/>
  <c r="BQ362" i="17"/>
  <c r="BJ362" i="17"/>
  <c r="BK362" i="17"/>
  <c r="BF363" i="17" s="1"/>
  <c r="BI362" i="17"/>
  <c r="BH362" i="17"/>
  <c r="BS362" i="17" s="1"/>
  <c r="AZ374" i="17"/>
  <c r="BB374" i="17"/>
  <c r="AX374" i="17"/>
  <c r="AT374" i="17"/>
  <c r="AY374" i="17"/>
  <c r="AS374" i="17"/>
  <c r="BD374" i="17" s="1"/>
  <c r="BC374" i="17"/>
  <c r="AV374" i="17"/>
  <c r="AQ375" i="17" s="1"/>
  <c r="AU374" i="17"/>
  <c r="BA374" i="17"/>
  <c r="BZ374" i="17"/>
  <c r="BU375" i="17" s="1"/>
  <c r="BY374" i="17"/>
  <c r="BX374" i="17"/>
  <c r="BW374" i="17"/>
  <c r="CH374" i="17" s="1"/>
  <c r="CG374" i="17"/>
  <c r="CF374" i="17"/>
  <c r="BI363" i="17" l="1"/>
  <c r="BJ363" i="17"/>
  <c r="BR363" i="17"/>
  <c r="BQ363" i="17"/>
  <c r="BK363" i="17"/>
  <c r="BF364" i="17" s="1"/>
  <c r="BH363" i="17"/>
  <c r="BS363" i="17" s="1"/>
  <c r="AS375" i="17"/>
  <c r="BD375" i="17" s="1"/>
  <c r="BA375" i="17"/>
  <c r="AV375" i="17"/>
  <c r="AQ376" i="17" s="1"/>
  <c r="BB375" i="17"/>
  <c r="AX375" i="17"/>
  <c r="AT375" i="17"/>
  <c r="AZ375" i="17"/>
  <c r="AY375" i="17"/>
  <c r="BC375" i="17"/>
  <c r="AU375" i="17"/>
  <c r="BY375" i="17"/>
  <c r="BW375" i="17"/>
  <c r="CH375" i="17" s="1"/>
  <c r="BZ375" i="17"/>
  <c r="BU376" i="17" s="1"/>
  <c r="BX375" i="17"/>
  <c r="CF375" i="17"/>
  <c r="CG375" i="17"/>
  <c r="BH364" i="17" l="1"/>
  <c r="BS364" i="17" s="1"/>
  <c r="BJ364" i="17"/>
  <c r="BR364" i="17"/>
  <c r="BQ364" i="17"/>
  <c r="BK364" i="17"/>
  <c r="BF365" i="17" s="1"/>
  <c r="BI364" i="17"/>
  <c r="AU376" i="17"/>
  <c r="BA376" i="17"/>
  <c r="BB376" i="17"/>
  <c r="AS376" i="17"/>
  <c r="BD376" i="17" s="1"/>
  <c r="AT376" i="17"/>
  <c r="AX376" i="17"/>
  <c r="AY376" i="17"/>
  <c r="AZ376" i="17"/>
  <c r="AV376" i="17"/>
  <c r="AQ377" i="17" s="1"/>
  <c r="BC376" i="17"/>
  <c r="BZ376" i="17"/>
  <c r="BU377" i="17" s="1"/>
  <c r="BY376" i="17"/>
  <c r="BW376" i="17"/>
  <c r="CH376" i="17" s="1"/>
  <c r="CG376" i="17"/>
  <c r="BX376" i="17"/>
  <c r="CF376" i="17"/>
  <c r="BI365" i="17" l="1"/>
  <c r="BJ365" i="17"/>
  <c r="BR365" i="17"/>
  <c r="BQ365" i="17"/>
  <c r="BH365" i="17"/>
  <c r="BS365" i="17" s="1"/>
  <c r="BK365" i="17"/>
  <c r="BF366" i="17" s="1"/>
  <c r="BW377" i="17"/>
  <c r="CH377" i="17" s="1"/>
  <c r="BY377" i="17"/>
  <c r="BZ377" i="17"/>
  <c r="BU378" i="17" s="1"/>
  <c r="CG377" i="17"/>
  <c r="BX377" i="17"/>
  <c r="CF377" i="17"/>
  <c r="AS377" i="17"/>
  <c r="BD377" i="17" s="1"/>
  <c r="AU377" i="17"/>
  <c r="AV377" i="17"/>
  <c r="AQ378" i="17" s="1"/>
  <c r="BA377" i="17"/>
  <c r="BB377" i="17"/>
  <c r="AT377" i="17"/>
  <c r="AY377" i="17"/>
  <c r="AX377" i="17"/>
  <c r="BC377" i="17"/>
  <c r="AZ377" i="17"/>
  <c r="BQ366" i="17" l="1"/>
  <c r="BR366" i="17"/>
  <c r="BI366" i="17"/>
  <c r="BK366" i="17"/>
  <c r="BF367" i="17" s="1"/>
  <c r="BJ366" i="17"/>
  <c r="BH366" i="17"/>
  <c r="BS366" i="17" s="1"/>
  <c r="BC378" i="17"/>
  <c r="AZ378" i="17"/>
  <c r="AX378" i="17"/>
  <c r="AU378" i="17"/>
  <c r="BA378" i="17"/>
  <c r="AS378" i="17"/>
  <c r="BD378" i="17" s="1"/>
  <c r="BB378" i="17"/>
  <c r="AV378" i="17"/>
  <c r="AQ379" i="17" s="1"/>
  <c r="AT378" i="17"/>
  <c r="AY378" i="17"/>
  <c r="BZ378" i="17"/>
  <c r="BU379" i="17" s="1"/>
  <c r="BX378" i="17"/>
  <c r="BY378" i="17"/>
  <c r="BW378" i="17"/>
  <c r="CH378" i="17" s="1"/>
  <c r="CG378" i="17"/>
  <c r="CF378" i="17"/>
  <c r="BH367" i="17" l="1"/>
  <c r="BS367" i="17" s="1"/>
  <c r="BI367" i="17"/>
  <c r="BQ367" i="17"/>
  <c r="BK367" i="17"/>
  <c r="BF368" i="17" s="1"/>
  <c r="BR367" i="17"/>
  <c r="BJ367" i="17"/>
  <c r="AS379" i="17"/>
  <c r="BD379" i="17" s="1"/>
  <c r="AY379" i="17"/>
  <c r="BC379" i="17"/>
  <c r="AV379" i="17"/>
  <c r="AQ380" i="17" s="1"/>
  <c r="AZ379" i="17"/>
  <c r="AU379" i="17"/>
  <c r="AX379" i="17"/>
  <c r="BA379" i="17"/>
  <c r="BB379" i="17"/>
  <c r="AT379" i="17"/>
  <c r="BW379" i="17"/>
  <c r="CH379" i="17" s="1"/>
  <c r="BZ379" i="17"/>
  <c r="BU380" i="17" s="1"/>
  <c r="BY379" i="17"/>
  <c r="BX379" i="17"/>
  <c r="CG379" i="17"/>
  <c r="CF379" i="17"/>
  <c r="BK368" i="17" l="1"/>
  <c r="BF369" i="17" s="1"/>
  <c r="BJ368" i="17"/>
  <c r="BI368" i="17"/>
  <c r="BH368" i="17"/>
  <c r="BS368" i="17" s="1"/>
  <c r="BQ368" i="17"/>
  <c r="BR368" i="17"/>
  <c r="AT380" i="17"/>
  <c r="AY380" i="17"/>
  <c r="BC380" i="17"/>
  <c r="AS380" i="17"/>
  <c r="BD380" i="17" s="1"/>
  <c r="AU380" i="17"/>
  <c r="AZ380" i="17"/>
  <c r="BA380" i="17"/>
  <c r="AX380" i="17"/>
  <c r="AV380" i="17"/>
  <c r="AQ381" i="17" s="1"/>
  <c r="BB380" i="17"/>
  <c r="BZ380" i="17"/>
  <c r="BU381" i="17" s="1"/>
  <c r="BW380" i="17"/>
  <c r="CH380" i="17" s="1"/>
  <c r="BY380" i="17"/>
  <c r="BX380" i="17"/>
  <c r="CG380" i="17"/>
  <c r="CF380" i="17"/>
  <c r="BH369" i="17" l="1"/>
  <c r="BS369" i="17" s="1"/>
  <c r="BR369" i="17"/>
  <c r="BK369" i="17"/>
  <c r="BF370" i="17" s="1"/>
  <c r="BI369" i="17"/>
  <c r="BJ369" i="17"/>
  <c r="BQ369" i="17"/>
  <c r="BY381" i="17"/>
  <c r="BW381" i="17"/>
  <c r="CH381" i="17" s="1"/>
  <c r="BZ381" i="17"/>
  <c r="BU382" i="17" s="1"/>
  <c r="BX381" i="17"/>
  <c r="CG381" i="17"/>
  <c r="CF381" i="17"/>
  <c r="AS381" i="17"/>
  <c r="BD381" i="17" s="1"/>
  <c r="BB381" i="17"/>
  <c r="AT381" i="17"/>
  <c r="AV381" i="17"/>
  <c r="AQ382" i="17" s="1"/>
  <c r="AY381" i="17"/>
  <c r="BC381" i="17"/>
  <c r="AU381" i="17"/>
  <c r="BA381" i="17"/>
  <c r="AZ381" i="17"/>
  <c r="AX381" i="17"/>
  <c r="BJ370" i="17" l="1"/>
  <c r="BI370" i="17"/>
  <c r="BH370" i="17"/>
  <c r="BS370" i="17" s="1"/>
  <c r="BQ370" i="17"/>
  <c r="BR370" i="17"/>
  <c r="BK370" i="17"/>
  <c r="BF371" i="17" s="1"/>
  <c r="AX382" i="17"/>
  <c r="BB382" i="17"/>
  <c r="AZ382" i="17"/>
  <c r="AT382" i="17"/>
  <c r="AY382" i="17"/>
  <c r="AS382" i="17"/>
  <c r="BD382" i="17" s="1"/>
  <c r="BC382" i="17"/>
  <c r="AV382" i="17"/>
  <c r="AQ383" i="17" s="1"/>
  <c r="AU382" i="17"/>
  <c r="BA382" i="17"/>
  <c r="BZ382" i="17"/>
  <c r="BU383" i="17" s="1"/>
  <c r="BY382" i="17"/>
  <c r="BX382" i="17"/>
  <c r="BW382" i="17"/>
  <c r="CH382" i="17" s="1"/>
  <c r="CG382" i="17"/>
  <c r="CF382" i="17"/>
  <c r="BI371" i="17" l="1"/>
  <c r="BQ371" i="17"/>
  <c r="BH371" i="17"/>
  <c r="BS371" i="17" s="1"/>
  <c r="BK371" i="17"/>
  <c r="BF372" i="17" s="1"/>
  <c r="BJ371" i="17"/>
  <c r="BR371" i="17"/>
  <c r="AS383" i="17"/>
  <c r="BD383" i="17" s="1"/>
  <c r="BA383" i="17"/>
  <c r="AV383" i="17"/>
  <c r="AQ384" i="17" s="1"/>
  <c r="BB383" i="17"/>
  <c r="AX383" i="17"/>
  <c r="AT383" i="17"/>
  <c r="AZ383" i="17"/>
  <c r="AY383" i="17"/>
  <c r="BC383" i="17"/>
  <c r="AU383" i="17"/>
  <c r="BY383" i="17"/>
  <c r="BW383" i="17"/>
  <c r="CH383" i="17" s="1"/>
  <c r="BZ383" i="17"/>
  <c r="BU384" i="17" s="1"/>
  <c r="CF383" i="17"/>
  <c r="BX383" i="17"/>
  <c r="CG383" i="17"/>
  <c r="BK372" i="17" l="1"/>
  <c r="BF373" i="17" s="1"/>
  <c r="BI372" i="17"/>
  <c r="BH372" i="17"/>
  <c r="BS372" i="17" s="1"/>
  <c r="BR372" i="17"/>
  <c r="BQ372" i="17"/>
  <c r="BJ372" i="17"/>
  <c r="AU384" i="17"/>
  <c r="BA384" i="17"/>
  <c r="BB384" i="17"/>
  <c r="AS384" i="17"/>
  <c r="BD384" i="17" s="1"/>
  <c r="AT384" i="17"/>
  <c r="AX384" i="17"/>
  <c r="AY384" i="17"/>
  <c r="AZ384" i="17"/>
  <c r="AV384" i="17"/>
  <c r="AQ385" i="17" s="1"/>
  <c r="BC384" i="17"/>
  <c r="BZ384" i="17"/>
  <c r="BU385" i="17" s="1"/>
  <c r="BY384" i="17"/>
  <c r="BW384" i="17"/>
  <c r="CH384" i="17" s="1"/>
  <c r="CG384" i="17"/>
  <c r="CF384" i="17"/>
  <c r="BX384" i="17"/>
  <c r="BH373" i="17" l="1"/>
  <c r="BS373" i="17" s="1"/>
  <c r="BK373" i="17"/>
  <c r="BF374" i="17" s="1"/>
  <c r="BJ373" i="17"/>
  <c r="BI373" i="17"/>
  <c r="BR373" i="17"/>
  <c r="BQ373" i="17"/>
  <c r="BW385" i="17"/>
  <c r="CH385" i="17" s="1"/>
  <c r="BY385" i="17"/>
  <c r="BZ385" i="17"/>
  <c r="BU386" i="17" s="1"/>
  <c r="BX385" i="17"/>
  <c r="CG385" i="17"/>
  <c r="CF385" i="17"/>
  <c r="AS385" i="17"/>
  <c r="BD385" i="17" s="1"/>
  <c r="AU385" i="17"/>
  <c r="AV385" i="17"/>
  <c r="AQ386" i="17" s="1"/>
  <c r="BA385" i="17"/>
  <c r="BB385" i="17"/>
  <c r="AT385" i="17"/>
  <c r="AY385" i="17"/>
  <c r="AZ385" i="17"/>
  <c r="BC385" i="17"/>
  <c r="AX385" i="17"/>
  <c r="BJ374" i="17" l="1"/>
  <c r="BI374" i="17"/>
  <c r="BQ374" i="17"/>
  <c r="BH374" i="17"/>
  <c r="BS374" i="17" s="1"/>
  <c r="BR374" i="17"/>
  <c r="BK374" i="17"/>
  <c r="BF375" i="17" s="1"/>
  <c r="BZ386" i="17"/>
  <c r="BU387" i="17" s="1"/>
  <c r="BX386" i="17"/>
  <c r="BY386" i="17"/>
  <c r="BW386" i="17"/>
  <c r="CH386" i="17" s="1"/>
  <c r="CG386" i="17"/>
  <c r="CF386" i="17"/>
  <c r="BC386" i="17"/>
  <c r="AZ386" i="17"/>
  <c r="AX386" i="17"/>
  <c r="AU386" i="17"/>
  <c r="BA386" i="17"/>
  <c r="AS386" i="17"/>
  <c r="BD386" i="17" s="1"/>
  <c r="BB386" i="17"/>
  <c r="AV386" i="17"/>
  <c r="AQ387" i="17" s="1"/>
  <c r="AT386" i="17"/>
  <c r="AY386" i="17"/>
  <c r="BJ375" i="17" l="1"/>
  <c r="BI375" i="17"/>
  <c r="BQ375" i="17"/>
  <c r="BR375" i="17"/>
  <c r="BH375" i="17"/>
  <c r="BS375" i="17" s="1"/>
  <c r="BK375" i="17"/>
  <c r="BF376" i="17" s="1"/>
  <c r="BW387" i="17"/>
  <c r="CH387" i="17" s="1"/>
  <c r="BZ387" i="17"/>
  <c r="BU388" i="17" s="1"/>
  <c r="BY387" i="17"/>
  <c r="BX387" i="17"/>
  <c r="CG387" i="17"/>
  <c r="CF387" i="17"/>
  <c r="AS387" i="17"/>
  <c r="BD387" i="17" s="1"/>
  <c r="AY387" i="17"/>
  <c r="BC387" i="17"/>
  <c r="AV387" i="17"/>
  <c r="AQ388" i="17" s="1"/>
  <c r="AZ387" i="17"/>
  <c r="AU387" i="17"/>
  <c r="AX387" i="17"/>
  <c r="BA387" i="17"/>
  <c r="BB387" i="17"/>
  <c r="AT387" i="17"/>
  <c r="BK376" i="17" l="1"/>
  <c r="BF377" i="17" s="1"/>
  <c r="BH376" i="17"/>
  <c r="BS376" i="17" s="1"/>
  <c r="BJ376" i="17"/>
  <c r="BI376" i="17"/>
  <c r="BQ376" i="17"/>
  <c r="BR376" i="17"/>
  <c r="AT388" i="17"/>
  <c r="AY388" i="17"/>
  <c r="BC388" i="17"/>
  <c r="AS388" i="17"/>
  <c r="BD388" i="17" s="1"/>
  <c r="AU388" i="17"/>
  <c r="AX388" i="17"/>
  <c r="BA388" i="17"/>
  <c r="AZ388" i="17"/>
  <c r="AV388" i="17"/>
  <c r="AQ389" i="17" s="1"/>
  <c r="BB388" i="17"/>
  <c r="BZ388" i="17"/>
  <c r="BU389" i="17" s="1"/>
  <c r="BW388" i="17"/>
  <c r="CH388" i="17" s="1"/>
  <c r="BY388" i="17"/>
  <c r="BX388" i="17"/>
  <c r="CG388" i="17"/>
  <c r="CF388" i="17"/>
  <c r="BJ377" i="17" l="1"/>
  <c r="BI377" i="17"/>
  <c r="BQ377" i="17"/>
  <c r="BH377" i="17"/>
  <c r="BS377" i="17" s="1"/>
  <c r="BK377" i="17"/>
  <c r="BF378" i="17" s="1"/>
  <c r="BR377" i="17"/>
  <c r="BY389" i="17"/>
  <c r="BW389" i="17"/>
  <c r="CH389" i="17" s="1"/>
  <c r="BZ389" i="17"/>
  <c r="BU390" i="17" s="1"/>
  <c r="BX389" i="17"/>
  <c r="CG389" i="17"/>
  <c r="CF389" i="17"/>
  <c r="AS389" i="17"/>
  <c r="BD389" i="17" s="1"/>
  <c r="BB389" i="17"/>
  <c r="AT389" i="17"/>
  <c r="AV389" i="17"/>
  <c r="AQ390" i="17" s="1"/>
  <c r="AY389" i="17"/>
  <c r="BC389" i="17"/>
  <c r="AU389" i="17"/>
  <c r="BA389" i="17"/>
  <c r="AX389" i="17"/>
  <c r="AZ389" i="17"/>
  <c r="BR378" i="17" l="1"/>
  <c r="BQ378" i="17"/>
  <c r="BH378" i="17"/>
  <c r="BS378" i="17" s="1"/>
  <c r="BK378" i="17"/>
  <c r="BF379" i="17" s="1"/>
  <c r="BI378" i="17"/>
  <c r="BJ378" i="17"/>
  <c r="BZ390" i="17"/>
  <c r="BU391" i="17" s="1"/>
  <c r="BY390" i="17"/>
  <c r="BX390" i="17"/>
  <c r="BW390" i="17"/>
  <c r="CH390" i="17" s="1"/>
  <c r="CG390" i="17"/>
  <c r="CF390" i="17"/>
  <c r="AZ390" i="17"/>
  <c r="BB390" i="17"/>
  <c r="AX390" i="17"/>
  <c r="AT390" i="17"/>
  <c r="AY390" i="17"/>
  <c r="AS390" i="17"/>
  <c r="BD390" i="17" s="1"/>
  <c r="BC390" i="17"/>
  <c r="AV390" i="17"/>
  <c r="AQ391" i="17" s="1"/>
  <c r="AU390" i="17"/>
  <c r="BA390" i="17"/>
  <c r="BI379" i="17" l="1"/>
  <c r="BJ379" i="17"/>
  <c r="BR379" i="17"/>
  <c r="BQ379" i="17"/>
  <c r="BK379" i="17"/>
  <c r="BF380" i="17" s="1"/>
  <c r="BH379" i="17"/>
  <c r="BS379" i="17" s="1"/>
  <c r="BY391" i="17"/>
  <c r="BW391" i="17"/>
  <c r="CH391" i="17" s="1"/>
  <c r="BZ391" i="17"/>
  <c r="BU392" i="17" s="1"/>
  <c r="CF391" i="17"/>
  <c r="BX391" i="17"/>
  <c r="CG391" i="17"/>
  <c r="AS391" i="17"/>
  <c r="BD391" i="17" s="1"/>
  <c r="BA391" i="17"/>
  <c r="AV391" i="17"/>
  <c r="AQ392" i="17" s="1"/>
  <c r="BB391" i="17"/>
  <c r="AX391" i="17"/>
  <c r="AT391" i="17"/>
  <c r="AZ391" i="17"/>
  <c r="AY391" i="17"/>
  <c r="BC391" i="17"/>
  <c r="AU391" i="17"/>
  <c r="BH380" i="17" l="1"/>
  <c r="BS380" i="17" s="1"/>
  <c r="BJ380" i="17"/>
  <c r="BR380" i="17"/>
  <c r="BI380" i="17"/>
  <c r="BQ380" i="17"/>
  <c r="BK380" i="17"/>
  <c r="BF381" i="17" s="1"/>
  <c r="BZ392" i="17"/>
  <c r="BU393" i="17" s="1"/>
  <c r="BY392" i="17"/>
  <c r="BW392" i="17"/>
  <c r="CH392" i="17" s="1"/>
  <c r="CG392" i="17"/>
  <c r="CF392" i="17"/>
  <c r="BX392" i="17"/>
  <c r="AU392" i="17"/>
  <c r="BA392" i="17"/>
  <c r="BB392" i="17"/>
  <c r="AS392" i="17"/>
  <c r="BD392" i="17" s="1"/>
  <c r="AT392" i="17"/>
  <c r="AZ392" i="17"/>
  <c r="AY392" i="17"/>
  <c r="AX392" i="17"/>
  <c r="AV392" i="17"/>
  <c r="AQ393" i="17" s="1"/>
  <c r="BC392" i="17"/>
  <c r="BI381" i="17" l="1"/>
  <c r="BJ381" i="17"/>
  <c r="BR381" i="17"/>
  <c r="BQ381" i="17"/>
  <c r="BH381" i="17"/>
  <c r="BS381" i="17" s="1"/>
  <c r="BK381" i="17"/>
  <c r="BF382" i="17" s="1"/>
  <c r="AS393" i="17"/>
  <c r="BD393" i="17" s="1"/>
  <c r="AU393" i="17"/>
  <c r="AV393" i="17"/>
  <c r="AQ394" i="17" s="1"/>
  <c r="BA393" i="17"/>
  <c r="BB393" i="17"/>
  <c r="AT393" i="17"/>
  <c r="AY393" i="17"/>
  <c r="AX393" i="17"/>
  <c r="BC393" i="17"/>
  <c r="AZ393" i="17"/>
  <c r="BW393" i="17"/>
  <c r="CH393" i="17" s="1"/>
  <c r="BY393" i="17"/>
  <c r="BZ393" i="17"/>
  <c r="BU394" i="17" s="1"/>
  <c r="CG393" i="17"/>
  <c r="CF393" i="17"/>
  <c r="BX393" i="17"/>
  <c r="BQ382" i="17" l="1"/>
  <c r="BK382" i="17"/>
  <c r="BF383" i="17" s="1"/>
  <c r="BR382" i="17"/>
  <c r="BI382" i="17"/>
  <c r="BJ382" i="17"/>
  <c r="BH382" i="17"/>
  <c r="BS382" i="17" s="1"/>
  <c r="BZ394" i="17"/>
  <c r="BU395" i="17" s="1"/>
  <c r="BX394" i="17"/>
  <c r="BY394" i="17"/>
  <c r="BW394" i="17"/>
  <c r="CH394" i="17" s="1"/>
  <c r="CG394" i="17"/>
  <c r="CF394" i="17"/>
  <c r="BC394" i="17"/>
  <c r="AX394" i="17"/>
  <c r="AZ394" i="17"/>
  <c r="AU394" i="17"/>
  <c r="BA394" i="17"/>
  <c r="AS394" i="17"/>
  <c r="BD394" i="17" s="1"/>
  <c r="BB394" i="17"/>
  <c r="AV394" i="17"/>
  <c r="AQ395" i="17" s="1"/>
  <c r="AT394" i="17"/>
  <c r="AY394" i="17"/>
  <c r="BJ383" i="17" l="1"/>
  <c r="BQ383" i="17"/>
  <c r="BI383" i="17"/>
  <c r="BK383" i="17"/>
  <c r="BF384" i="17" s="1"/>
  <c r="BR383" i="17"/>
  <c r="BH383" i="17"/>
  <c r="BS383" i="17" s="1"/>
  <c r="AS395" i="17"/>
  <c r="AY395" i="17"/>
  <c r="AY25" i="17" s="1"/>
  <c r="AX395" i="17"/>
  <c r="AZ395" i="17"/>
  <c r="BC395" i="17"/>
  <c r="BC25" i="17" s="1"/>
  <c r="AU395" i="17"/>
  <c r="AU25" i="17" s="1"/>
  <c r="J7" i="17" s="1"/>
  <c r="AV395" i="17"/>
  <c r="BA395" i="17"/>
  <c r="BA25" i="17" s="1"/>
  <c r="L7" i="17" s="1"/>
  <c r="BB395" i="17"/>
  <c r="BB25" i="17" s="1"/>
  <c r="AT395" i="17"/>
  <c r="AT25" i="17" s="1"/>
  <c r="O7" i="17" s="1"/>
  <c r="Q7" i="17" s="1"/>
  <c r="S7" i="17"/>
  <c r="T7" i="17" s="1"/>
  <c r="BW395" i="17"/>
  <c r="BY395" i="17"/>
  <c r="BY25" i="17" s="1"/>
  <c r="J9" i="17" s="1"/>
  <c r="CG395" i="17"/>
  <c r="CG25" i="17" s="1"/>
  <c r="CF395" i="17"/>
  <c r="CF25" i="17" s="1"/>
  <c r="BZ395" i="17"/>
  <c r="BX395" i="17"/>
  <c r="BX25" i="17" s="1"/>
  <c r="O9" i="17" s="1"/>
  <c r="Q9" i="17" s="1"/>
  <c r="S9" i="17"/>
  <c r="T9" i="17" s="1"/>
  <c r="BH384" i="17" l="1"/>
  <c r="BS384" i="17" s="1"/>
  <c r="BI384" i="17"/>
  <c r="BR384" i="17"/>
  <c r="BQ384" i="17"/>
  <c r="BK384" i="17"/>
  <c r="BF385" i="17" s="1"/>
  <c r="BJ384" i="17"/>
  <c r="AZ25" i="17"/>
  <c r="BD395" i="17"/>
  <c r="BD25" i="17" s="1"/>
  <c r="K7" i="17" s="1"/>
  <c r="N7" i="17" s="1"/>
  <c r="R7" i="17" s="1"/>
  <c r="AS25" i="17"/>
  <c r="CH395" i="17"/>
  <c r="CH25" i="17" s="1"/>
  <c r="K9" i="17" s="1"/>
  <c r="N9" i="17" s="1"/>
  <c r="R9" i="17" s="1"/>
  <c r="BW25" i="17"/>
  <c r="BQ385" i="17" l="1"/>
  <c r="BR385" i="17"/>
  <c r="BK385" i="17"/>
  <c r="BF386" i="17" s="1"/>
  <c r="BH385" i="17"/>
  <c r="BS385" i="17" s="1"/>
  <c r="BJ385" i="17"/>
  <c r="BI385" i="17"/>
  <c r="BJ386" i="17" l="1"/>
  <c r="BI386" i="17"/>
  <c r="BH386" i="17"/>
  <c r="BS386" i="17" s="1"/>
  <c r="BR386" i="17"/>
  <c r="BQ386" i="17"/>
  <c r="BK386" i="17"/>
  <c r="BF387" i="17" s="1"/>
  <c r="BI387" i="17" l="1"/>
  <c r="BJ387" i="17"/>
  <c r="BR387" i="17"/>
  <c r="BQ387" i="17"/>
  <c r="BH387" i="17"/>
  <c r="BS387" i="17" s="1"/>
  <c r="BK387" i="17"/>
  <c r="BF388" i="17" s="1"/>
  <c r="BJ388" i="17" l="1"/>
  <c r="BH388" i="17"/>
  <c r="BS388" i="17" s="1"/>
  <c r="BR388" i="17"/>
  <c r="BQ388" i="17"/>
  <c r="BK388" i="17"/>
  <c r="BF389" i="17" s="1"/>
  <c r="BI388" i="17"/>
  <c r="BH389" i="17" l="1"/>
  <c r="BS389" i="17" s="1"/>
  <c r="BK389" i="17"/>
  <c r="BF390" i="17" s="1"/>
  <c r="BI389" i="17"/>
  <c r="BR389" i="17"/>
  <c r="BQ389" i="17"/>
  <c r="BJ389" i="17"/>
  <c r="BJ390" i="17" l="1"/>
  <c r="BI390" i="17"/>
  <c r="BQ390" i="17"/>
  <c r="BK390" i="17"/>
  <c r="BF391" i="17" s="1"/>
  <c r="BR390" i="17"/>
  <c r="BH390" i="17"/>
  <c r="BS390" i="17" s="1"/>
  <c r="BJ391" i="17" l="1"/>
  <c r="BI391" i="17"/>
  <c r="BQ391" i="17"/>
  <c r="BH391" i="17"/>
  <c r="BS391" i="17" s="1"/>
  <c r="BR391" i="17"/>
  <c r="BK391" i="17"/>
  <c r="BF392" i="17" s="1"/>
  <c r="BJ392" i="17" l="1"/>
  <c r="BI392" i="17"/>
  <c r="BQ392" i="17"/>
  <c r="BR392" i="17"/>
  <c r="BK392" i="17"/>
  <c r="BF393" i="17" s="1"/>
  <c r="BH392" i="17"/>
  <c r="BJ393" i="17" l="1"/>
  <c r="BI393" i="17"/>
  <c r="BR393" i="17"/>
  <c r="BH393" i="17"/>
  <c r="BS393" i="17" s="1"/>
  <c r="BQ393" i="17"/>
  <c r="BK393" i="17"/>
  <c r="BF394" i="17" s="1"/>
  <c r="BS392" i="17"/>
  <c r="BH394" i="17" l="1"/>
  <c r="BJ394" i="17"/>
  <c r="BQ394" i="17"/>
  <c r="BK394" i="17"/>
  <c r="BF395" i="17" s="1"/>
  <c r="BR394" i="17"/>
  <c r="BI394" i="17"/>
  <c r="S8" i="17"/>
  <c r="T8" i="17" s="1"/>
  <c r="BJ395" i="17" l="1"/>
  <c r="BJ25" i="17" s="1"/>
  <c r="J8" i="17" s="1"/>
  <c r="BQ395" i="17"/>
  <c r="BQ25" i="17" s="1"/>
  <c r="BK395" i="17"/>
  <c r="BN395" i="17"/>
  <c r="BN25" i="17" s="1"/>
  <c r="BO25" i="17" s="1"/>
  <c r="BI395" i="17"/>
  <c r="BI25" i="17" s="1"/>
  <c r="O8" i="17" s="1"/>
  <c r="Q8" i="17" s="1"/>
  <c r="BR395" i="17"/>
  <c r="BR25" i="17" s="1"/>
  <c r="BH395" i="17"/>
  <c r="BS395" i="17" s="1"/>
  <c r="BS25" i="17" s="1"/>
  <c r="K8" i="17" s="1"/>
  <c r="N8" i="17" s="1"/>
  <c r="BS394" i="17"/>
  <c r="BH25" i="17"/>
  <c r="R8" i="17" l="1"/>
</calcChain>
</file>

<file path=xl/sharedStrings.xml><?xml version="1.0" encoding="utf-8"?>
<sst xmlns="http://schemas.openxmlformats.org/spreadsheetml/2006/main" count="149" uniqueCount="73">
  <si>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</si>
  <si>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</si>
  <si>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</si>
  <si>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</si>
  <si>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</si>
  <si>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</si>
  <si>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</si>
  <si>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</si>
  <si>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</si>
  <si>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Nadpłata</t>
  </si>
  <si>
    <t>Stopa inwestycji</t>
  </si>
  <si>
    <t>NIE</t>
  </si>
  <si>
    <t>TAK</t>
  </si>
  <si>
    <t>Miesiąc</t>
  </si>
  <si>
    <t>Stopa inwestycji w ujęciu jednego miesiąca</t>
  </si>
  <si>
    <t>SUMA</t>
  </si>
  <si>
    <t>Inwestycja środków pochodzących z NADPŁATY narastająco</t>
  </si>
  <si>
    <t>co miesiąc</t>
  </si>
  <si>
    <t>jednorazowo</t>
  </si>
  <si>
    <t>Kiedy pobrany jest podatek od zysków kapitałowych?</t>
  </si>
  <si>
    <t>na koniec inwestycji</t>
  </si>
  <si>
    <t>Podatek od zysków kapitałowych</t>
  </si>
  <si>
    <t>Wpisz stopę zwrotu z inwestycji (roczna stopa zwrotu jaką możesz uzyskać z zainwestowania środków, jeśli nie przeznaczysz ich na nadpłatę).</t>
  </si>
  <si>
    <t>Razem oprocentowanie (nic nie wpisuj, łączne oprocentowane policzy się samo):</t>
  </si>
  <si>
    <t>PODSTAWOWE DANE - UZUPEŁNIJ DANE W POLACH ZAZNACZONYCH ŻÓŁTYM KOLOREM</t>
  </si>
  <si>
    <t>SCENARIUSZ PODSTAWOWY BEZ WAKACJI KREDYTOWYCH</t>
  </si>
  <si>
    <t>% wartości nieruchomości</t>
  </si>
  <si>
    <t>30 czerwca 2022</t>
  </si>
  <si>
    <t>Ubezpieczenie, gdy placimy ustaloną kwotę co miesiąc</t>
  </si>
  <si>
    <t>Ubezpieczenie, gdy płacimy ustalony % co miesiąc</t>
  </si>
  <si>
    <t>Wartość nieruchomości, ustalona przez bank</t>
  </si>
  <si>
    <t>% obecnego salda kredytu</t>
  </si>
  <si>
    <t>Suma ubezpieczeń</t>
  </si>
  <si>
    <t>BIORĘ WAKACJE KREDYTOWE A PIENIĄDZE WYDAJĘ</t>
  </si>
  <si>
    <t>miesiąc wakacji kredytowych</t>
  </si>
  <si>
    <t>Wybierz, jakie raty płacisz (równe czy malejące):</t>
  </si>
  <si>
    <t>Wpisz kwotę ubezpieczeń i opłat  płacisz co miesiąc</t>
  </si>
  <si>
    <t>i/lub podaj koszt jako % salda kredytu/wartości nieruchomości (w skali 1 miesiąca)</t>
  </si>
  <si>
    <t>INWESTYCJE:</t>
  </si>
  <si>
    <t>Przeznaczamy "WAKACJE KREDYTOWE" na lokatę</t>
  </si>
  <si>
    <t>BIORĘ WAKACJE KREDYTOWE I NADPŁACAM KREDYT CO MIESIĄC, OBNIŻAJĄC WYSOKOŚĆ RATY</t>
  </si>
  <si>
    <t xml:space="preserve"> O ile wiecej mam w kieszeni co miesiąc</t>
  </si>
  <si>
    <t>Inwestycja środków pochodzących z niższych rat - narastajaco</t>
  </si>
  <si>
    <t>Wpisz kwotę kredytu hipotecznego czyli Twoje obecne zadłużenie wobec banku na koniec czerwca 2022</t>
  </si>
  <si>
    <r>
      <t>Wpisz pozostały okres kredytu</t>
    </r>
    <r>
      <rPr>
        <b/>
        <sz val="12"/>
        <color theme="1"/>
        <rFont val="Open Sans"/>
        <family val="2"/>
        <charset val="238"/>
      </rPr>
      <t xml:space="preserve"> w miesiącach</t>
    </r>
  </si>
  <si>
    <t>Jaka by była rata (po ewentalnej nadpłacie z poprzednich miesięcy)?</t>
  </si>
  <si>
    <t>Dodatkowe korzyści z inwestycji zaoszczędzonych kwot</t>
  </si>
  <si>
    <t>Odsetki od kredytu</t>
  </si>
  <si>
    <t>Koszty ubezpieczeń i opłat</t>
  </si>
  <si>
    <t xml:space="preserve">Scenariusze: </t>
  </si>
  <si>
    <t>BIORĘ WAKACJE KREDYTOWE A UZYSKANE ŚRODKI LOKUJĘ (NIE NADPŁACAM)</t>
  </si>
  <si>
    <t>KOSZT UBEZPIECZEŃ I OPŁAT ZWIĄZANYCH Z UMOWĄ KREDYTOWĄ:</t>
  </si>
  <si>
    <t>PODSUMOWANIE:</t>
  </si>
  <si>
    <r>
      <rPr>
        <b/>
        <sz val="16"/>
        <color theme="0"/>
        <rFont val="Open Sans"/>
        <family val="2"/>
        <charset val="238"/>
      </rPr>
      <t xml:space="preserve">Razem koszty kredytu </t>
    </r>
    <r>
      <rPr>
        <b/>
        <sz val="11"/>
        <color theme="0"/>
        <rFont val="Open Sans"/>
        <family val="2"/>
        <charset val="238"/>
      </rPr>
      <t>(odsetki i koszty opłat i ubezpieczeń pomniejszone o korzyści z inwestowania pieniędzy)</t>
    </r>
  </si>
  <si>
    <t>Wybierz czy kredyt jest oprocentowany stopą stałą</t>
  </si>
  <si>
    <t>Zyski od tej inwestycji</t>
  </si>
  <si>
    <t>Zyski ze środków pochodzących z wakacji kredytowych</t>
  </si>
  <si>
    <t>BIORĘ WAKACJE KREDYTOWE I NADPŁACAM KREDYT NA KONIEC WAKACJI KREDYTOWYCH, OBNIŻAJĄC WYSOKOŚĆ RATY</t>
  </si>
  <si>
    <t>o ile skraca się okres (w miesiącach)</t>
  </si>
  <si>
    <t>BIORĘ WAKACJE KREDYTOWE I NADPŁACAM CO MIESIĄC KREDYT SKRACAJĄC OKRES KREDYTU</t>
  </si>
  <si>
    <t>BIORĘ WAKACJE KREDYTOWE I NADPŁACAM KREDYT NA KONIEC WAKACJI KREDYTOWYCH SKRACAJĄC OKRES KREDYTU</t>
  </si>
  <si>
    <t>Wpisz wysokość oprocentowania stałego, jeśli ma zastosowanie:</t>
  </si>
  <si>
    <t>Jeśli kredyt oprocentowany jest stopą stałą, wpisz ile jeszcze miesięcy obowiązuje Cię stała stopa (wpisz okres z obenej umowy, nie uwzględniający przesunięcia zwiazanego z wakacjami kredytowymi)</t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</si>
  <si>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(podaj wysokość marży, nawet jeśli kredyt jest oprocentowany stopą stałą; w takiej sytuacji wpisz marżę, jaka obowiązuje Cię po okresie stałego oprocentowania)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</si>
  <si>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WIBOR</t>
    </r>
    <r>
      <rPr>
        <sz val="12"/>
        <color theme="1"/>
        <rFont val="Open Sans"/>
        <family val="2"/>
        <charset val="238"/>
      </rPr>
      <t xml:space="preserve"> (podaj wysokość WIBOR, nawet jeśli kredyt oprocentowany jest stopą stałą)</t>
    </r>
  </si>
  <si>
    <t>nie ma</t>
  </si>
  <si>
    <t>Kapitał spłacony w ratach</t>
  </si>
  <si>
    <t>Razem spłacony kapitał</t>
  </si>
  <si>
    <t>Ile jeszcze rat?</t>
  </si>
  <si>
    <t>Koniec spłaty kredytu</t>
  </si>
  <si>
    <r>
      <rPr>
        <b/>
        <sz val="16"/>
        <color theme="0"/>
        <rFont val="Open Sans"/>
        <family val="2"/>
        <charset val="238"/>
      </rPr>
      <t xml:space="preserve">Ile w sumie oddasz bankowi </t>
    </r>
    <r>
      <rPr>
        <b/>
        <sz val="11"/>
        <color theme="0"/>
        <rFont val="Open Sans"/>
        <family val="2"/>
        <charset val="238"/>
      </rPr>
      <t>(kapitał, nadpłaty, koszty kredytu, pomniejszone o korzysci z inwestowania)?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</si>
  <si>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prowizje i opłaty</t>
    </r>
    <r>
      <rPr>
        <sz val="12"/>
        <color theme="1"/>
        <rFont val="Open Sans"/>
        <family val="2"/>
        <charset val="238"/>
      </rPr>
      <t xml:space="preserve"> związane z dokonaniem</t>
    </r>
    <r>
      <rPr>
        <b/>
        <sz val="12"/>
        <color theme="1"/>
        <rFont val="Open Sans"/>
        <family val="2"/>
        <charset val="238"/>
      </rPr>
      <t xml:space="preserve"> </t>
    </r>
    <r>
      <rPr>
        <sz val="12"/>
        <color theme="1"/>
        <rFont val="Open Sans"/>
        <family val="2"/>
        <charset val="238"/>
      </rPr>
      <t>nadpłat (koszty ze znakiem "+", odzyskane prowizje ze znakiem "-")</t>
    </r>
  </si>
  <si>
    <r>
      <t>im bardziej zielono w poniższej kolumnie tym lepiej:)</t>
    </r>
    <r>
      <rPr>
        <b/>
        <sz val="16"/>
        <color theme="1"/>
        <rFont val="Garamond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</si>
</sst>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&quot;zł&quot;_-;\-* #,##0\ &quot;zł&quot;_-;_-* &quot;-&quot;??\ &quot;zł&quot;_-;_-@_-"/>
    <numFmt numFmtId="165" formatCode="0.0%"/>
    <numFmt numFmtId="166" formatCode="0&quot; miesięcy&quot;"/>
    <numFmt numFmtId="167" formatCode="#,##0\ &quot;zł&quot;"/>
    <numFmt numFmtId="168" formatCode="mmmm\ yyyy"/>
    <numFmt numFmtId="169" formatCode="_-* #,##0.0_-;\-* #,##0.0_-;_-* &quot;-&quot;??_-;_-@_-"/>
    <numFmt numFmtId="170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0"/>
      <name val="Open Sans"/>
      <family val="2"/>
      <charset val="238"/>
    </font>
    <font>
      <b/>
      <sz val="12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6"/>
      <color theme="0"/>
      <name val="Open Sans"/>
      <family val="2"/>
      <charset val="238"/>
    </font>
    <font>
      <b/>
      <sz val="16"/>
      <color theme="1"/>
      <name val="Roboto"/>
    </font>
    <font>
      <sz val="16"/>
      <color theme="1"/>
      <name val="Roboto"/>
    </font>
    <font>
      <b/>
      <sz val="16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b/>
      <sz val="16"/>
      <color theme="1"/>
      <name val="Garamond"/>
      <family val="1"/>
      <charset val="238"/>
    </font>
    <font>
      <b/>
      <sz val="20"/>
      <color theme="1"/>
      <name val="Open San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9" fontId="2" fillId="2" borderId="0" xfId="0" applyNumberFormat="1" applyFont="1" applyFill="1"/>
    <xf numFmtId="0" fontId="4" fillId="2" borderId="0" xfId="0" applyFont="1" applyFill="1"/>
    <xf numFmtId="10" fontId="2" fillId="2" borderId="0" xfId="2" applyNumberFormat="1" applyFont="1" applyFill="1"/>
    <xf numFmtId="6" fontId="2" fillId="2" borderId="0" xfId="0" applyNumberFormat="1" applyFont="1" applyFill="1"/>
    <xf numFmtId="8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4" fillId="2" borderId="1" xfId="2" applyNumberFormat="1" applyFont="1" applyFill="1" applyBorder="1"/>
    <xf numFmtId="6" fontId="2" fillId="2" borderId="1" xfId="0" applyNumberFormat="1" applyFont="1" applyFill="1" applyBorder="1"/>
    <xf numFmtId="0" fontId="7" fillId="12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/>
    <xf numFmtId="10" fontId="2" fillId="2" borderId="1" xfId="2" applyNumberFormat="1" applyFont="1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/>
    </xf>
    <xf numFmtId="0" fontId="7" fillId="12" borderId="5" xfId="0" applyFont="1" applyFill="1" applyBorder="1" applyAlignment="1">
      <alignment horizontal="center" vertical="center" textRotation="90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8" fontId="4" fillId="2" borderId="0" xfId="0" applyNumberFormat="1" applyFont="1" applyFill="1"/>
    <xf numFmtId="8" fontId="3" fillId="2" borderId="1" xfId="1" applyNumberFormat="1" applyFont="1" applyFill="1" applyBorder="1" applyAlignment="1">
      <alignment horizontal="left" vertical="center"/>
    </xf>
    <xf numFmtId="8" fontId="7" fillId="7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67" fontId="9" fillId="6" borderId="1" xfId="0" applyNumberFormat="1" applyFont="1" applyFill="1" applyBorder="1" applyAlignment="1">
      <alignment horizontal="right" vertical="center"/>
    </xf>
    <xf numFmtId="10" fontId="9" fillId="6" borderId="1" xfId="0" applyNumberFormat="1" applyFont="1" applyFill="1" applyBorder="1" applyAlignment="1">
      <alignment horizontal="right" vertical="center"/>
    </xf>
    <xf numFmtId="164" fontId="9" fillId="6" borderId="1" xfId="1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166" fontId="9" fillId="6" borderId="1" xfId="0" applyNumberFormat="1" applyFont="1" applyFill="1" applyBorder="1" applyAlignment="1">
      <alignment horizontal="right" vertical="center"/>
    </xf>
    <xf numFmtId="9" fontId="9" fillId="6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165" fontId="4" fillId="6" borderId="1" xfId="2" applyNumberFormat="1" applyFont="1" applyFill="1" applyBorder="1"/>
    <xf numFmtId="10" fontId="9" fillId="3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165" fontId="4" fillId="2" borderId="0" xfId="2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8" fontId="4" fillId="2" borderId="0" xfId="0" applyNumberFormat="1" applyFont="1" applyFill="1" applyBorder="1"/>
    <xf numFmtId="0" fontId="6" fillId="13" borderId="1" xfId="0" applyFont="1" applyFill="1" applyBorder="1" applyAlignment="1">
      <alignment horizontal="center" vertical="center" wrapText="1"/>
    </xf>
    <xf numFmtId="8" fontId="2" fillId="14" borderId="1" xfId="0" applyNumberFormat="1" applyFont="1" applyFill="1" applyBorder="1"/>
    <xf numFmtId="6" fontId="2" fillId="14" borderId="1" xfId="0" applyNumberFormat="1" applyFont="1" applyFill="1" applyBorder="1"/>
    <xf numFmtId="0" fontId="10" fillId="2" borderId="0" xfId="0" applyFont="1" applyFill="1" applyBorder="1" applyAlignment="1">
      <alignment horizontal="left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8" fontId="3" fillId="2" borderId="5" xfId="1" applyNumberFormat="1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168" fontId="5" fillId="2" borderId="0" xfId="0" applyNumberFormat="1" applyFont="1" applyFill="1" applyBorder="1"/>
    <xf numFmtId="0" fontId="12" fillId="11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left" vertical="center"/>
    </xf>
    <xf numFmtId="0" fontId="17" fillId="2" borderId="0" xfId="0" applyFont="1" applyFill="1"/>
    <xf numFmtId="0" fontId="3" fillId="2" borderId="1" xfId="0" applyFont="1" applyFill="1" applyBorder="1" applyAlignment="1">
      <alignment vertical="center" wrapText="1"/>
    </xf>
    <xf numFmtId="167" fontId="2" fillId="2" borderId="0" xfId="0" applyNumberFormat="1" applyFont="1" applyFill="1"/>
    <xf numFmtId="164" fontId="2" fillId="14" borderId="1" xfId="0" applyNumberFormat="1" applyFont="1" applyFill="1" applyBorder="1"/>
    <xf numFmtId="6" fontId="2" fillId="0" borderId="1" xfId="0" applyNumberFormat="1" applyFont="1" applyFill="1" applyBorder="1"/>
    <xf numFmtId="164" fontId="2" fillId="0" borderId="1" xfId="0" applyNumberFormat="1" applyFont="1" applyFill="1" applyBorder="1"/>
    <xf numFmtId="169" fontId="7" fillId="5" borderId="1" xfId="3" applyNumberFormat="1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vertical="center"/>
    </xf>
    <xf numFmtId="0" fontId="4" fillId="2" borderId="19" xfId="0" applyFont="1" applyFill="1" applyBorder="1"/>
    <xf numFmtId="10" fontId="9" fillId="6" borderId="1" xfId="2" applyNumberFormat="1" applyFont="1" applyFill="1" applyBorder="1" applyAlignment="1">
      <alignment horizontal="right" vertical="center"/>
    </xf>
    <xf numFmtId="6" fontId="2" fillId="2" borderId="3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7" fontId="18" fillId="2" borderId="17" xfId="0" applyNumberFormat="1" applyFont="1" applyFill="1" applyBorder="1" applyAlignment="1">
      <alignment vertical="center"/>
    </xf>
    <xf numFmtId="167" fontId="18" fillId="2" borderId="18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168" fontId="19" fillId="2" borderId="1" xfId="0" applyNumberFormat="1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8" fontId="2" fillId="6" borderId="3" xfId="0" applyNumberFormat="1" applyFont="1" applyFill="1" applyBorder="1" applyAlignment="1">
      <alignment vertical="center"/>
    </xf>
    <xf numFmtId="164" fontId="2" fillId="6" borderId="3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left" vertical="center"/>
    </xf>
    <xf numFmtId="170" fontId="2" fillId="2" borderId="3" xfId="3" applyNumberFormat="1" applyFont="1" applyFill="1" applyBorder="1" applyAlignment="1">
      <alignment vertical="center"/>
    </xf>
    <xf numFmtId="169" fontId="2" fillId="2" borderId="1" xfId="0" applyNumberFormat="1" applyFont="1" applyFill="1" applyBorder="1"/>
    <xf numFmtId="44" fontId="3" fillId="2" borderId="5" xfId="1" applyNumberFormat="1" applyFont="1" applyFill="1" applyBorder="1" applyAlignment="1">
      <alignment horizontal="left" vertical="center"/>
    </xf>
    <xf numFmtId="164" fontId="10" fillId="15" borderId="1" xfId="1" applyNumberFormat="1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9" fontId="9" fillId="6" borderId="7" xfId="0" applyNumberFormat="1" applyFont="1" applyFill="1" applyBorder="1" applyAlignment="1">
      <alignment horizontal="center" vertical="center"/>
    </xf>
    <xf numFmtId="9" fontId="9" fillId="6" borderId="15" xfId="0" applyNumberFormat="1" applyFont="1" applyFill="1" applyBorder="1" applyAlignment="1">
      <alignment horizontal="center" vertical="center"/>
    </xf>
    <xf numFmtId="9" fontId="9" fillId="6" borderId="6" xfId="0" applyNumberFormat="1" applyFont="1" applyFill="1" applyBorder="1" applyAlignment="1">
      <alignment horizontal="center" vertical="center"/>
    </xf>
    <xf numFmtId="10" fontId="9" fillId="6" borderId="8" xfId="0" applyNumberFormat="1" applyFont="1" applyFill="1" applyBorder="1" applyAlignment="1">
      <alignment horizontal="right" vertical="center"/>
    </xf>
    <xf numFmtId="10" fontId="9" fillId="6" borderId="7" xfId="0" applyNumberFormat="1" applyFont="1" applyFill="1" applyBorder="1" applyAlignment="1">
      <alignment horizontal="right" vertical="center"/>
    </xf>
    <xf numFmtId="0" fontId="10" fillId="2" borderId="1" xfId="0" quotePrefix="1" applyFont="1" applyFill="1" applyBorder="1" applyAlignment="1">
      <alignment horizontal="left" vertical="center" wrapText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27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24460"/>
      <color rgb="FFF7C2C0"/>
      <color rgb="FFED6862"/>
      <color rgb="FF00A5BB"/>
      <color rgb="FF99B4BF"/>
      <color rgb="FFF6F6F6"/>
      <color rgb="FF025560"/>
      <color rgb="FF9BD5DF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Open Sans" panose="020B0606030504020204" pitchFamily="34" charset="0"/>
              </a:defRPr>
            </a:pP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Ile pieniędzy wyjdzie z Twojej kieszeni (ponad spłatę</a:t>
            </a:r>
            <a:r>
              <a:rPr lang="pl-PL" sz="2000" b="1" i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 kapitału)</a:t>
            </a: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1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1356886694753E-2"/>
          <c:y val="0.37801300005284572"/>
          <c:w val="0.88282563722619578"/>
          <c:h val="0.42794863393753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'RZĄDOWY PROGRAM'!$N$3</c:f>
              <c:strCache>
                <c:ptCount val="1"/>
                <c:pt idx="0">
                  <c:v>Razem koszty kredytu (odsetki i koszty opłat i ubezpieczeń pomniejszone o korzyści z inwestowania pieniędzy)</c:v>
                </c:pt>
              </c:strCache>
            </c:strRef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1" u="none" strike="noStrike" kern="1200" spc="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'RZĄDOWY PROGRAM'!$I$4:$I$10</c:f>
              <c:strCache>
                <c:ptCount val="7"/>
                <c:pt idx="0">
                  <c:v>SCENARIUSZ PODSTAWOWY BEZ WAKACJI KREDYTOWYCH</c:v>
                </c:pt>
                <c:pt idx="1">
                  <c:v>BIORĘ WAKACJE KREDYTOWE A PIENIĄDZE WYDAJĘ</c:v>
                </c:pt>
                <c:pt idx="2">
                  <c:v>BIORĘ WAKACJE KREDYTOWE I NADPŁACAM KREDYT CO MIESIĄC, OBNIŻAJĄC WYSOKOŚĆ RATY</c:v>
                </c:pt>
                <c:pt idx="3">
                  <c:v>BIORĘ WAKACJE KREDYTOWE I NADPŁACAM KREDYT NA KONIEC WAKACJI KREDYTOWYCH, OBNIŻAJĄC WYSOKOŚĆ RATY</c:v>
                </c:pt>
                <c:pt idx="4">
                  <c:v>BIORĘ WAKACJE KREDYTOWE I NADPŁACAM CO MIESIĄC KREDYT SKRACAJĄC OKRES KREDYTU</c:v>
                </c:pt>
                <c:pt idx="5">
                  <c:v>BIORĘ WAKACJE KREDYTOWE I NADPŁACAM KREDYT NA KONIEC WAKACJI KREDYTOWYCH SKRACAJĄC OKRES KREDYTU</c:v>
                </c:pt>
                <c:pt idx="6">
                  <c:v>BIORĘ WAKACJE KREDYTOWE A UZYSKANE ŚRODKI LOKUJĘ (NIE NADPŁACAM)</c:v>
                </c:pt>
              </c:strCache>
            </c:strRef>
          </c:cat>
          <c:val>
            <c:numRef>
              <c:f>'RZĄDOWY PROGRAM'!$N$4:$N$10</c:f>
              <c:numCache>
                <c:formatCode>#\ ##0\ "zł"</c:formatCode>
                <c:ptCount val="7"/>
                <c:pt idx="0">
                  <c:v>462100.77768039296</c:v>
                </c:pt>
                <c:pt idx="1">
                  <c:v>462660.77768039296</c:v>
                </c:pt>
                <c:pt idx="2">
                  <c:v>394522.47788025666</c:v>
                </c:pt>
                <c:pt idx="3">
                  <c:v>394303.83452081791</c:v>
                </c:pt>
                <c:pt idx="4">
                  <c:v>342454.66021836741</c:v>
                </c:pt>
                <c:pt idx="5">
                  <c:v>344295.09980310092</c:v>
                </c:pt>
                <c:pt idx="6">
                  <c:v>418624.86776339175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B-4DD2-B21A-68AA20D8B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27"/>
        <c:axId val="707419759"/>
        <c:axId val="707435151"/>
      </c:barChart>
      <c:catAx>
        <c:axId val="7074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Open Sans" panose="020B0806030504020204" pitchFamily="34" charset="0"/>
                <a:ea typeface="Open Sans" panose="020B0806030504020204" pitchFamily="34" charset="0"/>
                <a:cs typeface="Open Sans" panose="020B0806030504020204" pitchFamily="34" charset="0"/>
              </a:defRPr>
            </a:pPr>
            <a:endParaRPr lang="en-US"/>
          </a:p>
        </c:txPr>
        <c:crossAx val="707435151"/>
        <c:crossesAt val="0"/>
        <c:auto val="1"/>
        <c:lblAlgn val="ctr"/>
        <c:lblOffset val="100"/>
        <c:noMultiLvlLbl val="0"/>
      </c:catAx>
      <c:valAx>
        <c:axId val="707435151"/>
        <c:scaling>
          <c:orientation val="minMax"/>
          <c:min val="0"/>
        </c:scaling>
        <c:delete val="0"/>
        <c:axPos val="l"/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0741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566799679316E-2"/>
          <c:y val="0.84117123359580037"/>
          <c:w val="0.93568725599522151"/>
          <c:h val="0.13086320209973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6F6F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1" i="1" u="none" strike="noStrike" kern="1200" spc="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1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Open Sans" panose="020B0606030504020204" pitchFamily="34" charset="0"/>
              </a:defRPr>
            </a:pPr>
            <a:r>
              <a:rPr lang="pl-PL" sz="2000" b="1" i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Ile zapłacisz odsetek</a:t>
            </a:r>
            <a:r>
              <a:rPr lang="pl-PL" sz="2000" b="1" i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?</a:t>
            </a:r>
            <a:endParaRPr lang="pl-PL" sz="2000" b="1" i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1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1356886694753E-2"/>
          <c:y val="0.37801300005284572"/>
          <c:w val="0.90561897390807322"/>
          <c:h val="0.42794863393753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'RZĄDOWY PROGRAM'!$J$3</c:f>
              <c:strCache>
                <c:ptCount val="1"/>
                <c:pt idx="0">
                  <c:v>Odsetki od kredytu</c:v>
                </c:pt>
              </c:strCache>
            </c:strRef>
          </c:tx>
          <c:spPr>
            <a:solidFill>
              <a:srgbClr val="F7C2C0"/>
            </a:solidFill>
            <a:ln>
              <a:noFill/>
            </a:ln>
            <a:effectLst/>
          </c:spPr>
          <c:invertIfNegative val="0"/>
          <c:dLbls>
            <c:numFmt formatCode="_(&quot;zł&quot;* #,##0_);_(&quot;zł&quot;* \(#,##0\);_(&quot;zł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1" u="none" strike="noStrike" kern="1200" spc="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'RZĄDOWY PROGRAM'!$I$4:$I$10</c:f>
              <c:strCache>
                <c:ptCount val="7"/>
                <c:pt idx="0">
                  <c:v>SCENARIUSZ PODSTAWOWY BEZ WAKACJI KREDYTOWYCH</c:v>
                </c:pt>
                <c:pt idx="1">
                  <c:v>BIORĘ WAKACJE KREDYTOWE A PIENIĄDZE WYDAJĘ</c:v>
                </c:pt>
                <c:pt idx="2">
                  <c:v>BIORĘ WAKACJE KREDYTOWE I NADPŁACAM KREDYT CO MIESIĄC, OBNIŻAJĄC WYSOKOŚĆ RATY</c:v>
                </c:pt>
                <c:pt idx="3">
                  <c:v>BIORĘ WAKACJE KREDYTOWE I NADPŁACAM KREDYT NA KONIEC WAKACJI KREDYTOWYCH, OBNIŻAJĄC WYSOKOŚĆ RATY</c:v>
                </c:pt>
                <c:pt idx="4">
                  <c:v>BIORĘ WAKACJE KREDYTOWE I NADPŁACAM CO MIESIĄC KREDYT SKRACAJĄC OKRES KREDYTU</c:v>
                </c:pt>
                <c:pt idx="5">
                  <c:v>BIORĘ WAKACJE KREDYTOWE I NADPŁACAM KREDYT NA KONIEC WAKACJI KREDYTOWYCH SKRACAJĄC OKRES KREDYTU</c:v>
                </c:pt>
                <c:pt idx="6">
                  <c:v>BIORĘ WAKACJE KREDYTOWE A UZYSKANE ŚRODKI LOKUJĘ (NIE NADPŁACAM)</c:v>
                </c:pt>
              </c:strCache>
            </c:strRef>
          </c:cat>
          <c:val>
            <c:numRef>
              <c:f>'RZĄDOWY PROGRAM'!$J$4:$J$10</c:f>
              <c:numCache>
                <c:formatCode>#\ ##0\ "zł"</c:formatCode>
                <c:ptCount val="7"/>
                <c:pt idx="0">
                  <c:v>445300.77768039296</c:v>
                </c:pt>
                <c:pt idx="1">
                  <c:v>445300.77768039296</c:v>
                </c:pt>
                <c:pt idx="2">
                  <c:v>415330.07503437583</c:v>
                </c:pt>
                <c:pt idx="3">
                  <c:v>414339.23776789842</c:v>
                </c:pt>
                <c:pt idx="4">
                  <c:v>337603.18107163324</c:v>
                </c:pt>
                <c:pt idx="5">
                  <c:v>339444.06899362279</c:v>
                </c:pt>
                <c:pt idx="6">
                  <c:v>445300.77768039296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C-4674-ABBC-F5C0D69972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3"/>
        <c:overlap val="-27"/>
        <c:axId val="707419759"/>
        <c:axId val="707435151"/>
      </c:barChart>
      <c:catAx>
        <c:axId val="7074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spc="0" baseline="0">
                <a:solidFill>
                  <a:sysClr val="windowText" lastClr="000000"/>
                </a:solidFill>
                <a:latin typeface="Open Sans" panose="020B0806030504020204" pitchFamily="34" charset="0"/>
                <a:ea typeface="Open Sans" panose="020B0806030504020204" pitchFamily="34" charset="0"/>
                <a:cs typeface="Open Sans" panose="020B0806030504020204" pitchFamily="34" charset="0"/>
              </a:defRPr>
            </a:pPr>
            <a:endParaRPr lang="en-US"/>
          </a:p>
        </c:txPr>
        <c:crossAx val="707435151"/>
        <c:crossesAt val="0"/>
        <c:auto val="1"/>
        <c:lblAlgn val="ctr"/>
        <c:lblOffset val="100"/>
        <c:noMultiLvlLbl val="0"/>
      </c:catAx>
      <c:valAx>
        <c:axId val="707435151"/>
        <c:scaling>
          <c:orientation val="minMax"/>
          <c:min val="0"/>
        </c:scaling>
        <c:delete val="0"/>
        <c:axPos val="l"/>
        <c:numFmt formatCode="_(&quot;zł&quot;* #,##0_);_(&quot;zł&quot;* \(#,##0\);_(&quot;zł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0741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37566799679316E-2"/>
          <c:y val="0.84117123359580037"/>
          <c:w val="0.93568725599522151"/>
          <c:h val="0.13086320209973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6F6F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1" i="1" u="none" strike="noStrike" kern="1200" spc="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28573</xdr:colOff>
      <xdr:row>10</xdr:row>
      <xdr:rowOff>180067</xdr:rowOff>
    </xdr:from>
    <xdr:to>
      <xdr:col>15</xdr:col>
      <xdr:colOff>598714</xdr:colOff>
      <xdr:row>22</xdr:row>
      <xdr:rowOff>122464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EFBFFCE4-605B-4814-8FAF-AF4B800F4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993323</xdr:colOff>
      <xdr:row>10</xdr:row>
      <xdr:rowOff>272142</xdr:rowOff>
    </xdr:from>
    <xdr:to>
      <xdr:col>29</xdr:col>
      <xdr:colOff>474892</xdr:colOff>
      <xdr:row>21</xdr:row>
      <xdr:rowOff>7258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1EF5807C-3EB2-4A5A-A922-3A9FD158A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2645-56F0-41D1-A2DF-35B0564A1D78}">
  <dimension ref="A1:CN601"/>
  <sheetViews>
    <sheetView tabSelected="1" topLeftCell="A4" zoomScale="40" zoomScaleNormal="40" workbookViewId="0">
      <selection activeCell="F8" sqref="F8"/>
    </sheetView>
  </sheetViews>
  <sheetFormatPr defaultColWidth="8.6328125" defaultRowHeight="16.5" x14ac:dyDescent="0.45"/>
  <cols>
    <col min="1" max="1" width="14.453125" style="65" customWidth="1"/>
    <col min="2" max="2" width="8.1796875" style="1" customWidth="1"/>
    <col min="3" max="3" width="20.1796875" style="1" customWidth="1"/>
    <col min="4" max="4" width="19.453125" style="1" customWidth="1"/>
    <col min="5" max="5" width="30.453125" style="1" customWidth="1"/>
    <col min="6" max="6" width="23.1796875" style="1" customWidth="1"/>
    <col min="7" max="7" width="12.1796875" style="1" customWidth="1"/>
    <col min="8" max="8" width="10.453125" style="1" customWidth="1"/>
    <col min="9" max="9" width="55.1796875" style="1" customWidth="1"/>
    <col min="10" max="10" width="15" style="1" customWidth="1"/>
    <col min="11" max="11" width="15.81640625" style="1" customWidth="1"/>
    <col min="12" max="12" width="15.6328125" style="1" customWidth="1"/>
    <col min="13" max="13" width="22.453125" style="1" customWidth="1"/>
    <col min="14" max="14" width="26.6328125" style="1" customWidth="1"/>
    <col min="15" max="15" width="18" style="1" customWidth="1"/>
    <col min="16" max="16" width="15.1796875" style="1" customWidth="1"/>
    <col min="17" max="17" width="15.6328125" style="1" bestFit="1" customWidth="1"/>
    <col min="18" max="18" width="26.81640625" style="1" customWidth="1"/>
    <col min="19" max="19" width="12.81640625" style="1" customWidth="1"/>
    <col min="20" max="20" width="17.453125" style="1" customWidth="1"/>
    <col min="21" max="22" width="9.81640625" style="1" customWidth="1"/>
    <col min="23" max="23" width="9.6328125" style="1" customWidth="1"/>
    <col min="24" max="24" width="11.36328125" style="1" bestFit="1" customWidth="1"/>
    <col min="25" max="25" width="12.453125" style="1" bestFit="1" customWidth="1"/>
    <col min="26" max="26" width="13.1796875" style="1" customWidth="1"/>
    <col min="27" max="27" width="10.453125" style="1" customWidth="1"/>
    <col min="28" max="29" width="7.1796875" style="1" customWidth="1"/>
    <col min="30" max="30" width="25.453125" style="1" customWidth="1"/>
    <col min="31" max="31" width="14.81640625" style="1" customWidth="1"/>
    <col min="32" max="32" width="16.453125" style="1" customWidth="1"/>
    <col min="33" max="33" width="19.36328125" style="1" customWidth="1"/>
    <col min="34" max="37" width="25.453125" style="1" customWidth="1"/>
    <col min="38" max="41" width="16.1796875" style="1" customWidth="1"/>
    <col min="42" max="42" width="11" style="1" customWidth="1"/>
    <col min="43" max="44" width="7.1796875" style="1" customWidth="1"/>
    <col min="45" max="45" width="25.453125" style="1" customWidth="1"/>
    <col min="46" max="46" width="32" style="1" customWidth="1"/>
    <col min="47" max="47" width="16.453125" style="1" customWidth="1"/>
    <col min="48" max="48" width="19.36328125" style="1" customWidth="1"/>
    <col min="49" max="52" width="25.453125" style="1" customWidth="1"/>
    <col min="53" max="56" width="16.1796875" style="1" customWidth="1"/>
    <col min="57" max="57" width="8.6328125" style="1"/>
    <col min="58" max="59" width="7.1796875" style="1" customWidth="1"/>
    <col min="60" max="60" width="25.453125" style="1" customWidth="1"/>
    <col min="61" max="61" width="14.81640625" style="1" customWidth="1"/>
    <col min="62" max="62" width="16.453125" style="1" customWidth="1"/>
    <col min="63" max="63" width="19.36328125" style="1" customWidth="1"/>
    <col min="64" max="64" width="25.453125" style="1" customWidth="1"/>
    <col min="65" max="65" width="19.36328125" style="1" customWidth="1"/>
    <col min="66" max="67" width="25.453125" style="1" customWidth="1"/>
    <col min="68" max="68" width="20.81640625" style="1" bestFit="1" customWidth="1"/>
    <col min="69" max="71" width="16.1796875" style="1" customWidth="1"/>
    <col min="73" max="74" width="7.1796875" style="1" customWidth="1"/>
    <col min="75" max="75" width="25.453125" style="1" customWidth="1"/>
    <col min="76" max="76" width="14.81640625" style="1" customWidth="1"/>
    <col min="77" max="77" width="16.453125" style="1" customWidth="1"/>
    <col min="78" max="78" width="19.36328125" style="1" customWidth="1"/>
    <col min="79" max="79" width="25.453125" style="1" customWidth="1"/>
    <col min="80" max="80" width="19" style="1" customWidth="1"/>
    <col min="81" max="81" width="19" style="5" customWidth="1"/>
    <col min="82" max="82" width="25.453125" style="5" customWidth="1"/>
    <col min="83" max="86" width="16.1796875" style="5" customWidth="1"/>
    <col min="87" max="87" width="8.6328125" style="1"/>
    <col min="88" max="88" width="15.81640625" style="1" customWidth="1"/>
    <col min="89" max="89" width="20.36328125" style="1" customWidth="1"/>
    <col min="90" max="90" width="18.81640625" style="1" customWidth="1"/>
    <col min="91" max="92" width="17.1796875" style="1" customWidth="1"/>
    <col min="93" max="93" width="13.36328125" style="1" customWidth="1"/>
    <col min="94" max="16384" width="8.6328125" style="1"/>
  </cols>
  <sheetData>
    <row r="1" spans="2:86" ht="46" customHeight="1" x14ac:dyDescent="0.45">
      <c r="B1" s="73" t="s">
        <v>24</v>
      </c>
      <c r="G1" s="4"/>
      <c r="J1" s="7"/>
      <c r="N1" s="108" t="s">
        <v>72</v>
      </c>
      <c r="O1" s="107"/>
      <c r="P1" s="107"/>
      <c r="Q1" s="107"/>
      <c r="R1" s="108" t="s">
        <v>72</v>
      </c>
      <c r="BT1" s="1"/>
      <c r="CC1" s="1"/>
      <c r="CD1" s="1"/>
      <c r="CE1" s="1"/>
      <c r="CF1" s="1"/>
      <c r="CG1" s="1"/>
      <c r="CH1" s="1"/>
    </row>
    <row r="2" spans="2:86" ht="51" customHeight="1" thickBot="1" x14ac:dyDescent="0.5">
      <c r="B2" s="119" t="s">
        <v>43</v>
      </c>
      <c r="C2" s="119"/>
      <c r="D2" s="119"/>
      <c r="E2" s="119"/>
      <c r="F2" s="42">
        <v>400000</v>
      </c>
      <c r="I2" s="72" t="s">
        <v>52</v>
      </c>
      <c r="J2" s="76"/>
      <c r="K2" s="76"/>
      <c r="L2" s="76"/>
      <c r="N2" s="109"/>
      <c r="O2" s="107"/>
      <c r="P2" s="107"/>
      <c r="Q2" s="107"/>
      <c r="R2" s="109"/>
      <c r="BT2" s="1"/>
      <c r="CC2" s="1"/>
      <c r="CD2" s="1"/>
      <c r="CE2" s="1"/>
      <c r="CF2" s="1"/>
      <c r="CG2" s="1"/>
      <c r="CH2" s="1"/>
    </row>
    <row r="3" spans="2:86" ht="142" customHeight="1" x14ac:dyDescent="0.45">
      <c r="B3" s="119" t="s">
        <v>30</v>
      </c>
      <c r="C3" s="119"/>
      <c r="D3" s="119"/>
      <c r="E3" s="119"/>
      <c r="F3" s="42">
        <v>500000</v>
      </c>
      <c r="G3" s="6"/>
      <c r="I3" s="106" t="s">
        <v>49</v>
      </c>
      <c r="J3" s="69" t="s">
        <v>47</v>
      </c>
      <c r="K3" s="64" t="s">
        <v>48</v>
      </c>
      <c r="L3" s="102" t="s">
        <v>46</v>
      </c>
      <c r="M3" s="100" t="s">
        <v>71</v>
      </c>
      <c r="N3" s="101" t="s">
        <v>53</v>
      </c>
      <c r="O3" s="103" t="s">
        <v>66</v>
      </c>
      <c r="P3" s="104" t="s">
        <v>9</v>
      </c>
      <c r="Q3" s="89" t="s">
        <v>67</v>
      </c>
      <c r="R3" s="101" t="s">
        <v>70</v>
      </c>
      <c r="S3" s="91" t="s">
        <v>68</v>
      </c>
      <c r="T3" s="95" t="s">
        <v>69</v>
      </c>
      <c r="BT3" s="1"/>
      <c r="CC3" s="1"/>
      <c r="CD3" s="1"/>
      <c r="CE3" s="1"/>
      <c r="CF3" s="1"/>
      <c r="CG3" s="1"/>
      <c r="CH3" s="1"/>
    </row>
    <row r="4" spans="2:86" ht="50.5" customHeight="1" x14ac:dyDescent="0.5">
      <c r="B4" s="119" t="s">
        <v>44</v>
      </c>
      <c r="C4" s="119"/>
      <c r="D4" s="119"/>
      <c r="E4" s="119"/>
      <c r="F4" s="43">
        <v>240</v>
      </c>
      <c r="G4" s="50"/>
      <c r="I4" s="75" t="str">
        <f>B24</f>
        <v>SCENARIUSZ PODSTAWOWY BEZ WAKACJI KREDYTOWYCH</v>
      </c>
      <c r="J4" s="86">
        <f>E25</f>
        <v>445300.77768039296</v>
      </c>
      <c r="K4" s="86">
        <f>L25</f>
        <v>16800</v>
      </c>
      <c r="L4" s="97">
        <v>0</v>
      </c>
      <c r="M4" s="93"/>
      <c r="N4" s="87">
        <f>J4+K4-L4+M4</f>
        <v>462100.77768039296</v>
      </c>
      <c r="O4" s="86">
        <f>D25</f>
        <v>400000.00000000006</v>
      </c>
      <c r="P4" s="105" t="s">
        <v>65</v>
      </c>
      <c r="Q4" s="85">
        <f>O4</f>
        <v>400000.00000000006</v>
      </c>
      <c r="R4" s="87">
        <f>N4+Q4</f>
        <v>862100.77768039308</v>
      </c>
      <c r="S4" s="92">
        <f>MATCH(1000000000000,A$28:A$395,1)</f>
        <v>240</v>
      </c>
      <c r="T4" s="90">
        <f>EOMONTH($A$28,S4-1)</f>
        <v>52047</v>
      </c>
      <c r="BT4" s="1"/>
      <c r="CC4" s="1"/>
      <c r="CD4" s="1"/>
      <c r="CE4" s="1"/>
      <c r="CF4" s="1"/>
      <c r="CG4" s="1"/>
      <c r="CH4" s="1"/>
    </row>
    <row r="5" spans="2:86" ht="50.5" customHeight="1" x14ac:dyDescent="0.5">
      <c r="B5" s="119" t="s">
        <v>64</v>
      </c>
      <c r="C5" s="119"/>
      <c r="D5" s="119"/>
      <c r="E5" s="119"/>
      <c r="F5" s="41">
        <v>7.0000000000000007E-2</v>
      </c>
      <c r="G5" s="118"/>
      <c r="I5" s="75" t="str">
        <f>O24</f>
        <v>BIORĘ WAKACJE KREDYTOWE A PIENIĄDZE WYDAJĘ</v>
      </c>
      <c r="J5" s="86">
        <f>S25</f>
        <v>445300.77768039296</v>
      </c>
      <c r="K5" s="86">
        <f>Z25</f>
        <v>17360</v>
      </c>
      <c r="L5" s="97">
        <v>0</v>
      </c>
      <c r="M5" s="93"/>
      <c r="N5" s="87">
        <f t="shared" ref="N5:N9" si="0">J5+K5-L5+M5</f>
        <v>462660.77768039296</v>
      </c>
      <c r="O5" s="86">
        <f>R25</f>
        <v>400000.00000000006</v>
      </c>
      <c r="P5" s="105" t="s">
        <v>65</v>
      </c>
      <c r="Q5" s="85">
        <f>O5</f>
        <v>400000.00000000006</v>
      </c>
      <c r="R5" s="87">
        <f t="shared" ref="R5:R10" si="1">N5+Q5</f>
        <v>862660.77768039308</v>
      </c>
      <c r="S5" s="92">
        <f>MATCH(1000000000000,N$28:N$395,1)</f>
        <v>248</v>
      </c>
      <c r="T5" s="90">
        <f t="shared" ref="T5:T10" si="2">EOMONTH($A$28,S5-1)</f>
        <v>52290</v>
      </c>
      <c r="BT5" s="1"/>
      <c r="CC5" s="1"/>
      <c r="CD5" s="1"/>
      <c r="CE5" s="1"/>
      <c r="CF5" s="1"/>
      <c r="CG5" s="1"/>
      <c r="CH5" s="1"/>
    </row>
    <row r="6" spans="2:86" ht="50.5" customHeight="1" x14ac:dyDescent="0.5">
      <c r="B6" s="125" t="s">
        <v>63</v>
      </c>
      <c r="C6" s="119"/>
      <c r="D6" s="119"/>
      <c r="E6" s="119"/>
      <c r="F6" s="41">
        <v>1.7000000000000001E-2</v>
      </c>
      <c r="G6" s="118"/>
      <c r="I6" s="75" t="str">
        <f>AB24</f>
        <v>BIORĘ WAKACJE KREDYTOWE I NADPŁACAM KREDYT CO MIESIĄC, OBNIŻAJĄC WYSOKOŚĆ RATY</v>
      </c>
      <c r="J6" s="86">
        <f>AF25</f>
        <v>415330.07503437583</v>
      </c>
      <c r="K6" s="86">
        <f>AO25</f>
        <v>17360</v>
      </c>
      <c r="L6" s="97">
        <f>AL25</f>
        <v>38167.597154119168</v>
      </c>
      <c r="M6" s="93"/>
      <c r="N6" s="87">
        <f t="shared" si="0"/>
        <v>394522.47788025666</v>
      </c>
      <c r="O6" s="86">
        <f>AE25</f>
        <v>372678.45000000007</v>
      </c>
      <c r="P6" s="86">
        <f>AH25</f>
        <v>27321.55</v>
      </c>
      <c r="Q6" s="85">
        <f>O6+P6</f>
        <v>400000.00000000006</v>
      </c>
      <c r="R6" s="87">
        <f t="shared" si="1"/>
        <v>794522.47788025672</v>
      </c>
      <c r="S6" s="92">
        <f>MATCH(1000000000000,AB$28:AB$395,1)</f>
        <v>248</v>
      </c>
      <c r="T6" s="90">
        <f t="shared" si="2"/>
        <v>52290</v>
      </c>
      <c r="BT6" s="1"/>
      <c r="CC6" s="1"/>
      <c r="CD6" s="1"/>
      <c r="CE6" s="1"/>
      <c r="CF6" s="1"/>
      <c r="CG6" s="1"/>
      <c r="CH6" s="1"/>
    </row>
    <row r="7" spans="2:86" ht="50.5" customHeight="1" x14ac:dyDescent="0.5">
      <c r="B7" s="119" t="s">
        <v>23</v>
      </c>
      <c r="C7" s="119"/>
      <c r="D7" s="119"/>
      <c r="E7" s="119"/>
      <c r="F7" s="49">
        <f>F5+F6</f>
        <v>8.7000000000000008E-2</v>
      </c>
      <c r="G7" s="4"/>
      <c r="I7" s="75" t="str">
        <f>AQ24</f>
        <v>BIORĘ WAKACJE KREDYTOWE I NADPŁACAM KREDYT NA KONIEC WAKACJI KREDYTOWYCH, OBNIŻAJĄC WYSOKOŚĆ RATY</v>
      </c>
      <c r="J7" s="86">
        <f>AU25</f>
        <v>414339.23776789842</v>
      </c>
      <c r="K7" s="86">
        <f>BD25</f>
        <v>17360</v>
      </c>
      <c r="L7" s="97">
        <f>BA25</f>
        <v>37395.403247080503</v>
      </c>
      <c r="M7" s="93"/>
      <c r="N7" s="87">
        <f t="shared" si="0"/>
        <v>394303.83452081791</v>
      </c>
      <c r="O7" s="86">
        <f>AT25</f>
        <v>371042.90824730415</v>
      </c>
      <c r="P7" s="86">
        <f>AW25</f>
        <v>28957.091752695575</v>
      </c>
      <c r="Q7" s="85">
        <f t="shared" ref="Q7:Q9" si="3">O7+P7</f>
        <v>399999.99999999971</v>
      </c>
      <c r="R7" s="87">
        <f t="shared" si="1"/>
        <v>794303.83452081762</v>
      </c>
      <c r="S7" s="92">
        <f>MATCH(1000000000000,AQ$28:AQ$395,1)</f>
        <v>248</v>
      </c>
      <c r="T7" s="90">
        <f t="shared" si="2"/>
        <v>52290</v>
      </c>
      <c r="X7" s="5"/>
      <c r="BT7" s="1"/>
      <c r="CC7" s="1"/>
      <c r="CD7" s="1"/>
      <c r="CE7" s="1"/>
      <c r="CF7" s="1"/>
      <c r="CG7" s="1"/>
      <c r="CH7" s="1"/>
    </row>
    <row r="8" spans="2:86" ht="50.5" customHeight="1" x14ac:dyDescent="0.5">
      <c r="B8" s="119" t="s">
        <v>54</v>
      </c>
      <c r="C8" s="119"/>
      <c r="D8" s="119"/>
      <c r="E8" s="119"/>
      <c r="F8" s="44" t="s">
        <v>11</v>
      </c>
      <c r="I8" s="75" t="str">
        <f>BF24</f>
        <v>BIORĘ WAKACJE KREDYTOWE I NADPŁACAM CO MIESIĄC KREDYT SKRACAJĄC OKRES KREDYTU</v>
      </c>
      <c r="J8" s="86">
        <f>BJ25</f>
        <v>337603.18107163324</v>
      </c>
      <c r="K8" s="86">
        <f>BS25</f>
        <v>14700</v>
      </c>
      <c r="L8" s="97">
        <f>BP25</f>
        <v>9848.5208532658289</v>
      </c>
      <c r="M8" s="93"/>
      <c r="N8" s="87">
        <f t="shared" si="0"/>
        <v>342454.66021836741</v>
      </c>
      <c r="O8" s="86">
        <f>BI25</f>
        <v>371823.25999999978</v>
      </c>
      <c r="P8" s="86">
        <f>BL25</f>
        <v>28176.739999999998</v>
      </c>
      <c r="Q8" s="85">
        <f t="shared" si="3"/>
        <v>399999.99999999977</v>
      </c>
      <c r="R8" s="87">
        <f t="shared" si="1"/>
        <v>742454.66021836712</v>
      </c>
      <c r="S8" s="92">
        <f>MATCH(1000000000000,BF$28:BF$395,1)</f>
        <v>210</v>
      </c>
      <c r="T8" s="90">
        <f t="shared" si="2"/>
        <v>51135</v>
      </c>
      <c r="BT8" s="1"/>
      <c r="CC8" s="1"/>
      <c r="CD8" s="1"/>
      <c r="CE8" s="1"/>
      <c r="CF8" s="1"/>
      <c r="CG8" s="1"/>
      <c r="CH8" s="1"/>
    </row>
    <row r="9" spans="2:86" ht="50.5" customHeight="1" x14ac:dyDescent="0.5">
      <c r="B9" s="119" t="s">
        <v>61</v>
      </c>
      <c r="C9" s="119"/>
      <c r="D9" s="119"/>
      <c r="E9" s="119"/>
      <c r="F9" s="84">
        <v>0.03</v>
      </c>
      <c r="I9" s="75" t="str">
        <f>BU24</f>
        <v>BIORĘ WAKACJE KREDYTOWE I NADPŁACAM KREDYT NA KONIEC WAKACJI KREDYTOWYCH SKRACAJĄC OKRES KREDYTU</v>
      </c>
      <c r="J9" s="86">
        <f>BY25</f>
        <v>339444.06899362279</v>
      </c>
      <c r="K9" s="86">
        <f>CH25</f>
        <v>14700</v>
      </c>
      <c r="L9" s="97">
        <f>CE25</f>
        <v>9848.9691905218351</v>
      </c>
      <c r="M9" s="93"/>
      <c r="N9" s="87">
        <f t="shared" si="0"/>
        <v>344295.09980310092</v>
      </c>
      <c r="O9" s="86">
        <f>BX25</f>
        <v>371042.90824730473</v>
      </c>
      <c r="P9" s="86">
        <f>CA25</f>
        <v>28957.091752695575</v>
      </c>
      <c r="Q9" s="85">
        <f t="shared" si="3"/>
        <v>400000.00000000029</v>
      </c>
      <c r="R9" s="87">
        <f t="shared" si="1"/>
        <v>744295.09980310127</v>
      </c>
      <c r="S9" s="92">
        <f>MATCH(1000000000000,BU$28:BU$395,1)</f>
        <v>210</v>
      </c>
      <c r="T9" s="90">
        <f t="shared" si="2"/>
        <v>51135</v>
      </c>
      <c r="BT9" s="1"/>
      <c r="CC9" s="1"/>
      <c r="CD9" s="1"/>
      <c r="CE9" s="1"/>
      <c r="CF9" s="1"/>
      <c r="CG9" s="1"/>
      <c r="CH9" s="1"/>
    </row>
    <row r="10" spans="2:86" ht="50.5" customHeight="1" thickBot="1" x14ac:dyDescent="0.55000000000000004">
      <c r="B10" s="119" t="s">
        <v>62</v>
      </c>
      <c r="C10" s="119"/>
      <c r="D10" s="119"/>
      <c r="E10" s="119"/>
      <c r="F10" s="44">
        <v>48</v>
      </c>
      <c r="I10" s="75" t="str">
        <f>CJ24</f>
        <v>BIORĘ WAKACJE KREDYTOWE A UZYSKANE ŚRODKI LOKUJĘ (NIE NADPŁACAM)</v>
      </c>
      <c r="J10" s="86">
        <f>E25</f>
        <v>445300.77768039296</v>
      </c>
      <c r="K10" s="86">
        <f>Z25</f>
        <v>17360</v>
      </c>
      <c r="L10" s="97">
        <f>CN25</f>
        <v>44035.909917001227</v>
      </c>
      <c r="M10" s="94"/>
      <c r="N10" s="88">
        <f>J10+K10-L10+M10</f>
        <v>418624.86776339175</v>
      </c>
      <c r="O10" s="86">
        <f>O4</f>
        <v>400000.00000000006</v>
      </c>
      <c r="P10" s="105" t="s">
        <v>65</v>
      </c>
      <c r="Q10" s="85">
        <f>O10</f>
        <v>400000.00000000006</v>
      </c>
      <c r="R10" s="88">
        <f t="shared" si="1"/>
        <v>818624.86776339181</v>
      </c>
      <c r="S10" s="92">
        <f>MATCH(1000000000000,CJ$28:CJ$395,1)</f>
        <v>248</v>
      </c>
      <c r="T10" s="90">
        <f t="shared" si="2"/>
        <v>52290</v>
      </c>
      <c r="BT10" s="1"/>
      <c r="CC10" s="1"/>
      <c r="CD10" s="1"/>
      <c r="CE10" s="1"/>
      <c r="CF10" s="1"/>
      <c r="CG10" s="1"/>
      <c r="CH10" s="1"/>
    </row>
    <row r="11" spans="2:86" ht="50.5" customHeight="1" x14ac:dyDescent="0.45">
      <c r="B11" s="119" t="s">
        <v>35</v>
      </c>
      <c r="C11" s="119"/>
      <c r="D11" s="119"/>
      <c r="E11" s="119"/>
      <c r="F11" s="45" t="s">
        <v>7</v>
      </c>
      <c r="G11" s="19"/>
      <c r="R11" s="6"/>
      <c r="BT11" s="1"/>
      <c r="CC11" s="1"/>
      <c r="CD11" s="1"/>
      <c r="CE11" s="1"/>
      <c r="CF11" s="1"/>
      <c r="CG11" s="1"/>
      <c r="CH11" s="1"/>
    </row>
    <row r="12" spans="2:86" ht="26.25" customHeight="1" x14ac:dyDescent="0.45">
      <c r="B12" s="58"/>
      <c r="C12" s="58"/>
      <c r="D12" s="58"/>
      <c r="E12" s="58"/>
      <c r="F12" s="59"/>
      <c r="G12" s="19"/>
      <c r="M12" s="46"/>
      <c r="R12" s="6"/>
      <c r="BT12" s="1"/>
      <c r="CC12" s="1"/>
      <c r="CD12" s="1"/>
      <c r="CE12" s="1"/>
      <c r="CF12" s="1"/>
      <c r="CG12" s="1"/>
      <c r="CH12" s="1"/>
    </row>
    <row r="13" spans="2:86" ht="19" customHeight="1" x14ac:dyDescent="0.45">
      <c r="B13" s="74" t="s">
        <v>51</v>
      </c>
      <c r="M13" s="46"/>
      <c r="P13" s="6"/>
      <c r="Q13" s="6"/>
      <c r="U13" s="6"/>
      <c r="V13" s="2"/>
      <c r="W13" s="2"/>
      <c r="X13" s="4"/>
      <c r="Y13" s="4"/>
      <c r="Z13" s="4"/>
      <c r="BT13" s="1"/>
      <c r="CC13" s="1"/>
      <c r="CD13" s="1"/>
      <c r="CE13" s="1"/>
      <c r="CF13" s="1"/>
      <c r="CG13" s="1"/>
      <c r="CH13" s="1"/>
    </row>
    <row r="14" spans="2:86" ht="52" customHeight="1" x14ac:dyDescent="0.45">
      <c r="B14" s="119" t="s">
        <v>36</v>
      </c>
      <c r="C14" s="119"/>
      <c r="D14" s="119"/>
      <c r="E14" s="119"/>
      <c r="F14" s="42">
        <v>20</v>
      </c>
      <c r="I14" s="20"/>
      <c r="J14" s="20"/>
      <c r="M14" s="46"/>
      <c r="P14" s="6"/>
      <c r="Q14" s="6"/>
      <c r="U14" s="6"/>
      <c r="BT14" s="1"/>
      <c r="CC14" s="1"/>
      <c r="CD14" s="1"/>
      <c r="CE14" s="1"/>
      <c r="CF14" s="1"/>
      <c r="CG14" s="1"/>
      <c r="CH14" s="1"/>
    </row>
    <row r="15" spans="2:86" ht="43.5" customHeight="1" x14ac:dyDescent="0.45">
      <c r="B15" s="119" t="s">
        <v>37</v>
      </c>
      <c r="C15" s="119"/>
      <c r="D15" s="119"/>
      <c r="E15" s="119"/>
      <c r="F15" s="123">
        <v>1E-4</v>
      </c>
      <c r="G15" s="39"/>
      <c r="I15" s="20"/>
      <c r="J15" s="20"/>
      <c r="M15" s="46"/>
      <c r="Q15" s="6"/>
      <c r="AH15" s="6"/>
      <c r="AW15" s="6"/>
      <c r="BL15" s="6"/>
      <c r="BT15" s="1"/>
      <c r="CA15" s="6"/>
      <c r="CC15" s="1"/>
      <c r="CD15" s="1"/>
      <c r="CE15" s="1"/>
      <c r="CF15" s="1"/>
      <c r="CG15" s="1"/>
      <c r="CH15" s="1"/>
    </row>
    <row r="16" spans="2:86" ht="32" customHeight="1" x14ac:dyDescent="0.45">
      <c r="B16" s="120" t="s">
        <v>26</v>
      </c>
      <c r="C16" s="121"/>
      <c r="D16" s="121"/>
      <c r="E16" s="122"/>
      <c r="F16" s="124"/>
      <c r="G16" s="39"/>
      <c r="I16" s="20"/>
      <c r="J16" s="20"/>
      <c r="M16" s="46"/>
      <c r="Q16" s="6"/>
      <c r="BT16" s="1"/>
      <c r="CC16" s="1"/>
      <c r="CD16" s="1"/>
      <c r="CE16" s="1"/>
      <c r="CF16" s="1"/>
      <c r="CG16" s="1"/>
      <c r="CH16" s="1"/>
    </row>
    <row r="17" spans="1:92" ht="26.25" customHeight="1" x14ac:dyDescent="0.45">
      <c r="B17" s="74"/>
      <c r="C17" s="58"/>
      <c r="D17" s="58"/>
      <c r="E17" s="58"/>
      <c r="F17" s="59"/>
      <c r="G17" s="19"/>
      <c r="M17" s="46"/>
      <c r="Q17" s="6"/>
      <c r="BT17" s="1"/>
      <c r="CC17" s="1"/>
      <c r="CD17" s="1"/>
      <c r="CE17" s="1"/>
      <c r="CF17" s="1"/>
      <c r="CG17" s="1"/>
      <c r="CH17" s="1"/>
    </row>
    <row r="18" spans="1:92" ht="20.5" x14ac:dyDescent="0.45">
      <c r="B18" s="74" t="s">
        <v>38</v>
      </c>
      <c r="M18" s="46"/>
      <c r="R18" s="6"/>
      <c r="BT18" s="1"/>
      <c r="CC18" s="1"/>
      <c r="CD18" s="1"/>
      <c r="CE18" s="1"/>
      <c r="CF18" s="1"/>
      <c r="CG18" s="1"/>
      <c r="CH18" s="1"/>
    </row>
    <row r="19" spans="1:92" ht="48" customHeight="1" x14ac:dyDescent="0.45">
      <c r="B19" s="119" t="s">
        <v>22</v>
      </c>
      <c r="C19" s="119"/>
      <c r="D19" s="119"/>
      <c r="E19" s="119"/>
      <c r="F19" s="41">
        <v>0.06</v>
      </c>
      <c r="M19" s="46"/>
      <c r="R19" s="6"/>
      <c r="BT19" s="1"/>
      <c r="CC19" s="1"/>
      <c r="CD19" s="1"/>
      <c r="CE19" s="1"/>
      <c r="CF19" s="1"/>
      <c r="CG19" s="1"/>
      <c r="CH19" s="1"/>
    </row>
    <row r="20" spans="1:92" ht="24" customHeight="1" x14ac:dyDescent="0.45">
      <c r="B20" s="52" t="s">
        <v>21</v>
      </c>
      <c r="C20" s="53"/>
      <c r="D20" s="53"/>
      <c r="E20" s="53"/>
      <c r="F20" s="49">
        <v>0.19</v>
      </c>
      <c r="M20" s="46"/>
      <c r="R20" s="6"/>
      <c r="AA20" s="20"/>
      <c r="BT20" s="1"/>
      <c r="CC20" s="1"/>
      <c r="CD20" s="1"/>
      <c r="CE20" s="1"/>
      <c r="CF20" s="1"/>
      <c r="CG20" s="1"/>
      <c r="CH20" s="1"/>
    </row>
    <row r="21" spans="1:92" ht="24" customHeight="1" x14ac:dyDescent="0.45">
      <c r="B21" s="52" t="s">
        <v>19</v>
      </c>
      <c r="C21" s="53"/>
      <c r="D21" s="53"/>
      <c r="E21" s="53"/>
      <c r="F21" s="40" t="s">
        <v>17</v>
      </c>
      <c r="M21" s="46"/>
      <c r="R21" s="6"/>
      <c r="AA21" s="20"/>
      <c r="BT21" s="1"/>
      <c r="CC21" s="1"/>
      <c r="CD21" s="1"/>
      <c r="CE21" s="1"/>
      <c r="CF21" s="1"/>
      <c r="CG21" s="1"/>
      <c r="CH21" s="1"/>
    </row>
    <row r="22" spans="1:92" ht="12" customHeight="1" x14ac:dyDescent="0.45">
      <c r="M22" s="46"/>
      <c r="R22" s="6"/>
      <c r="AH22" s="6"/>
      <c r="AI22" s="6"/>
      <c r="AJ22" s="6"/>
      <c r="AK22" s="6"/>
      <c r="AW22" s="6"/>
      <c r="AX22" s="6"/>
      <c r="AY22" s="6"/>
      <c r="AZ22" s="6"/>
      <c r="BL22" s="6"/>
      <c r="BM22" s="6"/>
      <c r="BN22" s="6"/>
      <c r="BO22" s="6"/>
      <c r="BT22" s="1"/>
      <c r="CA22" s="6"/>
      <c r="CB22" s="6"/>
      <c r="CC22" s="6"/>
      <c r="CD22" s="6"/>
      <c r="CE22" s="1"/>
      <c r="CF22" s="1"/>
      <c r="CG22" s="1"/>
      <c r="CH22" s="1"/>
    </row>
    <row r="23" spans="1:92" s="3" customFormat="1" x14ac:dyDescent="0.45">
      <c r="A23" s="66"/>
      <c r="M23" s="46"/>
      <c r="AH23" s="30"/>
      <c r="AI23" s="30"/>
      <c r="AJ23" s="30"/>
      <c r="AK23" s="30"/>
      <c r="AW23" s="30"/>
      <c r="AX23" s="30"/>
      <c r="AY23" s="30"/>
      <c r="AZ23" s="30"/>
      <c r="BL23" s="30"/>
      <c r="BM23" s="30"/>
      <c r="BN23" s="30"/>
      <c r="BO23" s="30"/>
      <c r="BT23" s="1"/>
      <c r="CA23" s="30"/>
      <c r="CB23" s="30"/>
      <c r="CC23" s="30"/>
      <c r="CD23" s="30"/>
    </row>
    <row r="24" spans="1:92" s="3" customFormat="1" ht="33" customHeight="1" x14ac:dyDescent="0.45">
      <c r="A24" s="66"/>
      <c r="B24" s="114" t="s">
        <v>25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6"/>
      <c r="M24" s="46"/>
      <c r="O24" s="117" t="s">
        <v>33</v>
      </c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B24" s="113" t="s">
        <v>40</v>
      </c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63"/>
      <c r="AN24" s="63"/>
      <c r="AO24" s="63"/>
      <c r="AQ24" s="110" t="s">
        <v>57</v>
      </c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83"/>
      <c r="BF24" s="110" t="s">
        <v>59</v>
      </c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2"/>
      <c r="BT24" s="1"/>
      <c r="BU24" s="110" t="s">
        <v>60</v>
      </c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2"/>
      <c r="CJ24" s="113" t="s">
        <v>50</v>
      </c>
      <c r="CK24" s="113"/>
      <c r="CL24" s="113"/>
      <c r="CM24" s="113"/>
      <c r="CN24" s="113"/>
    </row>
    <row r="25" spans="1:92" s="3" customFormat="1" ht="16.5" customHeight="1" x14ac:dyDescent="0.45">
      <c r="A25" s="66"/>
      <c r="B25" s="7" t="s">
        <v>15</v>
      </c>
      <c r="C25" s="60">
        <f>SUM(C27:C395)</f>
        <v>845302.77999999758</v>
      </c>
      <c r="D25" s="61">
        <f>SUM(D27:D395)</f>
        <v>400000.00000000006</v>
      </c>
      <c r="E25" s="61">
        <f>SUM(E27:E395)</f>
        <v>445300.77768039296</v>
      </c>
      <c r="F25" s="61"/>
      <c r="G25" s="61"/>
      <c r="H25" s="61"/>
      <c r="I25" s="61"/>
      <c r="J25" s="61">
        <f>SUM(J27:J395)</f>
        <v>4800</v>
      </c>
      <c r="K25" s="61">
        <f>SUM(K27:K395)</f>
        <v>12000</v>
      </c>
      <c r="L25" s="61">
        <f>SUM(L27:L395)</f>
        <v>16800</v>
      </c>
      <c r="O25" s="29" t="s">
        <v>15</v>
      </c>
      <c r="P25" s="29"/>
      <c r="Q25" s="31">
        <f>SUM(Q27:Q395)</f>
        <v>845302.77999999758</v>
      </c>
      <c r="R25" s="22">
        <f>SUM(R27:R395)</f>
        <v>400000.00000000006</v>
      </c>
      <c r="S25" s="22">
        <f>SUM(S27:S395)</f>
        <v>445300.77768039296</v>
      </c>
      <c r="T25" s="22"/>
      <c r="U25" s="22"/>
      <c r="V25" s="22"/>
      <c r="W25" s="22"/>
      <c r="X25" s="22">
        <f>SUM(X27:X395)</f>
        <v>4960</v>
      </c>
      <c r="Y25" s="22">
        <f>SUM(Y27:Y395)</f>
        <v>12400</v>
      </c>
      <c r="Z25" s="22">
        <f>SUM(Z27:Z395)</f>
        <v>17360</v>
      </c>
      <c r="AB25" s="29" t="s">
        <v>15</v>
      </c>
      <c r="AC25" s="29"/>
      <c r="AD25" s="22">
        <f>SUM(AD27:AD395)</f>
        <v>788010.53000000329</v>
      </c>
      <c r="AE25" s="22">
        <f>SUM(AE27:AE395)</f>
        <v>372678.45000000007</v>
      </c>
      <c r="AF25" s="22">
        <f>SUM(AF27:AF395)</f>
        <v>415330.07503437583</v>
      </c>
      <c r="AG25" s="62"/>
      <c r="AH25" s="22">
        <f>SUM(AH27:AH395)</f>
        <v>27321.55</v>
      </c>
      <c r="AI25" s="22"/>
      <c r="AJ25" s="22">
        <f>SUM(AJ27:AJ395)</f>
        <v>29970.700000000055</v>
      </c>
      <c r="AK25" s="22">
        <f>AJ25+AL25</f>
        <v>68138.297154119224</v>
      </c>
      <c r="AL25" s="22">
        <f>IF($F$21=listy!$G$14,(INDEX(AL28:AL395,MATCH(1000000000,AL28:AL395,1)))*(1-'RZĄDOWY PROGRAM'!$F$20),INDEX(AL28:AL395,MATCH(1000000000,AL28:AL395,1)))</f>
        <v>38167.597154119168</v>
      </c>
      <c r="AM25" s="22">
        <f>SUM(AM27:AM395)</f>
        <v>4960</v>
      </c>
      <c r="AN25" s="22">
        <f>SUM(AN27:AN395)</f>
        <v>12400</v>
      </c>
      <c r="AO25" s="22">
        <f>SUM(AO27:AO395)</f>
        <v>17360</v>
      </c>
      <c r="AQ25" s="81" t="s">
        <v>15</v>
      </c>
      <c r="AR25" s="81"/>
      <c r="AS25" s="61">
        <f>SUM(AS27:AS395)</f>
        <v>785384.14999999723</v>
      </c>
      <c r="AT25" s="61">
        <f>SUM(AT27:AT395)</f>
        <v>371042.90824730415</v>
      </c>
      <c r="AU25" s="61">
        <f>SUM(AU27:AU395)</f>
        <v>414339.23776789842</v>
      </c>
      <c r="AV25" s="82"/>
      <c r="AW25" s="61">
        <f>SUM(AW27:AW395)</f>
        <v>28957.091752695575</v>
      </c>
      <c r="AX25" s="61"/>
      <c r="AY25" s="61">
        <f>SUM(AY27:AY395)</f>
        <v>59918.629999999896</v>
      </c>
      <c r="AZ25" s="96">
        <f>AY25+BA25</f>
        <v>97314.033247080399</v>
      </c>
      <c r="BA25" s="96">
        <f>IF($F$21=listy!$G$14,(INDEX(BA28:BA395,MATCH(1000000000,BA28:BA395,1)))*(1-'RZĄDOWY PROGRAM'!$F$20),INDEX(BA28:BA395,MATCH(1000000000,BA28:BA395,1)))</f>
        <v>37395.403247080503</v>
      </c>
      <c r="BB25" s="61">
        <f>SUM(BB27:BB395)</f>
        <v>4960</v>
      </c>
      <c r="BC25" s="61">
        <f>SUM(BC27:BC395)</f>
        <v>12400</v>
      </c>
      <c r="BD25" s="61">
        <f>SUM(BD27:BD395)</f>
        <v>17360</v>
      </c>
      <c r="BF25" s="29" t="s">
        <v>15</v>
      </c>
      <c r="BG25" s="29"/>
      <c r="BH25" s="22">
        <f>SUM(BH27:BH395)</f>
        <v>711463.28999999864</v>
      </c>
      <c r="BI25" s="22">
        <f>SUM(BI27:BI395)</f>
        <v>371823.25999999978</v>
      </c>
      <c r="BJ25" s="22">
        <f>SUM(BJ27:BJ395)</f>
        <v>337603.18107163324</v>
      </c>
      <c r="BK25" s="62"/>
      <c r="BL25" s="22">
        <f>SUM(BL27:BL395)</f>
        <v>28176.739999999998</v>
      </c>
      <c r="BM25" s="22"/>
      <c r="BN25" s="22">
        <f>SUM(BN27:BN395)</f>
        <v>105662.78000000003</v>
      </c>
      <c r="BO25" s="22">
        <f>BN25+BP25</f>
        <v>115511.30085326586</v>
      </c>
      <c r="BP25" s="22">
        <f>IF($F$21=listy!$G$14,(INDEX(BP28:BP395,MATCH(1000000000,BP28:BP395,1)))*(1-'RZĄDOWY PROGRAM'!$F$20),INDEX(BP28:BP395,MATCH(1000000000,BP28:BP395,1)))</f>
        <v>9848.5208532658289</v>
      </c>
      <c r="BQ25" s="22">
        <f>SUM(BQ27:BQ395)</f>
        <v>4200</v>
      </c>
      <c r="BR25" s="22">
        <f>SUM(BR27:BR395)</f>
        <v>10500</v>
      </c>
      <c r="BS25" s="22">
        <f>SUM(BS27:BS395)</f>
        <v>14700</v>
      </c>
      <c r="BU25" s="29" t="s">
        <v>15</v>
      </c>
      <c r="BV25" s="29"/>
      <c r="BW25" s="22">
        <f>SUM(BW27:BW395)</f>
        <v>711462.89999999839</v>
      </c>
      <c r="BX25" s="22">
        <f>SUM(BX27:BX395)</f>
        <v>371042.90824730473</v>
      </c>
      <c r="BY25" s="22">
        <f>SUM(BY27:BY395)</f>
        <v>339444.06899362279</v>
      </c>
      <c r="BZ25" s="62"/>
      <c r="CA25" s="22">
        <f>SUM(CA27:CA395)</f>
        <v>28957.091752695575</v>
      </c>
      <c r="CB25" s="22"/>
      <c r="CC25" s="22">
        <f>SUM(CC27:CC395)</f>
        <v>133839.87999999998</v>
      </c>
      <c r="CD25" s="22">
        <f>CC25+CE25</f>
        <v>143688.84919052181</v>
      </c>
      <c r="CE25" s="99">
        <f>IF($F$21=listy!$G$14,(INDEX(CE28:CE395,MATCH(1000000000,CE28:CE395,1)))*(1-'RZĄDOWY PROGRAM'!$F$20),INDEX(CE28:CE395,MATCH(1000000000,CE28:CE395,1)))</f>
        <v>9848.9691905218351</v>
      </c>
      <c r="CF25" s="22">
        <f>SUM(CF27:CF395)</f>
        <v>4200</v>
      </c>
      <c r="CG25" s="22">
        <f>SUM(CG27:CG395)</f>
        <v>10500</v>
      </c>
      <c r="CH25" s="22">
        <f>SUM(CH27:CH395)</f>
        <v>14700</v>
      </c>
      <c r="CJ25" s="62"/>
      <c r="CK25" s="62"/>
      <c r="CL25" s="22">
        <f>SUM(CL27:CL395)</f>
        <v>-5.0022208597511053E-12</v>
      </c>
      <c r="CM25" s="47">
        <f>CN25+CL25</f>
        <v>44035.90991700122</v>
      </c>
      <c r="CN25" s="22">
        <f>IF($F$21=listy!$G$14,(INDEX(CN28:CN395,MATCH(1000000000,CN28:CN395,1)))*(1-'RZĄDOWY PROGRAM'!$F$20),INDEX(CN28:CN395,MATCH(1000000000,CN28:CN395,1)))</f>
        <v>44035.909917001227</v>
      </c>
    </row>
    <row r="26" spans="1:92" s="3" customFormat="1" ht="156" customHeight="1" x14ac:dyDescent="0.45">
      <c r="A26" s="67"/>
      <c r="B26" s="12" t="s">
        <v>13</v>
      </c>
      <c r="C26" s="32" t="s">
        <v>2</v>
      </c>
      <c r="D26" s="13" t="s">
        <v>3</v>
      </c>
      <c r="E26" s="14" t="s">
        <v>1</v>
      </c>
      <c r="F26" s="15" t="s">
        <v>0</v>
      </c>
      <c r="G26" s="16" t="s">
        <v>4</v>
      </c>
      <c r="H26" s="16" t="s">
        <v>5</v>
      </c>
      <c r="I26" s="16" t="s">
        <v>6</v>
      </c>
      <c r="J26" s="55" t="s">
        <v>28</v>
      </c>
      <c r="K26" s="55" t="s">
        <v>29</v>
      </c>
      <c r="L26" s="55" t="s">
        <v>32</v>
      </c>
      <c r="N26" s="21"/>
      <c r="O26" s="12" t="s">
        <v>13</v>
      </c>
      <c r="P26" s="12" t="s">
        <v>34</v>
      </c>
      <c r="Q26" s="32" t="s">
        <v>2</v>
      </c>
      <c r="R26" s="13" t="s">
        <v>3</v>
      </c>
      <c r="S26" s="14" t="s">
        <v>1</v>
      </c>
      <c r="T26" s="15" t="s">
        <v>0</v>
      </c>
      <c r="U26" s="16" t="s">
        <v>4</v>
      </c>
      <c r="V26" s="16" t="s">
        <v>5</v>
      </c>
      <c r="W26" s="16" t="s">
        <v>6</v>
      </c>
      <c r="X26" s="55" t="s">
        <v>28</v>
      </c>
      <c r="Y26" s="55" t="s">
        <v>29</v>
      </c>
      <c r="Z26" s="55" t="s">
        <v>32</v>
      </c>
      <c r="AB26" s="23" t="s">
        <v>13</v>
      </c>
      <c r="AC26" s="23" t="s">
        <v>34</v>
      </c>
      <c r="AD26" s="24" t="s">
        <v>2</v>
      </c>
      <c r="AE26" s="25" t="s">
        <v>3</v>
      </c>
      <c r="AF26" s="26" t="s">
        <v>1</v>
      </c>
      <c r="AG26" s="28" t="s">
        <v>0</v>
      </c>
      <c r="AH26" s="27" t="s">
        <v>9</v>
      </c>
      <c r="AI26" s="70" t="s">
        <v>45</v>
      </c>
      <c r="AJ26" s="71" t="s">
        <v>41</v>
      </c>
      <c r="AK26" s="71" t="s">
        <v>42</v>
      </c>
      <c r="AL26" s="71" t="s">
        <v>55</v>
      </c>
      <c r="AM26" s="55" t="s">
        <v>28</v>
      </c>
      <c r="AN26" s="55" t="s">
        <v>29</v>
      </c>
      <c r="AO26" s="55" t="s">
        <v>32</v>
      </c>
      <c r="AQ26" s="23" t="s">
        <v>13</v>
      </c>
      <c r="AR26" s="23" t="s">
        <v>34</v>
      </c>
      <c r="AS26" s="24" t="s">
        <v>2</v>
      </c>
      <c r="AT26" s="25" t="s">
        <v>3</v>
      </c>
      <c r="AU26" s="26" t="s">
        <v>1</v>
      </c>
      <c r="AV26" s="28" t="s">
        <v>0</v>
      </c>
      <c r="AW26" s="27" t="s">
        <v>9</v>
      </c>
      <c r="AX26" s="70" t="s">
        <v>45</v>
      </c>
      <c r="AY26" s="71" t="s">
        <v>41</v>
      </c>
      <c r="AZ26" s="71" t="s">
        <v>42</v>
      </c>
      <c r="BA26" s="71" t="s">
        <v>55</v>
      </c>
      <c r="BB26" s="55" t="s">
        <v>28</v>
      </c>
      <c r="BC26" s="55" t="s">
        <v>29</v>
      </c>
      <c r="BD26" s="55" t="s">
        <v>32</v>
      </c>
      <c r="BF26" s="23" t="s">
        <v>13</v>
      </c>
      <c r="BG26" s="23" t="s">
        <v>34</v>
      </c>
      <c r="BH26" s="24" t="s">
        <v>2</v>
      </c>
      <c r="BI26" s="25" t="s">
        <v>3</v>
      </c>
      <c r="BJ26" s="26" t="s">
        <v>1</v>
      </c>
      <c r="BK26" s="28" t="s">
        <v>0</v>
      </c>
      <c r="BL26" s="27" t="s">
        <v>9</v>
      </c>
      <c r="BM26" s="70" t="s">
        <v>58</v>
      </c>
      <c r="BN26" s="71" t="s">
        <v>41</v>
      </c>
      <c r="BO26" s="71" t="s">
        <v>42</v>
      </c>
      <c r="BP26" s="71" t="s">
        <v>55</v>
      </c>
      <c r="BQ26" s="55" t="s">
        <v>28</v>
      </c>
      <c r="BR26" s="55" t="s">
        <v>29</v>
      </c>
      <c r="BS26" s="55" t="s">
        <v>32</v>
      </c>
      <c r="BU26" s="23" t="s">
        <v>13</v>
      </c>
      <c r="BV26" s="23" t="s">
        <v>34</v>
      </c>
      <c r="BW26" s="24" t="s">
        <v>2</v>
      </c>
      <c r="BX26" s="25" t="s">
        <v>3</v>
      </c>
      <c r="BY26" s="26" t="s">
        <v>1</v>
      </c>
      <c r="BZ26" s="28" t="s">
        <v>0</v>
      </c>
      <c r="CA26" s="27" t="s">
        <v>9</v>
      </c>
      <c r="CB26" s="70" t="s">
        <v>58</v>
      </c>
      <c r="CC26" s="71" t="s">
        <v>41</v>
      </c>
      <c r="CD26" s="71" t="s">
        <v>42</v>
      </c>
      <c r="CE26" s="71" t="s">
        <v>55</v>
      </c>
      <c r="CF26" s="55" t="s">
        <v>28</v>
      </c>
      <c r="CG26" s="55" t="s">
        <v>29</v>
      </c>
      <c r="CH26" s="55" t="s">
        <v>32</v>
      </c>
      <c r="CJ26" s="71" t="s">
        <v>10</v>
      </c>
      <c r="CK26" s="71" t="s">
        <v>14</v>
      </c>
      <c r="CL26" s="71" t="s">
        <v>39</v>
      </c>
      <c r="CM26" s="71" t="s">
        <v>16</v>
      </c>
      <c r="CN26" s="71" t="s">
        <v>56</v>
      </c>
    </row>
    <row r="27" spans="1:92" s="3" customFormat="1" ht="29.25" customHeight="1" x14ac:dyDescent="0.45">
      <c r="A27" s="68" t="s">
        <v>27</v>
      </c>
      <c r="B27" s="8"/>
      <c r="C27" s="33"/>
      <c r="D27" s="8"/>
      <c r="E27" s="8"/>
      <c r="F27" s="9">
        <f>F2</f>
        <v>400000</v>
      </c>
      <c r="G27" s="10"/>
      <c r="H27" s="10"/>
      <c r="I27" s="10"/>
      <c r="J27" s="51"/>
      <c r="L27" s="8"/>
      <c r="N27" s="54" t="s">
        <v>27</v>
      </c>
      <c r="O27" s="8"/>
      <c r="P27" s="8"/>
      <c r="Q27" s="33"/>
      <c r="R27" s="8"/>
      <c r="S27" s="8"/>
      <c r="T27" s="9">
        <f>$F$2</f>
        <v>400000</v>
      </c>
      <c r="U27" s="10"/>
      <c r="V27" s="10"/>
      <c r="W27" s="10"/>
      <c r="X27" s="51"/>
      <c r="Z27" s="8"/>
      <c r="AB27" s="8"/>
      <c r="AC27" s="8"/>
      <c r="AD27" s="8"/>
      <c r="AE27" s="8"/>
      <c r="AF27" s="8"/>
      <c r="AG27" s="9">
        <f>F2</f>
        <v>400000</v>
      </c>
      <c r="AH27" s="8"/>
      <c r="AI27" s="20"/>
      <c r="AJ27" s="20"/>
      <c r="AK27" s="20"/>
      <c r="AL27" s="20"/>
      <c r="AM27" s="51"/>
      <c r="AO27" s="8"/>
      <c r="AQ27" s="8"/>
      <c r="AR27" s="8"/>
      <c r="AS27" s="8"/>
      <c r="AT27" s="8"/>
      <c r="AU27" s="8"/>
      <c r="AV27" s="9">
        <f>$F$2</f>
        <v>400000</v>
      </c>
      <c r="AW27" s="8"/>
      <c r="AX27" s="20"/>
      <c r="AY27" s="20"/>
      <c r="AZ27" s="20"/>
      <c r="BA27" s="20"/>
      <c r="BB27" s="51"/>
      <c r="BD27" s="8"/>
      <c r="BF27" s="8"/>
      <c r="BG27" s="8"/>
      <c r="BH27" s="8"/>
      <c r="BI27" s="8"/>
      <c r="BJ27" s="8"/>
      <c r="BK27" s="9">
        <f>$F$2</f>
        <v>400000</v>
      </c>
      <c r="BL27" s="8"/>
      <c r="BM27" s="20"/>
      <c r="BN27" s="20"/>
      <c r="BO27" s="20"/>
      <c r="BP27" s="20"/>
      <c r="BQ27" s="51"/>
      <c r="BS27" s="8"/>
      <c r="BU27" s="8"/>
      <c r="BV27" s="8"/>
      <c r="BW27" s="8"/>
      <c r="BX27" s="8"/>
      <c r="BY27" s="8"/>
      <c r="BZ27" s="9">
        <f>$F$2</f>
        <v>400000</v>
      </c>
      <c r="CA27" s="8"/>
      <c r="CB27" s="20"/>
      <c r="CC27" s="20"/>
      <c r="CD27" s="20"/>
      <c r="CE27" s="20"/>
      <c r="CF27" s="51"/>
      <c r="CH27" s="8"/>
      <c r="CJ27" s="17" t="str">
        <f>IF(AB27&lt;&gt;0,IF(AB27&gt;=#REF!,$F$19,0),"")</f>
        <v/>
      </c>
      <c r="CK27" s="18"/>
      <c r="CL27" s="18"/>
      <c r="CM27" s="9"/>
      <c r="CN27" s="9"/>
    </row>
    <row r="28" spans="1:92" s="3" customFormat="1" x14ac:dyDescent="0.45">
      <c r="A28" s="68">
        <v>44743</v>
      </c>
      <c r="B28" s="8">
        <f t="shared" ref="B28:B91" si="4">IFERROR(IF(B27+1&lt;=$F$4,B27+1,""),"")</f>
        <v>1</v>
      </c>
      <c r="C28" s="57">
        <f t="shared" ref="C28:C91" si="5">IF(B28&lt;&gt;"",ROUND(IF($F$11="raty równe",-PMT(I28/12,$F$4-B27,F27,2),D28+E28),2),"")</f>
        <v>3522.09</v>
      </c>
      <c r="D28" s="57">
        <f t="shared" ref="D28:D91" si="6">IF(B28&lt;&gt;"",IF($F$11="raty malejące",F27/($F$4-B27),IF(C28-E28&gt;F27,F27,C28-E28)),"")</f>
        <v>622.09000000000015</v>
      </c>
      <c r="E28" s="57">
        <f t="shared" ref="E28:E91" si="7">IF(B28&lt;&gt;"",F27*I28/12,"")</f>
        <v>2900</v>
      </c>
      <c r="F28" s="9">
        <f>IF(B28&lt;&gt;"",F27-D28,"")</f>
        <v>399377.91</v>
      </c>
      <c r="G28" s="10">
        <f t="shared" ref="G28:G91" si="8">IF(B28&lt;&gt;"",$F$5,"")</f>
        <v>7.0000000000000007E-2</v>
      </c>
      <c r="H28" s="10">
        <f t="shared" ref="H28:H91" si="9">IF(B28&lt;&gt;"",$F$6,"")</f>
        <v>1.7000000000000001E-2</v>
      </c>
      <c r="I28" s="48">
        <f>IF($B28&lt;&gt;"",IF(AND($F$8="TAK",$B28&lt;=$F$10),$F$9,G28+H28),"")</f>
        <v>8.7000000000000008E-2</v>
      </c>
      <c r="J28" s="11">
        <f t="shared" ref="J28:J91" si="10">IF(B28&lt;=$F$4,$F$14,"")</f>
        <v>20</v>
      </c>
      <c r="K28" s="11">
        <f>IF(B28&lt;&gt;"",IF($B$16=listy!$K$8,'RZĄDOWY PROGRAM'!$F$3*'RZĄDOWY PROGRAM'!$F$15,F27*$F$15),"")</f>
        <v>50</v>
      </c>
      <c r="L28" s="11">
        <f>IF(B28&lt;&gt;"",J28+K28,"")</f>
        <v>70</v>
      </c>
      <c r="N28" s="54">
        <v>44743</v>
      </c>
      <c r="O28" s="8">
        <f>IFERROR(IF(O27+1&lt;=$F$4+8,O27+1,""),"")</f>
        <v>1</v>
      </c>
      <c r="P28" s="8">
        <v>0</v>
      </c>
      <c r="Q28" s="11">
        <f>IF(O28&lt;&gt;"",ROUND(IF($F$11="raty równe",-PMT(W28/12,$F$4-O27+SUM($P$28:P28),T27,2),R28+S28),2),"")</f>
        <v>3522.09</v>
      </c>
      <c r="R28" s="11">
        <f>IF(O28&lt;&gt;"",IF($F$11="raty malejące",T27/($F$4-O27+SUM($P$28:P28)),IF(Q28-S28&gt;T27,T27,Q28-S28)),"")</f>
        <v>622.09000000000015</v>
      </c>
      <c r="S28" s="11">
        <f>IF(O28&lt;&gt;"",T27*W28/12,"")</f>
        <v>2900</v>
      </c>
      <c r="T28" s="9">
        <f>IF(O28&lt;&gt;"",T27-R28,"")</f>
        <v>399377.91</v>
      </c>
      <c r="U28" s="10">
        <f t="shared" ref="U28:U91" si="11">IF(O28&lt;&gt;"",$F$5,"")</f>
        <v>7.0000000000000007E-2</v>
      </c>
      <c r="V28" s="10">
        <f t="shared" ref="V28:V91" si="12">IF(O28&lt;&gt;"",$F$6,"")</f>
        <v>1.7000000000000001E-2</v>
      </c>
      <c r="W28" s="48">
        <f>IF(O28&lt;&gt;"",IF(AND($F$8="TAK",$B28&lt;=$F$10),$F$9,U28+V28),"")</f>
        <v>8.7000000000000008E-2</v>
      </c>
      <c r="X28" s="57">
        <f t="shared" ref="X28:X91" si="13">IF(O28&lt;&gt;"",$F$14,"")</f>
        <v>20</v>
      </c>
      <c r="Y28" s="57">
        <f>IF(O28&lt;&gt;"",IF($B$16=listy!$K$8,'RZĄDOWY PROGRAM'!$F$3*'RZĄDOWY PROGRAM'!$F$15,T27*$F$15),"")</f>
        <v>50</v>
      </c>
      <c r="Z28" s="57">
        <f>IF(O28&lt;&gt;"",X28+Y28,"")</f>
        <v>70</v>
      </c>
      <c r="AB28" s="8">
        <f>IFERROR(IF(AG27&gt;0,B28,""),"")</f>
        <v>1</v>
      </c>
      <c r="AC28" s="8"/>
      <c r="AD28" s="78">
        <f>IF(AB28&lt;&gt;"",ROUND(IF($F$11="raty równe",-PMT(W28/12,$F$4-AB27+SUM($AC$28:AC28),AG27,2),AE28+AF28),2),"")</f>
        <v>3522.09</v>
      </c>
      <c r="AE28" s="78">
        <f>IF(AB28&lt;&gt;"",IF($F$11="raty malejące",AG27/($F$4-AB27+SUM($AC27:AC$28)),MIN(AD28-AF28,AG27)),"")</f>
        <v>622.09000000000015</v>
      </c>
      <c r="AF28" s="78">
        <f t="shared" ref="AF28:AF42" si="14">IF(AB28&lt;&gt;"",AG27*W28/12,"")</f>
        <v>2900</v>
      </c>
      <c r="AG28" s="79">
        <f>IF(AB28&lt;&gt;"",IF(AH28&lt;&gt;"",AG27-AE28-AH28,AG27-AE28),"")</f>
        <v>399377.91</v>
      </c>
      <c r="AH28" s="78"/>
      <c r="AI28" s="33">
        <f>IF(AB28&lt;&gt;"",ROUND(IF($F$11="raty równe",-PMT(W28/12,($F$4-AB27+SUM($AC$27:AC27)),AG27,2),AG27/($F$4-AB27+SUM($AC$27:AC27))+AG27*W28/12),2),"")</f>
        <v>3522.09</v>
      </c>
      <c r="AJ28" s="33">
        <f>IF(AB28&lt;&gt;"",IF(B28&lt;&gt;"",C28-AD28-AH28,-(AD28+AH28)),"")</f>
        <v>0</v>
      </c>
      <c r="AK28" s="33">
        <f t="shared" ref="AK28:AK91" si="15">IF(AB28&lt;&gt;"",IF($F$21="co miesiąc",AK27*(1+(1-$F$20)*CK28)+AJ28,(AK27*(1+CK28)+AJ28)),"")</f>
        <v>0</v>
      </c>
      <c r="AL28" s="33">
        <f>IF(AB28&lt;&gt;"",AK28-SUM($AJ$28:AJ28),"")</f>
        <v>0</v>
      </c>
      <c r="AM28" s="11">
        <f>IF(AB28&lt;&gt;"",$F$14,"")</f>
        <v>20</v>
      </c>
      <c r="AN28" s="11">
        <f>IF(AB28&lt;&gt;"",IF($B$16=listy!$K$8,'RZĄDOWY PROGRAM'!$F$3*'RZĄDOWY PROGRAM'!$F$15,AG27*$F$15),"")</f>
        <v>50</v>
      </c>
      <c r="AO28" s="11">
        <f>IF(AD28&lt;&gt;"",AM28+AN28,"")</f>
        <v>70</v>
      </c>
      <c r="AQ28" s="8">
        <f>IFERROR(IF(AV27&lt;&gt;0,AQ27+1,""),"")</f>
        <v>1</v>
      </c>
      <c r="AR28" s="8"/>
      <c r="AS28" s="78">
        <f>IF(AQ28&lt;&gt;"",ROUND(IF($F$11="raty równe",-PMT(W28/12,$F$4-AQ27+SUM($AR$28:AR28),AV27,2),AT28+AU28),2),"")</f>
        <v>3522.09</v>
      </c>
      <c r="AT28" s="78">
        <f>IF(AQ28&lt;&gt;"",IF($F$11="raty malejące",AV27/($F$4-AQ27+SUM($AR27:AR$28)),MIN(AS28-AU28,AV27)),"")</f>
        <v>622.09000000000015</v>
      </c>
      <c r="AU28" s="78">
        <f>IF(AQ28&lt;&gt;"",AV27*W28/12,"")</f>
        <v>2900</v>
      </c>
      <c r="AV28" s="79">
        <f>IF(AQ28&lt;&gt;"",IF(AW28&lt;&gt;"",AV27-AT28-AW28,AV27-AT28),"")</f>
        <v>399377.91</v>
      </c>
      <c r="AW28" s="78"/>
      <c r="AX28" s="33">
        <f>IF(AQ28&lt;&gt;"",ROUND(IF($F$11="raty równe",-PMT(W28/12,($F$4-AQ27+SUM($AR$27:AR27)),AV27,2),AV27/($F$4-AQ27+SUM($AR$27:AR27))+AV27*W28/12),2),"")</f>
        <v>3522.09</v>
      </c>
      <c r="AY28" s="33">
        <f>IF(AQ28&lt;&gt;"",IF(B28&lt;&gt;"",C28-AS28,-AS28),"")</f>
        <v>0</v>
      </c>
      <c r="AZ28" s="33">
        <f t="shared" ref="AZ28:AZ43" si="16">IF(AQ28&lt;&gt;"",IF($F$21="co miesiąc",AZ27*(1+(1-$F$20)*CK28)+AY28,(AZ27*(1+CK28)+AY28)),"")</f>
        <v>0</v>
      </c>
      <c r="BA28" s="33">
        <f>IF(AQ28&lt;&gt;"",AZ28-SUM($AY$28:AY28),"")</f>
        <v>0</v>
      </c>
      <c r="BB28" s="11">
        <f>IF(AQ28&lt;&gt;"",$F$14,"")</f>
        <v>20</v>
      </c>
      <c r="BC28" s="11">
        <f>IF(AQ28&lt;&gt;"",IF($B$16=listy!$K$8,'RZĄDOWY PROGRAM'!$F$3*'RZĄDOWY PROGRAM'!$F$15,AV27*$F$15),"")</f>
        <v>50</v>
      </c>
      <c r="BD28" s="11">
        <f>IF(AS28&lt;&gt;"",BB28+BC28,"")</f>
        <v>70</v>
      </c>
      <c r="BF28" s="8">
        <f>IFERROR(IF(BK27&lt;&gt;0,BF27+1,""),"")</f>
        <v>1</v>
      </c>
      <c r="BG28" s="8"/>
      <c r="BH28" s="78">
        <f>IF(BF28&lt;&gt;"",ROUND(IF($F$11="raty równe",-PMT(W28/12,$F$4-BF27+SUM(BV$28:$BV28),BK27,2),BI28+BJ28),2),"")</f>
        <v>3522.09</v>
      </c>
      <c r="BI28" s="78">
        <f>IF(BF28&lt;&gt;"",IF($F$11="raty malejące",MIN(BK27/($F$4-BF27+SUM($BG$27:BG28)-SUM($BM$27:BM28)),BK27),MIN(BH28-BJ28,BK27)),"")</f>
        <v>622.09000000000015</v>
      </c>
      <c r="BJ28" s="78">
        <f>IF(BF28&lt;&gt;"",BK27*W28/12,"")</f>
        <v>2900</v>
      </c>
      <c r="BK28" s="79">
        <f>IF(BF28&lt;&gt;"",IF(B28&lt;&gt;"",BK27-BI28-BL28,BK27-BI28),"")</f>
        <v>399377.91</v>
      </c>
      <c r="BL28" s="78"/>
      <c r="BM28" s="33"/>
      <c r="BN28" s="33"/>
      <c r="BO28" s="33"/>
      <c r="BP28" s="33"/>
      <c r="BQ28" s="11">
        <f t="shared" ref="BQ28:BQ91" si="17">IF(BF28&lt;&gt;"",$F$14,"")</f>
        <v>20</v>
      </c>
      <c r="BR28" s="11">
        <f>IF(BF28&lt;&gt;"",IF($B$16=listy!$K$8,'RZĄDOWY PROGRAM'!$F$3*'RZĄDOWY PROGRAM'!$F$15,BK27*$F$15),"")</f>
        <v>50</v>
      </c>
      <c r="BS28" s="11">
        <f t="shared" ref="BS28:BS91" si="18">IF(BH28&lt;&gt;"",BQ28+BR28,"")</f>
        <v>70</v>
      </c>
      <c r="BU28" s="8">
        <f>IFERROR(IF(BZ27&lt;&gt;0,BU27+1,""),"")</f>
        <v>1</v>
      </c>
      <c r="BV28" s="8"/>
      <c r="BW28" s="78">
        <f>IF(BU28&lt;&gt;"",ROUND(IF($F$11="raty równe",-PMT(W28/12,$F$4-BU27+SUM($BV$28:BV28),BZ27,2),BX28+BY28),2),"")</f>
        <v>3522.09</v>
      </c>
      <c r="BX28" s="78">
        <f>IF(BU28&lt;&gt;"",IF($F$11="raty malejące",BZ27/($F$4-BU27+SUM($BV27:BV$28)),MIN(BW28-BY28,BZ27)),"")</f>
        <v>622.09000000000015</v>
      </c>
      <c r="BY28" s="78">
        <f>IF(BU28&lt;&gt;"",BZ27*W28/12,"")</f>
        <v>2900</v>
      </c>
      <c r="BZ28" s="79">
        <f>IF(BU28&lt;&gt;"",IF(B28&lt;&gt;"",BZ27-BX28-CA28,BZ27-BX28),"")</f>
        <v>399377.91</v>
      </c>
      <c r="CA28" s="78"/>
      <c r="CB28" s="33"/>
      <c r="CC28" s="11">
        <f>IF(O28&lt;&gt;"",IF(ISNUMBER(C28),C28,0)-IF(ISNUMBER(BW28),BW28,0),"")</f>
        <v>0</v>
      </c>
      <c r="CD28" s="11">
        <f t="shared" ref="CD28:CD43" si="19">IF(BU28&lt;&gt;"",IF($F$21="co miesiąc",CD27*(1+(1-$F$20)*CK28)+CC28,(CD27*(1+CK28)+CC28)),"")</f>
        <v>0</v>
      </c>
      <c r="CE28" s="11">
        <f>IF(BU28&lt;&gt;"",CD28-SUM($CC$28:CC28),"")</f>
        <v>0</v>
      </c>
      <c r="CF28" s="11">
        <f t="shared" ref="CF28:CF91" si="20">IF(BU28&lt;&gt;"",$F$14,"")</f>
        <v>20</v>
      </c>
      <c r="CG28" s="11">
        <f>IF(BU28&lt;&gt;"",IF($B$16=listy!$K$8,'RZĄDOWY PROGRAM'!$F$3*'RZĄDOWY PROGRAM'!$F$15,BZ27*$F$15),"")</f>
        <v>50</v>
      </c>
      <c r="CH28" s="11">
        <f t="shared" ref="CH28:CH91" si="21">IF(BW28&lt;&gt;"",CF28+CG28,"")</f>
        <v>70</v>
      </c>
      <c r="CJ28" s="48">
        <f t="shared" ref="CJ28:CJ91" si="22">IF(AB28&lt;&gt;"",$F$19,"")</f>
        <v>0.06</v>
      </c>
      <c r="CK28" s="18">
        <f t="shared" ref="CK28:CK91" si="23">IF(AB28&lt;&gt;"",(1+CJ28)^(1/12)-1,"")</f>
        <v>4.8675505653430484E-3</v>
      </c>
      <c r="CL28" s="57">
        <f t="shared" ref="CL28:CL64" si="24">IF(N28&lt;&gt;"",IF(ISNUMBER(C28),C28,0)-Q28,"")</f>
        <v>0</v>
      </c>
      <c r="CM28" s="57">
        <f t="shared" ref="CM28:CM91" si="25">IF(AB28&lt;&gt;"",IF($F$21="co miesiąc",CM27*(1+(1-$F$20)*CK28)+CL28,(CM27*(1+CK28)+CL28)),"")</f>
        <v>0</v>
      </c>
      <c r="CN28" s="57">
        <f>IF(AB28&lt;&gt;"",CM28-SUM($CL$28:CL28),"")</f>
        <v>0</v>
      </c>
    </row>
    <row r="29" spans="1:92" x14ac:dyDescent="0.45">
      <c r="A29" s="68">
        <f>IF(B29&lt;&gt;"",EDATE(A28,1),"")</f>
        <v>44774</v>
      </c>
      <c r="B29" s="8">
        <f t="shared" si="4"/>
        <v>2</v>
      </c>
      <c r="C29" s="57">
        <f t="shared" si="5"/>
        <v>3522.09</v>
      </c>
      <c r="D29" s="57">
        <f t="shared" si="6"/>
        <v>626.60015249999969</v>
      </c>
      <c r="E29" s="57">
        <f t="shared" si="7"/>
        <v>2895.4898475000005</v>
      </c>
      <c r="F29" s="9">
        <f t="shared" ref="F29:F92" si="26">IF(B29&lt;&gt;"",F28-D29,"")</f>
        <v>398751.3098475</v>
      </c>
      <c r="G29" s="10">
        <f t="shared" si="8"/>
        <v>7.0000000000000007E-2</v>
      </c>
      <c r="H29" s="10">
        <f t="shared" si="9"/>
        <v>1.7000000000000001E-2</v>
      </c>
      <c r="I29" s="48">
        <f t="shared" ref="I29:I92" si="27">IF($B29&lt;&gt;"",IF(AND($F$8="TAK",$B29&lt;=$F$10),$F$9,G29+H29),"")</f>
        <v>8.7000000000000008E-2</v>
      </c>
      <c r="J29" s="11">
        <f t="shared" si="10"/>
        <v>20</v>
      </c>
      <c r="K29" s="11">
        <f>IF(B29&lt;&gt;"",IF($B$16=listy!$K$8,'RZĄDOWY PROGRAM'!$F$3*'RZĄDOWY PROGRAM'!$F$15,F28*$F$15),"")</f>
        <v>50</v>
      </c>
      <c r="L29" s="11">
        <f t="shared" ref="L29:L92" si="28">IF(B29&lt;&gt;"",J29+K29,"")</f>
        <v>70</v>
      </c>
      <c r="N29" s="54">
        <f>IF(O29&lt;&gt;"",EDATE(N28,1),"")</f>
        <v>44774</v>
      </c>
      <c r="O29" s="8">
        <f t="shared" ref="O29:O92" si="29">IFERROR(IF(O28+1&lt;=$F$4+8,O28+1,""),"")</f>
        <v>2</v>
      </c>
      <c r="P29" s="8">
        <v>1</v>
      </c>
      <c r="Q29" s="57">
        <v>0</v>
      </c>
      <c r="R29" s="57">
        <v>0</v>
      </c>
      <c r="S29" s="57">
        <v>0</v>
      </c>
      <c r="T29" s="9">
        <f t="shared" ref="T29:T92" si="30">IF(O29&lt;&gt;"",T28-R29,"")</f>
        <v>399377.91</v>
      </c>
      <c r="U29" s="10">
        <f t="shared" si="11"/>
        <v>7.0000000000000007E-2</v>
      </c>
      <c r="V29" s="10">
        <f t="shared" si="12"/>
        <v>1.7000000000000001E-2</v>
      </c>
      <c r="W29" s="48">
        <f t="shared" ref="W29:W92" si="31">IF(O29&lt;&gt;"",IF(AND($F$8="TAK",$B29&lt;=$F$10),$F$9,U29+V29),"")</f>
        <v>8.7000000000000008E-2</v>
      </c>
      <c r="X29" s="57">
        <f t="shared" si="13"/>
        <v>20</v>
      </c>
      <c r="Y29" s="57">
        <f>IF(O29&lt;&gt;"",IF($B$16=listy!$K$8,'RZĄDOWY PROGRAM'!$F$3*'RZĄDOWY PROGRAM'!$F$15,T28*$F$15),"")</f>
        <v>50</v>
      </c>
      <c r="Z29" s="57">
        <f t="shared" ref="Z29:Z92" si="32">IF(O29&lt;&gt;"",X29+Y29,"")</f>
        <v>70</v>
      </c>
      <c r="AB29" s="8">
        <f t="shared" ref="AB29:AB92" si="33">IFERROR(IF(AG28&gt;0,AB28+1,""),"")</f>
        <v>2</v>
      </c>
      <c r="AC29" s="8">
        <v>1</v>
      </c>
      <c r="AD29" s="57">
        <v>0</v>
      </c>
      <c r="AE29" s="57">
        <v>0</v>
      </c>
      <c r="AF29" s="57">
        <v>0</v>
      </c>
      <c r="AG29" s="77">
        <f>IF(AB29&lt;&gt;"",IF(AH29&lt;&gt;"",AG28-AE29-AH29,AG28-AE29),"")</f>
        <v>395855.81999999995</v>
      </c>
      <c r="AH29" s="56">
        <f>AI29</f>
        <v>3522.09</v>
      </c>
      <c r="AI29" s="33">
        <f>IF(AB29&lt;&gt;"",ROUND(IF($F$11="raty równe",-PMT(W29/12,($F$4-AB28+SUM($AC$27:AC28)),AG28,2),AG28/($F$4-AB28+SUM($AC$27:AC28))+AG28*W29/12),2),"")</f>
        <v>3522.09</v>
      </c>
      <c r="AJ29" s="33">
        <f t="shared" ref="AJ29:AJ92" si="34">IF(AB29&lt;&gt;"",IF(B29&lt;&gt;"",C29-AD29-AH29,-(AD29+AH29)),"")</f>
        <v>0</v>
      </c>
      <c r="AK29" s="33">
        <f t="shared" si="15"/>
        <v>0</v>
      </c>
      <c r="AL29" s="33">
        <f>IF(AB29&lt;&gt;"",AK29-SUM($AJ$28:AJ29),"")</f>
        <v>0</v>
      </c>
      <c r="AM29" s="11">
        <f t="shared" ref="AM29:AM92" si="35">IF(AB29&lt;&gt;"",$F$14,"")</f>
        <v>20</v>
      </c>
      <c r="AN29" s="11">
        <f>IF(AB29&lt;&gt;"",IF($B$16=listy!$K$8,'RZĄDOWY PROGRAM'!$F$3*'RZĄDOWY PROGRAM'!$F$15,AG28*$F$15),"")</f>
        <v>50</v>
      </c>
      <c r="AO29" s="11">
        <f t="shared" ref="AO29:AO92" si="36">IF(AD29&lt;&gt;"",AM29+AN29,"")</f>
        <v>70</v>
      </c>
      <c r="AQ29" s="8">
        <f t="shared" ref="AQ29:AQ92" si="37">IFERROR(IF(AV28&lt;&gt;0,AQ28+1,""),"")</f>
        <v>2</v>
      </c>
      <c r="AR29" s="8">
        <v>1</v>
      </c>
      <c r="AS29" s="57">
        <v>0</v>
      </c>
      <c r="AT29" s="57">
        <v>0</v>
      </c>
      <c r="AU29" s="57">
        <v>0</v>
      </c>
      <c r="AV29" s="77">
        <f t="shared" ref="AV29:AV92" si="38">IF(AQ29&lt;&gt;"",IF(AW29&lt;&gt;"",AV28-AT29-AW29,AV28-AT29),"")</f>
        <v>399377.91</v>
      </c>
      <c r="AW29" s="57"/>
      <c r="AX29" s="56">
        <f>IF(AQ29&lt;&gt;"",ROUND(IF($F$11="raty równe",-PMT(W29/12,($F$4-AQ28+SUM($AR$27:AR28)),AV28,2),AV28/($F$4-AQ28+SUM($AR$27:AR28))+AV28*W29/12),2),"")</f>
        <v>3522.09</v>
      </c>
      <c r="AY29" s="33">
        <f t="shared" ref="AY29:AY92" si="39">IF(AQ29&lt;&gt;"",IF(B29&lt;&gt;"",C29-AS29,-AS29),"")</f>
        <v>3522.09</v>
      </c>
      <c r="AZ29" s="56">
        <f t="shared" si="16"/>
        <v>3522.09</v>
      </c>
      <c r="BA29" s="56">
        <f>IF(AQ29&lt;&gt;"",AZ29-SUM($AY$28:AY29),"")</f>
        <v>0</v>
      </c>
      <c r="BB29" s="11">
        <f t="shared" ref="BB29:BB92" si="40">IF(AQ29&lt;&gt;"",$F$14,"")</f>
        <v>20</v>
      </c>
      <c r="BC29" s="11">
        <f>IF(AQ29&lt;&gt;"",IF($B$16=listy!$K$8,'RZĄDOWY PROGRAM'!$F$3*'RZĄDOWY PROGRAM'!$F$15,AV28*$F$15),"")</f>
        <v>50</v>
      </c>
      <c r="BD29" s="11">
        <f t="shared" ref="BD29:BD92" si="41">IF(AS29&lt;&gt;"",BB29+BC29,"")</f>
        <v>70</v>
      </c>
      <c r="BF29" s="8">
        <f t="shared" ref="BF29:BF92" si="42">IFERROR(IF(BK28&lt;&gt;0,BF28+1,""),"")</f>
        <v>2</v>
      </c>
      <c r="BG29" s="8">
        <v>1</v>
      </c>
      <c r="BH29" s="57">
        <v>0</v>
      </c>
      <c r="BI29" s="57">
        <v>0</v>
      </c>
      <c r="BJ29" s="57">
        <v>0</v>
      </c>
      <c r="BK29" s="77">
        <f t="shared" ref="BK29:BK32" si="43">IF(BF29&lt;&gt;"",IF(BL29&lt;&gt;"",BK28-BI29-BL29,BK28-BI29),"")</f>
        <v>395855.81999999995</v>
      </c>
      <c r="BL29" s="57">
        <f>C29</f>
        <v>3522.09</v>
      </c>
      <c r="BM29" s="80">
        <f>IF(BL29&lt;&gt;"",IF($F$11="raty równe",NPER(W29/12,-BL29,(BK29+BL29))-NPER(W29/12,-BL29,BK29),BL29/($F$2/$F$4)),"")</f>
        <v>5.5293878833181225</v>
      </c>
      <c r="BN29" s="33"/>
      <c r="BO29" s="33"/>
      <c r="BP29" s="33"/>
      <c r="BQ29" s="11">
        <f t="shared" si="17"/>
        <v>20</v>
      </c>
      <c r="BR29" s="11">
        <f>IF(BF29&lt;&gt;"",IF($B$16=listy!$K$8,'RZĄDOWY PROGRAM'!$F$3*'RZĄDOWY PROGRAM'!$F$15,BK28*$F$15),"")</f>
        <v>50</v>
      </c>
      <c r="BS29" s="11">
        <f t="shared" si="18"/>
        <v>70</v>
      </c>
      <c r="BU29" s="8">
        <f t="shared" ref="BU29:BU92" si="44">IFERROR(IF(BZ28&lt;&gt;0,BU28+1,""),"")</f>
        <v>2</v>
      </c>
      <c r="BV29" s="8">
        <v>1</v>
      </c>
      <c r="BW29" s="57">
        <v>0</v>
      </c>
      <c r="BX29" s="57">
        <v>0</v>
      </c>
      <c r="BY29" s="57">
        <v>0</v>
      </c>
      <c r="BZ29" s="77">
        <f t="shared" ref="BZ29:BZ32" si="45">IF(BU29&lt;&gt;"",IF(CA29&lt;&gt;"",BZ28-BX29-CA29,BZ28-BX29),"")</f>
        <v>399377.91</v>
      </c>
      <c r="CA29" s="57"/>
      <c r="CB29" s="33"/>
      <c r="CC29" s="11">
        <f t="shared" ref="CC29:CC92" si="46">IF(O29&lt;&gt;"",IF(ISNUMBER(C29),C29,0)-IF(ISNUMBER(BW29),BW29,0),"")</f>
        <v>3522.09</v>
      </c>
      <c r="CD29" s="11">
        <f t="shared" si="19"/>
        <v>3522.09</v>
      </c>
      <c r="CE29" s="11">
        <f>IF(BU29&lt;&gt;"",CD29-SUM($CC$28:CC29),"")</f>
        <v>0</v>
      </c>
      <c r="CF29" s="11">
        <f t="shared" si="20"/>
        <v>20</v>
      </c>
      <c r="CG29" s="11">
        <f>IF(BU29&lt;&gt;"",IF($B$16=listy!$K$8,'RZĄDOWY PROGRAM'!$F$3*'RZĄDOWY PROGRAM'!$F$15,BZ28*$F$15),"")</f>
        <v>50</v>
      </c>
      <c r="CH29" s="11">
        <f t="shared" si="21"/>
        <v>70</v>
      </c>
      <c r="CJ29" s="48">
        <f t="shared" si="22"/>
        <v>0.06</v>
      </c>
      <c r="CK29" s="18">
        <f t="shared" si="23"/>
        <v>4.8675505653430484E-3</v>
      </c>
      <c r="CL29" s="57">
        <f t="shared" si="24"/>
        <v>3522.09</v>
      </c>
      <c r="CM29" s="57">
        <f t="shared" si="25"/>
        <v>3522.09</v>
      </c>
      <c r="CN29" s="57">
        <f>IF(AB29&lt;&gt;"",CM29-SUM($CL$28:CL29),"")</f>
        <v>0</v>
      </c>
    </row>
    <row r="30" spans="1:92" x14ac:dyDescent="0.45">
      <c r="A30" s="68">
        <f t="shared" ref="A30:A93" si="47">IF(B30&lt;&gt;"",EDATE(A29,1),"")</f>
        <v>44805</v>
      </c>
      <c r="B30" s="8">
        <f t="shared" si="4"/>
        <v>3</v>
      </c>
      <c r="C30" s="11">
        <f t="shared" si="5"/>
        <v>3522.09</v>
      </c>
      <c r="D30" s="11">
        <f t="shared" si="6"/>
        <v>631.14300360562493</v>
      </c>
      <c r="E30" s="11">
        <f t="shared" si="7"/>
        <v>2890.9469963943752</v>
      </c>
      <c r="F30" s="9">
        <f t="shared" si="26"/>
        <v>398120.1668438944</v>
      </c>
      <c r="G30" s="10">
        <f t="shared" si="8"/>
        <v>7.0000000000000007E-2</v>
      </c>
      <c r="H30" s="10">
        <f t="shared" si="9"/>
        <v>1.7000000000000001E-2</v>
      </c>
      <c r="I30" s="48">
        <f t="shared" si="27"/>
        <v>8.7000000000000008E-2</v>
      </c>
      <c r="J30" s="11">
        <f t="shared" si="10"/>
        <v>20</v>
      </c>
      <c r="K30" s="11">
        <f>IF(B30&lt;&gt;"",IF($B$16=listy!$K$8,'RZĄDOWY PROGRAM'!$F$3*'RZĄDOWY PROGRAM'!$F$15,F29*$F$15),"")</f>
        <v>50</v>
      </c>
      <c r="L30" s="11">
        <f t="shared" si="28"/>
        <v>70</v>
      </c>
      <c r="N30" s="54">
        <f t="shared" ref="N30:N93" si="48">IF(O30&lt;&gt;"",EDATE(N29,1),"")</f>
        <v>44805</v>
      </c>
      <c r="O30" s="8">
        <f t="shared" si="29"/>
        <v>3</v>
      </c>
      <c r="P30" s="8">
        <v>1</v>
      </c>
      <c r="Q30" s="57">
        <v>0</v>
      </c>
      <c r="R30" s="57">
        <v>0</v>
      </c>
      <c r="S30" s="57">
        <v>0</v>
      </c>
      <c r="T30" s="9">
        <f t="shared" si="30"/>
        <v>399377.91</v>
      </c>
      <c r="U30" s="10">
        <f t="shared" si="11"/>
        <v>7.0000000000000007E-2</v>
      </c>
      <c r="V30" s="10">
        <f t="shared" si="12"/>
        <v>1.7000000000000001E-2</v>
      </c>
      <c r="W30" s="48">
        <f t="shared" si="31"/>
        <v>8.7000000000000008E-2</v>
      </c>
      <c r="X30" s="11">
        <f t="shared" si="13"/>
        <v>20</v>
      </c>
      <c r="Y30" s="11">
        <f>IF(O30&lt;&gt;"",IF($B$16=listy!$K$8,'RZĄDOWY PROGRAM'!$F$3*'RZĄDOWY PROGRAM'!$F$15,T29*$F$15),"")</f>
        <v>50</v>
      </c>
      <c r="Z30" s="11">
        <f t="shared" si="32"/>
        <v>70</v>
      </c>
      <c r="AB30" s="8">
        <f t="shared" si="33"/>
        <v>3</v>
      </c>
      <c r="AC30" s="8">
        <v>1</v>
      </c>
      <c r="AD30" s="57">
        <v>0</v>
      </c>
      <c r="AE30" s="57">
        <v>0</v>
      </c>
      <c r="AF30" s="57">
        <v>0</v>
      </c>
      <c r="AG30" s="77">
        <f>IF(AB30&lt;&gt;"",IF(AH30&lt;&gt;"",AG29-AE30-AH30,AG29-AE30),"")</f>
        <v>392364.78999999992</v>
      </c>
      <c r="AH30" s="56">
        <f t="shared" ref="AH30:AH32" si="49">AI30</f>
        <v>3491.03</v>
      </c>
      <c r="AI30" s="33">
        <f>IF(AB30&lt;&gt;"",ROUND(IF($F$11="raty równe",-PMT(W30/12,($F$4-AB29+SUM($AC$27:AC29)),AG29,2),AG29/($F$4-AB29+SUM($AC$27:AC29))+AG29*W30/12),2),"")</f>
        <v>3491.03</v>
      </c>
      <c r="AJ30" s="33">
        <f t="shared" si="34"/>
        <v>31.059999999999945</v>
      </c>
      <c r="AK30" s="33">
        <f t="shared" si="15"/>
        <v>31.059999999999945</v>
      </c>
      <c r="AL30" s="33">
        <f>IF(AB30&lt;&gt;"",AK30-SUM($AJ$28:AJ30),"")</f>
        <v>0</v>
      </c>
      <c r="AM30" s="11">
        <f t="shared" si="35"/>
        <v>20</v>
      </c>
      <c r="AN30" s="11">
        <f>IF(AB30&lt;&gt;"",IF($B$16=listy!$K$8,'RZĄDOWY PROGRAM'!$F$3*'RZĄDOWY PROGRAM'!$F$15,AG29*$F$15),"")</f>
        <v>50</v>
      </c>
      <c r="AO30" s="11">
        <f t="shared" si="36"/>
        <v>70</v>
      </c>
      <c r="AQ30" s="8">
        <f t="shared" si="37"/>
        <v>3</v>
      </c>
      <c r="AR30" s="8">
        <v>1</v>
      </c>
      <c r="AS30" s="57">
        <v>0</v>
      </c>
      <c r="AT30" s="57">
        <v>0</v>
      </c>
      <c r="AU30" s="57">
        <v>0</v>
      </c>
      <c r="AV30" s="77">
        <f t="shared" si="38"/>
        <v>399377.91</v>
      </c>
      <c r="AW30" s="57"/>
      <c r="AX30" s="56">
        <f>IF(AQ30&lt;&gt;"",ROUND(IF($F$11="raty równe",-PMT(W30/12,($F$4-AQ29+SUM($AR$27:AR29)),AV29,2),AV29/($F$4-AQ29+SUM($AR$27:AR29))+AV29*W30/12),2),"")</f>
        <v>3522.09</v>
      </c>
      <c r="AY30" s="33">
        <f t="shared" si="39"/>
        <v>3522.09</v>
      </c>
      <c r="AZ30" s="56">
        <f t="shared" si="16"/>
        <v>7058.0666004482591</v>
      </c>
      <c r="BA30" s="56">
        <f>IF(AQ30&lt;&gt;"",AZ30-SUM($AY$28:AY30),"")</f>
        <v>13.886600448258832</v>
      </c>
      <c r="BB30" s="11">
        <f t="shared" si="40"/>
        <v>20</v>
      </c>
      <c r="BC30" s="11">
        <f>IF(AQ30&lt;&gt;"",IF($B$16=listy!$K$8,'RZĄDOWY PROGRAM'!$F$3*'RZĄDOWY PROGRAM'!$F$15,AV29*$F$15),"")</f>
        <v>50</v>
      </c>
      <c r="BD30" s="11">
        <f t="shared" si="41"/>
        <v>70</v>
      </c>
      <c r="BF30" s="8">
        <f t="shared" si="42"/>
        <v>3</v>
      </c>
      <c r="BG30" s="8">
        <v>1</v>
      </c>
      <c r="BH30" s="57">
        <v>0</v>
      </c>
      <c r="BI30" s="57">
        <v>0</v>
      </c>
      <c r="BJ30" s="57">
        <v>0</v>
      </c>
      <c r="BK30" s="77">
        <f t="shared" si="43"/>
        <v>392333.72999999992</v>
      </c>
      <c r="BL30" s="57">
        <f t="shared" ref="BL30:BL43" si="50">C30</f>
        <v>3522.09</v>
      </c>
      <c r="BM30" s="80">
        <f t="shared" ref="BM30:BM34" si="51">IF(BL30&lt;&gt;"",IF($F$11="raty równe",NPER(W30/12,-BL30,(BK30+BL30))-NPER(W30/12,-BL30,BK30),BL30/($F$2/$F$4)),"")</f>
        <v>5.3169821634656955</v>
      </c>
      <c r="BN30" s="33"/>
      <c r="BO30" s="33"/>
      <c r="BP30" s="33"/>
      <c r="BQ30" s="11">
        <f t="shared" si="17"/>
        <v>20</v>
      </c>
      <c r="BR30" s="11">
        <f>IF(BF30&lt;&gt;"",IF($B$16=listy!$K$8,'RZĄDOWY PROGRAM'!$F$3*'RZĄDOWY PROGRAM'!$F$15,BK29*$F$15),"")</f>
        <v>50</v>
      </c>
      <c r="BS30" s="11">
        <f t="shared" si="18"/>
        <v>70</v>
      </c>
      <c r="BU30" s="8">
        <f t="shared" si="44"/>
        <v>3</v>
      </c>
      <c r="BV30" s="8">
        <v>1</v>
      </c>
      <c r="BW30" s="57">
        <v>0</v>
      </c>
      <c r="BX30" s="57">
        <v>0</v>
      </c>
      <c r="BY30" s="57">
        <v>0</v>
      </c>
      <c r="BZ30" s="77">
        <f t="shared" si="45"/>
        <v>399377.91</v>
      </c>
      <c r="CA30" s="57"/>
      <c r="CB30" s="33"/>
      <c r="CC30" s="11">
        <f t="shared" si="46"/>
        <v>3522.09</v>
      </c>
      <c r="CD30" s="11">
        <f t="shared" si="19"/>
        <v>7058.0666004482591</v>
      </c>
      <c r="CE30" s="11">
        <f>IF(BU30&lt;&gt;"",CD30-SUM($CC$28:CC30),"")</f>
        <v>13.886600448258832</v>
      </c>
      <c r="CF30" s="11">
        <f t="shared" si="20"/>
        <v>20</v>
      </c>
      <c r="CG30" s="11">
        <f>IF(BU30&lt;&gt;"",IF($B$16=listy!$K$8,'RZĄDOWY PROGRAM'!$F$3*'RZĄDOWY PROGRAM'!$F$15,BZ29*$F$15),"")</f>
        <v>50</v>
      </c>
      <c r="CH30" s="11">
        <f t="shared" si="21"/>
        <v>70</v>
      </c>
      <c r="CJ30" s="48">
        <f t="shared" si="22"/>
        <v>0.06</v>
      </c>
      <c r="CK30" s="18">
        <f t="shared" si="23"/>
        <v>4.8675505653430484E-3</v>
      </c>
      <c r="CL30" s="11">
        <f t="shared" si="24"/>
        <v>3522.09</v>
      </c>
      <c r="CM30" s="11">
        <f t="shared" si="25"/>
        <v>7058.0666004482591</v>
      </c>
      <c r="CN30" s="11">
        <f>IF(AB30&lt;&gt;"",CM30-SUM($CL$28:CL30),"")</f>
        <v>13.886600448258832</v>
      </c>
    </row>
    <row r="31" spans="1:92" x14ac:dyDescent="0.45">
      <c r="A31" s="68">
        <f t="shared" si="47"/>
        <v>44835</v>
      </c>
      <c r="B31" s="8">
        <f t="shared" si="4"/>
        <v>4</v>
      </c>
      <c r="C31" s="57">
        <f t="shared" si="5"/>
        <v>3522.09</v>
      </c>
      <c r="D31" s="57">
        <f t="shared" si="6"/>
        <v>635.7187903817653</v>
      </c>
      <c r="E31" s="57">
        <f t="shared" si="7"/>
        <v>2886.3712096182348</v>
      </c>
      <c r="F31" s="9">
        <f t="shared" si="26"/>
        <v>397484.44805351266</v>
      </c>
      <c r="G31" s="10">
        <f t="shared" si="8"/>
        <v>7.0000000000000007E-2</v>
      </c>
      <c r="H31" s="10">
        <f t="shared" si="9"/>
        <v>1.7000000000000001E-2</v>
      </c>
      <c r="I31" s="48">
        <f t="shared" si="27"/>
        <v>8.7000000000000008E-2</v>
      </c>
      <c r="J31" s="11">
        <f t="shared" si="10"/>
        <v>20</v>
      </c>
      <c r="K31" s="11">
        <f>IF(B31&lt;&gt;"",IF($B$16=listy!$K$8,'RZĄDOWY PROGRAM'!$F$3*'RZĄDOWY PROGRAM'!$F$15,F30*$F$15),"")</f>
        <v>50</v>
      </c>
      <c r="L31" s="11">
        <f t="shared" si="28"/>
        <v>70</v>
      </c>
      <c r="N31" s="54">
        <f t="shared" si="48"/>
        <v>44835</v>
      </c>
      <c r="O31" s="8">
        <f t="shared" si="29"/>
        <v>4</v>
      </c>
      <c r="P31" s="8">
        <v>1</v>
      </c>
      <c r="Q31" s="57">
        <v>0</v>
      </c>
      <c r="R31" s="57">
        <v>0</v>
      </c>
      <c r="S31" s="57">
        <v>0</v>
      </c>
      <c r="T31" s="9">
        <f t="shared" si="30"/>
        <v>399377.91</v>
      </c>
      <c r="U31" s="10">
        <f t="shared" si="11"/>
        <v>7.0000000000000007E-2</v>
      </c>
      <c r="V31" s="10">
        <f t="shared" si="12"/>
        <v>1.7000000000000001E-2</v>
      </c>
      <c r="W31" s="48">
        <f t="shared" si="31"/>
        <v>8.7000000000000008E-2</v>
      </c>
      <c r="X31" s="57">
        <f t="shared" si="13"/>
        <v>20</v>
      </c>
      <c r="Y31" s="57">
        <f>IF(O31&lt;&gt;"",IF($B$16=listy!$K$8,'RZĄDOWY PROGRAM'!$F$3*'RZĄDOWY PROGRAM'!$F$15,T30*$F$15),"")</f>
        <v>50</v>
      </c>
      <c r="Z31" s="57">
        <f t="shared" si="32"/>
        <v>70</v>
      </c>
      <c r="AB31" s="8">
        <f t="shared" si="33"/>
        <v>4</v>
      </c>
      <c r="AC31" s="8">
        <v>1</v>
      </c>
      <c r="AD31" s="57">
        <v>0</v>
      </c>
      <c r="AE31" s="57">
        <v>0</v>
      </c>
      <c r="AF31" s="57">
        <v>0</v>
      </c>
      <c r="AG31" s="77">
        <f t="shared" ref="AG31:AG93" si="52">IF(AB31&lt;&gt;"",IF(AH31&lt;&gt;"",AG30-AE31-AH31,AG30-AE31),"")</f>
        <v>388904.53999999992</v>
      </c>
      <c r="AH31" s="56">
        <f t="shared" si="49"/>
        <v>3460.25</v>
      </c>
      <c r="AI31" s="33">
        <f>IF(AB31&lt;&gt;"",ROUND(IF($F$11="raty równe",-PMT(W31/12,($F$4-AB30+SUM($AC$27:AC30)),AG30,2),AG30/($F$4-AB30+SUM($AC$27:AC30))+AG30*W31/12),2),"")</f>
        <v>3460.25</v>
      </c>
      <c r="AJ31" s="33">
        <f t="shared" si="34"/>
        <v>61.840000000000146</v>
      </c>
      <c r="AK31" s="33">
        <f t="shared" si="15"/>
        <v>93.022460757653334</v>
      </c>
      <c r="AL31" s="33">
        <f>IF(AB31&lt;&gt;"",AK31-SUM($AJ$28:AJ31),"")</f>
        <v>0.12246075765324349</v>
      </c>
      <c r="AM31" s="11">
        <f t="shared" si="35"/>
        <v>20</v>
      </c>
      <c r="AN31" s="11">
        <f>IF(AB31&lt;&gt;"",IF($B$16=listy!$K$8,'RZĄDOWY PROGRAM'!$F$3*'RZĄDOWY PROGRAM'!$F$15,AG30*$F$15),"")</f>
        <v>50</v>
      </c>
      <c r="AO31" s="11">
        <f t="shared" si="36"/>
        <v>70</v>
      </c>
      <c r="AQ31" s="8">
        <f t="shared" si="37"/>
        <v>4</v>
      </c>
      <c r="AR31" s="8">
        <v>1</v>
      </c>
      <c r="AS31" s="57">
        <v>0</v>
      </c>
      <c r="AT31" s="57">
        <v>0</v>
      </c>
      <c r="AU31" s="57">
        <v>0</v>
      </c>
      <c r="AV31" s="77">
        <f t="shared" si="38"/>
        <v>399377.91</v>
      </c>
      <c r="AW31" s="57"/>
      <c r="AX31" s="56">
        <f>IF(AQ31&lt;&gt;"",ROUND(IF($F$11="raty równe",-PMT(W31/12,($F$4-AQ30+SUM($AR$27:AR30)),AV30,2),AV30/($F$4-AQ30+SUM($AR$27:AR30))+AV30*W31/12),2),"")</f>
        <v>3522.09</v>
      </c>
      <c r="AY31" s="33">
        <f t="shared" si="39"/>
        <v>3522.09</v>
      </c>
      <c r="AZ31" s="56">
        <f t="shared" si="16"/>
        <v>10607.984552265965</v>
      </c>
      <c r="BA31" s="56">
        <f>IF(AQ31&lt;&gt;"",AZ31-SUM($AY$28:AY31),"")</f>
        <v>41.714552265964812</v>
      </c>
      <c r="BB31" s="11">
        <f t="shared" si="40"/>
        <v>20</v>
      </c>
      <c r="BC31" s="11">
        <f>IF(AQ31&lt;&gt;"",IF($B$16=listy!$K$8,'RZĄDOWY PROGRAM'!$F$3*'RZĄDOWY PROGRAM'!$F$15,AV30*$F$15),"")</f>
        <v>50</v>
      </c>
      <c r="BD31" s="11">
        <f t="shared" si="41"/>
        <v>70</v>
      </c>
      <c r="BF31" s="8">
        <f t="shared" si="42"/>
        <v>4</v>
      </c>
      <c r="BG31" s="8">
        <v>1</v>
      </c>
      <c r="BH31" s="57">
        <v>0</v>
      </c>
      <c r="BI31" s="57">
        <v>0</v>
      </c>
      <c r="BJ31" s="57">
        <v>0</v>
      </c>
      <c r="BK31" s="77">
        <f t="shared" si="43"/>
        <v>388811.6399999999</v>
      </c>
      <c r="BL31" s="57">
        <f t="shared" si="50"/>
        <v>3522.09</v>
      </c>
      <c r="BM31" s="80">
        <f t="shared" si="51"/>
        <v>5.1202932514587474</v>
      </c>
      <c r="BN31" s="33"/>
      <c r="BO31" s="33"/>
      <c r="BP31" s="33"/>
      <c r="BQ31" s="11">
        <f t="shared" si="17"/>
        <v>20</v>
      </c>
      <c r="BR31" s="11">
        <f>IF(BF31&lt;&gt;"",IF($B$16=listy!$K$8,'RZĄDOWY PROGRAM'!$F$3*'RZĄDOWY PROGRAM'!$F$15,BK30*$F$15),"")</f>
        <v>50</v>
      </c>
      <c r="BS31" s="11">
        <f t="shared" si="18"/>
        <v>70</v>
      </c>
      <c r="BU31" s="8">
        <f t="shared" si="44"/>
        <v>4</v>
      </c>
      <c r="BV31" s="8">
        <v>1</v>
      </c>
      <c r="BW31" s="57">
        <v>0</v>
      </c>
      <c r="BX31" s="57">
        <v>0</v>
      </c>
      <c r="BY31" s="57">
        <v>0</v>
      </c>
      <c r="BZ31" s="77">
        <f t="shared" si="45"/>
        <v>399377.91</v>
      </c>
      <c r="CA31" s="57"/>
      <c r="CB31" s="33"/>
      <c r="CC31" s="11">
        <f t="shared" si="46"/>
        <v>3522.09</v>
      </c>
      <c r="CD31" s="11">
        <f t="shared" si="19"/>
        <v>10607.984552265965</v>
      </c>
      <c r="CE31" s="11">
        <f>IF(BU31&lt;&gt;"",CD31-SUM($CC$28:CC31),"")</f>
        <v>41.714552265964812</v>
      </c>
      <c r="CF31" s="11">
        <f t="shared" si="20"/>
        <v>20</v>
      </c>
      <c r="CG31" s="11">
        <f>IF(BU31&lt;&gt;"",IF($B$16=listy!$K$8,'RZĄDOWY PROGRAM'!$F$3*'RZĄDOWY PROGRAM'!$F$15,BZ30*$F$15),"")</f>
        <v>50</v>
      </c>
      <c r="CH31" s="11">
        <f t="shared" si="21"/>
        <v>70</v>
      </c>
      <c r="CJ31" s="48">
        <f t="shared" si="22"/>
        <v>0.06</v>
      </c>
      <c r="CK31" s="18">
        <f t="shared" si="23"/>
        <v>4.8675505653430484E-3</v>
      </c>
      <c r="CL31" s="57">
        <f t="shared" si="24"/>
        <v>3522.09</v>
      </c>
      <c r="CM31" s="57">
        <f t="shared" si="25"/>
        <v>10607.984552265965</v>
      </c>
      <c r="CN31" s="57">
        <f>IF(AB31&lt;&gt;"",CM31-SUM($CL$28:CL31),"")</f>
        <v>41.714552265964812</v>
      </c>
    </row>
    <row r="32" spans="1:92" x14ac:dyDescent="0.45">
      <c r="A32" s="68">
        <f t="shared" si="47"/>
        <v>44866</v>
      </c>
      <c r="B32" s="8">
        <f t="shared" si="4"/>
        <v>5</v>
      </c>
      <c r="C32" s="57">
        <f t="shared" si="5"/>
        <v>3522.09</v>
      </c>
      <c r="D32" s="57">
        <f t="shared" si="6"/>
        <v>640.3277516120329</v>
      </c>
      <c r="E32" s="57">
        <f t="shared" si="7"/>
        <v>2881.7622483879672</v>
      </c>
      <c r="F32" s="9">
        <f t="shared" si="26"/>
        <v>396844.12030190061</v>
      </c>
      <c r="G32" s="10">
        <f t="shared" si="8"/>
        <v>7.0000000000000007E-2</v>
      </c>
      <c r="H32" s="10">
        <f t="shared" si="9"/>
        <v>1.7000000000000001E-2</v>
      </c>
      <c r="I32" s="48">
        <f t="shared" si="27"/>
        <v>8.7000000000000008E-2</v>
      </c>
      <c r="J32" s="11">
        <f t="shared" si="10"/>
        <v>20</v>
      </c>
      <c r="K32" s="11">
        <f>IF(B32&lt;&gt;"",IF($B$16=listy!$K$8,'RZĄDOWY PROGRAM'!$F$3*'RZĄDOWY PROGRAM'!$F$15,F31*$F$15),"")</f>
        <v>50</v>
      </c>
      <c r="L32" s="11">
        <f t="shared" si="28"/>
        <v>70</v>
      </c>
      <c r="N32" s="54">
        <f t="shared" si="48"/>
        <v>44866</v>
      </c>
      <c r="O32" s="8">
        <f t="shared" si="29"/>
        <v>5</v>
      </c>
      <c r="P32" s="8">
        <v>1</v>
      </c>
      <c r="Q32" s="57">
        <v>0</v>
      </c>
      <c r="R32" s="57">
        <v>0</v>
      </c>
      <c r="S32" s="57">
        <v>0</v>
      </c>
      <c r="T32" s="9">
        <f t="shared" si="30"/>
        <v>399377.91</v>
      </c>
      <c r="U32" s="10">
        <f t="shared" si="11"/>
        <v>7.0000000000000007E-2</v>
      </c>
      <c r="V32" s="10">
        <f t="shared" si="12"/>
        <v>1.7000000000000001E-2</v>
      </c>
      <c r="W32" s="48">
        <f t="shared" si="31"/>
        <v>8.7000000000000008E-2</v>
      </c>
      <c r="X32" s="57">
        <f t="shared" si="13"/>
        <v>20</v>
      </c>
      <c r="Y32" s="57">
        <f>IF(O32&lt;&gt;"",IF($B$16=listy!$K$8,'RZĄDOWY PROGRAM'!$F$3*'RZĄDOWY PROGRAM'!$F$15,T31*$F$15),"")</f>
        <v>50</v>
      </c>
      <c r="Z32" s="57">
        <f t="shared" si="32"/>
        <v>70</v>
      </c>
      <c r="AB32" s="8">
        <f t="shared" si="33"/>
        <v>5</v>
      </c>
      <c r="AC32" s="8">
        <v>1</v>
      </c>
      <c r="AD32" s="57">
        <v>0</v>
      </c>
      <c r="AE32" s="57">
        <v>0</v>
      </c>
      <c r="AF32" s="57">
        <v>0</v>
      </c>
      <c r="AG32" s="77">
        <f t="shared" si="52"/>
        <v>385474.80999999994</v>
      </c>
      <c r="AH32" s="56">
        <f t="shared" si="49"/>
        <v>3429.73</v>
      </c>
      <c r="AI32" s="33">
        <f>IF(AB32&lt;&gt;"",ROUND(IF($F$11="raty równe",-PMT(W32/12,($F$4-AB31+SUM($AC$27:AC31)),AG31,2),AG31/($F$4-AB31+SUM($AC$27:AC31))+AG31*W32/12),2),"")</f>
        <v>3429.73</v>
      </c>
      <c r="AJ32" s="33">
        <f t="shared" si="34"/>
        <v>92.360000000000127</v>
      </c>
      <c r="AK32" s="33">
        <f t="shared" si="15"/>
        <v>185.74922189812838</v>
      </c>
      <c r="AL32" s="33">
        <f>IF(AB32&lt;&gt;"",AK32-SUM($AJ$28:AJ32),"")</f>
        <v>0.48922189812816441</v>
      </c>
      <c r="AM32" s="11">
        <f t="shared" si="35"/>
        <v>20</v>
      </c>
      <c r="AN32" s="11">
        <f>IF(AB32&lt;&gt;"",IF($B$16=listy!$K$8,'RZĄDOWY PROGRAM'!$F$3*'RZĄDOWY PROGRAM'!$F$15,AG31*$F$15),"")</f>
        <v>50</v>
      </c>
      <c r="AO32" s="11">
        <f t="shared" si="36"/>
        <v>70</v>
      </c>
      <c r="AQ32" s="8">
        <f t="shared" si="37"/>
        <v>5</v>
      </c>
      <c r="AR32" s="8">
        <v>1</v>
      </c>
      <c r="AS32" s="57">
        <v>0</v>
      </c>
      <c r="AT32" s="57">
        <v>0</v>
      </c>
      <c r="AU32" s="57">
        <v>0</v>
      </c>
      <c r="AV32" s="77">
        <f t="shared" si="38"/>
        <v>399377.91</v>
      </c>
      <c r="AW32" s="57"/>
      <c r="AX32" s="56">
        <f>IF(AQ32&lt;&gt;"",ROUND(IF($F$11="raty równe",-PMT(W32/12,($F$4-AQ31+SUM($AR$27:AR31)),AV31,2),AV31/($F$4-AQ31+SUM($AR$27:AR31))+AV31*W32/12),2),"")</f>
        <v>3522.09</v>
      </c>
      <c r="AY32" s="33">
        <f t="shared" si="39"/>
        <v>3522.09</v>
      </c>
      <c r="AZ32" s="56">
        <f t="shared" si="16"/>
        <v>14171.898822241637</v>
      </c>
      <c r="BA32" s="56">
        <f>IF(AQ32&lt;&gt;"",AZ32-SUM($AY$28:AY32),"")</f>
        <v>83.538822241636808</v>
      </c>
      <c r="BB32" s="11">
        <f t="shared" si="40"/>
        <v>20</v>
      </c>
      <c r="BC32" s="11">
        <f>IF(AQ32&lt;&gt;"",IF($B$16=listy!$K$8,'RZĄDOWY PROGRAM'!$F$3*'RZĄDOWY PROGRAM'!$F$15,AV31*$F$15),"")</f>
        <v>50</v>
      </c>
      <c r="BD32" s="11">
        <f t="shared" si="41"/>
        <v>70</v>
      </c>
      <c r="BF32" s="8">
        <f t="shared" si="42"/>
        <v>5</v>
      </c>
      <c r="BG32" s="8">
        <v>1</v>
      </c>
      <c r="BH32" s="57">
        <v>0</v>
      </c>
      <c r="BI32" s="57">
        <v>0</v>
      </c>
      <c r="BJ32" s="57">
        <v>0</v>
      </c>
      <c r="BK32" s="77">
        <f t="shared" si="43"/>
        <v>385289.54999999987</v>
      </c>
      <c r="BL32" s="57">
        <f t="shared" si="50"/>
        <v>3522.09</v>
      </c>
      <c r="BM32" s="80">
        <f>IF(BL32&lt;&gt;"",IF($F$11="raty równe",NPER(W32/12,-BL32,(BK32+BL32))-NPER(W32/12,-BL32,BK32),BL32/($F$2/$F$4)),"")</f>
        <v>4.9376387746054888</v>
      </c>
      <c r="BN32" s="33"/>
      <c r="BO32" s="33"/>
      <c r="BP32" s="33"/>
      <c r="BQ32" s="11">
        <f t="shared" si="17"/>
        <v>20</v>
      </c>
      <c r="BR32" s="11">
        <f>IF(BF32&lt;&gt;"",IF($B$16=listy!$K$8,'RZĄDOWY PROGRAM'!$F$3*'RZĄDOWY PROGRAM'!$F$15,BK31*$F$15),"")</f>
        <v>50</v>
      </c>
      <c r="BS32" s="11">
        <f t="shared" si="18"/>
        <v>70</v>
      </c>
      <c r="BU32" s="8">
        <f t="shared" si="44"/>
        <v>5</v>
      </c>
      <c r="BV32" s="8">
        <v>1</v>
      </c>
      <c r="BW32" s="57">
        <v>0</v>
      </c>
      <c r="BX32" s="57">
        <v>0</v>
      </c>
      <c r="BY32" s="57">
        <v>0</v>
      </c>
      <c r="BZ32" s="77">
        <f t="shared" si="45"/>
        <v>399377.91</v>
      </c>
      <c r="CA32" s="57"/>
      <c r="CB32" s="33"/>
      <c r="CC32" s="11">
        <f t="shared" si="46"/>
        <v>3522.09</v>
      </c>
      <c r="CD32" s="11">
        <f t="shared" si="19"/>
        <v>14171.898822241637</v>
      </c>
      <c r="CE32" s="11">
        <f>IF(BU32&lt;&gt;"",CD32-SUM($CC$28:CC32),"")</f>
        <v>83.538822241636808</v>
      </c>
      <c r="CF32" s="11">
        <f t="shared" si="20"/>
        <v>20</v>
      </c>
      <c r="CG32" s="11">
        <f>IF(BU32&lt;&gt;"",IF($B$16=listy!$K$8,'RZĄDOWY PROGRAM'!$F$3*'RZĄDOWY PROGRAM'!$F$15,BZ31*$F$15),"")</f>
        <v>50</v>
      </c>
      <c r="CH32" s="11">
        <f t="shared" si="21"/>
        <v>70</v>
      </c>
      <c r="CJ32" s="48">
        <f t="shared" si="22"/>
        <v>0.06</v>
      </c>
      <c r="CK32" s="18">
        <f t="shared" si="23"/>
        <v>4.8675505653430484E-3</v>
      </c>
      <c r="CL32" s="57">
        <f t="shared" si="24"/>
        <v>3522.09</v>
      </c>
      <c r="CM32" s="57">
        <f t="shared" si="25"/>
        <v>14171.898822241637</v>
      </c>
      <c r="CN32" s="57">
        <f>IF(AB32&lt;&gt;"",CM32-SUM($CL$28:CL32),"")</f>
        <v>83.538822241636808</v>
      </c>
    </row>
    <row r="33" spans="1:92" x14ac:dyDescent="0.45">
      <c r="A33" s="68">
        <f t="shared" si="47"/>
        <v>44896</v>
      </c>
      <c r="B33" s="8">
        <f t="shared" si="4"/>
        <v>6</v>
      </c>
      <c r="C33" s="11">
        <f t="shared" si="5"/>
        <v>3522.1</v>
      </c>
      <c r="D33" s="11">
        <f t="shared" si="6"/>
        <v>644.98012781122043</v>
      </c>
      <c r="E33" s="11">
        <f t="shared" si="7"/>
        <v>2877.1198721887795</v>
      </c>
      <c r="F33" s="9">
        <f t="shared" si="26"/>
        <v>396199.14017408941</v>
      </c>
      <c r="G33" s="10">
        <f t="shared" si="8"/>
        <v>7.0000000000000007E-2</v>
      </c>
      <c r="H33" s="10">
        <f t="shared" si="9"/>
        <v>1.7000000000000001E-2</v>
      </c>
      <c r="I33" s="48">
        <f t="shared" si="27"/>
        <v>8.7000000000000008E-2</v>
      </c>
      <c r="J33" s="11">
        <f t="shared" si="10"/>
        <v>20</v>
      </c>
      <c r="K33" s="11">
        <f>IF(B33&lt;&gt;"",IF($B$16=listy!$K$8,'RZĄDOWY PROGRAM'!$F$3*'RZĄDOWY PROGRAM'!$F$15,F32*$F$15),"")</f>
        <v>50</v>
      </c>
      <c r="L33" s="11">
        <f t="shared" si="28"/>
        <v>70</v>
      </c>
      <c r="N33" s="54">
        <f t="shared" si="48"/>
        <v>44896</v>
      </c>
      <c r="O33" s="8">
        <f t="shared" si="29"/>
        <v>6</v>
      </c>
      <c r="P33" s="8"/>
      <c r="Q33" s="11">
        <f>IF(O33&lt;&gt;"",ROUND(IF($F$11="raty równe",-PMT(W33/12,$F$4-O32+SUM($P$28:P33),T32,2),R33+S33),2),"")</f>
        <v>3522.09</v>
      </c>
      <c r="R33" s="11">
        <f>IF(O33&lt;&gt;"",IF($F$11="raty malejące",T32/($F$4-O32+SUM($P$28:P33)),IF(Q33-S33&gt;T32,T32,Q33-S33)),"")</f>
        <v>626.60015249999969</v>
      </c>
      <c r="S33" s="11">
        <f>IF(O33&lt;&gt;"",T32*W33/12,"")</f>
        <v>2895.4898475000005</v>
      </c>
      <c r="T33" s="9">
        <f t="shared" si="30"/>
        <v>398751.3098475</v>
      </c>
      <c r="U33" s="10">
        <f t="shared" si="11"/>
        <v>7.0000000000000007E-2</v>
      </c>
      <c r="V33" s="10">
        <f t="shared" si="12"/>
        <v>1.7000000000000001E-2</v>
      </c>
      <c r="W33" s="48">
        <f t="shared" si="31"/>
        <v>8.7000000000000008E-2</v>
      </c>
      <c r="X33" s="11">
        <f t="shared" si="13"/>
        <v>20</v>
      </c>
      <c r="Y33" s="11">
        <f>IF(O33&lt;&gt;"",IF($B$16=listy!$K$8,'RZĄDOWY PROGRAM'!$F$3*'RZĄDOWY PROGRAM'!$F$15,T32*$F$15),"")</f>
        <v>50</v>
      </c>
      <c r="Z33" s="11">
        <f t="shared" si="32"/>
        <v>70</v>
      </c>
      <c r="AB33" s="8">
        <f t="shared" si="33"/>
        <v>6</v>
      </c>
      <c r="AC33" s="8"/>
      <c r="AD33" s="11">
        <f>IF(AB33&lt;&gt;"",ROUND(IF($F$11="raty równe",-PMT(W33/12,$F$4-AB32+SUM($AC$28:AC33),AG32,2),AE33+AF33),2),"")</f>
        <v>3399.48</v>
      </c>
      <c r="AE33" s="11">
        <f>IF(AB33&lt;&gt;"",IF($F$11="raty malejące",AG32/($F$4-AB32+SUM($AC$28:AC32)),MIN(AD33-AF33,AG32)),"")</f>
        <v>604.78762750000033</v>
      </c>
      <c r="AF33" s="11">
        <f t="shared" si="14"/>
        <v>2794.6923724999997</v>
      </c>
      <c r="AG33" s="9">
        <f t="shared" si="52"/>
        <v>384870.02237249992</v>
      </c>
      <c r="AH33" s="33"/>
      <c r="AI33" s="33">
        <f>IF(AB33&lt;&gt;"",ROUND(IF($F$11="raty równe",-PMT(W33/12,($F$4-AB32+SUM($AC$27:AC32)),AG32,2),AG32/($F$4-AB32+SUM($AC$27:AC32))+AG32*W33/12),2),"")</f>
        <v>3399.48</v>
      </c>
      <c r="AJ33" s="33">
        <f t="shared" si="34"/>
        <v>122.61999999999989</v>
      </c>
      <c r="AK33" s="33">
        <f t="shared" si="15"/>
        <v>309.10157831947873</v>
      </c>
      <c r="AL33" s="33">
        <f>IF(AB33&lt;&gt;"",AK33-SUM($AJ$28:AJ33),"")</f>
        <v>1.2215783194786241</v>
      </c>
      <c r="AM33" s="11">
        <f t="shared" si="35"/>
        <v>20</v>
      </c>
      <c r="AN33" s="11">
        <f>IF(AB33&lt;&gt;"",IF($B$16=listy!$K$8,'RZĄDOWY PROGRAM'!$F$3*'RZĄDOWY PROGRAM'!$F$15,AG32*$F$15),"")</f>
        <v>50</v>
      </c>
      <c r="AO33" s="11">
        <f t="shared" si="36"/>
        <v>70</v>
      </c>
      <c r="AQ33" s="8">
        <f t="shared" si="37"/>
        <v>6</v>
      </c>
      <c r="AR33" s="8"/>
      <c r="AS33" s="78">
        <f>IF(AQ33&lt;&gt;"",ROUND(IF($F$11="raty równe",-PMT(W33/12,$F$4-AQ32+SUM($AR$28:AR33),AV32,2),AT33+AU33),2),"")</f>
        <v>3522.09</v>
      </c>
      <c r="AT33" s="78">
        <f>IF(AQ33&lt;&gt;"",IF($F$11="raty malejące",AV32/($F$4-AQ32+SUM($AR$28:AR32)),MIN(AS33-AU33,AV32)),"")</f>
        <v>626.60015249999969</v>
      </c>
      <c r="AU33" s="78">
        <f t="shared" ref="AU33:AU92" si="53">IF(AQ33&lt;&gt;"",AV32*W33/12,"")</f>
        <v>2895.4898475000005</v>
      </c>
      <c r="AV33" s="79">
        <f t="shared" si="38"/>
        <v>398751.3098475</v>
      </c>
      <c r="AW33" s="11"/>
      <c r="AX33" s="33">
        <f>IF(AQ33&lt;&gt;"",ROUND(IF($F$11="raty równe",-PMT(W33/12,($F$4-AQ32+SUM($AR$27:AR32)),AV32,2),AV32/($F$4-AQ32+SUM($AR$27:AR32))+AV32*W33/12),2),"")</f>
        <v>3522.09</v>
      </c>
      <c r="AY33" s="33">
        <f>IF(AQ33&lt;&gt;"",IF(B33&lt;&gt;"",C33-AS33,-AS33),"")</f>
        <v>9.9999999997635314E-3</v>
      </c>
      <c r="AZ33" s="33">
        <f t="shared" si="16"/>
        <v>14227.78459388223</v>
      </c>
      <c r="BA33" s="33">
        <f>IF(AQ33&lt;&gt;"",AZ33-SUM($AY$28:AY33),"")</f>
        <v>139.41459388222938</v>
      </c>
      <c r="BB33" s="11">
        <f t="shared" si="40"/>
        <v>20</v>
      </c>
      <c r="BC33" s="11">
        <f>IF(AQ33&lt;&gt;"",IF($B$16=listy!$K$8,'RZĄDOWY PROGRAM'!$F$3*'RZĄDOWY PROGRAM'!$F$15,AV32*$F$15),"")</f>
        <v>50</v>
      </c>
      <c r="BD33" s="11">
        <f t="shared" si="41"/>
        <v>70</v>
      </c>
      <c r="BF33" s="8">
        <f t="shared" si="42"/>
        <v>6</v>
      </c>
      <c r="BG33" s="8"/>
      <c r="BH33" s="78">
        <f>IF(BF33&lt;&gt;"",ROUND(IF($F$11="raty równe",-PMT(W33/12,$F$4-BF32+SUM(BV$28:$BV33)-SUM($BM$29:BM33),BK32,2),BI33+BJ33),2),"")</f>
        <v>3522.1</v>
      </c>
      <c r="BI33" s="78">
        <f>IF(BF33&lt;&gt;"",IF($F$11="raty malejące",MIN(BK32/($F$4-BF32+SUM($BG$27:BG33)-SUM($BM$27:BM33)),BK32),MIN(BH33-BJ33,BK32)),"")</f>
        <v>728.75076250000075</v>
      </c>
      <c r="BJ33" s="78">
        <f t="shared" ref="BJ33:BJ92" si="54">IF(BF33&lt;&gt;"",BK32*W33/12,"")</f>
        <v>2793.3492374999992</v>
      </c>
      <c r="BK33" s="79">
        <f t="shared" ref="BK33:BK92" si="55">IF(BF33&lt;&gt;"",IF(B33&lt;&gt;"",BK32-BI33-BL33,BK32-BI33),"")</f>
        <v>384560.79923749989</v>
      </c>
      <c r="BL33" s="11"/>
      <c r="BM33" s="98" t="str">
        <f t="shared" ref="BM33:BM50" si="56">IF(BL33&lt;&gt;"",NPER(W33/12,-BL33,(BK33+BL33))-NPER(W33/12,-BL33,BK33),"")</f>
        <v/>
      </c>
      <c r="BN33" s="33"/>
      <c r="BO33" s="33"/>
      <c r="BP33" s="33"/>
      <c r="BQ33" s="11">
        <f t="shared" si="17"/>
        <v>20</v>
      </c>
      <c r="BR33" s="11">
        <f>IF(BF33&lt;&gt;"",IF($B$16=listy!$K$8,'RZĄDOWY PROGRAM'!$F$3*'RZĄDOWY PROGRAM'!$F$15,BK32*$F$15),"")</f>
        <v>50</v>
      </c>
      <c r="BS33" s="11">
        <f t="shared" si="18"/>
        <v>70</v>
      </c>
      <c r="BU33" s="8">
        <f t="shared" si="44"/>
        <v>6</v>
      </c>
      <c r="BV33" s="8"/>
      <c r="BW33" s="78">
        <f>IF(BU33&lt;&gt;"",ROUND(IF($F$11="raty równe",-PMT(W33/12,$F$4-BU32+SUM($BV$28:BV33),BZ32,2),BX33+BY33),2),"")</f>
        <v>3522.09</v>
      </c>
      <c r="BX33" s="78">
        <f>IF(BU33&lt;&gt;"",IF($F$11="raty malejące",BZ32/($F$4-BU32+SUM($BV$28:BV32)),MIN(BW33-BY33,BZ32)),"")</f>
        <v>626.60015249999969</v>
      </c>
      <c r="BY33" s="78">
        <f>IF(BU33&lt;&gt;"",BZ32*W33/12,"")</f>
        <v>2895.4898475000005</v>
      </c>
      <c r="BZ33" s="79">
        <f>IF(BU33&lt;&gt;"",IF(B33&lt;&gt;"",BZ32-BX33-CA33,BZ32-BX33),"")</f>
        <v>398751.3098475</v>
      </c>
      <c r="CA33" s="11"/>
      <c r="CB33" s="33"/>
      <c r="CC33" s="11">
        <f t="shared" si="46"/>
        <v>9.9999999997635314E-3</v>
      </c>
      <c r="CD33" s="11">
        <f t="shared" si="19"/>
        <v>14227.78459388223</v>
      </c>
      <c r="CE33" s="11">
        <f>IF(BU33&lt;&gt;"",CD33-SUM($CC$28:CC33),"")</f>
        <v>139.41459388222938</v>
      </c>
      <c r="CF33" s="11">
        <f t="shared" si="20"/>
        <v>20</v>
      </c>
      <c r="CG33" s="11">
        <f>IF(BU33&lt;&gt;"",IF($B$16=listy!$K$8,'RZĄDOWY PROGRAM'!$F$3*'RZĄDOWY PROGRAM'!$F$15,BZ32*$F$15),"")</f>
        <v>50</v>
      </c>
      <c r="CH33" s="11">
        <f t="shared" si="21"/>
        <v>70</v>
      </c>
      <c r="CJ33" s="48">
        <f t="shared" si="22"/>
        <v>0.06</v>
      </c>
      <c r="CK33" s="18">
        <f t="shared" si="23"/>
        <v>4.8675505653430484E-3</v>
      </c>
      <c r="CL33" s="11">
        <f t="shared" si="24"/>
        <v>9.9999999997635314E-3</v>
      </c>
      <c r="CM33" s="11">
        <f t="shared" si="25"/>
        <v>14227.78459388223</v>
      </c>
      <c r="CN33" s="11">
        <f>IF(AB33&lt;&gt;"",CM33-SUM($CL$28:CL33),"")</f>
        <v>139.41459388222938</v>
      </c>
    </row>
    <row r="34" spans="1:92" x14ac:dyDescent="0.45">
      <c r="A34" s="68">
        <f t="shared" si="47"/>
        <v>44927</v>
      </c>
      <c r="B34" s="8">
        <f t="shared" si="4"/>
        <v>7</v>
      </c>
      <c r="C34" s="57">
        <f t="shared" si="5"/>
        <v>3522.09</v>
      </c>
      <c r="D34" s="57">
        <f t="shared" si="6"/>
        <v>649.64623373785207</v>
      </c>
      <c r="E34" s="57">
        <f t="shared" si="7"/>
        <v>2872.4437662621481</v>
      </c>
      <c r="F34" s="9">
        <f t="shared" si="26"/>
        <v>395549.49394035153</v>
      </c>
      <c r="G34" s="10">
        <f t="shared" si="8"/>
        <v>7.0000000000000007E-2</v>
      </c>
      <c r="H34" s="10">
        <f t="shared" si="9"/>
        <v>1.7000000000000001E-2</v>
      </c>
      <c r="I34" s="48">
        <f t="shared" si="27"/>
        <v>8.7000000000000008E-2</v>
      </c>
      <c r="J34" s="11">
        <f t="shared" si="10"/>
        <v>20</v>
      </c>
      <c r="K34" s="11">
        <f>IF(B34&lt;&gt;"",IF($B$16=listy!$K$8,'RZĄDOWY PROGRAM'!$F$3*'RZĄDOWY PROGRAM'!$F$15,F33*$F$15),"")</f>
        <v>50</v>
      </c>
      <c r="L34" s="11">
        <f t="shared" si="28"/>
        <v>70</v>
      </c>
      <c r="N34" s="54">
        <f t="shared" si="48"/>
        <v>44927</v>
      </c>
      <c r="O34" s="8">
        <f t="shared" si="29"/>
        <v>7</v>
      </c>
      <c r="P34" s="8">
        <v>1</v>
      </c>
      <c r="Q34" s="57">
        <v>0</v>
      </c>
      <c r="R34" s="57">
        <v>0</v>
      </c>
      <c r="S34" s="57">
        <v>0</v>
      </c>
      <c r="T34" s="9">
        <f t="shared" si="30"/>
        <v>398751.3098475</v>
      </c>
      <c r="U34" s="10">
        <f t="shared" si="11"/>
        <v>7.0000000000000007E-2</v>
      </c>
      <c r="V34" s="10">
        <f t="shared" si="12"/>
        <v>1.7000000000000001E-2</v>
      </c>
      <c r="W34" s="48">
        <f t="shared" si="31"/>
        <v>8.7000000000000008E-2</v>
      </c>
      <c r="X34" s="56">
        <f t="shared" si="13"/>
        <v>20</v>
      </c>
      <c r="Y34" s="57">
        <f>IF(O34&lt;&gt;"",IF($B$16=listy!$K$8,'RZĄDOWY PROGRAM'!$F$3*'RZĄDOWY PROGRAM'!$F$15,T33*$F$15),"")</f>
        <v>50</v>
      </c>
      <c r="Z34" s="57">
        <f t="shared" si="32"/>
        <v>70</v>
      </c>
      <c r="AB34" s="8">
        <f t="shared" si="33"/>
        <v>7</v>
      </c>
      <c r="AC34" s="8">
        <v>1</v>
      </c>
      <c r="AD34" s="57">
        <v>0</v>
      </c>
      <c r="AE34" s="57">
        <v>0</v>
      </c>
      <c r="AF34" s="57">
        <v>0</v>
      </c>
      <c r="AG34" s="77">
        <f t="shared" si="52"/>
        <v>381470.54237249994</v>
      </c>
      <c r="AH34" s="56">
        <f>AI34</f>
        <v>3399.48</v>
      </c>
      <c r="AI34" s="33">
        <f>IF(AB34&lt;&gt;"",ROUND(IF($F$11="raty równe",-PMT(W34/12,($F$4-AB33+SUM($AC$27:AC33)),AG33,2),AG33/($F$4-AB33+SUM($AC$27:AC33))+AG33*W34/12),2),"")</f>
        <v>3399.48</v>
      </c>
      <c r="AJ34" s="33">
        <f t="shared" si="34"/>
        <v>122.61000000000013</v>
      </c>
      <c r="AK34" s="33">
        <f t="shared" si="15"/>
        <v>432.93027804493977</v>
      </c>
      <c r="AL34" s="33">
        <f>IF(AB34&lt;&gt;"",AK34-SUM($AJ$28:AJ34),"")</f>
        <v>2.4402780449395323</v>
      </c>
      <c r="AM34" s="11">
        <f t="shared" si="35"/>
        <v>20</v>
      </c>
      <c r="AN34" s="11">
        <f>IF(AB34&lt;&gt;"",IF($B$16=listy!$K$8,'RZĄDOWY PROGRAM'!$F$3*'RZĄDOWY PROGRAM'!$F$15,AG33*$F$15),"")</f>
        <v>50</v>
      </c>
      <c r="AO34" s="11">
        <f t="shared" si="36"/>
        <v>70</v>
      </c>
      <c r="AQ34" s="8">
        <f t="shared" si="37"/>
        <v>7</v>
      </c>
      <c r="AR34" s="8">
        <v>1</v>
      </c>
      <c r="AS34" s="57">
        <v>0</v>
      </c>
      <c r="AT34" s="57">
        <v>0</v>
      </c>
      <c r="AU34" s="57">
        <v>0</v>
      </c>
      <c r="AV34" s="77">
        <f t="shared" si="38"/>
        <v>398751.3098475</v>
      </c>
      <c r="AW34" s="57"/>
      <c r="AX34" s="56">
        <f>IF(AQ34&lt;&gt;"",ROUND(IF($F$11="raty równe",-PMT(W34/12,($F$4-AQ33+SUM($AR$27:AR33)),AV33,2),AV33/($F$4-AQ33+SUM($AR$27:AR33))+AV33*W34/12),2),"")</f>
        <v>3522.09</v>
      </c>
      <c r="AY34" s="33">
        <f t="shared" si="39"/>
        <v>3522.09</v>
      </c>
      <c r="AZ34" s="56">
        <f t="shared" si="16"/>
        <v>17805.970707246492</v>
      </c>
      <c r="BA34" s="56">
        <f>IF(AQ34&lt;&gt;"",AZ34-SUM($AY$28:AY34),"")</f>
        <v>195.51070724649253</v>
      </c>
      <c r="BB34" s="11">
        <f t="shared" si="40"/>
        <v>20</v>
      </c>
      <c r="BC34" s="11">
        <f>IF(AQ34&lt;&gt;"",IF($B$16=listy!$K$8,'RZĄDOWY PROGRAM'!$F$3*'RZĄDOWY PROGRAM'!$F$15,AV33*$F$15),"")</f>
        <v>50</v>
      </c>
      <c r="BD34" s="11">
        <f t="shared" si="41"/>
        <v>70</v>
      </c>
      <c r="BF34" s="8">
        <f t="shared" si="42"/>
        <v>7</v>
      </c>
      <c r="BG34" s="8">
        <v>1</v>
      </c>
      <c r="BH34" s="57">
        <v>0</v>
      </c>
      <c r="BI34" s="57">
        <v>0</v>
      </c>
      <c r="BJ34" s="57">
        <v>0</v>
      </c>
      <c r="BK34" s="77">
        <f t="shared" ref="BK34" si="57">IF(BF34&lt;&gt;"",IF(BL34&lt;&gt;"",BK33-BI34-BL34,BK33-BI34),"")</f>
        <v>381038.70923749986</v>
      </c>
      <c r="BL34" s="57">
        <f t="shared" si="50"/>
        <v>3522.09</v>
      </c>
      <c r="BM34" s="80">
        <f t="shared" si="51"/>
        <v>4.7338317773095184</v>
      </c>
      <c r="BN34" s="33"/>
      <c r="BO34" s="33"/>
      <c r="BP34" s="33"/>
      <c r="BQ34" s="11">
        <f t="shared" si="17"/>
        <v>20</v>
      </c>
      <c r="BR34" s="11">
        <f>IF(BF34&lt;&gt;"",IF($B$16=listy!$K$8,'RZĄDOWY PROGRAM'!$F$3*'RZĄDOWY PROGRAM'!$F$15,BK33*$F$15),"")</f>
        <v>50</v>
      </c>
      <c r="BS34" s="11">
        <f t="shared" si="18"/>
        <v>70</v>
      </c>
      <c r="BU34" s="8">
        <f t="shared" si="44"/>
        <v>7</v>
      </c>
      <c r="BV34" s="8">
        <v>1</v>
      </c>
      <c r="BW34" s="57">
        <v>0</v>
      </c>
      <c r="BX34" s="57">
        <v>0</v>
      </c>
      <c r="BY34" s="57">
        <v>0</v>
      </c>
      <c r="BZ34" s="77">
        <f t="shared" ref="BZ34" si="58">IF(BU34&lt;&gt;"",IF(CA34&lt;&gt;"",BZ33-BX34-CA34,BZ33-BX34),"")</f>
        <v>398751.3098475</v>
      </c>
      <c r="CA34" s="57"/>
      <c r="CB34" s="33"/>
      <c r="CC34" s="11">
        <f t="shared" si="46"/>
        <v>3522.09</v>
      </c>
      <c r="CD34" s="11">
        <f t="shared" si="19"/>
        <v>17805.970707246492</v>
      </c>
      <c r="CE34" s="11">
        <f>IF(BU34&lt;&gt;"",CD34-SUM($CC$28:CC34),"")</f>
        <v>195.51070724649253</v>
      </c>
      <c r="CF34" s="11">
        <f t="shared" si="20"/>
        <v>20</v>
      </c>
      <c r="CG34" s="11">
        <f>IF(BU34&lt;&gt;"",IF($B$16=listy!$K$8,'RZĄDOWY PROGRAM'!$F$3*'RZĄDOWY PROGRAM'!$F$15,BZ33*$F$15),"")</f>
        <v>50</v>
      </c>
      <c r="CH34" s="11">
        <f t="shared" si="21"/>
        <v>70</v>
      </c>
      <c r="CJ34" s="48">
        <f t="shared" si="22"/>
        <v>0.06</v>
      </c>
      <c r="CK34" s="18">
        <f t="shared" si="23"/>
        <v>4.8675505653430484E-3</v>
      </c>
      <c r="CL34" s="57">
        <f t="shared" si="24"/>
        <v>3522.09</v>
      </c>
      <c r="CM34" s="57">
        <f t="shared" si="25"/>
        <v>17805.970707246492</v>
      </c>
      <c r="CN34" s="57">
        <f>IF(AB34&lt;&gt;"",CM34-SUM($CL$28:CL34),"")</f>
        <v>195.51070724649253</v>
      </c>
    </row>
    <row r="35" spans="1:92" x14ac:dyDescent="0.45">
      <c r="A35" s="68">
        <f t="shared" si="47"/>
        <v>44958</v>
      </c>
      <c r="B35" s="8">
        <f t="shared" si="4"/>
        <v>8</v>
      </c>
      <c r="C35" s="11">
        <f t="shared" si="5"/>
        <v>3522.1</v>
      </c>
      <c r="D35" s="11">
        <f t="shared" si="6"/>
        <v>654.36616893245082</v>
      </c>
      <c r="E35" s="11">
        <f t="shared" si="7"/>
        <v>2867.7338310675491</v>
      </c>
      <c r="F35" s="9">
        <f t="shared" si="26"/>
        <v>394895.12777141907</v>
      </c>
      <c r="G35" s="10">
        <f t="shared" si="8"/>
        <v>7.0000000000000007E-2</v>
      </c>
      <c r="H35" s="10">
        <f t="shared" si="9"/>
        <v>1.7000000000000001E-2</v>
      </c>
      <c r="I35" s="48">
        <f t="shared" si="27"/>
        <v>8.7000000000000008E-2</v>
      </c>
      <c r="J35" s="11">
        <f t="shared" si="10"/>
        <v>20</v>
      </c>
      <c r="K35" s="11">
        <f>IF(B35&lt;&gt;"",IF($B$16=listy!$K$8,'RZĄDOWY PROGRAM'!$F$3*'RZĄDOWY PROGRAM'!$F$15,F34*$F$15),"")</f>
        <v>50</v>
      </c>
      <c r="L35" s="11">
        <f t="shared" si="28"/>
        <v>70</v>
      </c>
      <c r="N35" s="54">
        <f t="shared" si="48"/>
        <v>44958</v>
      </c>
      <c r="O35" s="8">
        <f t="shared" si="29"/>
        <v>8</v>
      </c>
      <c r="P35" s="8"/>
      <c r="Q35" s="11">
        <f>IF(O35&lt;&gt;"",ROUND(IF($F$11="raty równe",-PMT(W35/12,$F$4-O34+SUM($P$28:P35),T34,2),R35+S35),2),"")</f>
        <v>3522.09</v>
      </c>
      <c r="R35" s="11">
        <f>IF(O35&lt;&gt;"",IF($F$11="raty malejące",T34/($F$4-O34+SUM($P$28:P35)),IF(Q35-S35&gt;T34,T34,Q35-S35)),"")</f>
        <v>631.14300360562493</v>
      </c>
      <c r="S35" s="11">
        <f>IF(O35&lt;&gt;"",T34*W35/12,"")</f>
        <v>2890.9469963943752</v>
      </c>
      <c r="T35" s="9">
        <f t="shared" si="30"/>
        <v>398120.1668438944</v>
      </c>
      <c r="U35" s="10">
        <f t="shared" si="11"/>
        <v>7.0000000000000007E-2</v>
      </c>
      <c r="V35" s="10">
        <f t="shared" si="12"/>
        <v>1.7000000000000001E-2</v>
      </c>
      <c r="W35" s="48">
        <f t="shared" si="31"/>
        <v>8.7000000000000008E-2</v>
      </c>
      <c r="X35" s="11">
        <f t="shared" si="13"/>
        <v>20</v>
      </c>
      <c r="Y35" s="11">
        <f>IF(O35&lt;&gt;"",IF($B$16=listy!$K$8,'RZĄDOWY PROGRAM'!$F$3*'RZĄDOWY PROGRAM'!$F$15,T34*$F$15),"")</f>
        <v>50</v>
      </c>
      <c r="Z35" s="11">
        <f t="shared" si="32"/>
        <v>70</v>
      </c>
      <c r="AB35" s="8">
        <f t="shared" si="33"/>
        <v>8</v>
      </c>
      <c r="AC35" s="8"/>
      <c r="AD35" s="11">
        <f>IF(AB35&lt;&gt;"",ROUND(IF($F$11="raty równe",-PMT(W35/12,$F$4-AB34+SUM($AC$28:AC35),AG34,2),AE35+AF35),2),"")</f>
        <v>3369.46</v>
      </c>
      <c r="AE35" s="11">
        <f>IF(AB35&lt;&gt;"",IF($F$11="raty malejące",AG34/($F$4-AB34+SUM($AC$28:AC34)),MIN(AD35-AF35,AG34)),"")</f>
        <v>603.79856779937518</v>
      </c>
      <c r="AF35" s="11">
        <f t="shared" si="14"/>
        <v>2765.6614322006249</v>
      </c>
      <c r="AG35" s="9">
        <f t="shared" si="52"/>
        <v>380866.74380470056</v>
      </c>
      <c r="AH35" s="33"/>
      <c r="AI35" s="33">
        <f>IF(AB35&lt;&gt;"",ROUND(IF($F$11="raty równe",-PMT(W35/12,($F$4-AB34+SUM($AC$27:AC34)),AG34,2),AG34/($F$4-AB34+SUM($AC$27:AC34))+AG34*W35/12),2),"")</f>
        <v>3369.46</v>
      </c>
      <c r="AJ35" s="33">
        <f t="shared" si="34"/>
        <v>152.63999999999987</v>
      </c>
      <c r="AK35" s="33">
        <f t="shared" si="15"/>
        <v>587.27719916085766</v>
      </c>
      <c r="AL35" s="33">
        <f>IF(AB35&lt;&gt;"",AK35-SUM($AJ$28:AJ35),"")</f>
        <v>4.1471991608575536</v>
      </c>
      <c r="AM35" s="11">
        <f t="shared" si="35"/>
        <v>20</v>
      </c>
      <c r="AN35" s="11">
        <f>IF(AB35&lt;&gt;"",IF($B$16=listy!$K$8,'RZĄDOWY PROGRAM'!$F$3*'RZĄDOWY PROGRAM'!$F$15,AG34*$F$15),"")</f>
        <v>50</v>
      </c>
      <c r="AO35" s="11">
        <f t="shared" si="36"/>
        <v>70</v>
      </c>
      <c r="AQ35" s="8">
        <f t="shared" si="37"/>
        <v>8</v>
      </c>
      <c r="AR35" s="8"/>
      <c r="AS35" s="78">
        <f>IF(AQ35&lt;&gt;"",ROUND(IF($F$11="raty równe",-PMT(W35/12,$F$4-AQ34+SUM($AR$28:AR35),AV34,2),AT35+AU35),2),"")</f>
        <v>3522.09</v>
      </c>
      <c r="AT35" s="78">
        <f>IF(AQ35&lt;&gt;"",IF($F$11="raty malejące",AV34/($F$4-AQ34+SUM($AR$28:AR34)),MIN(AS35-AU35,AV34)),"")</f>
        <v>631.14300360562493</v>
      </c>
      <c r="AU35" s="78">
        <f t="shared" si="53"/>
        <v>2890.9469963943752</v>
      </c>
      <c r="AV35" s="79">
        <f t="shared" si="38"/>
        <v>398120.1668438944</v>
      </c>
      <c r="AW35" s="11"/>
      <c r="AX35" s="33">
        <f>IF(AQ35&lt;&gt;"",ROUND(IF($F$11="raty równe",-PMT(W35/12,($F$4-AQ34+SUM($AR$27:AR34)),AV34,2),AV34/($F$4-AQ34+SUM($AR$27:AR34))+AV34*W35/12),2),"")</f>
        <v>3522.09</v>
      </c>
      <c r="AY35" s="33">
        <f t="shared" si="39"/>
        <v>9.9999999997635314E-3</v>
      </c>
      <c r="AZ35" s="33">
        <f t="shared" si="16"/>
        <v>17876.184592100348</v>
      </c>
      <c r="BA35" s="33">
        <f>IF(AQ35&lt;&gt;"",AZ35-SUM($AY$28:AY35),"")</f>
        <v>265.71459210035027</v>
      </c>
      <c r="BB35" s="11">
        <f t="shared" si="40"/>
        <v>20</v>
      </c>
      <c r="BC35" s="11">
        <f>IF(AQ35&lt;&gt;"",IF($B$16=listy!$K$8,'RZĄDOWY PROGRAM'!$F$3*'RZĄDOWY PROGRAM'!$F$15,AV34*$F$15),"")</f>
        <v>50</v>
      </c>
      <c r="BD35" s="11">
        <f t="shared" si="41"/>
        <v>70</v>
      </c>
      <c r="BF35" s="8">
        <f t="shared" si="42"/>
        <v>8</v>
      </c>
      <c r="BG35" s="8"/>
      <c r="BH35" s="78">
        <f>IF(BF35&lt;&gt;"",ROUND(IF($F$11="raty równe",-PMT(W35/12,$F$4-BF34+SUM(BV$28:$BV35)-SUM($BM$29:BM35),BK34,2),BI35+BJ35),2),"")</f>
        <v>3522.1</v>
      </c>
      <c r="BI35" s="78">
        <f>IF(BF35&lt;&gt;"",IF($F$11="raty malejące",MIN(BK34/($F$4-BF34+SUM($BG$27:BG35)-SUM($BM$27:BM35)),BK34),MIN(BH35-BJ35,BK34)),"")</f>
        <v>759.56935802812541</v>
      </c>
      <c r="BJ35" s="78">
        <f t="shared" si="54"/>
        <v>2762.5306419718745</v>
      </c>
      <c r="BK35" s="79">
        <f t="shared" si="55"/>
        <v>380279.13987947174</v>
      </c>
      <c r="BL35" s="11"/>
      <c r="BM35" s="98" t="str">
        <f t="shared" si="56"/>
        <v/>
      </c>
      <c r="BN35" s="33"/>
      <c r="BO35" s="33"/>
      <c r="BP35" s="33"/>
      <c r="BQ35" s="11">
        <f t="shared" si="17"/>
        <v>20</v>
      </c>
      <c r="BR35" s="11">
        <f>IF(BF35&lt;&gt;"",IF($B$16=listy!$K$8,'RZĄDOWY PROGRAM'!$F$3*'RZĄDOWY PROGRAM'!$F$15,BK34*$F$15),"")</f>
        <v>50</v>
      </c>
      <c r="BS35" s="11">
        <f t="shared" si="18"/>
        <v>70</v>
      </c>
      <c r="BU35" s="8">
        <f t="shared" si="44"/>
        <v>8</v>
      </c>
      <c r="BV35" s="8"/>
      <c r="BW35" s="78">
        <f>IF(BU35&lt;&gt;"",ROUND(IF($F$11="raty równe",-PMT(W35/12,$F$4-BU34+SUM($BV$28:BV35),BZ34,2),BX35+BY35),2),"")</f>
        <v>3522.09</v>
      </c>
      <c r="BX35" s="78">
        <f>IF(BU35&lt;&gt;"",IF($F$11="raty malejące",BZ34/($F$4-BU34+SUM($BV$28:BV34)),MIN(BW35-BY35,BZ34)),"")</f>
        <v>631.14300360562493</v>
      </c>
      <c r="BY35" s="78">
        <f>IF(BU35&lt;&gt;"",BZ34*W35/12,"")</f>
        <v>2890.9469963943752</v>
      </c>
      <c r="BZ35" s="79">
        <f>IF(BU35&lt;&gt;"",IF(B35&lt;&gt;"",BZ34-BX35-CA35,BZ34-BX35),"")</f>
        <v>398120.1668438944</v>
      </c>
      <c r="CA35" s="11"/>
      <c r="CB35" s="33"/>
      <c r="CC35" s="11">
        <f t="shared" si="46"/>
        <v>9.9999999997635314E-3</v>
      </c>
      <c r="CD35" s="11">
        <f t="shared" si="19"/>
        <v>17876.184592100348</v>
      </c>
      <c r="CE35" s="11">
        <f>IF(BU35&lt;&gt;"",CD35-SUM($CC$28:CC35),"")</f>
        <v>265.71459210035027</v>
      </c>
      <c r="CF35" s="11">
        <f t="shared" si="20"/>
        <v>20</v>
      </c>
      <c r="CG35" s="11">
        <f>IF(BU35&lt;&gt;"",IF($B$16=listy!$K$8,'RZĄDOWY PROGRAM'!$F$3*'RZĄDOWY PROGRAM'!$F$15,BZ34*$F$15),"")</f>
        <v>50</v>
      </c>
      <c r="CH35" s="11">
        <f t="shared" si="21"/>
        <v>70</v>
      </c>
      <c r="CJ35" s="48">
        <f t="shared" si="22"/>
        <v>0.06</v>
      </c>
      <c r="CK35" s="18">
        <f t="shared" si="23"/>
        <v>4.8675505653430484E-3</v>
      </c>
      <c r="CL35" s="11">
        <f t="shared" si="24"/>
        <v>9.9999999997635314E-3</v>
      </c>
      <c r="CM35" s="11">
        <f t="shared" si="25"/>
        <v>17876.184592100348</v>
      </c>
      <c r="CN35" s="11">
        <f>IF(AB35&lt;&gt;"",CM35-SUM($CL$28:CL35),"")</f>
        <v>265.71459210035027</v>
      </c>
    </row>
    <row r="36" spans="1:92" x14ac:dyDescent="0.45">
      <c r="A36" s="68">
        <f t="shared" si="47"/>
        <v>44986</v>
      </c>
      <c r="B36" s="8">
        <f t="shared" si="4"/>
        <v>9</v>
      </c>
      <c r="C36" s="11">
        <f t="shared" si="5"/>
        <v>3522.09</v>
      </c>
      <c r="D36" s="11">
        <f t="shared" si="6"/>
        <v>659.1003236572119</v>
      </c>
      <c r="E36" s="11">
        <f t="shared" si="7"/>
        <v>2862.9896763427882</v>
      </c>
      <c r="F36" s="9">
        <f t="shared" si="26"/>
        <v>394236.02744776185</v>
      </c>
      <c r="G36" s="10">
        <f t="shared" si="8"/>
        <v>7.0000000000000007E-2</v>
      </c>
      <c r="H36" s="10">
        <f t="shared" si="9"/>
        <v>1.7000000000000001E-2</v>
      </c>
      <c r="I36" s="48">
        <f t="shared" si="27"/>
        <v>8.7000000000000008E-2</v>
      </c>
      <c r="J36" s="11">
        <f t="shared" si="10"/>
        <v>20</v>
      </c>
      <c r="K36" s="11">
        <f>IF(B36&lt;&gt;"",IF($B$16=listy!$K$8,'RZĄDOWY PROGRAM'!$F$3*'RZĄDOWY PROGRAM'!$F$15,F35*$F$15),"")</f>
        <v>50</v>
      </c>
      <c r="L36" s="11">
        <f t="shared" si="28"/>
        <v>70</v>
      </c>
      <c r="N36" s="54">
        <f t="shared" si="48"/>
        <v>44986</v>
      </c>
      <c r="O36" s="8">
        <f t="shared" si="29"/>
        <v>9</v>
      </c>
      <c r="P36" s="8"/>
      <c r="Q36" s="11">
        <f>IF(O36&lt;&gt;"",ROUND(IF($F$11="raty równe",-PMT(W36/12,$F$4-O35+SUM($P$28:P36),T35,2),R36+S36),2),"")</f>
        <v>3522.09</v>
      </c>
      <c r="R36" s="11">
        <f>IF(O36&lt;&gt;"",IF($F$11="raty malejące",T35/($F$4-O35+SUM($P$28:P36)),IF(Q36-S36&gt;T35,T35,Q36-S36)),"")</f>
        <v>635.7187903817653</v>
      </c>
      <c r="S36" s="11">
        <f>IF(O36&lt;&gt;"",T35*W36/12,"")</f>
        <v>2886.3712096182348</v>
      </c>
      <c r="T36" s="9">
        <f t="shared" si="30"/>
        <v>397484.44805351266</v>
      </c>
      <c r="U36" s="10">
        <f t="shared" si="11"/>
        <v>7.0000000000000007E-2</v>
      </c>
      <c r="V36" s="10">
        <f t="shared" si="12"/>
        <v>1.7000000000000001E-2</v>
      </c>
      <c r="W36" s="48">
        <f t="shared" si="31"/>
        <v>8.7000000000000008E-2</v>
      </c>
      <c r="X36" s="11">
        <f t="shared" si="13"/>
        <v>20</v>
      </c>
      <c r="Y36" s="11">
        <f>IF(O36&lt;&gt;"",IF($B$16=listy!$K$8,'RZĄDOWY PROGRAM'!$F$3*'RZĄDOWY PROGRAM'!$F$15,T35*$F$15),"")</f>
        <v>50</v>
      </c>
      <c r="Z36" s="11">
        <f t="shared" si="32"/>
        <v>70</v>
      </c>
      <c r="AB36" s="8">
        <f t="shared" si="33"/>
        <v>9</v>
      </c>
      <c r="AC36" s="8"/>
      <c r="AD36" s="11">
        <f>IF(AB36&lt;&gt;"",ROUND(IF($F$11="raty równe",-PMT(W36/12,$F$4-AB35+SUM($AC$28:AC36),AG35,2),AE36+AF36),2),"")</f>
        <v>3369.46</v>
      </c>
      <c r="AE36" s="11">
        <f>IF(AB36&lt;&gt;"",IF($F$11="raty malejące",AG35/($F$4-AB35+SUM($AC$28:AC35)),MIN(AD36-AF36,AG35)),"")</f>
        <v>608.1761074159208</v>
      </c>
      <c r="AF36" s="11">
        <f t="shared" si="14"/>
        <v>2761.2838925840792</v>
      </c>
      <c r="AG36" s="9">
        <f t="shared" si="52"/>
        <v>380258.56769728463</v>
      </c>
      <c r="AH36" s="33"/>
      <c r="AI36" s="33">
        <f>IF(AB36&lt;&gt;"",ROUND(IF($F$11="raty równe",-PMT(W36/12,($F$4-AB35+SUM($AC$27:AC35)),AG35,2),AG35/($F$4-AB35+SUM($AC$27:AC35))+AG35*W36/12),2),"")</f>
        <v>3369.46</v>
      </c>
      <c r="AJ36" s="33">
        <f t="shared" si="34"/>
        <v>152.63000000000011</v>
      </c>
      <c r="AK36" s="33">
        <f t="shared" si="15"/>
        <v>742.22266634571656</v>
      </c>
      <c r="AL36" s="33">
        <f>IF(AB36&lt;&gt;"",AK36-SUM($AJ$28:AJ36),"")</f>
        <v>6.4626663457163431</v>
      </c>
      <c r="AM36" s="11">
        <f t="shared" si="35"/>
        <v>20</v>
      </c>
      <c r="AN36" s="11">
        <f>IF(AB36&lt;&gt;"",IF($B$16=listy!$K$8,'RZĄDOWY PROGRAM'!$F$3*'RZĄDOWY PROGRAM'!$F$15,AG35*$F$15),"")</f>
        <v>50</v>
      </c>
      <c r="AO36" s="11">
        <f t="shared" si="36"/>
        <v>70</v>
      </c>
      <c r="AQ36" s="8">
        <f t="shared" si="37"/>
        <v>9</v>
      </c>
      <c r="AR36" s="8"/>
      <c r="AS36" s="78">
        <f>IF(AQ36&lt;&gt;"",ROUND(IF($F$11="raty równe",-PMT(W36/12,$F$4-AQ35+SUM($AR$28:AR36),AV35,2),AT36+AU36),2),"")</f>
        <v>3522.09</v>
      </c>
      <c r="AT36" s="78">
        <f>IF(AQ36&lt;&gt;"",IF($F$11="raty malejące",AV35/($F$4-AQ35+SUM($AR$28:AR35)),MIN(AS36-AU36,AV35)),"")</f>
        <v>635.7187903817653</v>
      </c>
      <c r="AU36" s="78">
        <f t="shared" si="53"/>
        <v>2886.3712096182348</v>
      </c>
      <c r="AV36" s="79">
        <f t="shared" si="38"/>
        <v>397484.44805351266</v>
      </c>
      <c r="AW36" s="11"/>
      <c r="AX36" s="33">
        <f>IF(AQ36&lt;&gt;"",ROUND(IF($F$11="raty równe",-PMT(W36/12,($F$4-AQ35+SUM($AR$27:AR35)),AV35,2),AV35/($F$4-AQ35+SUM($AR$27:AR35))+AV35*W36/12),2),"")</f>
        <v>3522.09</v>
      </c>
      <c r="AY36" s="33">
        <f t="shared" si="39"/>
        <v>0</v>
      </c>
      <c r="AZ36" s="33">
        <f t="shared" si="16"/>
        <v>17946.665310358487</v>
      </c>
      <c r="BA36" s="33">
        <f>IF(AQ36&lt;&gt;"",AZ36-SUM($AY$28:AY36),"")</f>
        <v>336.19531035848922</v>
      </c>
      <c r="BB36" s="11">
        <f t="shared" si="40"/>
        <v>20</v>
      </c>
      <c r="BC36" s="11">
        <f>IF(AQ36&lt;&gt;"",IF($B$16=listy!$K$8,'RZĄDOWY PROGRAM'!$F$3*'RZĄDOWY PROGRAM'!$F$15,AV35*$F$15),"")</f>
        <v>50</v>
      </c>
      <c r="BD36" s="11">
        <f t="shared" si="41"/>
        <v>70</v>
      </c>
      <c r="BF36" s="8">
        <f t="shared" si="42"/>
        <v>9</v>
      </c>
      <c r="BG36" s="8"/>
      <c r="BH36" s="78">
        <f>IF(BF36&lt;&gt;"",ROUND(IF($F$11="raty równe",-PMT(W36/12,$F$4-BF35+SUM(BV$28:$BV36)-SUM($BM$29:BM36),BK35,2),BI36+BJ36),2),"")</f>
        <v>3522.1</v>
      </c>
      <c r="BI36" s="78">
        <f>IF(BF36&lt;&gt;"",IF($F$11="raty malejące",MIN(BK35/($F$4-BF35+SUM($BG$27:BG36)-SUM($BM$27:BM36)),BK35),MIN(BH36-BJ36,BK35)),"")</f>
        <v>765.07623587382977</v>
      </c>
      <c r="BJ36" s="78">
        <f t="shared" si="54"/>
        <v>2757.0237641261701</v>
      </c>
      <c r="BK36" s="79">
        <f t="shared" si="55"/>
        <v>379514.06364359788</v>
      </c>
      <c r="BL36" s="11"/>
      <c r="BM36" s="98" t="str">
        <f t="shared" si="56"/>
        <v/>
      </c>
      <c r="BN36" s="33"/>
      <c r="BO36" s="33"/>
      <c r="BP36" s="33"/>
      <c r="BQ36" s="11">
        <f t="shared" si="17"/>
        <v>20</v>
      </c>
      <c r="BR36" s="11">
        <f>IF(BF36&lt;&gt;"",IF($B$16=listy!$K$8,'RZĄDOWY PROGRAM'!$F$3*'RZĄDOWY PROGRAM'!$F$15,BK35*$F$15),"")</f>
        <v>50</v>
      </c>
      <c r="BS36" s="11">
        <f t="shared" si="18"/>
        <v>70</v>
      </c>
      <c r="BU36" s="8">
        <f t="shared" si="44"/>
        <v>9</v>
      </c>
      <c r="BV36" s="8"/>
      <c r="BW36" s="78">
        <f>IF(BU36&lt;&gt;"",ROUND(IF($F$11="raty równe",-PMT(W36/12,$F$4-BU35+SUM($BV$28:BV36),BZ35,2),BX36+BY36),2),"")</f>
        <v>3522.09</v>
      </c>
      <c r="BX36" s="78">
        <f>IF(BU36&lt;&gt;"",IF($F$11="raty malejące",BZ35/($F$4-BU35+SUM($BV$28:BV35)),MIN(BW36-BY36,BZ35)),"")</f>
        <v>635.7187903817653</v>
      </c>
      <c r="BY36" s="78">
        <f>IF(BU36&lt;&gt;"",BZ35*W36/12,"")</f>
        <v>2886.3712096182348</v>
      </c>
      <c r="BZ36" s="79">
        <f>IF(BU36&lt;&gt;"",IF(B36&lt;&gt;"",BZ35-BX36-CA36,BZ35-BX36),"")</f>
        <v>397484.44805351266</v>
      </c>
      <c r="CA36" s="11"/>
      <c r="CB36" s="33"/>
      <c r="CC36" s="11">
        <f t="shared" si="46"/>
        <v>0</v>
      </c>
      <c r="CD36" s="11">
        <f t="shared" si="19"/>
        <v>17946.665310358487</v>
      </c>
      <c r="CE36" s="11">
        <f>IF(BU36&lt;&gt;"",CD36-SUM($CC$28:CC36),"")</f>
        <v>336.19531035848922</v>
      </c>
      <c r="CF36" s="11">
        <f t="shared" si="20"/>
        <v>20</v>
      </c>
      <c r="CG36" s="11">
        <f>IF(BU36&lt;&gt;"",IF($B$16=listy!$K$8,'RZĄDOWY PROGRAM'!$F$3*'RZĄDOWY PROGRAM'!$F$15,BZ35*$F$15),"")</f>
        <v>50</v>
      </c>
      <c r="CH36" s="11">
        <f t="shared" si="21"/>
        <v>70</v>
      </c>
      <c r="CJ36" s="48">
        <f t="shared" si="22"/>
        <v>0.06</v>
      </c>
      <c r="CK36" s="18">
        <f t="shared" si="23"/>
        <v>4.8675505653430484E-3</v>
      </c>
      <c r="CL36" s="11">
        <f t="shared" si="24"/>
        <v>0</v>
      </c>
      <c r="CM36" s="11">
        <f t="shared" si="25"/>
        <v>17946.665310358487</v>
      </c>
      <c r="CN36" s="11">
        <f>IF(AB36&lt;&gt;"",CM36-SUM($CL$28:CL36),"")</f>
        <v>336.19531035848922</v>
      </c>
    </row>
    <row r="37" spans="1:92" x14ac:dyDescent="0.45">
      <c r="A37" s="68">
        <f t="shared" si="47"/>
        <v>45017</v>
      </c>
      <c r="B37" s="8">
        <f t="shared" si="4"/>
        <v>10</v>
      </c>
      <c r="C37" s="57">
        <f t="shared" si="5"/>
        <v>3522.1</v>
      </c>
      <c r="D37" s="57">
        <f t="shared" si="6"/>
        <v>663.88880100372626</v>
      </c>
      <c r="E37" s="57">
        <f t="shared" si="7"/>
        <v>2858.2111989962737</v>
      </c>
      <c r="F37" s="9">
        <f t="shared" si="26"/>
        <v>393572.1386467581</v>
      </c>
      <c r="G37" s="10">
        <f t="shared" si="8"/>
        <v>7.0000000000000007E-2</v>
      </c>
      <c r="H37" s="10">
        <f t="shared" si="9"/>
        <v>1.7000000000000001E-2</v>
      </c>
      <c r="I37" s="48">
        <f t="shared" si="27"/>
        <v>8.7000000000000008E-2</v>
      </c>
      <c r="J37" s="11">
        <f t="shared" si="10"/>
        <v>20</v>
      </c>
      <c r="K37" s="11">
        <f>IF(B37&lt;&gt;"",IF($B$16=listy!$K$8,'RZĄDOWY PROGRAM'!$F$3*'RZĄDOWY PROGRAM'!$F$15,F36*$F$15),"")</f>
        <v>50</v>
      </c>
      <c r="L37" s="11">
        <f t="shared" si="28"/>
        <v>70</v>
      </c>
      <c r="N37" s="54">
        <f t="shared" si="48"/>
        <v>45017</v>
      </c>
      <c r="O37" s="8">
        <f t="shared" si="29"/>
        <v>10</v>
      </c>
      <c r="P37" s="8">
        <v>1</v>
      </c>
      <c r="Q37" s="57">
        <v>0</v>
      </c>
      <c r="R37" s="57">
        <v>0</v>
      </c>
      <c r="S37" s="57">
        <v>0</v>
      </c>
      <c r="T37" s="9">
        <f t="shared" si="30"/>
        <v>397484.44805351266</v>
      </c>
      <c r="U37" s="10">
        <f t="shared" si="11"/>
        <v>7.0000000000000007E-2</v>
      </c>
      <c r="V37" s="10">
        <f t="shared" si="12"/>
        <v>1.7000000000000001E-2</v>
      </c>
      <c r="W37" s="48">
        <f t="shared" si="31"/>
        <v>8.7000000000000008E-2</v>
      </c>
      <c r="X37" s="56">
        <f t="shared" si="13"/>
        <v>20</v>
      </c>
      <c r="Y37" s="57">
        <f>IF(O37&lt;&gt;"",IF($B$16=listy!$K$8,'RZĄDOWY PROGRAM'!$F$3*'RZĄDOWY PROGRAM'!$F$15,T36*$F$15),"")</f>
        <v>50</v>
      </c>
      <c r="Z37" s="57">
        <f t="shared" si="32"/>
        <v>70</v>
      </c>
      <c r="AB37" s="8">
        <f t="shared" si="33"/>
        <v>10</v>
      </c>
      <c r="AC37" s="8">
        <v>1</v>
      </c>
      <c r="AD37" s="57">
        <v>0</v>
      </c>
      <c r="AE37" s="57">
        <v>0</v>
      </c>
      <c r="AF37" s="57">
        <v>0</v>
      </c>
      <c r="AG37" s="77">
        <f t="shared" si="52"/>
        <v>376889.10769728461</v>
      </c>
      <c r="AH37" s="57">
        <f>AI37</f>
        <v>3369.46</v>
      </c>
      <c r="AI37" s="33">
        <f>IF(AB37&lt;&gt;"",ROUND(IF($F$11="raty równe",-PMT(W37/12,($F$4-AB36+SUM($AC$27:AC36)),AG36,2),AG36/($F$4-AB36+SUM($AC$27:AC36))+AG36*W37/12),2),"")</f>
        <v>3369.46</v>
      </c>
      <c r="AJ37" s="33">
        <f t="shared" si="34"/>
        <v>152.63999999999987</v>
      </c>
      <c r="AK37" s="33">
        <f t="shared" si="15"/>
        <v>897.78903949665357</v>
      </c>
      <c r="AL37" s="33">
        <f>IF(AB37&lt;&gt;"",AK37-SUM($AJ$28:AJ37),"")</f>
        <v>9.3890394966534814</v>
      </c>
      <c r="AM37" s="11">
        <f t="shared" si="35"/>
        <v>20</v>
      </c>
      <c r="AN37" s="11">
        <f>IF(AB37&lt;&gt;"",IF($B$16=listy!$K$8,'RZĄDOWY PROGRAM'!$F$3*'RZĄDOWY PROGRAM'!$F$15,AG36*$F$15),"")</f>
        <v>50</v>
      </c>
      <c r="AO37" s="11">
        <f t="shared" si="36"/>
        <v>70</v>
      </c>
      <c r="AQ37" s="8">
        <f t="shared" si="37"/>
        <v>10</v>
      </c>
      <c r="AR37" s="8">
        <v>1</v>
      </c>
      <c r="AS37" s="57">
        <v>0</v>
      </c>
      <c r="AT37" s="57">
        <v>0</v>
      </c>
      <c r="AU37" s="57">
        <v>0</v>
      </c>
      <c r="AV37" s="77">
        <f t="shared" si="38"/>
        <v>397484.44805351266</v>
      </c>
      <c r="AW37" s="57"/>
      <c r="AX37" s="56">
        <f>IF(AQ37&lt;&gt;"",ROUND(IF($F$11="raty równe",-PMT(W37/12,($F$4-AQ36+SUM($AR$27:AR36)),AV36,2),AV36/($F$4-AQ36+SUM($AR$27:AR36))+AV36*W37/12),2),"")</f>
        <v>3522.09</v>
      </c>
      <c r="AY37" s="33">
        <f t="shared" si="39"/>
        <v>3522.1</v>
      </c>
      <c r="AZ37" s="56">
        <f t="shared" si="16"/>
        <v>21539.523914069228</v>
      </c>
      <c r="BA37" s="56">
        <f>IF(AQ37&lt;&gt;"",AZ37-SUM($AY$28:AY37),"")</f>
        <v>406.95391406923227</v>
      </c>
      <c r="BB37" s="11">
        <f t="shared" si="40"/>
        <v>20</v>
      </c>
      <c r="BC37" s="11">
        <f>IF(AQ37&lt;&gt;"",IF($B$16=listy!$K$8,'RZĄDOWY PROGRAM'!$F$3*'RZĄDOWY PROGRAM'!$F$15,AV36*$F$15),"")</f>
        <v>50</v>
      </c>
      <c r="BD37" s="11">
        <f t="shared" si="41"/>
        <v>70</v>
      </c>
      <c r="BF37" s="8">
        <f t="shared" si="42"/>
        <v>10</v>
      </c>
      <c r="BG37" s="8">
        <v>1</v>
      </c>
      <c r="BH37" s="57">
        <v>0</v>
      </c>
      <c r="BI37" s="57">
        <v>0</v>
      </c>
      <c r="BJ37" s="57">
        <v>0</v>
      </c>
      <c r="BK37" s="77">
        <f t="shared" ref="BK37" si="59">IF(BF37&lt;&gt;"",IF(BL37&lt;&gt;"",BK36-BI37-BL37,BK36-BI37),"")</f>
        <v>375991.9636435979</v>
      </c>
      <c r="BL37" s="57">
        <f t="shared" si="50"/>
        <v>3522.1</v>
      </c>
      <c r="BM37" s="80">
        <f t="shared" ref="BM37" si="60">IF(BL37&lt;&gt;"",IF($F$11="raty równe",NPER(W37/12,-BL37,(BK37+BL37))-NPER(W37/12,-BL37,BK37),BL37/($F$2/$F$4)),"")</f>
        <v>4.5126467398901298</v>
      </c>
      <c r="BN37" s="33"/>
      <c r="BO37" s="33"/>
      <c r="BP37" s="33"/>
      <c r="BQ37" s="11">
        <f t="shared" si="17"/>
        <v>20</v>
      </c>
      <c r="BR37" s="11">
        <f>IF(BF37&lt;&gt;"",IF($B$16=listy!$K$8,'RZĄDOWY PROGRAM'!$F$3*'RZĄDOWY PROGRAM'!$F$15,BK36*$F$15),"")</f>
        <v>50</v>
      </c>
      <c r="BS37" s="11">
        <f t="shared" si="18"/>
        <v>70</v>
      </c>
      <c r="BU37" s="8">
        <f t="shared" si="44"/>
        <v>10</v>
      </c>
      <c r="BV37" s="8">
        <v>1</v>
      </c>
      <c r="BW37" s="57">
        <v>0</v>
      </c>
      <c r="BX37" s="57">
        <v>0</v>
      </c>
      <c r="BY37" s="57">
        <v>0</v>
      </c>
      <c r="BZ37" s="77">
        <f t="shared" ref="BZ37" si="61">IF(BU37&lt;&gt;"",IF(CA37&lt;&gt;"",BZ36-BX37-CA37,BZ36-BX37),"")</f>
        <v>397484.44805351266</v>
      </c>
      <c r="CA37" s="57"/>
      <c r="CB37" s="33"/>
      <c r="CC37" s="11">
        <f t="shared" si="46"/>
        <v>3522.1</v>
      </c>
      <c r="CD37" s="11">
        <f t="shared" si="19"/>
        <v>21539.523914069228</v>
      </c>
      <c r="CE37" s="11">
        <f>IF(BU37&lt;&gt;"",CD37-SUM($CC$28:CC37),"")</f>
        <v>406.95391406923227</v>
      </c>
      <c r="CF37" s="11">
        <f t="shared" si="20"/>
        <v>20</v>
      </c>
      <c r="CG37" s="11">
        <f>IF(BU37&lt;&gt;"",IF($B$16=listy!$K$8,'RZĄDOWY PROGRAM'!$F$3*'RZĄDOWY PROGRAM'!$F$15,BZ36*$F$15),"")</f>
        <v>50</v>
      </c>
      <c r="CH37" s="11">
        <f t="shared" si="21"/>
        <v>70</v>
      </c>
      <c r="CJ37" s="48">
        <f t="shared" si="22"/>
        <v>0.06</v>
      </c>
      <c r="CK37" s="18">
        <f t="shared" si="23"/>
        <v>4.8675505653430484E-3</v>
      </c>
      <c r="CL37" s="57">
        <f t="shared" si="24"/>
        <v>3522.1</v>
      </c>
      <c r="CM37" s="57">
        <f t="shared" si="25"/>
        <v>21539.523914069228</v>
      </c>
      <c r="CN37" s="57">
        <f>IF(AB37&lt;&gt;"",CM37-SUM($CL$28:CL37),"")</f>
        <v>406.95391406923227</v>
      </c>
    </row>
    <row r="38" spans="1:92" x14ac:dyDescent="0.45">
      <c r="A38" s="68">
        <f t="shared" si="47"/>
        <v>45047</v>
      </c>
      <c r="B38" s="8">
        <f t="shared" si="4"/>
        <v>11</v>
      </c>
      <c r="C38" s="11">
        <f t="shared" si="5"/>
        <v>3522.09</v>
      </c>
      <c r="D38" s="11">
        <f t="shared" si="6"/>
        <v>668.69199481100395</v>
      </c>
      <c r="E38" s="11">
        <f t="shared" si="7"/>
        <v>2853.3980051889962</v>
      </c>
      <c r="F38" s="9">
        <f t="shared" si="26"/>
        <v>392903.4466519471</v>
      </c>
      <c r="G38" s="10">
        <f t="shared" si="8"/>
        <v>7.0000000000000007E-2</v>
      </c>
      <c r="H38" s="10">
        <f t="shared" si="9"/>
        <v>1.7000000000000001E-2</v>
      </c>
      <c r="I38" s="48">
        <f t="shared" si="27"/>
        <v>8.7000000000000008E-2</v>
      </c>
      <c r="J38" s="11">
        <f t="shared" si="10"/>
        <v>20</v>
      </c>
      <c r="K38" s="11">
        <f>IF(B38&lt;&gt;"",IF($B$16=listy!$K$8,'RZĄDOWY PROGRAM'!$F$3*'RZĄDOWY PROGRAM'!$F$15,F37*$F$15),"")</f>
        <v>50</v>
      </c>
      <c r="L38" s="11">
        <f t="shared" si="28"/>
        <v>70</v>
      </c>
      <c r="N38" s="54">
        <f t="shared" si="48"/>
        <v>45047</v>
      </c>
      <c r="O38" s="8">
        <f t="shared" si="29"/>
        <v>11</v>
      </c>
      <c r="P38" s="8"/>
      <c r="Q38" s="11">
        <f>IF(O38&lt;&gt;"",ROUND(IF($F$11="raty równe",-PMT(W38/12,$F$4-O37+SUM($P$28:P38),T37,2),R38+S38),2),"")</f>
        <v>3522.09</v>
      </c>
      <c r="R38" s="11">
        <f>IF(O38&lt;&gt;"",IF($F$11="raty malejące",T37/($F$4-O37+SUM($P$28:P38)),IF(Q38-S38&gt;T37,T37,Q38-S38)),"")</f>
        <v>640.3277516120329</v>
      </c>
      <c r="S38" s="11">
        <f>IF(O38&lt;&gt;"",T37*W38/12,"")</f>
        <v>2881.7622483879672</v>
      </c>
      <c r="T38" s="9">
        <f t="shared" si="30"/>
        <v>396844.12030190061</v>
      </c>
      <c r="U38" s="10">
        <f t="shared" si="11"/>
        <v>7.0000000000000007E-2</v>
      </c>
      <c r="V38" s="10">
        <f t="shared" si="12"/>
        <v>1.7000000000000001E-2</v>
      </c>
      <c r="W38" s="48">
        <f t="shared" si="31"/>
        <v>8.7000000000000008E-2</v>
      </c>
      <c r="X38" s="11">
        <f t="shared" si="13"/>
        <v>20</v>
      </c>
      <c r="Y38" s="11">
        <f>IF(O38&lt;&gt;"",IF($B$16=listy!$K$8,'RZĄDOWY PROGRAM'!$F$3*'RZĄDOWY PROGRAM'!$F$15,T37*$F$15),"")</f>
        <v>50</v>
      </c>
      <c r="Z38" s="11">
        <f t="shared" si="32"/>
        <v>70</v>
      </c>
      <c r="AB38" s="8">
        <f t="shared" si="33"/>
        <v>11</v>
      </c>
      <c r="AC38" s="8"/>
      <c r="AD38" s="11">
        <f>IF(AB38&lt;&gt;"",ROUND(IF($F$11="raty równe",-PMT(W38/12,$F$4-AB37+SUM($AC$28:AC38),AG37,2),AE38+AF38),2),"")</f>
        <v>3339.6</v>
      </c>
      <c r="AE38" s="11">
        <f>IF(AB38&lt;&gt;"",IF($F$11="raty malejące",AG37/($F$4-AB37+SUM($AC$28:AC37)),MIN(AD38-AF38,AG37)),"")</f>
        <v>607.1539691946864</v>
      </c>
      <c r="AF38" s="11">
        <f t="shared" si="14"/>
        <v>2732.4460308053135</v>
      </c>
      <c r="AG38" s="9">
        <f t="shared" si="52"/>
        <v>376281.95372808992</v>
      </c>
      <c r="AH38" s="11"/>
      <c r="AI38" s="33">
        <f>IF(AB38&lt;&gt;"",ROUND(IF($F$11="raty równe",-PMT(W38/12,($F$4-AB37+SUM($AC$27:AC37)),AG37,2),AG37/($F$4-AB37+SUM($AC$27:AC37))+AG37*W38/12),2),"")</f>
        <v>3339.6</v>
      </c>
      <c r="AJ38" s="33">
        <f>IF(AB38&lt;&gt;"",IF(B38&lt;&gt;"",C38-AD38-AH38,-(AD38+AH38)),"")</f>
        <v>182.49000000000024</v>
      </c>
      <c r="AK38" s="33">
        <f t="shared" si="15"/>
        <v>1083.8187666695301</v>
      </c>
      <c r="AL38" s="33">
        <f>IF(AB38&lt;&gt;"",AK38-SUM($AJ$28:AJ38),"")</f>
        <v>12.92876666952975</v>
      </c>
      <c r="AM38" s="11">
        <f t="shared" si="35"/>
        <v>20</v>
      </c>
      <c r="AN38" s="11">
        <f>IF(AB38&lt;&gt;"",IF($B$16=listy!$K$8,'RZĄDOWY PROGRAM'!$F$3*'RZĄDOWY PROGRAM'!$F$15,AG37*$F$15),"")</f>
        <v>50</v>
      </c>
      <c r="AO38" s="11">
        <f t="shared" si="36"/>
        <v>70</v>
      </c>
      <c r="AQ38" s="8">
        <f t="shared" si="37"/>
        <v>11</v>
      </c>
      <c r="AR38" s="8"/>
      <c r="AS38" s="78">
        <f>IF(AQ38&lt;&gt;"",ROUND(IF($F$11="raty równe",-PMT(W38/12,$F$4-AQ37+SUM($AR$28:AR38),AV37,2),AT38+AU38),2),"")</f>
        <v>3522.09</v>
      </c>
      <c r="AT38" s="78">
        <f>IF(AQ38&lt;&gt;"",IF($F$11="raty malejące",AV37/($F$4-AQ37+SUM($AR$28:AR37)),MIN(AS38-AU38,AV37)),"")</f>
        <v>640.3277516120329</v>
      </c>
      <c r="AU38" s="78">
        <f t="shared" si="53"/>
        <v>2881.7622483879672</v>
      </c>
      <c r="AV38" s="79">
        <f t="shared" si="38"/>
        <v>396844.12030190061</v>
      </c>
      <c r="AW38" s="11"/>
      <c r="AX38" s="33">
        <f>IF(AQ38&lt;&gt;"",ROUND(IF($F$11="raty równe",-PMT(W38/12,($F$4-AQ37+SUM($AR$27:AR37)),AV37,2),AV37/($F$4-AQ37+SUM($AR$27:AR37))+AV37*W38/12),2),"")</f>
        <v>3522.09</v>
      </c>
      <c r="AY38" s="33">
        <f t="shared" si="39"/>
        <v>0</v>
      </c>
      <c r="AZ38" s="33">
        <f t="shared" si="16"/>
        <v>21624.448138731401</v>
      </c>
      <c r="BA38" s="33">
        <f>IF(AQ38&lt;&gt;"",AZ38-SUM($AY$28:AY38),"")</f>
        <v>491.87813873140476</v>
      </c>
      <c r="BB38" s="11">
        <f t="shared" si="40"/>
        <v>20</v>
      </c>
      <c r="BC38" s="11">
        <f>IF(AQ38&lt;&gt;"",IF($B$16=listy!$K$8,'RZĄDOWY PROGRAM'!$F$3*'RZĄDOWY PROGRAM'!$F$15,AV37*$F$15),"")</f>
        <v>50</v>
      </c>
      <c r="BD38" s="11">
        <f t="shared" si="41"/>
        <v>70</v>
      </c>
      <c r="BF38" s="8">
        <f t="shared" si="42"/>
        <v>11</v>
      </c>
      <c r="BG38" s="8"/>
      <c r="BH38" s="78">
        <f>IF(BF38&lt;&gt;"",ROUND(IF($F$11="raty równe",-PMT(W38/12,$F$4-BF37+SUM(BV$28:$BV38)-SUM($BM$29:BM38),BK37,2),BI38+BJ38),2),"")</f>
        <v>3522.1</v>
      </c>
      <c r="BI38" s="78">
        <f>IF(BF38&lt;&gt;"",IF($F$11="raty malejące",MIN(BK37/($F$4-BF37+SUM($BG$27:BG38)-SUM($BM$27:BM38)),BK37),MIN(BH38-BJ38,BK37)),"")</f>
        <v>796.15826358391496</v>
      </c>
      <c r="BJ38" s="78">
        <f t="shared" si="54"/>
        <v>2725.941736416085</v>
      </c>
      <c r="BK38" s="79">
        <f t="shared" si="55"/>
        <v>375195.805380014</v>
      </c>
      <c r="BL38" s="11"/>
      <c r="BM38" s="98" t="str">
        <f t="shared" si="56"/>
        <v/>
      </c>
      <c r="BN38" s="33"/>
      <c r="BO38" s="33"/>
      <c r="BP38" s="33"/>
      <c r="BQ38" s="11">
        <f t="shared" si="17"/>
        <v>20</v>
      </c>
      <c r="BR38" s="11">
        <f>IF(BF38&lt;&gt;"",IF($B$16=listy!$K$8,'RZĄDOWY PROGRAM'!$F$3*'RZĄDOWY PROGRAM'!$F$15,BK37*$F$15),"")</f>
        <v>50</v>
      </c>
      <c r="BS38" s="11">
        <f t="shared" si="18"/>
        <v>70</v>
      </c>
      <c r="BU38" s="8">
        <f t="shared" si="44"/>
        <v>11</v>
      </c>
      <c r="BV38" s="8"/>
      <c r="BW38" s="78">
        <f>IF(BU38&lt;&gt;"",ROUND(IF($F$11="raty równe",-PMT(W38/12,$F$4-BU37+SUM($BV$28:BV38),BZ37,2),BX38+BY38),2),"")</f>
        <v>3522.09</v>
      </c>
      <c r="BX38" s="78">
        <f>IF(BU38&lt;&gt;"",IF($F$11="raty malejące",BZ37/($F$4-BU37+SUM($BV$28:BV37)),MIN(BW38-BY38,BZ37)),"")</f>
        <v>640.3277516120329</v>
      </c>
      <c r="BY38" s="78">
        <f>IF(BU38&lt;&gt;"",BZ37*W38/12,"")</f>
        <v>2881.7622483879672</v>
      </c>
      <c r="BZ38" s="79">
        <f>IF(BU38&lt;&gt;"",IF(B38&lt;&gt;"",BZ37-BX38-CA38,BZ37-BX38),"")</f>
        <v>396844.12030190061</v>
      </c>
      <c r="CA38" s="11"/>
      <c r="CB38" s="33"/>
      <c r="CC38" s="11">
        <f t="shared" si="46"/>
        <v>0</v>
      </c>
      <c r="CD38" s="11">
        <f t="shared" si="19"/>
        <v>21624.448138731401</v>
      </c>
      <c r="CE38" s="11">
        <f>IF(BU38&lt;&gt;"",CD38-SUM($CC$28:CC38),"")</f>
        <v>491.87813873140476</v>
      </c>
      <c r="CF38" s="11">
        <f t="shared" si="20"/>
        <v>20</v>
      </c>
      <c r="CG38" s="11">
        <f>IF(BU38&lt;&gt;"",IF($B$16=listy!$K$8,'RZĄDOWY PROGRAM'!$F$3*'RZĄDOWY PROGRAM'!$F$15,BZ37*$F$15),"")</f>
        <v>50</v>
      </c>
      <c r="CH38" s="11">
        <f t="shared" si="21"/>
        <v>70</v>
      </c>
      <c r="CJ38" s="48">
        <f t="shared" si="22"/>
        <v>0.06</v>
      </c>
      <c r="CK38" s="18">
        <f t="shared" si="23"/>
        <v>4.8675505653430484E-3</v>
      </c>
      <c r="CL38" s="11">
        <f t="shared" si="24"/>
        <v>0</v>
      </c>
      <c r="CM38" s="11">
        <f t="shared" si="25"/>
        <v>21624.448138731401</v>
      </c>
      <c r="CN38" s="11">
        <f>IF(AB38&lt;&gt;"",CM38-SUM($CL$28:CL38),"")</f>
        <v>491.87813873140476</v>
      </c>
    </row>
    <row r="39" spans="1:92" x14ac:dyDescent="0.45">
      <c r="A39" s="68">
        <f t="shared" si="47"/>
        <v>45078</v>
      </c>
      <c r="B39" s="8">
        <f t="shared" si="4"/>
        <v>12</v>
      </c>
      <c r="C39" s="11">
        <f t="shared" si="5"/>
        <v>3522.1</v>
      </c>
      <c r="D39" s="11">
        <f t="shared" si="6"/>
        <v>673.55001177338272</v>
      </c>
      <c r="E39" s="11">
        <f t="shared" si="7"/>
        <v>2848.5499882266172</v>
      </c>
      <c r="F39" s="9">
        <f t="shared" si="26"/>
        <v>392229.89664017374</v>
      </c>
      <c r="G39" s="10">
        <f t="shared" si="8"/>
        <v>7.0000000000000007E-2</v>
      </c>
      <c r="H39" s="10">
        <f t="shared" si="9"/>
        <v>1.7000000000000001E-2</v>
      </c>
      <c r="I39" s="48">
        <f t="shared" si="27"/>
        <v>8.7000000000000008E-2</v>
      </c>
      <c r="J39" s="11">
        <f t="shared" si="10"/>
        <v>20</v>
      </c>
      <c r="K39" s="11">
        <f>IF(B39&lt;&gt;"",IF($B$16=listy!$K$8,'RZĄDOWY PROGRAM'!$F$3*'RZĄDOWY PROGRAM'!$F$15,F38*$F$15),"")</f>
        <v>50</v>
      </c>
      <c r="L39" s="11">
        <f t="shared" si="28"/>
        <v>70</v>
      </c>
      <c r="N39" s="54">
        <f t="shared" si="48"/>
        <v>45078</v>
      </c>
      <c r="O39" s="8">
        <f t="shared" si="29"/>
        <v>12</v>
      </c>
      <c r="P39" s="8"/>
      <c r="Q39" s="11">
        <f>IF(O39&lt;&gt;"",ROUND(IF($F$11="raty równe",-PMT(W39/12,$F$4-O38+SUM($P$28:P39),T38,2),R39+S39),2),"")</f>
        <v>3522.1</v>
      </c>
      <c r="R39" s="11">
        <f>IF(O39&lt;&gt;"",IF($F$11="raty malejące",T38/($F$4-O38+SUM($P$28:P39)),IF(Q39-S39&gt;T38,T38,Q39-S39)),"")</f>
        <v>644.98012781122043</v>
      </c>
      <c r="S39" s="11">
        <f>IF(O39&lt;&gt;"",T38*W39/12,"")</f>
        <v>2877.1198721887795</v>
      </c>
      <c r="T39" s="9">
        <f t="shared" si="30"/>
        <v>396199.14017408941</v>
      </c>
      <c r="U39" s="10">
        <f t="shared" si="11"/>
        <v>7.0000000000000007E-2</v>
      </c>
      <c r="V39" s="10">
        <f t="shared" si="12"/>
        <v>1.7000000000000001E-2</v>
      </c>
      <c r="W39" s="48">
        <f t="shared" si="31"/>
        <v>8.7000000000000008E-2</v>
      </c>
      <c r="X39" s="11">
        <f t="shared" si="13"/>
        <v>20</v>
      </c>
      <c r="Y39" s="11">
        <f>IF(O39&lt;&gt;"",IF($B$16=listy!$K$8,'RZĄDOWY PROGRAM'!$F$3*'RZĄDOWY PROGRAM'!$F$15,T38*$F$15),"")</f>
        <v>50</v>
      </c>
      <c r="Z39" s="11">
        <f t="shared" si="32"/>
        <v>70</v>
      </c>
      <c r="AB39" s="8">
        <f t="shared" si="33"/>
        <v>12</v>
      </c>
      <c r="AC39" s="8"/>
      <c r="AD39" s="11">
        <f>IF(AB39&lt;&gt;"",ROUND(IF($F$11="raty równe",-PMT(W39/12,$F$4-AB38+SUM($AC$28:AC39),AG38,2),AE39+AF39),2),"")</f>
        <v>3339.6</v>
      </c>
      <c r="AE39" s="11">
        <f>IF(AB39&lt;&gt;"",IF($F$11="raty malejące",AG38/($F$4-AB38+SUM($AC$28:AC38)),MIN(AD39-AF39,AG38)),"")</f>
        <v>611.55583547134756</v>
      </c>
      <c r="AF39" s="11">
        <f t="shared" si="14"/>
        <v>2728.0441645286523</v>
      </c>
      <c r="AG39" s="9">
        <f t="shared" si="52"/>
        <v>375670.39789261855</v>
      </c>
      <c r="AH39" s="11"/>
      <c r="AI39" s="33">
        <f>IF(AB39&lt;&gt;"",ROUND(IF($F$11="raty równe",-PMT(W39/12,($F$4-AB38+SUM($AC$27:AC38)),AG38,2),AG38/($F$4-AB38+SUM($AC$27:AC38))+AG38*W39/12),2),"")</f>
        <v>3339.6</v>
      </c>
      <c r="AJ39" s="33">
        <f t="shared" si="34"/>
        <v>182.5</v>
      </c>
      <c r="AK39" s="33">
        <f t="shared" si="15"/>
        <v>1270.5919562163799</v>
      </c>
      <c r="AL39" s="33">
        <f>IF(AB39&lt;&gt;"",AK39-SUM($AJ$28:AJ39),"")</f>
        <v>17.201956216379585</v>
      </c>
      <c r="AM39" s="11">
        <f t="shared" si="35"/>
        <v>20</v>
      </c>
      <c r="AN39" s="11">
        <f>IF(AB39&lt;&gt;"",IF($B$16=listy!$K$8,'RZĄDOWY PROGRAM'!$F$3*'RZĄDOWY PROGRAM'!$F$15,AG38*$F$15),"")</f>
        <v>50</v>
      </c>
      <c r="AO39" s="11">
        <f t="shared" si="36"/>
        <v>70</v>
      </c>
      <c r="AQ39" s="8">
        <f t="shared" si="37"/>
        <v>12</v>
      </c>
      <c r="AR39" s="8"/>
      <c r="AS39" s="78">
        <f>IF(AQ39&lt;&gt;"",ROUND(IF($F$11="raty równe",-PMT(W39/12,$F$4-AQ38+SUM($AR$28:AR39),AV38,2),AT39+AU39),2),"")</f>
        <v>3522.1</v>
      </c>
      <c r="AT39" s="78">
        <f>IF(AQ39&lt;&gt;"",IF($F$11="raty malejące",AV38/($F$4-AQ38+SUM($AR$28:AR38)),MIN(AS39-AU39,AV38)),"")</f>
        <v>644.98012781122043</v>
      </c>
      <c r="AU39" s="78">
        <f t="shared" si="53"/>
        <v>2877.1198721887795</v>
      </c>
      <c r="AV39" s="79">
        <f t="shared" si="38"/>
        <v>396199.14017408941</v>
      </c>
      <c r="AW39" s="11"/>
      <c r="AX39" s="33">
        <f>IF(AQ39&lt;&gt;"",ROUND(IF($F$11="raty równe",-PMT(W39/12,($F$4-AQ38+SUM($AR$27:AR38)),AV38,2),AV38/($F$4-AQ38+SUM($AR$27:AR38))+AV38*W39/12),2),"")</f>
        <v>3522.1</v>
      </c>
      <c r="AY39" s="33">
        <f t="shared" si="39"/>
        <v>0</v>
      </c>
      <c r="AZ39" s="33">
        <f t="shared" si="16"/>
        <v>21709.707195489362</v>
      </c>
      <c r="BA39" s="33">
        <f>IF(AQ39&lt;&gt;"",AZ39-SUM($AY$28:AY39),"")</f>
        <v>577.13719548936569</v>
      </c>
      <c r="BB39" s="11">
        <f t="shared" si="40"/>
        <v>20</v>
      </c>
      <c r="BC39" s="11">
        <f>IF(AQ39&lt;&gt;"",IF($B$16=listy!$K$8,'RZĄDOWY PROGRAM'!$F$3*'RZĄDOWY PROGRAM'!$F$15,AV38*$F$15),"")</f>
        <v>50</v>
      </c>
      <c r="BD39" s="11">
        <f t="shared" si="41"/>
        <v>70</v>
      </c>
      <c r="BF39" s="8">
        <f t="shared" si="42"/>
        <v>12</v>
      </c>
      <c r="BG39" s="8"/>
      <c r="BH39" s="78">
        <f>IF(BF39&lt;&gt;"",ROUND(IF($F$11="raty równe",-PMT(W39/12,$F$4-BF38+SUM(BV$28:$BV39)-SUM($BM$29:BM39),BK38,2),BI39+BJ39),2),"")</f>
        <v>3522.1</v>
      </c>
      <c r="BI39" s="78">
        <f>IF(BF39&lt;&gt;"",IF($F$11="raty malejące",MIN(BK38/($F$4-BF38+SUM($BG$27:BG39)-SUM($BM$27:BM39)),BK38),MIN(BH39-BJ39,BK38)),"")</f>
        <v>801.93041099489801</v>
      </c>
      <c r="BJ39" s="78">
        <f t="shared" si="54"/>
        <v>2720.1695890051019</v>
      </c>
      <c r="BK39" s="79">
        <f t="shared" si="55"/>
        <v>374393.87496901909</v>
      </c>
      <c r="BL39" s="11"/>
      <c r="BM39" s="98" t="str">
        <f t="shared" si="56"/>
        <v/>
      </c>
      <c r="BN39" s="33"/>
      <c r="BO39" s="33"/>
      <c r="BP39" s="33"/>
      <c r="BQ39" s="11">
        <f t="shared" si="17"/>
        <v>20</v>
      </c>
      <c r="BR39" s="11">
        <f>IF(BF39&lt;&gt;"",IF($B$16=listy!$K$8,'RZĄDOWY PROGRAM'!$F$3*'RZĄDOWY PROGRAM'!$F$15,BK38*$F$15),"")</f>
        <v>50</v>
      </c>
      <c r="BS39" s="11">
        <f t="shared" si="18"/>
        <v>70</v>
      </c>
      <c r="BU39" s="8">
        <f t="shared" si="44"/>
        <v>12</v>
      </c>
      <c r="BV39" s="8"/>
      <c r="BW39" s="78">
        <f>IF(BU39&lt;&gt;"",ROUND(IF($F$11="raty równe",-PMT(W39/12,$F$4-BU38+SUM($BV$28:BV39),BZ38,2),BX39+BY39),2),"")</f>
        <v>3522.1</v>
      </c>
      <c r="BX39" s="78">
        <f>IF(BU39&lt;&gt;"",IF($F$11="raty malejące",BZ38/($F$4-BU38+SUM($BV$28:BV38)),MIN(BW39-BY39,BZ38)),"")</f>
        <v>644.98012781122043</v>
      </c>
      <c r="BY39" s="78">
        <f>IF(BU39&lt;&gt;"",BZ38*W39/12,"")</f>
        <v>2877.1198721887795</v>
      </c>
      <c r="BZ39" s="79">
        <f>IF(BU39&lt;&gt;"",IF(B39&lt;&gt;"",BZ38-BX39-CA39,BZ38-BX39),"")</f>
        <v>396199.14017408941</v>
      </c>
      <c r="CA39" s="11"/>
      <c r="CB39" s="33"/>
      <c r="CC39" s="11">
        <f t="shared" si="46"/>
        <v>0</v>
      </c>
      <c r="CD39" s="11">
        <f t="shared" si="19"/>
        <v>21709.707195489362</v>
      </c>
      <c r="CE39" s="11">
        <f>IF(BU39&lt;&gt;"",CD39-SUM($CC$28:CC39),"")</f>
        <v>577.13719548936569</v>
      </c>
      <c r="CF39" s="11">
        <f t="shared" si="20"/>
        <v>20</v>
      </c>
      <c r="CG39" s="11">
        <f>IF(BU39&lt;&gt;"",IF($B$16=listy!$K$8,'RZĄDOWY PROGRAM'!$F$3*'RZĄDOWY PROGRAM'!$F$15,BZ38*$F$15),"")</f>
        <v>50</v>
      </c>
      <c r="CH39" s="11">
        <f t="shared" si="21"/>
        <v>70</v>
      </c>
      <c r="CJ39" s="48">
        <f t="shared" si="22"/>
        <v>0.06</v>
      </c>
      <c r="CK39" s="18">
        <f t="shared" si="23"/>
        <v>4.8675505653430484E-3</v>
      </c>
      <c r="CL39" s="11">
        <f t="shared" si="24"/>
        <v>0</v>
      </c>
      <c r="CM39" s="11">
        <f t="shared" si="25"/>
        <v>21709.707195489362</v>
      </c>
      <c r="CN39" s="11">
        <f>IF(AB39&lt;&gt;"",CM39-SUM($CL$28:CL39),"")</f>
        <v>577.13719548936569</v>
      </c>
    </row>
    <row r="40" spans="1:92" x14ac:dyDescent="0.45">
      <c r="A40" s="68">
        <f t="shared" si="47"/>
        <v>45108</v>
      </c>
      <c r="B40" s="8">
        <f t="shared" si="4"/>
        <v>13</v>
      </c>
      <c r="C40" s="57">
        <f t="shared" si="5"/>
        <v>3522.09</v>
      </c>
      <c r="D40" s="57">
        <f t="shared" si="6"/>
        <v>678.42324935874012</v>
      </c>
      <c r="E40" s="57">
        <f t="shared" si="7"/>
        <v>2843.66675064126</v>
      </c>
      <c r="F40" s="9">
        <f t="shared" si="26"/>
        <v>391551.47339081502</v>
      </c>
      <c r="G40" s="10">
        <f t="shared" si="8"/>
        <v>7.0000000000000007E-2</v>
      </c>
      <c r="H40" s="10">
        <f t="shared" si="9"/>
        <v>1.7000000000000001E-2</v>
      </c>
      <c r="I40" s="48">
        <f t="shared" si="27"/>
        <v>8.7000000000000008E-2</v>
      </c>
      <c r="J40" s="11">
        <f t="shared" si="10"/>
        <v>20</v>
      </c>
      <c r="K40" s="11">
        <f>IF(B40&lt;&gt;"",IF($B$16=listy!$K$8,'RZĄDOWY PROGRAM'!$F$3*'RZĄDOWY PROGRAM'!$F$15,F39*$F$15),"")</f>
        <v>50</v>
      </c>
      <c r="L40" s="11">
        <f t="shared" si="28"/>
        <v>70</v>
      </c>
      <c r="N40" s="54">
        <f t="shared" si="48"/>
        <v>45108</v>
      </c>
      <c r="O40" s="8">
        <f t="shared" si="29"/>
        <v>13</v>
      </c>
      <c r="P40" s="8">
        <v>1</v>
      </c>
      <c r="Q40" s="57">
        <v>0</v>
      </c>
      <c r="R40" s="57">
        <v>0</v>
      </c>
      <c r="S40" s="57">
        <v>0</v>
      </c>
      <c r="T40" s="9">
        <f t="shared" si="30"/>
        <v>396199.14017408941</v>
      </c>
      <c r="U40" s="10">
        <f t="shared" si="11"/>
        <v>7.0000000000000007E-2</v>
      </c>
      <c r="V40" s="10">
        <f t="shared" si="12"/>
        <v>1.7000000000000001E-2</v>
      </c>
      <c r="W40" s="48">
        <f t="shared" si="31"/>
        <v>8.7000000000000008E-2</v>
      </c>
      <c r="X40" s="56">
        <f t="shared" si="13"/>
        <v>20</v>
      </c>
      <c r="Y40" s="57">
        <f>IF(O40&lt;&gt;"",IF($B$16=listy!$K$8,'RZĄDOWY PROGRAM'!$F$3*'RZĄDOWY PROGRAM'!$F$15,T39*$F$15),"")</f>
        <v>50</v>
      </c>
      <c r="Z40" s="57">
        <f t="shared" si="32"/>
        <v>70</v>
      </c>
      <c r="AB40" s="8">
        <f t="shared" si="33"/>
        <v>13</v>
      </c>
      <c r="AC40" s="8">
        <v>1</v>
      </c>
      <c r="AD40" s="57">
        <v>0</v>
      </c>
      <c r="AE40" s="57">
        <v>0</v>
      </c>
      <c r="AF40" s="57">
        <v>0</v>
      </c>
      <c r="AG40" s="77">
        <f t="shared" si="52"/>
        <v>372330.79789261858</v>
      </c>
      <c r="AH40" s="57">
        <f>AI40</f>
        <v>3339.6</v>
      </c>
      <c r="AI40" s="33">
        <f>IF(AB40&lt;&gt;"",ROUND(IF($F$11="raty równe",-PMT(W40/12,($F$4-AB39+SUM($AC$27:AC39)),AG39,2),AG39/($F$4-AB39+SUM($AC$27:AC39))+AG39*W40/12),2),"")</f>
        <v>3339.6</v>
      </c>
      <c r="AJ40" s="33">
        <f t="shared" si="34"/>
        <v>182.49000000000024</v>
      </c>
      <c r="AK40" s="33">
        <f t="shared" si="15"/>
        <v>1458.0915393981693</v>
      </c>
      <c r="AL40" s="33">
        <f>IF(AB40&lt;&gt;"",AK40-SUM($AJ$28:AJ40),"")</f>
        <v>22.211539398168725</v>
      </c>
      <c r="AM40" s="11">
        <f t="shared" si="35"/>
        <v>20</v>
      </c>
      <c r="AN40" s="11">
        <f>IF(AB40&lt;&gt;"",IF($B$16=listy!$K$8,'RZĄDOWY PROGRAM'!$F$3*'RZĄDOWY PROGRAM'!$F$15,AG39*$F$15),"")</f>
        <v>50</v>
      </c>
      <c r="AO40" s="11">
        <f t="shared" si="36"/>
        <v>70</v>
      </c>
      <c r="AQ40" s="8">
        <f t="shared" si="37"/>
        <v>13</v>
      </c>
      <c r="AR40" s="8">
        <v>1</v>
      </c>
      <c r="AS40" s="57">
        <v>0</v>
      </c>
      <c r="AT40" s="57">
        <v>0</v>
      </c>
      <c r="AU40" s="57">
        <v>0</v>
      </c>
      <c r="AV40" s="77">
        <f t="shared" si="38"/>
        <v>396199.14017408941</v>
      </c>
      <c r="AW40" s="57"/>
      <c r="AX40" s="56">
        <f>IF(AQ40&lt;&gt;"",ROUND(IF($F$11="raty równe",-PMT(W40/12,($F$4-AQ39+SUM($AR$27:AR39)),AV39,2),AV39/($F$4-AQ39+SUM($AR$27:AR39))+AV39*W40/12),2),"")</f>
        <v>3522.09</v>
      </c>
      <c r="AY40" s="33">
        <f t="shared" si="39"/>
        <v>3522.09</v>
      </c>
      <c r="AZ40" s="56">
        <f t="shared" si="16"/>
        <v>25317.392404490962</v>
      </c>
      <c r="BA40" s="56">
        <f>IF(AQ40&lt;&gt;"",AZ40-SUM($AY$28:AY40),"")</f>
        <v>662.73240449096556</v>
      </c>
      <c r="BB40" s="11">
        <f t="shared" si="40"/>
        <v>20</v>
      </c>
      <c r="BC40" s="11">
        <f>IF(AQ40&lt;&gt;"",IF($B$16=listy!$K$8,'RZĄDOWY PROGRAM'!$F$3*'RZĄDOWY PROGRAM'!$F$15,AV39*$F$15),"")</f>
        <v>50</v>
      </c>
      <c r="BD40" s="11">
        <f t="shared" si="41"/>
        <v>70</v>
      </c>
      <c r="BF40" s="8">
        <f t="shared" si="42"/>
        <v>13</v>
      </c>
      <c r="BG40" s="8">
        <v>1</v>
      </c>
      <c r="BH40" s="57">
        <v>0</v>
      </c>
      <c r="BI40" s="57">
        <v>0</v>
      </c>
      <c r="BJ40" s="57">
        <v>0</v>
      </c>
      <c r="BK40" s="77">
        <f t="shared" ref="BK40" si="62">IF(BF40&lt;&gt;"",IF(BL40&lt;&gt;"",BK39-BI40-BL40,BK39-BI40),"")</f>
        <v>370871.78496901906</v>
      </c>
      <c r="BL40" s="57">
        <f t="shared" si="50"/>
        <v>3522.09</v>
      </c>
      <c r="BM40" s="80">
        <f t="shared" ref="BM40" si="63">IF(BL40&lt;&gt;"",IF($F$11="raty równe",NPER(W40/12,-BL40,(BK40+BL40))-NPER(W40/12,-BL40,BK40),BL40/($F$2/$F$4)),"")</f>
        <v>4.3084936092502346</v>
      </c>
      <c r="BN40" s="33"/>
      <c r="BO40" s="33"/>
      <c r="BP40" s="33"/>
      <c r="BQ40" s="11">
        <f t="shared" si="17"/>
        <v>20</v>
      </c>
      <c r="BR40" s="11">
        <f>IF(BF40&lt;&gt;"",IF($B$16=listy!$K$8,'RZĄDOWY PROGRAM'!$F$3*'RZĄDOWY PROGRAM'!$F$15,BK39*$F$15),"")</f>
        <v>50</v>
      </c>
      <c r="BS40" s="11">
        <f t="shared" si="18"/>
        <v>70</v>
      </c>
      <c r="BU40" s="8">
        <f t="shared" si="44"/>
        <v>13</v>
      </c>
      <c r="BV40" s="8">
        <v>1</v>
      </c>
      <c r="BW40" s="57">
        <v>0</v>
      </c>
      <c r="BX40" s="57">
        <v>0</v>
      </c>
      <c r="BY40" s="57">
        <v>0</v>
      </c>
      <c r="BZ40" s="77">
        <f t="shared" ref="BZ40" si="64">IF(BU40&lt;&gt;"",IF(CA40&lt;&gt;"",BZ39-BX40-CA40,BZ39-BX40),"")</f>
        <v>396199.14017408941</v>
      </c>
      <c r="CA40" s="57"/>
      <c r="CB40" s="33"/>
      <c r="CC40" s="11">
        <f t="shared" si="46"/>
        <v>3522.09</v>
      </c>
      <c r="CD40" s="11">
        <f t="shared" si="19"/>
        <v>25317.392404490962</v>
      </c>
      <c r="CE40" s="11">
        <f>IF(BU40&lt;&gt;"",CD40-SUM($CC$28:CC40),"")</f>
        <v>662.73240449096556</v>
      </c>
      <c r="CF40" s="11">
        <f t="shared" si="20"/>
        <v>20</v>
      </c>
      <c r="CG40" s="11">
        <f>IF(BU40&lt;&gt;"",IF($B$16=listy!$K$8,'RZĄDOWY PROGRAM'!$F$3*'RZĄDOWY PROGRAM'!$F$15,BZ39*$F$15),"")</f>
        <v>50</v>
      </c>
      <c r="CH40" s="11">
        <f t="shared" si="21"/>
        <v>70</v>
      </c>
      <c r="CJ40" s="48">
        <f t="shared" si="22"/>
        <v>0.06</v>
      </c>
      <c r="CK40" s="18">
        <f t="shared" si="23"/>
        <v>4.8675505653430484E-3</v>
      </c>
      <c r="CL40" s="57">
        <f t="shared" si="24"/>
        <v>3522.09</v>
      </c>
      <c r="CM40" s="57">
        <f t="shared" si="25"/>
        <v>25317.392404490962</v>
      </c>
      <c r="CN40" s="57">
        <f>IF(AB40&lt;&gt;"",CM40-SUM($CL$28:CL40),"")</f>
        <v>662.73240449096556</v>
      </c>
    </row>
    <row r="41" spans="1:92" x14ac:dyDescent="0.45">
      <c r="A41" s="68">
        <f t="shared" si="47"/>
        <v>45139</v>
      </c>
      <c r="B41" s="8">
        <f t="shared" si="4"/>
        <v>14</v>
      </c>
      <c r="C41" s="11">
        <f t="shared" si="5"/>
        <v>3522.1</v>
      </c>
      <c r="D41" s="11">
        <f t="shared" si="6"/>
        <v>683.35181791659079</v>
      </c>
      <c r="E41" s="11">
        <f t="shared" si="7"/>
        <v>2838.7481820834091</v>
      </c>
      <c r="F41" s="9">
        <f t="shared" si="26"/>
        <v>390868.12157289841</v>
      </c>
      <c r="G41" s="10">
        <f t="shared" si="8"/>
        <v>7.0000000000000007E-2</v>
      </c>
      <c r="H41" s="10">
        <f t="shared" si="9"/>
        <v>1.7000000000000001E-2</v>
      </c>
      <c r="I41" s="48">
        <f t="shared" si="27"/>
        <v>8.7000000000000008E-2</v>
      </c>
      <c r="J41" s="11">
        <f t="shared" si="10"/>
        <v>20</v>
      </c>
      <c r="K41" s="11">
        <f>IF(B41&lt;&gt;"",IF($B$16=listy!$K$8,'RZĄDOWY PROGRAM'!$F$3*'RZĄDOWY PROGRAM'!$F$15,F40*$F$15),"")</f>
        <v>50</v>
      </c>
      <c r="L41" s="11">
        <f t="shared" si="28"/>
        <v>70</v>
      </c>
      <c r="N41" s="54">
        <f t="shared" si="48"/>
        <v>45139</v>
      </c>
      <c r="O41" s="8">
        <f t="shared" si="29"/>
        <v>14</v>
      </c>
      <c r="P41" s="8"/>
      <c r="Q41" s="11">
        <f>IF(O41&lt;&gt;"",ROUND(IF($F$11="raty równe",-PMT(W41/12,$F$4-O40+SUM($P$28:P41),T40,2),R41+S41),2),"")</f>
        <v>3522.09</v>
      </c>
      <c r="R41" s="11">
        <f>IF(O41&lt;&gt;"",IF($F$11="raty malejące",T40/($F$4-O40+SUM($P$28:P41)),IF(Q41-S41&gt;T40,T40,Q41-S41)),"")</f>
        <v>649.64623373785207</v>
      </c>
      <c r="S41" s="11">
        <f>IF(O41&lt;&gt;"",T40*W41/12,"")</f>
        <v>2872.4437662621481</v>
      </c>
      <c r="T41" s="9">
        <f t="shared" si="30"/>
        <v>395549.49394035153</v>
      </c>
      <c r="U41" s="10">
        <f t="shared" si="11"/>
        <v>7.0000000000000007E-2</v>
      </c>
      <c r="V41" s="10">
        <f t="shared" si="12"/>
        <v>1.7000000000000001E-2</v>
      </c>
      <c r="W41" s="48">
        <f t="shared" si="31"/>
        <v>8.7000000000000008E-2</v>
      </c>
      <c r="X41" s="11">
        <f t="shared" si="13"/>
        <v>20</v>
      </c>
      <c r="Y41" s="11">
        <f>IF(O41&lt;&gt;"",IF($B$16=listy!$K$8,'RZĄDOWY PROGRAM'!$F$3*'RZĄDOWY PROGRAM'!$F$15,T40*$F$15),"")</f>
        <v>50</v>
      </c>
      <c r="Z41" s="11">
        <f t="shared" si="32"/>
        <v>70</v>
      </c>
      <c r="AB41" s="8">
        <f t="shared" si="33"/>
        <v>14</v>
      </c>
      <c r="AC41" s="8"/>
      <c r="AD41" s="11">
        <f>IF(AB41&lt;&gt;"",ROUND(IF($F$11="raty równe",-PMT(W41/12,$F$4-AB40+SUM($AC$28:AC41),AG40,2),AE41+AF41),2),"")</f>
        <v>3309.91</v>
      </c>
      <c r="AE41" s="11">
        <f>IF(AB41&lt;&gt;"",IF($F$11="raty malejące",AG40/($F$4-AB40+SUM($AC$28:AC40)),MIN(AD41-AF41,AG40)),"")</f>
        <v>610.51171527851466</v>
      </c>
      <c r="AF41" s="11">
        <f t="shared" si="14"/>
        <v>2699.3982847214852</v>
      </c>
      <c r="AG41" s="9">
        <f t="shared" si="52"/>
        <v>371720.28617734008</v>
      </c>
      <c r="AH41" s="11"/>
      <c r="AI41" s="33">
        <f>IF(AB41&lt;&gt;"",ROUND(IF($F$11="raty równe",-PMT(W41/12,($F$4-AB40+SUM($AC$27:AC40)),AG40,2),AG40/($F$4-AB40+SUM($AC$27:AC40))+AG40*W41/12),2),"")</f>
        <v>3309.91</v>
      </c>
      <c r="AJ41" s="33">
        <f t="shared" si="34"/>
        <v>212.19000000000005</v>
      </c>
      <c r="AK41" s="33">
        <f t="shared" si="15"/>
        <v>1676.0303801786742</v>
      </c>
      <c r="AL41" s="33">
        <f>IF(AB41&lt;&gt;"",AK41-SUM($AJ$28:AJ41),"")</f>
        <v>27.960380178673631</v>
      </c>
      <c r="AM41" s="11">
        <f t="shared" si="35"/>
        <v>20</v>
      </c>
      <c r="AN41" s="11">
        <f>IF(AB41&lt;&gt;"",IF($B$16=listy!$K$8,'RZĄDOWY PROGRAM'!$F$3*'RZĄDOWY PROGRAM'!$F$15,AG40*$F$15),"")</f>
        <v>50</v>
      </c>
      <c r="AO41" s="11">
        <f t="shared" si="36"/>
        <v>70</v>
      </c>
      <c r="AQ41" s="8">
        <f t="shared" si="37"/>
        <v>14</v>
      </c>
      <c r="AR41" s="8"/>
      <c r="AS41" s="78">
        <f>IF(AQ41&lt;&gt;"",ROUND(IF($F$11="raty równe",-PMT(W41/12,$F$4-AQ40+SUM($AR$28:AR41),AV40,2),AT41+AU41),2),"")</f>
        <v>3522.09</v>
      </c>
      <c r="AT41" s="78">
        <f>IF(AQ41&lt;&gt;"",IF($F$11="raty malejące",AV40/($F$4-AQ40+SUM($AR$28:AR40)),MIN(AS41-AU41,AV40)),"")</f>
        <v>649.64623373785207</v>
      </c>
      <c r="AU41" s="78">
        <f t="shared" si="53"/>
        <v>2872.4437662621481</v>
      </c>
      <c r="AV41" s="79">
        <f t="shared" si="38"/>
        <v>395549.49394035153</v>
      </c>
      <c r="AW41" s="11"/>
      <c r="AX41" s="33">
        <f>IF(AQ41&lt;&gt;"",ROUND(IF($F$11="raty równe",-PMT(W41/12,($F$4-AQ40+SUM($AR$27:AR40)),AV40,2),AV40/($F$4-AQ40+SUM($AR$27:AR40))+AV40*W41/12),2),"")</f>
        <v>3522.09</v>
      </c>
      <c r="AY41" s="33">
        <f t="shared" si="39"/>
        <v>9.9999999997635314E-3</v>
      </c>
      <c r="AZ41" s="33">
        <f t="shared" si="16"/>
        <v>25417.22169153727</v>
      </c>
      <c r="BA41" s="33">
        <f>IF(AQ41&lt;&gt;"",AZ41-SUM($AY$28:AY41),"")</f>
        <v>762.55169153727547</v>
      </c>
      <c r="BB41" s="11">
        <f t="shared" si="40"/>
        <v>20</v>
      </c>
      <c r="BC41" s="11">
        <f>IF(AQ41&lt;&gt;"",IF($B$16=listy!$K$8,'RZĄDOWY PROGRAM'!$F$3*'RZĄDOWY PROGRAM'!$F$15,AV40*$F$15),"")</f>
        <v>50</v>
      </c>
      <c r="BD41" s="11">
        <f t="shared" si="41"/>
        <v>70</v>
      </c>
      <c r="BF41" s="8">
        <f t="shared" si="42"/>
        <v>14</v>
      </c>
      <c r="BG41" s="8"/>
      <c r="BH41" s="78">
        <f>IF(BF41&lt;&gt;"",ROUND(IF($F$11="raty równe",-PMT(W41/12,$F$4-BF40+SUM(BV$28:$BV41)-SUM($BM$29:BM41),BK40,2),BI41+BJ41),2),"")</f>
        <v>3522.1</v>
      </c>
      <c r="BI41" s="78">
        <f>IF(BF41&lt;&gt;"",IF($F$11="raty malejące",MIN(BK40/($F$4-BF40+SUM($BG$27:BG41)-SUM($BM$27:BM41)),BK40),MIN(BH41-BJ41,BK40)),"")</f>
        <v>833.27955897461152</v>
      </c>
      <c r="BJ41" s="78">
        <f t="shared" si="54"/>
        <v>2688.8204410253884</v>
      </c>
      <c r="BK41" s="79">
        <f t="shared" si="55"/>
        <v>370038.50541004445</v>
      </c>
      <c r="BL41" s="11"/>
      <c r="BM41" s="98" t="str">
        <f t="shared" si="56"/>
        <v/>
      </c>
      <c r="BN41" s="33"/>
      <c r="BO41" s="33"/>
      <c r="BP41" s="33"/>
      <c r="BQ41" s="11">
        <f t="shared" si="17"/>
        <v>20</v>
      </c>
      <c r="BR41" s="11">
        <f>IF(BF41&lt;&gt;"",IF($B$16=listy!$K$8,'RZĄDOWY PROGRAM'!$F$3*'RZĄDOWY PROGRAM'!$F$15,BK40*$F$15),"")</f>
        <v>50</v>
      </c>
      <c r="BS41" s="11">
        <f t="shared" si="18"/>
        <v>70</v>
      </c>
      <c r="BU41" s="8">
        <f t="shared" si="44"/>
        <v>14</v>
      </c>
      <c r="BV41" s="8"/>
      <c r="BW41" s="78">
        <f>IF(BU41&lt;&gt;"",ROUND(IF($F$11="raty równe",-PMT(W41/12,$F$4-BU40+SUM($BV$28:BV41),BZ40,2),BX41+BY41),2),"")</f>
        <v>3522.09</v>
      </c>
      <c r="BX41" s="78">
        <f>IF(BU41&lt;&gt;"",IF($F$11="raty malejące",BZ40/($F$4-BU40+SUM($BV$28:BV40)),MIN(BW41-BY41,BZ40)),"")</f>
        <v>649.64623373785207</v>
      </c>
      <c r="BY41" s="78">
        <f>IF(BU41&lt;&gt;"",BZ40*W41/12,"")</f>
        <v>2872.4437662621481</v>
      </c>
      <c r="BZ41" s="79">
        <f>IF(BU41&lt;&gt;"",IF(B41&lt;&gt;"",BZ40-BX41-CA41,BZ40-BX41),"")</f>
        <v>395549.49394035153</v>
      </c>
      <c r="CA41" s="11"/>
      <c r="CB41" s="33"/>
      <c r="CC41" s="11">
        <f t="shared" si="46"/>
        <v>9.9999999997635314E-3</v>
      </c>
      <c r="CD41" s="11">
        <f t="shared" si="19"/>
        <v>25417.22169153727</v>
      </c>
      <c r="CE41" s="11">
        <f>IF(BU41&lt;&gt;"",CD41-SUM($CC$28:CC41),"")</f>
        <v>762.55169153727547</v>
      </c>
      <c r="CF41" s="11">
        <f t="shared" si="20"/>
        <v>20</v>
      </c>
      <c r="CG41" s="11">
        <f>IF(BU41&lt;&gt;"",IF($B$16=listy!$K$8,'RZĄDOWY PROGRAM'!$F$3*'RZĄDOWY PROGRAM'!$F$15,BZ40*$F$15),"")</f>
        <v>50</v>
      </c>
      <c r="CH41" s="11">
        <f t="shared" si="21"/>
        <v>70</v>
      </c>
      <c r="CJ41" s="48">
        <f t="shared" si="22"/>
        <v>0.06</v>
      </c>
      <c r="CK41" s="18">
        <f t="shared" si="23"/>
        <v>4.8675505653430484E-3</v>
      </c>
      <c r="CL41" s="11">
        <f t="shared" si="24"/>
        <v>9.9999999997635314E-3</v>
      </c>
      <c r="CM41" s="11">
        <f t="shared" si="25"/>
        <v>25417.22169153727</v>
      </c>
      <c r="CN41" s="11">
        <f>IF(AB41&lt;&gt;"",CM41-SUM($CL$28:CL41),"")</f>
        <v>762.55169153727547</v>
      </c>
    </row>
    <row r="42" spans="1:92" x14ac:dyDescent="0.45">
      <c r="A42" s="68">
        <f t="shared" si="47"/>
        <v>45170</v>
      </c>
      <c r="B42" s="8">
        <f t="shared" si="4"/>
        <v>15</v>
      </c>
      <c r="C42" s="11">
        <f t="shared" si="5"/>
        <v>3522.09</v>
      </c>
      <c r="D42" s="11">
        <f t="shared" si="6"/>
        <v>688.29611859648639</v>
      </c>
      <c r="E42" s="11">
        <f t="shared" si="7"/>
        <v>2833.7938814035138</v>
      </c>
      <c r="F42" s="9">
        <f t="shared" si="26"/>
        <v>390179.8254543019</v>
      </c>
      <c r="G42" s="10">
        <f t="shared" si="8"/>
        <v>7.0000000000000007E-2</v>
      </c>
      <c r="H42" s="10">
        <f t="shared" si="9"/>
        <v>1.7000000000000001E-2</v>
      </c>
      <c r="I42" s="48">
        <f t="shared" si="27"/>
        <v>8.7000000000000008E-2</v>
      </c>
      <c r="J42" s="11">
        <f t="shared" si="10"/>
        <v>20</v>
      </c>
      <c r="K42" s="11">
        <f>IF(B42&lt;&gt;"",IF($B$16=listy!$K$8,'RZĄDOWY PROGRAM'!$F$3*'RZĄDOWY PROGRAM'!$F$15,F41*$F$15),"")</f>
        <v>50</v>
      </c>
      <c r="L42" s="11">
        <f t="shared" si="28"/>
        <v>70</v>
      </c>
      <c r="N42" s="54">
        <f t="shared" si="48"/>
        <v>45170</v>
      </c>
      <c r="O42" s="8">
        <f t="shared" si="29"/>
        <v>15</v>
      </c>
      <c r="P42" s="8"/>
      <c r="Q42" s="11">
        <f>IF(O42&lt;&gt;"",ROUND(IF($F$11="raty równe",-PMT(W42/12,$F$4-O41+SUM($P$28:P42),T41,2),R42+S42),2),"")</f>
        <v>3522.1</v>
      </c>
      <c r="R42" s="11">
        <f>IF(O42&lt;&gt;"",IF($F$11="raty malejące",T41/($F$4-O41+SUM($P$28:P42)),IF(Q42-S42&gt;T41,T41,Q42-S42)),"")</f>
        <v>654.36616893245082</v>
      </c>
      <c r="S42" s="11">
        <f>IF(O42&lt;&gt;"",T41*W42/12,"")</f>
        <v>2867.7338310675491</v>
      </c>
      <c r="T42" s="9">
        <f t="shared" si="30"/>
        <v>394895.12777141907</v>
      </c>
      <c r="U42" s="10">
        <f t="shared" si="11"/>
        <v>7.0000000000000007E-2</v>
      </c>
      <c r="V42" s="10">
        <f t="shared" si="12"/>
        <v>1.7000000000000001E-2</v>
      </c>
      <c r="W42" s="48">
        <f t="shared" si="31"/>
        <v>8.7000000000000008E-2</v>
      </c>
      <c r="X42" s="11">
        <f t="shared" si="13"/>
        <v>20</v>
      </c>
      <c r="Y42" s="11">
        <f>IF(O42&lt;&gt;"",IF($B$16=listy!$K$8,'RZĄDOWY PROGRAM'!$F$3*'RZĄDOWY PROGRAM'!$F$15,T41*$F$15),"")</f>
        <v>50</v>
      </c>
      <c r="Z42" s="11">
        <f t="shared" si="32"/>
        <v>70</v>
      </c>
      <c r="AB42" s="8">
        <f t="shared" si="33"/>
        <v>15</v>
      </c>
      <c r="AC42" s="8"/>
      <c r="AD42" s="11">
        <f>IF(AB42&lt;&gt;"",ROUND(IF($F$11="raty równe",-PMT(W42/12,$F$4-AB41+SUM($AC$28:AC42),AG41,2),AE42+AF42),2),"")</f>
        <v>3309.91</v>
      </c>
      <c r="AE42" s="11">
        <f>IF(AB42&lt;&gt;"",IF($F$11="raty malejące",AG41/($F$4-AB41+SUM($AC$28:AC41)),MIN(AD42-AF42,AG41)),"")</f>
        <v>614.93792521428395</v>
      </c>
      <c r="AF42" s="11">
        <f t="shared" si="14"/>
        <v>2694.9720747857159</v>
      </c>
      <c r="AG42" s="9">
        <f t="shared" si="52"/>
        <v>371105.34825212578</v>
      </c>
      <c r="AH42" s="11"/>
      <c r="AI42" s="33">
        <f>IF(AB42&lt;&gt;"",ROUND(IF($F$11="raty równe",-PMT(W42/12,($F$4-AB41+SUM($AC$27:AC41)),AG41,2),AG41/($F$4-AB41+SUM($AC$27:AC41))+AG41*W42/12),2),"")</f>
        <v>3309.91</v>
      </c>
      <c r="AJ42" s="33">
        <f t="shared" si="34"/>
        <v>212.18000000000029</v>
      </c>
      <c r="AK42" s="33">
        <f t="shared" si="15"/>
        <v>1894.8184919045771</v>
      </c>
      <c r="AL42" s="33">
        <f>IF(AB42&lt;&gt;"",AK42-SUM($AJ$28:AJ42),"")</f>
        <v>34.568491904576149</v>
      </c>
      <c r="AM42" s="11">
        <f t="shared" si="35"/>
        <v>20</v>
      </c>
      <c r="AN42" s="11">
        <f>IF(AB42&lt;&gt;"",IF($B$16=listy!$K$8,'RZĄDOWY PROGRAM'!$F$3*'RZĄDOWY PROGRAM'!$F$15,AG41*$F$15),"")</f>
        <v>50</v>
      </c>
      <c r="AO42" s="11">
        <f t="shared" si="36"/>
        <v>70</v>
      </c>
      <c r="AQ42" s="8">
        <f t="shared" si="37"/>
        <v>15</v>
      </c>
      <c r="AR42" s="8"/>
      <c r="AS42" s="78">
        <f>IF(AQ42&lt;&gt;"",ROUND(IF($F$11="raty równe",-PMT(W42/12,$F$4-AQ41+SUM($AR$28:AR42),AV41,2),AT42+AU42),2),"")</f>
        <v>3522.1</v>
      </c>
      <c r="AT42" s="78">
        <f>IF(AQ42&lt;&gt;"",IF($F$11="raty malejące",AV41/($F$4-AQ41+SUM($AR$28:AR41)),MIN(AS42-AU42,AV41)),"")</f>
        <v>654.36616893245082</v>
      </c>
      <c r="AU42" s="78">
        <f t="shared" si="53"/>
        <v>2867.7338310675491</v>
      </c>
      <c r="AV42" s="79">
        <f t="shared" si="38"/>
        <v>394895.12777141907</v>
      </c>
      <c r="AW42" s="11"/>
      <c r="AX42" s="33">
        <f>IF(AQ42&lt;&gt;"",ROUND(IF($F$11="raty równe",-PMT(W42/12,($F$4-AQ41+SUM($AR$27:AR41)),AV41,2),AV41/($F$4-AQ41+SUM($AR$27:AR41))+AV41*W42/12),2),"")</f>
        <v>3522.1</v>
      </c>
      <c r="AY42" s="33">
        <f t="shared" si="39"/>
        <v>-9.9999999997635314E-3</v>
      </c>
      <c r="AZ42" s="33">
        <f t="shared" si="16"/>
        <v>25517.424577106689</v>
      </c>
      <c r="BA42" s="33">
        <f>IF(AQ42&lt;&gt;"",AZ42-SUM($AY$28:AY42),"")</f>
        <v>862.76457710669274</v>
      </c>
      <c r="BB42" s="11">
        <f t="shared" si="40"/>
        <v>20</v>
      </c>
      <c r="BC42" s="11">
        <f>IF(AQ42&lt;&gt;"",IF($B$16=listy!$K$8,'RZĄDOWY PROGRAM'!$F$3*'RZĄDOWY PROGRAM'!$F$15,AV41*$F$15),"")</f>
        <v>50</v>
      </c>
      <c r="BD42" s="11">
        <f t="shared" si="41"/>
        <v>70</v>
      </c>
      <c r="BF42" s="8">
        <f t="shared" si="42"/>
        <v>15</v>
      </c>
      <c r="BG42" s="8"/>
      <c r="BH42" s="78">
        <f>IF(BF42&lt;&gt;"",ROUND(IF($F$11="raty równe",-PMT(W42/12,$F$4-BF41+SUM(BV$28:$BV42)-SUM($BM$29:BM42),BK41,2),BI42+BJ42),2),"")</f>
        <v>3522.1</v>
      </c>
      <c r="BI42" s="78">
        <f>IF(BF42&lt;&gt;"",IF($F$11="raty malejące",MIN(BK41/($F$4-BF41+SUM($BG$27:BG42)-SUM($BM$27:BM42)),BK41),MIN(BH42-BJ42,BK41)),"")</f>
        <v>839.32083577717731</v>
      </c>
      <c r="BJ42" s="78">
        <f t="shared" si="54"/>
        <v>2682.7791642228226</v>
      </c>
      <c r="BK42" s="79">
        <f t="shared" si="55"/>
        <v>369199.1845742673</v>
      </c>
      <c r="BL42" s="11"/>
      <c r="BM42" s="98" t="str">
        <f t="shared" si="56"/>
        <v/>
      </c>
      <c r="BN42" s="33"/>
      <c r="BO42" s="33"/>
      <c r="BP42" s="33"/>
      <c r="BQ42" s="11">
        <f t="shared" si="17"/>
        <v>20</v>
      </c>
      <c r="BR42" s="11">
        <f>IF(BF42&lt;&gt;"",IF($B$16=listy!$K$8,'RZĄDOWY PROGRAM'!$F$3*'RZĄDOWY PROGRAM'!$F$15,BK41*$F$15),"")</f>
        <v>50</v>
      </c>
      <c r="BS42" s="11">
        <f t="shared" si="18"/>
        <v>70</v>
      </c>
      <c r="BU42" s="8">
        <f t="shared" si="44"/>
        <v>15</v>
      </c>
      <c r="BV42" s="8"/>
      <c r="BW42" s="78">
        <f>IF(BU42&lt;&gt;"",ROUND(IF($F$11="raty równe",-PMT(W42/12,$F$4-BU41+SUM($BV$28:BV42),BZ41,2),BX42+BY42),2),"")</f>
        <v>3522.1</v>
      </c>
      <c r="BX42" s="78">
        <f>IF(BU42&lt;&gt;"",IF($F$11="raty malejące",BZ41/($F$4-BU41+SUM($BV$28:BV41)),MIN(BW42-BY42,BZ41)),"")</f>
        <v>654.36616893245082</v>
      </c>
      <c r="BY42" s="78">
        <f>IF(BU42&lt;&gt;"",BZ41*W42/12,"")</f>
        <v>2867.7338310675491</v>
      </c>
      <c r="BZ42" s="79">
        <f>IF(BU42&lt;&gt;"",IF(B42&lt;&gt;"",BZ41-BX42-CA42,BZ41-BX42),"")</f>
        <v>394895.12777141907</v>
      </c>
      <c r="CA42" s="11"/>
      <c r="CB42" s="33"/>
      <c r="CC42" s="11">
        <f t="shared" si="46"/>
        <v>-9.9999999997635314E-3</v>
      </c>
      <c r="CD42" s="11">
        <f t="shared" si="19"/>
        <v>25517.424577106689</v>
      </c>
      <c r="CE42" s="11">
        <f>IF(BU42&lt;&gt;"",CD42-SUM($CC$28:CC42),"")</f>
        <v>862.76457710669274</v>
      </c>
      <c r="CF42" s="11">
        <f t="shared" si="20"/>
        <v>20</v>
      </c>
      <c r="CG42" s="11">
        <f>IF(BU42&lt;&gt;"",IF($B$16=listy!$K$8,'RZĄDOWY PROGRAM'!$F$3*'RZĄDOWY PROGRAM'!$F$15,BZ41*$F$15),"")</f>
        <v>50</v>
      </c>
      <c r="CH42" s="11">
        <f t="shared" si="21"/>
        <v>70</v>
      </c>
      <c r="CJ42" s="48">
        <f t="shared" si="22"/>
        <v>0.06</v>
      </c>
      <c r="CK42" s="18">
        <f t="shared" si="23"/>
        <v>4.8675505653430484E-3</v>
      </c>
      <c r="CL42" s="11">
        <f t="shared" si="24"/>
        <v>-9.9999999997635314E-3</v>
      </c>
      <c r="CM42" s="11">
        <f t="shared" si="25"/>
        <v>25517.424577106689</v>
      </c>
      <c r="CN42" s="11">
        <f>IF(AB42&lt;&gt;"",CM42-SUM($CL$28:CL42),"")</f>
        <v>862.76457710669274</v>
      </c>
    </row>
    <row r="43" spans="1:92" x14ac:dyDescent="0.45">
      <c r="A43" s="68">
        <f t="shared" si="47"/>
        <v>45200</v>
      </c>
      <c r="B43" s="8">
        <f t="shared" si="4"/>
        <v>16</v>
      </c>
      <c r="C43" s="57">
        <f t="shared" si="5"/>
        <v>3522.1</v>
      </c>
      <c r="D43" s="57">
        <f t="shared" si="6"/>
        <v>693.29626545631072</v>
      </c>
      <c r="E43" s="57">
        <f t="shared" si="7"/>
        <v>2828.8037345436892</v>
      </c>
      <c r="F43" s="9">
        <f t="shared" si="26"/>
        <v>389486.5291888456</v>
      </c>
      <c r="G43" s="10">
        <f t="shared" si="8"/>
        <v>7.0000000000000007E-2</v>
      </c>
      <c r="H43" s="10">
        <f t="shared" si="9"/>
        <v>1.7000000000000001E-2</v>
      </c>
      <c r="I43" s="48">
        <f t="shared" si="27"/>
        <v>8.7000000000000008E-2</v>
      </c>
      <c r="J43" s="11">
        <f t="shared" si="10"/>
        <v>20</v>
      </c>
      <c r="K43" s="11">
        <f>IF(B43&lt;&gt;"",IF($B$16=listy!$K$8,'RZĄDOWY PROGRAM'!$F$3*'RZĄDOWY PROGRAM'!$F$15,F42*$F$15),"")</f>
        <v>50</v>
      </c>
      <c r="L43" s="11">
        <f t="shared" si="28"/>
        <v>70</v>
      </c>
      <c r="N43" s="54">
        <f t="shared" si="48"/>
        <v>45200</v>
      </c>
      <c r="O43" s="8">
        <f t="shared" si="29"/>
        <v>16</v>
      </c>
      <c r="P43" s="8">
        <v>1</v>
      </c>
      <c r="Q43" s="57">
        <v>0</v>
      </c>
      <c r="R43" s="57">
        <v>0</v>
      </c>
      <c r="S43" s="57">
        <v>0</v>
      </c>
      <c r="T43" s="9">
        <f t="shared" si="30"/>
        <v>394895.12777141907</v>
      </c>
      <c r="U43" s="10">
        <f t="shared" si="11"/>
        <v>7.0000000000000007E-2</v>
      </c>
      <c r="V43" s="10">
        <f t="shared" si="12"/>
        <v>1.7000000000000001E-2</v>
      </c>
      <c r="W43" s="48">
        <f t="shared" si="31"/>
        <v>8.7000000000000008E-2</v>
      </c>
      <c r="X43" s="56">
        <f t="shared" si="13"/>
        <v>20</v>
      </c>
      <c r="Y43" s="57">
        <f>IF(O43&lt;&gt;"",IF($B$16=listy!$K$8,'RZĄDOWY PROGRAM'!$F$3*'RZĄDOWY PROGRAM'!$F$15,T42*$F$15),"")</f>
        <v>50</v>
      </c>
      <c r="Z43" s="57">
        <f t="shared" si="32"/>
        <v>70</v>
      </c>
      <c r="AB43" s="8">
        <f t="shared" si="33"/>
        <v>16</v>
      </c>
      <c r="AC43" s="8">
        <v>1</v>
      </c>
      <c r="AD43" s="57">
        <v>0</v>
      </c>
      <c r="AE43" s="57">
        <v>0</v>
      </c>
      <c r="AF43" s="57">
        <v>0</v>
      </c>
      <c r="AG43" s="77">
        <f>IF(AB43&lt;&gt;"",IF(AH43&lt;&gt;"",AG42-AE43-AH43,AG42-AE43),"")</f>
        <v>367795.43825212581</v>
      </c>
      <c r="AH43" s="57">
        <f>AI43</f>
        <v>3309.91</v>
      </c>
      <c r="AI43" s="33">
        <f>IF(AB43&lt;&gt;"",ROUND(IF($F$11="raty równe",-PMT(W43/12,($F$4-AB42+SUM($AC$27:AC42)),AG42,2),AG42/($F$4-AB42+SUM($AC$27:AC42))+AG42*W43/12),2),"")</f>
        <v>3309.91</v>
      </c>
      <c r="AJ43" s="33">
        <f t="shared" si="34"/>
        <v>212.19000000000005</v>
      </c>
      <c r="AK43" s="33">
        <f t="shared" si="15"/>
        <v>2114.4792230099865</v>
      </c>
      <c r="AL43" s="33">
        <f>IF(AB43&lt;&gt;"",AK43-SUM($AJ$28:AJ43),"")</f>
        <v>42.039223009985562</v>
      </c>
      <c r="AM43" s="11">
        <f t="shared" si="35"/>
        <v>20</v>
      </c>
      <c r="AN43" s="11">
        <f>IF(AB43&lt;&gt;"",IF($B$16=listy!$K$8,'RZĄDOWY PROGRAM'!$F$3*'RZĄDOWY PROGRAM'!$F$15,AG42*$F$15),"")</f>
        <v>50</v>
      </c>
      <c r="AO43" s="11">
        <f t="shared" si="36"/>
        <v>70</v>
      </c>
      <c r="AQ43" s="8">
        <f t="shared" si="37"/>
        <v>16</v>
      </c>
      <c r="AR43" s="8">
        <v>1</v>
      </c>
      <c r="AS43" s="57">
        <v>0</v>
      </c>
      <c r="AT43" s="57">
        <v>0</v>
      </c>
      <c r="AU43" s="57">
        <v>0</v>
      </c>
      <c r="AV43" s="77">
        <f t="shared" si="38"/>
        <v>365938.03601872351</v>
      </c>
      <c r="AW43" s="57">
        <f>SUM(AY28:AY43)+BA43*(1-$F$20)</f>
        <v>28957.091752695575</v>
      </c>
      <c r="AX43" s="56">
        <f>IF(AQ43&lt;&gt;"",ROUND(IF($F$11="raty równe",-PMT(W43/12,($F$4-AQ42+SUM($AR$27:AR42)),AV42,2),AV42/($F$4-AQ42+SUM($AR$27:AR42))+AV42*W43/12),2),"")</f>
        <v>3522.09</v>
      </c>
      <c r="AY43" s="33">
        <f t="shared" si="39"/>
        <v>3522.1</v>
      </c>
      <c r="AZ43" s="56">
        <f t="shared" si="16"/>
        <v>29140.132534192067</v>
      </c>
      <c r="BA43" s="56">
        <f>IF(AQ43&lt;&gt;"",AZ43-SUM($AY$28:AY43),"")</f>
        <v>963.37253419207264</v>
      </c>
      <c r="BB43" s="11">
        <f t="shared" si="40"/>
        <v>20</v>
      </c>
      <c r="BC43" s="11">
        <f>IF(AQ43&lt;&gt;"",IF($B$16=listy!$K$8,'RZĄDOWY PROGRAM'!$F$3*'RZĄDOWY PROGRAM'!$F$15,AV42*$F$15),"")</f>
        <v>50</v>
      </c>
      <c r="BD43" s="11">
        <f t="shared" si="41"/>
        <v>70</v>
      </c>
      <c r="BF43" s="8">
        <f t="shared" si="42"/>
        <v>16</v>
      </c>
      <c r="BG43" s="8">
        <v>1</v>
      </c>
      <c r="BH43" s="57">
        <v>0</v>
      </c>
      <c r="BI43" s="57">
        <v>0</v>
      </c>
      <c r="BJ43" s="57">
        <v>0</v>
      </c>
      <c r="BK43" s="77">
        <f t="shared" ref="BK43" si="65">IF(BF43&lt;&gt;"",IF(BL43&lt;&gt;"",BK42-BI43-BL43,BK42-BI43),"")</f>
        <v>365677.08457426733</v>
      </c>
      <c r="BL43" s="57">
        <f t="shared" si="50"/>
        <v>3522.1</v>
      </c>
      <c r="BM43" s="80">
        <f t="shared" ref="BM43" si="66">IF(BL43&lt;&gt;"",IF($F$11="raty równe",NPER(W43/12,-BL43,(BK43+BL43))-NPER(W43/12,-BL43,BK43),BL43/($F$2/$F$4)),"")</f>
        <v>4.1193453095285975</v>
      </c>
      <c r="BN43" s="33"/>
      <c r="BO43" s="33"/>
      <c r="BP43" s="33"/>
      <c r="BQ43" s="11">
        <f t="shared" si="17"/>
        <v>20</v>
      </c>
      <c r="BR43" s="11">
        <f>IF(BF43&lt;&gt;"",IF($B$16=listy!$K$8,'RZĄDOWY PROGRAM'!$F$3*'RZĄDOWY PROGRAM'!$F$15,BK42*$F$15),"")</f>
        <v>50</v>
      </c>
      <c r="BS43" s="11">
        <f t="shared" si="18"/>
        <v>70</v>
      </c>
      <c r="BU43" s="8">
        <f t="shared" si="44"/>
        <v>16</v>
      </c>
      <c r="BV43" s="8">
        <v>1</v>
      </c>
      <c r="BW43" s="57">
        <v>0</v>
      </c>
      <c r="BX43" s="57">
        <v>0</v>
      </c>
      <c r="BY43" s="57">
        <v>0</v>
      </c>
      <c r="BZ43" s="77">
        <f t="shared" ref="BZ43" si="67">IF(BU43&lt;&gt;"",IF(CA43&lt;&gt;"",BZ42-BX43-CA43,BZ42-BX43),"")</f>
        <v>365938.03601872351</v>
      </c>
      <c r="CA43" s="57">
        <f>SUM(CC28:CC43)+CE43*(1-$F$20)</f>
        <v>28957.091752695575</v>
      </c>
      <c r="CB43" s="80">
        <f>IF(CA43&lt;&gt;"",IF($F$11="raty równe",NPER(W43/12,-BL43,(BZ43+CA43))-NPER(W43/12,-BL43,BZ43),CA43/($F$2/$F$4)),"")</f>
        <v>38.277240246059506</v>
      </c>
      <c r="CC43" s="57">
        <f>IF(O43&lt;&gt;"",IF(ISNUMBER(C43),C43,0)-IF(ISNUMBER(BW43),BW43,0),"")</f>
        <v>3522.1</v>
      </c>
      <c r="CD43" s="57">
        <f t="shared" si="19"/>
        <v>29140.132534192067</v>
      </c>
      <c r="CE43" s="57">
        <f>IF(BU43&lt;&gt;"",CD43-SUM($CC$28:CC43),"")</f>
        <v>963.37253419207264</v>
      </c>
      <c r="CF43" s="11">
        <f t="shared" si="20"/>
        <v>20</v>
      </c>
      <c r="CG43" s="11">
        <f>IF(BU43&lt;&gt;"",IF($B$16=listy!$K$8,'RZĄDOWY PROGRAM'!$F$3*'RZĄDOWY PROGRAM'!$F$15,BZ42*$F$15),"")</f>
        <v>50</v>
      </c>
      <c r="CH43" s="11">
        <f t="shared" si="21"/>
        <v>70</v>
      </c>
      <c r="CJ43" s="48">
        <f t="shared" si="22"/>
        <v>0.06</v>
      </c>
      <c r="CK43" s="18">
        <f t="shared" si="23"/>
        <v>4.8675505653430484E-3</v>
      </c>
      <c r="CL43" s="57">
        <f t="shared" si="24"/>
        <v>3522.1</v>
      </c>
      <c r="CM43" s="57">
        <f t="shared" si="25"/>
        <v>29140.132534192067</v>
      </c>
      <c r="CN43" s="57">
        <f>IF(AB43&lt;&gt;"",CM43-SUM($CL$28:CL43),"")</f>
        <v>963.37253419207264</v>
      </c>
    </row>
    <row r="44" spans="1:92" x14ac:dyDescent="0.45">
      <c r="A44" s="68">
        <f t="shared" si="47"/>
        <v>45231</v>
      </c>
      <c r="B44" s="8">
        <f t="shared" si="4"/>
        <v>17</v>
      </c>
      <c r="C44" s="11">
        <f t="shared" si="5"/>
        <v>3522.09</v>
      </c>
      <c r="D44" s="11">
        <f t="shared" si="6"/>
        <v>698.31266338086925</v>
      </c>
      <c r="E44" s="11">
        <f t="shared" si="7"/>
        <v>2823.7773366191309</v>
      </c>
      <c r="F44" s="9">
        <f t="shared" si="26"/>
        <v>388788.21652546473</v>
      </c>
      <c r="G44" s="10">
        <f t="shared" si="8"/>
        <v>7.0000000000000007E-2</v>
      </c>
      <c r="H44" s="10">
        <f t="shared" si="9"/>
        <v>1.7000000000000001E-2</v>
      </c>
      <c r="I44" s="48">
        <f t="shared" si="27"/>
        <v>8.7000000000000008E-2</v>
      </c>
      <c r="J44" s="11">
        <f t="shared" si="10"/>
        <v>20</v>
      </c>
      <c r="K44" s="11">
        <f>IF(B44&lt;&gt;"",IF($B$16=listy!$K$8,'RZĄDOWY PROGRAM'!$F$3*'RZĄDOWY PROGRAM'!$F$15,F43*$F$15),"")</f>
        <v>50</v>
      </c>
      <c r="L44" s="11">
        <f t="shared" si="28"/>
        <v>70</v>
      </c>
      <c r="N44" s="54">
        <f t="shared" si="48"/>
        <v>45231</v>
      </c>
      <c r="O44" s="8">
        <f t="shared" si="29"/>
        <v>17</v>
      </c>
      <c r="P44" s="8"/>
      <c r="Q44" s="11">
        <f>IF(O44&lt;&gt;"",ROUND(IF($F$11="raty równe",-PMT(W44/12,$F$4-O43+SUM($P$28:P44),T43,2),R44+S44),2),"")</f>
        <v>3522.09</v>
      </c>
      <c r="R44" s="11">
        <f>IF(O44&lt;&gt;"",IF($F$11="raty malejące",T43/($F$4-O43+SUM($P$28:P44)),IF(Q44-S44&gt;T43,T43,Q44-S44)),"")</f>
        <v>659.1003236572119</v>
      </c>
      <c r="S44" s="11">
        <f t="shared" ref="S44:S107" si="68">IF(O44&lt;&gt;"",T43*W44/12,"")</f>
        <v>2862.9896763427882</v>
      </c>
      <c r="T44" s="9">
        <f t="shared" si="30"/>
        <v>394236.02744776185</v>
      </c>
      <c r="U44" s="10">
        <f t="shared" si="11"/>
        <v>7.0000000000000007E-2</v>
      </c>
      <c r="V44" s="10">
        <f t="shared" si="12"/>
        <v>1.7000000000000001E-2</v>
      </c>
      <c r="W44" s="48">
        <f t="shared" si="31"/>
        <v>8.7000000000000008E-2</v>
      </c>
      <c r="X44" s="11">
        <f t="shared" si="13"/>
        <v>20</v>
      </c>
      <c r="Y44" s="11">
        <f>IF(O44&lt;&gt;"",IF($B$16=listy!$K$8,'RZĄDOWY PROGRAM'!$F$3*'RZĄDOWY PROGRAM'!$F$15,T43*$F$15),"")</f>
        <v>50</v>
      </c>
      <c r="Z44" s="11">
        <f t="shared" si="32"/>
        <v>70</v>
      </c>
      <c r="AB44" s="8">
        <f t="shared" si="33"/>
        <v>17</v>
      </c>
      <c r="AC44" s="8"/>
      <c r="AD44" s="11">
        <f>IF(AB44&lt;&gt;"",ROUND(IF($F$11="raty równe",-PMT(W44/12,$F$4-AB43+SUM($AC$28:AC44),AG43,2),AE44+AF44),2),"")</f>
        <v>3280.39</v>
      </c>
      <c r="AE44" s="11">
        <f>IF(AB44&lt;&gt;"",IF($F$11="raty malejące",AG43/($F$4-AB43+SUM($AC$28:AC43)),MIN(AD44-AF44,AG43)),"")</f>
        <v>613.8730726720878</v>
      </c>
      <c r="AF44" s="11">
        <f t="shared" ref="AF44:AF107" si="69">IF(AB44&lt;&gt;"",AG43*W44/12,"")</f>
        <v>2666.5169273279121</v>
      </c>
      <c r="AG44" s="9">
        <f t="shared" si="52"/>
        <v>367181.5651794537</v>
      </c>
      <c r="AH44" s="11"/>
      <c r="AI44" s="33">
        <f>IF(AB44&lt;&gt;"",ROUND(IF($F$11="raty równe",-PMT(W44/12,($F$4-AB43+SUM($AC$27:AC43)),AG43,2),AG43/($F$4-AB43+SUM($AC$27:AC43))+AG43*W44/12),2),"")</f>
        <v>3280.39</v>
      </c>
      <c r="AJ44" s="33">
        <f t="shared" si="34"/>
        <v>241.70000000000027</v>
      </c>
      <c r="AK44" s="33">
        <f t="shared" si="15"/>
        <v>2364.5160139852555</v>
      </c>
      <c r="AL44" s="33">
        <f>IF(AB44&lt;&gt;"",AK44-SUM($AJ$28:AJ44),"")</f>
        <v>50.376013985254303</v>
      </c>
      <c r="AM44" s="11">
        <f t="shared" si="35"/>
        <v>20</v>
      </c>
      <c r="AN44" s="11">
        <f>IF(AB44&lt;&gt;"",IF($B$16=listy!$K$8,'RZĄDOWY PROGRAM'!$F$3*'RZĄDOWY PROGRAM'!$F$15,AG43*$F$15),"")</f>
        <v>50</v>
      </c>
      <c r="AO44" s="11">
        <f t="shared" si="36"/>
        <v>70</v>
      </c>
      <c r="AQ44" s="8">
        <f t="shared" si="37"/>
        <v>17</v>
      </c>
      <c r="AR44" s="8"/>
      <c r="AS44" s="78">
        <f>IF(AQ44&lt;&gt;"",ROUND(IF($F$11="raty równe",-PMT(W44/12,$F$4-AQ43+SUM($AR$28:AR44),AV43,2),AT44+AU44),2),"")</f>
        <v>3263.83</v>
      </c>
      <c r="AT44" s="78">
        <f>IF(AQ44&lt;&gt;"",IF($F$11="raty malejące",AV43/($F$4-AQ43+SUM($AR$28:AR43)),MIN(AS44-AU44,AV43)),"")</f>
        <v>610.77923886425424</v>
      </c>
      <c r="AU44" s="78">
        <f t="shared" si="53"/>
        <v>2653.0507611357457</v>
      </c>
      <c r="AV44" s="79">
        <f t="shared" si="38"/>
        <v>365327.25677985925</v>
      </c>
      <c r="AW44" s="11"/>
      <c r="AX44" s="33">
        <f>IF(AQ44&lt;&gt;"",ROUND(IF($F$11="raty równe",-PMT(W44/12,($F$4-AQ43+SUM($AR$27:AR43)),AV43,2),AV43/($F$4-AQ43+SUM($AR$27:AR43))+AV43*W44/12),2),"")</f>
        <v>3263.83</v>
      </c>
      <c r="AY44" s="33">
        <f t="shared" si="39"/>
        <v>258.26000000000022</v>
      </c>
      <c r="AZ44" s="33">
        <f>IF(AQ44&lt;&gt;"",AY44,"")</f>
        <v>258.26000000000022</v>
      </c>
      <c r="BA44" s="33">
        <f>IF(AQ44&lt;&gt;"",AZ44-SUM($AY$44:AY44),"")</f>
        <v>0</v>
      </c>
      <c r="BB44" s="11">
        <f t="shared" si="40"/>
        <v>20</v>
      </c>
      <c r="BC44" s="11">
        <f>IF(AQ44&lt;&gt;"",IF($B$16=listy!$K$8,'RZĄDOWY PROGRAM'!$F$3*'RZĄDOWY PROGRAM'!$F$15,AV43*$F$15),"")</f>
        <v>50</v>
      </c>
      <c r="BD44" s="11">
        <f t="shared" si="41"/>
        <v>70</v>
      </c>
      <c r="BF44" s="8">
        <f t="shared" si="42"/>
        <v>17</v>
      </c>
      <c r="BG44" s="8"/>
      <c r="BH44" s="78">
        <f>IF(BF44&lt;&gt;"",ROUND(IF($F$11="raty równe",-PMT(W44/12,$F$4-BF43+SUM(BV$28:$BV44)-SUM($BM$29:BM44),BK43,2),BI44+BJ44),2),"")</f>
        <v>3522.1</v>
      </c>
      <c r="BI44" s="78">
        <f>IF(BF44&lt;&gt;"",IF($F$11="raty malejące",MIN(BK43/($F$4-BF43+SUM($BG$27:BG44)-SUM($BM$27:BM44)),BK43),MIN(BH44-BJ44,BK43)),"")</f>
        <v>870.94113683656178</v>
      </c>
      <c r="BJ44" s="78">
        <f t="shared" si="54"/>
        <v>2651.1588631634381</v>
      </c>
      <c r="BK44" s="79">
        <f t="shared" si="55"/>
        <v>364806.14343743079</v>
      </c>
      <c r="BL44" s="11"/>
      <c r="BM44" s="98" t="str">
        <f t="shared" si="56"/>
        <v/>
      </c>
      <c r="BN44" s="33">
        <f>IF(O44&lt;&gt;"",IF(ISNUMBER(C44),C44,0)-IF(ISNUMBER(BH44),BH44,0),"")</f>
        <v>-9.9999999997635314E-3</v>
      </c>
      <c r="BO44" s="33">
        <f>IF(O44&lt;&gt;"",BN44,"")</f>
        <v>-9.9999999997635314E-3</v>
      </c>
      <c r="BP44" s="33">
        <f>IF(O44&lt;&gt;"",BO44-SUM($BN$44:BN44),"")</f>
        <v>0</v>
      </c>
      <c r="BQ44" s="11">
        <f t="shared" si="17"/>
        <v>20</v>
      </c>
      <c r="BR44" s="11">
        <f>IF(BF44&lt;&gt;"",IF($B$16=listy!$K$8,'RZĄDOWY PROGRAM'!$F$3*'RZĄDOWY PROGRAM'!$F$15,BK43*$F$15),"")</f>
        <v>50</v>
      </c>
      <c r="BS44" s="11">
        <f t="shared" si="18"/>
        <v>70</v>
      </c>
      <c r="BU44" s="8">
        <f t="shared" si="44"/>
        <v>17</v>
      </c>
      <c r="BV44" s="8"/>
      <c r="BW44" s="78">
        <f>IF(BU44&lt;&gt;"",ROUND(IF($F$11="raty równe",-PMT(W44/12,$F$4-BU43+SUM($BV$28:BV44)-$CB$43,BZ43,2),BX44+BY44),2),"")</f>
        <v>3522.09</v>
      </c>
      <c r="BX44" s="78">
        <f>IF(BU44&lt;&gt;"",IF($F$11="raty malejące",MIN(BZ43/($F$4-BU43+SUM($BV$28:BV43)-SUM($CB$28:CB43)),BZ43),MIN(BW44-BY44,BZ43)),"")</f>
        <v>869.03923886425446</v>
      </c>
      <c r="BY44" s="78">
        <f t="shared" ref="BY44:BY75" si="70">IF(BU44&lt;&gt;"",BZ43*W44/12,"")</f>
        <v>2653.0507611357457</v>
      </c>
      <c r="BZ44" s="79">
        <f t="shared" ref="BZ44:BZ107" si="71">IF(BU44&lt;&gt;"",IF(N44&lt;&gt;"",BZ43-BX44-CA44,BZ43-BX44),"")</f>
        <v>365068.99677985924</v>
      </c>
      <c r="CA44" s="11"/>
      <c r="CB44" s="33"/>
      <c r="CC44" s="33">
        <f t="shared" si="46"/>
        <v>0</v>
      </c>
      <c r="CD44" s="33">
        <f>IF(O44&lt;&gt;"",CC44,"")</f>
        <v>0</v>
      </c>
      <c r="CE44" s="33">
        <f>IF(O44&lt;&gt;"",CD44-SUM($CC$44:CC44),"")</f>
        <v>0</v>
      </c>
      <c r="CF44" s="11">
        <f t="shared" si="20"/>
        <v>20</v>
      </c>
      <c r="CG44" s="11">
        <f>IF(BU44&lt;&gt;"",IF($B$16=listy!$K$8,'RZĄDOWY PROGRAM'!$F$3*'RZĄDOWY PROGRAM'!$F$15,BZ43*$F$15),"")</f>
        <v>50</v>
      </c>
      <c r="CH44" s="11">
        <f t="shared" si="21"/>
        <v>70</v>
      </c>
      <c r="CJ44" s="48">
        <f t="shared" si="22"/>
        <v>0.06</v>
      </c>
      <c r="CK44" s="18">
        <f t="shared" si="23"/>
        <v>4.8675505653430484E-3</v>
      </c>
      <c r="CL44" s="11">
        <f t="shared" si="24"/>
        <v>0</v>
      </c>
      <c r="CM44" s="11">
        <f t="shared" si="25"/>
        <v>29255.023799750761</v>
      </c>
      <c r="CN44" s="11">
        <f>IF(AB44&lt;&gt;"",CM44-SUM($CL$28:CL44),"")</f>
        <v>1078.2637997507663</v>
      </c>
    </row>
    <row r="45" spans="1:92" x14ac:dyDescent="0.45">
      <c r="A45" s="68">
        <f t="shared" si="47"/>
        <v>45261</v>
      </c>
      <c r="B45" s="8">
        <f t="shared" si="4"/>
        <v>18</v>
      </c>
      <c r="C45" s="11">
        <f t="shared" si="5"/>
        <v>3522.1</v>
      </c>
      <c r="D45" s="11">
        <f t="shared" si="6"/>
        <v>703.38543019038025</v>
      </c>
      <c r="E45" s="11">
        <f t="shared" si="7"/>
        <v>2818.7145698096197</v>
      </c>
      <c r="F45" s="9">
        <f t="shared" si="26"/>
        <v>388084.83109527436</v>
      </c>
      <c r="G45" s="10">
        <f t="shared" si="8"/>
        <v>7.0000000000000007E-2</v>
      </c>
      <c r="H45" s="10">
        <f t="shared" si="9"/>
        <v>1.7000000000000001E-2</v>
      </c>
      <c r="I45" s="48">
        <f t="shared" si="27"/>
        <v>8.7000000000000008E-2</v>
      </c>
      <c r="J45" s="11">
        <f t="shared" si="10"/>
        <v>20</v>
      </c>
      <c r="K45" s="11">
        <f>IF(B45&lt;&gt;"",IF($B$16=listy!$K$8,'RZĄDOWY PROGRAM'!$F$3*'RZĄDOWY PROGRAM'!$F$15,F44*$F$15),"")</f>
        <v>50</v>
      </c>
      <c r="L45" s="11">
        <f t="shared" si="28"/>
        <v>70</v>
      </c>
      <c r="N45" s="54">
        <f t="shared" si="48"/>
        <v>45261</v>
      </c>
      <c r="O45" s="8">
        <f t="shared" si="29"/>
        <v>18</v>
      </c>
      <c r="P45" s="8"/>
      <c r="Q45" s="11">
        <f>IF(O45&lt;&gt;"",ROUND(IF($F$11="raty równe",-PMT(W45/12,$F$4-O44+SUM($P$28:P45),T44,2),R45+S45),2),"")</f>
        <v>3522.1</v>
      </c>
      <c r="R45" s="11">
        <f>IF(O45&lt;&gt;"",IF($F$11="raty malejące",T44/($F$4-O44+SUM($P$28:P45)),IF(Q45-S45&gt;T44,T44,Q45-S45)),"")</f>
        <v>663.88880100372626</v>
      </c>
      <c r="S45" s="11">
        <f t="shared" si="68"/>
        <v>2858.2111989962737</v>
      </c>
      <c r="T45" s="9">
        <f t="shared" si="30"/>
        <v>393572.1386467581</v>
      </c>
      <c r="U45" s="10">
        <f t="shared" si="11"/>
        <v>7.0000000000000007E-2</v>
      </c>
      <c r="V45" s="10">
        <f t="shared" si="12"/>
        <v>1.7000000000000001E-2</v>
      </c>
      <c r="W45" s="48">
        <f t="shared" si="31"/>
        <v>8.7000000000000008E-2</v>
      </c>
      <c r="X45" s="11">
        <f t="shared" si="13"/>
        <v>20</v>
      </c>
      <c r="Y45" s="11">
        <f>IF(O45&lt;&gt;"",IF($B$16=listy!$K$8,'RZĄDOWY PROGRAM'!$F$3*'RZĄDOWY PROGRAM'!$F$15,T44*$F$15),"")</f>
        <v>50</v>
      </c>
      <c r="Z45" s="11">
        <f t="shared" si="32"/>
        <v>70</v>
      </c>
      <c r="AB45" s="8">
        <f t="shared" si="33"/>
        <v>18</v>
      </c>
      <c r="AC45" s="8"/>
      <c r="AD45" s="11">
        <f>IF(AB45&lt;&gt;"",ROUND(IF($F$11="raty równe",-PMT(W45/12,$F$4-AB44+SUM($AC$28:AC45),AG44,2),AE45+AF45),2),"")</f>
        <v>3280.39</v>
      </c>
      <c r="AE45" s="11">
        <f>IF(AB45&lt;&gt;"",IF($F$11="raty malejące",AG44/($F$4-AB44+SUM($AC$28:AC44)),MIN(AD45-AF45,AG44)),"")</f>
        <v>618.32365244896027</v>
      </c>
      <c r="AF45" s="11">
        <f t="shared" si="69"/>
        <v>2662.0663475510396</v>
      </c>
      <c r="AG45" s="9">
        <f t="shared" si="52"/>
        <v>366563.24152700475</v>
      </c>
      <c r="AH45" s="11"/>
      <c r="AI45" s="33">
        <f>IF(AB45&lt;&gt;"",ROUND(IF($F$11="raty równe",-PMT(W45/12,($F$4-AB44+SUM($AC$27:AC44)),AG44,2),AG44/($F$4-AB44+SUM($AC$27:AC44))+AG44*W45/12),2),"")</f>
        <v>3280.39</v>
      </c>
      <c r="AJ45" s="33">
        <f t="shared" si="34"/>
        <v>241.71000000000004</v>
      </c>
      <c r="AK45" s="33">
        <f t="shared" si="15"/>
        <v>2615.5486290063714</v>
      </c>
      <c r="AL45" s="33">
        <f>IF(AB45&lt;&gt;"",AK45-SUM($AJ$28:AJ45),"")</f>
        <v>59.698629006370084</v>
      </c>
      <c r="AM45" s="11">
        <f t="shared" si="35"/>
        <v>20</v>
      </c>
      <c r="AN45" s="11">
        <f>IF(AB45&lt;&gt;"",IF($B$16=listy!$K$8,'RZĄDOWY PROGRAM'!$F$3*'RZĄDOWY PROGRAM'!$F$15,AG44*$F$15),"")</f>
        <v>50</v>
      </c>
      <c r="AO45" s="11">
        <f t="shared" si="36"/>
        <v>70</v>
      </c>
      <c r="AQ45" s="8">
        <f t="shared" si="37"/>
        <v>18</v>
      </c>
      <c r="AR45" s="8"/>
      <c r="AS45" s="78">
        <f>IF(AQ45&lt;&gt;"",ROUND(IF($F$11="raty równe",-PMT(W45/12,$F$4-AQ44+SUM($AR$28:AR45),AV44,2),AT45+AU45),2),"")</f>
        <v>3263.83</v>
      </c>
      <c r="AT45" s="78">
        <f>IF(AQ45&lt;&gt;"",IF($F$11="raty malejące",AV44/($F$4-AQ44+SUM($AR$28:AR44)),MIN(AS45-AU45,AV44)),"")</f>
        <v>615.20738834602025</v>
      </c>
      <c r="AU45" s="78">
        <f t="shared" si="53"/>
        <v>2648.6226116539797</v>
      </c>
      <c r="AV45" s="79">
        <f t="shared" si="38"/>
        <v>364712.04939151322</v>
      </c>
      <c r="AW45" s="11"/>
      <c r="AX45" s="33">
        <f>IF(AQ45&lt;&gt;"",ROUND(IF($F$11="raty równe",-PMT(W45/12,($F$4-AQ44+SUM($AR$27:AR44)),AV44,2),AV44/($F$4-AQ44+SUM($AR$27:AR44))+AV44*W45/12),2),"")</f>
        <v>3263.83</v>
      </c>
      <c r="AY45" s="33">
        <f t="shared" si="39"/>
        <v>258.27</v>
      </c>
      <c r="AZ45" s="33">
        <f t="shared" ref="AZ45:AZ108" si="72">IF(AQ45&lt;&gt;"",IF($F$21="co miesiąc",AZ44*(1+(1-$F$20)*CK45)+AY45,(AZ44*(1+CK45)+AY45)),"")</f>
        <v>517.54824582329468</v>
      </c>
      <c r="BA45" s="33">
        <f>IF(AQ45&lt;&gt;"",AZ45-SUM($AY$44:AY45),"")</f>
        <v>1.0182458232944782</v>
      </c>
      <c r="BB45" s="11">
        <f t="shared" si="40"/>
        <v>20</v>
      </c>
      <c r="BC45" s="11">
        <f>IF(AQ45&lt;&gt;"",IF($B$16=listy!$K$8,'RZĄDOWY PROGRAM'!$F$3*'RZĄDOWY PROGRAM'!$F$15,AV44*$F$15),"")</f>
        <v>50</v>
      </c>
      <c r="BD45" s="11">
        <f t="shared" si="41"/>
        <v>70</v>
      </c>
      <c r="BF45" s="8">
        <f t="shared" si="42"/>
        <v>18</v>
      </c>
      <c r="BG45" s="8"/>
      <c r="BH45" s="78">
        <f>IF(BF45&lt;&gt;"",ROUND(IF($F$11="raty równe",-PMT(W45/12,$F$4-BF44+SUM(BV$28:$BV45)-SUM($BM$29:BM45),BK44,2),BI45+BJ45),2),"")</f>
        <v>3522.1</v>
      </c>
      <c r="BI45" s="78">
        <f>IF(BF45&lt;&gt;"",IF($F$11="raty malejące",MIN(BK44/($F$4-BF44+SUM($BG$27:BG45)-SUM($BM$27:BM45)),BK44),MIN(BH45-BJ45,BK44)),"")</f>
        <v>877.25546007862658</v>
      </c>
      <c r="BJ45" s="78">
        <f t="shared" si="54"/>
        <v>2644.8445399213733</v>
      </c>
      <c r="BK45" s="79">
        <f t="shared" si="55"/>
        <v>363928.88797735213</v>
      </c>
      <c r="BL45" s="11"/>
      <c r="BM45" s="33" t="str">
        <f t="shared" si="56"/>
        <v/>
      </c>
      <c r="BN45" s="33">
        <f t="shared" ref="BN45:BN108" si="73">IF(O45&lt;&gt;"",IF(ISNUMBER(C45),C45,0)-IF(ISNUMBER(BH45),BH45,0),"")</f>
        <v>0</v>
      </c>
      <c r="BO45" s="33">
        <f t="shared" ref="BO45:BO108" si="74">IF(O45&lt;&gt;"",IF($F$21="co miesiąc",BO44*(1+(1-$F$20)*CK45)+BN45,(BO44*(1+CK45)+BN45)),"")</f>
        <v>-1.0039427159341878E-2</v>
      </c>
      <c r="BP45" s="33">
        <f>IF(O45&lt;&gt;"",BO45-SUM($BN$44:BN45),"")</f>
        <v>-3.9427159578346929E-5</v>
      </c>
      <c r="BQ45" s="11">
        <f t="shared" si="17"/>
        <v>20</v>
      </c>
      <c r="BR45" s="11">
        <f>IF(BF45&lt;&gt;"",IF($B$16=listy!$K$8,'RZĄDOWY PROGRAM'!$F$3*'RZĄDOWY PROGRAM'!$F$15,BK44*$F$15),"")</f>
        <v>50</v>
      </c>
      <c r="BS45" s="11">
        <f t="shared" si="18"/>
        <v>70</v>
      </c>
      <c r="BU45" s="8">
        <f t="shared" si="44"/>
        <v>18</v>
      </c>
      <c r="BV45" s="8"/>
      <c r="BW45" s="78">
        <f>IF(BU45&lt;&gt;"",ROUND(IF($F$11="raty równe",-PMT(W45/12,$F$4-BU44+SUM($BV$28:BV45)-$CB$43,BZ44,2),BX45+BY45),2),"")</f>
        <v>3522.09</v>
      </c>
      <c r="BX45" s="78">
        <f>IF(BU45&lt;&gt;"",IF($F$11="raty malejące",MIN(BZ44/($F$4-BU44+SUM($BV$28:BV44)-SUM($CB$28:CB44)),BZ44),MIN(BW45-BY45,BZ44)),"")</f>
        <v>875.33977334602014</v>
      </c>
      <c r="BY45" s="78">
        <f t="shared" si="70"/>
        <v>2646.75022665398</v>
      </c>
      <c r="BZ45" s="79">
        <f t="shared" si="71"/>
        <v>364193.65700651321</v>
      </c>
      <c r="CA45" s="11"/>
      <c r="CB45" s="33"/>
      <c r="CC45" s="33">
        <f t="shared" si="46"/>
        <v>9.9999999997635314E-3</v>
      </c>
      <c r="CD45" s="33">
        <f t="shared" ref="CD45:CD108" si="75">IF(O45&lt;&gt;"",IF($F$21="co miesiąc",CD44*(1+(1-$F$20)*CK45)+CC45,(CD44*(1+CK45)+CC45)),"")</f>
        <v>9.9999999997635314E-3</v>
      </c>
      <c r="CE45" s="33">
        <f>IF(O45&lt;&gt;"",CD45-SUM($CC$44:CC45),"")</f>
        <v>0</v>
      </c>
      <c r="CF45" s="11">
        <f t="shared" si="20"/>
        <v>20</v>
      </c>
      <c r="CG45" s="11">
        <f>IF(BU45&lt;&gt;"",IF($B$16=listy!$K$8,'RZĄDOWY PROGRAM'!$F$3*'RZĄDOWY PROGRAM'!$F$15,BZ44*$F$15),"")</f>
        <v>50</v>
      </c>
      <c r="CH45" s="11">
        <f t="shared" si="21"/>
        <v>70</v>
      </c>
      <c r="CJ45" s="48">
        <f t="shared" si="22"/>
        <v>0.06</v>
      </c>
      <c r="CK45" s="18">
        <f t="shared" si="23"/>
        <v>4.8675505653430484E-3</v>
      </c>
      <c r="CL45" s="11">
        <f t="shared" si="24"/>
        <v>0</v>
      </c>
      <c r="CM45" s="11">
        <f t="shared" si="25"/>
        <v>29370.368048935601</v>
      </c>
      <c r="CN45" s="11">
        <f>IF(AB45&lt;&gt;"",CM45-SUM($CL$28:CL45),"")</f>
        <v>1193.6080489356063</v>
      </c>
    </row>
    <row r="46" spans="1:92" x14ac:dyDescent="0.45">
      <c r="A46" s="68">
        <f t="shared" si="47"/>
        <v>45292</v>
      </c>
      <c r="B46" s="8">
        <f t="shared" si="4"/>
        <v>19</v>
      </c>
      <c r="C46" s="11">
        <f t="shared" si="5"/>
        <v>3522.09</v>
      </c>
      <c r="D46" s="11">
        <f t="shared" si="6"/>
        <v>708.47497455926032</v>
      </c>
      <c r="E46" s="11">
        <f t="shared" si="7"/>
        <v>2813.6150254407398</v>
      </c>
      <c r="F46" s="9">
        <f t="shared" si="26"/>
        <v>387376.35612071509</v>
      </c>
      <c r="G46" s="10">
        <f t="shared" si="8"/>
        <v>7.0000000000000007E-2</v>
      </c>
      <c r="H46" s="10">
        <f t="shared" si="9"/>
        <v>1.7000000000000001E-2</v>
      </c>
      <c r="I46" s="48">
        <f t="shared" si="27"/>
        <v>8.7000000000000008E-2</v>
      </c>
      <c r="J46" s="11">
        <f t="shared" si="10"/>
        <v>20</v>
      </c>
      <c r="K46" s="11">
        <f>IF(B46&lt;&gt;"",IF($B$16=listy!$K$8,'RZĄDOWY PROGRAM'!$F$3*'RZĄDOWY PROGRAM'!$F$15,F45*$F$15),"")</f>
        <v>50</v>
      </c>
      <c r="L46" s="11">
        <f t="shared" si="28"/>
        <v>70</v>
      </c>
      <c r="N46" s="54">
        <f t="shared" si="48"/>
        <v>45292</v>
      </c>
      <c r="O46" s="8">
        <f t="shared" si="29"/>
        <v>19</v>
      </c>
      <c r="P46" s="8"/>
      <c r="Q46" s="11">
        <f>IF(O46&lt;&gt;"",ROUND(IF($F$11="raty równe",-PMT(W46/12,$F$4-O45+SUM($P$28:P46),T45,2),R46+S46),2),"")</f>
        <v>3522.09</v>
      </c>
      <c r="R46" s="11">
        <f>IF(O46&lt;&gt;"",IF($F$11="raty malejące",T45/($F$4-O45+SUM($P$28:P46)),IF(Q46-S46&gt;T45,T45,Q46-S46)),"")</f>
        <v>668.69199481100395</v>
      </c>
      <c r="S46" s="11">
        <f t="shared" si="68"/>
        <v>2853.3980051889962</v>
      </c>
      <c r="T46" s="9">
        <f t="shared" si="30"/>
        <v>392903.4466519471</v>
      </c>
      <c r="U46" s="10">
        <f t="shared" si="11"/>
        <v>7.0000000000000007E-2</v>
      </c>
      <c r="V46" s="10">
        <f t="shared" si="12"/>
        <v>1.7000000000000001E-2</v>
      </c>
      <c r="W46" s="48">
        <f t="shared" si="31"/>
        <v>8.7000000000000008E-2</v>
      </c>
      <c r="X46" s="11">
        <f t="shared" si="13"/>
        <v>20</v>
      </c>
      <c r="Y46" s="11">
        <f>IF(O46&lt;&gt;"",IF($B$16=listy!$K$8,'RZĄDOWY PROGRAM'!$F$3*'RZĄDOWY PROGRAM'!$F$15,T45*$F$15),"")</f>
        <v>50</v>
      </c>
      <c r="Z46" s="11">
        <f t="shared" si="32"/>
        <v>70</v>
      </c>
      <c r="AB46" s="8">
        <f t="shared" si="33"/>
        <v>19</v>
      </c>
      <c r="AC46" s="8"/>
      <c r="AD46" s="11">
        <f>IF(AB46&lt;&gt;"",ROUND(IF($F$11="raty równe",-PMT(W46/12,$F$4-AB45+SUM($AC$28:AC46),AG45,2),AE46+AF46),2),"")</f>
        <v>3280.39</v>
      </c>
      <c r="AE46" s="11">
        <f>IF(AB46&lt;&gt;"",IF($F$11="raty malejące",AG45/($F$4-AB45+SUM($AC$28:AC45)),MIN(AD46-AF46,AG45)),"")</f>
        <v>622.80649892921519</v>
      </c>
      <c r="AF46" s="11">
        <f t="shared" si="69"/>
        <v>2657.5835010707847</v>
      </c>
      <c r="AG46" s="9">
        <f t="shared" si="52"/>
        <v>365940.43502807553</v>
      </c>
      <c r="AH46" s="11"/>
      <c r="AI46" s="33">
        <f>IF(AB46&lt;&gt;"",ROUND(IF($F$11="raty równe",-PMT(W46/12,($F$4-AB45+SUM($AC$27:AC45)),AG45,2),AG45/($F$4-AB45+SUM($AC$27:AC45))+AG45*W46/12),2),"")</f>
        <v>3280.39</v>
      </c>
      <c r="AJ46" s="33">
        <f t="shared" si="34"/>
        <v>241.70000000000027</v>
      </c>
      <c r="AK46" s="33">
        <f t="shared" si="15"/>
        <v>2867.5609943246918</v>
      </c>
      <c r="AL46" s="33">
        <f>IF(AB46&lt;&gt;"",AK46-SUM($AJ$28:AJ46),"")</f>
        <v>70.010994324690273</v>
      </c>
      <c r="AM46" s="11">
        <f t="shared" si="35"/>
        <v>20</v>
      </c>
      <c r="AN46" s="11">
        <f>IF(AB46&lt;&gt;"",IF($B$16=listy!$K$8,'RZĄDOWY PROGRAM'!$F$3*'RZĄDOWY PROGRAM'!$F$15,AG45*$F$15),"")</f>
        <v>50</v>
      </c>
      <c r="AO46" s="11">
        <f t="shared" si="36"/>
        <v>70</v>
      </c>
      <c r="AQ46" s="8">
        <f t="shared" si="37"/>
        <v>19</v>
      </c>
      <c r="AR46" s="8"/>
      <c r="AS46" s="78">
        <f>IF(AQ46&lt;&gt;"",ROUND(IF($F$11="raty równe",-PMT(W46/12,$F$4-AQ45+SUM($AR$28:AR46),AV45,2),AT46+AU46),2),"")</f>
        <v>3263.82</v>
      </c>
      <c r="AT46" s="78">
        <f>IF(AQ46&lt;&gt;"",IF($F$11="raty malejące",AV45/($F$4-AQ45+SUM($AR$28:AR45)),MIN(AS46-AU46,AV45)),"")</f>
        <v>619.65764191152903</v>
      </c>
      <c r="AU46" s="78">
        <f t="shared" si="53"/>
        <v>2644.1623580884711</v>
      </c>
      <c r="AV46" s="79">
        <f t="shared" si="38"/>
        <v>364092.39174960169</v>
      </c>
      <c r="AW46" s="11"/>
      <c r="AX46" s="33">
        <f>IF(AQ46&lt;&gt;"",ROUND(IF($F$11="raty równe",-PMT(W46/12,($F$4-AQ45+SUM($AR$27:AR45)),AV45,2),AV45/($F$4-AQ45+SUM($AR$27:AR45))+AV45*W46/12),2),"")</f>
        <v>3263.82</v>
      </c>
      <c r="AY46" s="33">
        <f t="shared" si="39"/>
        <v>258.27</v>
      </c>
      <c r="AZ46" s="33">
        <f t="shared" si="72"/>
        <v>777.85879155109978</v>
      </c>
      <c r="BA46" s="33">
        <f>IF(AQ46&lt;&gt;"",AZ46-SUM($AY$44:AY46),"")</f>
        <v>3.0587915510996027</v>
      </c>
      <c r="BB46" s="11">
        <f t="shared" si="40"/>
        <v>20</v>
      </c>
      <c r="BC46" s="11">
        <f>IF(AQ46&lt;&gt;"",IF($B$16=listy!$K$8,'RZĄDOWY PROGRAM'!$F$3*'RZĄDOWY PROGRAM'!$F$15,AV45*$F$15),"")</f>
        <v>50</v>
      </c>
      <c r="BD46" s="11">
        <f t="shared" si="41"/>
        <v>70</v>
      </c>
      <c r="BF46" s="8">
        <f t="shared" si="42"/>
        <v>19</v>
      </c>
      <c r="BG46" s="8"/>
      <c r="BH46" s="78">
        <f>IF(BF46&lt;&gt;"",ROUND(IF($F$11="raty równe",-PMT(W46/12,$F$4-BF45+SUM(BV$28:$BV46)-SUM($BM$29:BM46),BK45,2),BI46+BJ46),2),"")</f>
        <v>3522.1</v>
      </c>
      <c r="BI46" s="78">
        <f>IF(BF46&lt;&gt;"",IF($F$11="raty malejące",MIN(BK45/($F$4-BF45+SUM($BG$27:BG46)-SUM($BM$27:BM46)),BK45),MIN(BH46-BJ46,BK45)),"")</f>
        <v>883.61556216419649</v>
      </c>
      <c r="BJ46" s="78">
        <f t="shared" si="54"/>
        <v>2638.4844378358034</v>
      </c>
      <c r="BK46" s="79">
        <f t="shared" si="55"/>
        <v>363045.27241518791</v>
      </c>
      <c r="BL46" s="11"/>
      <c r="BM46" s="33" t="str">
        <f t="shared" si="56"/>
        <v/>
      </c>
      <c r="BN46" s="33">
        <f t="shared" si="73"/>
        <v>-9.9999999997635314E-3</v>
      </c>
      <c r="BO46" s="33">
        <f t="shared" si="74"/>
        <v>-2.0079009768775004E-2</v>
      </c>
      <c r="BP46" s="33">
        <f>IF(O46&lt;&gt;"",BO46-SUM($BN$44:BN46),"")</f>
        <v>-7.9009769247941064E-5</v>
      </c>
      <c r="BQ46" s="11">
        <f t="shared" si="17"/>
        <v>20</v>
      </c>
      <c r="BR46" s="11">
        <f>IF(BF46&lt;&gt;"",IF($B$16=listy!$K$8,'RZĄDOWY PROGRAM'!$F$3*'RZĄDOWY PROGRAM'!$F$15,BK45*$F$15),"")</f>
        <v>50</v>
      </c>
      <c r="BS46" s="11">
        <f t="shared" si="18"/>
        <v>70</v>
      </c>
      <c r="BU46" s="8">
        <f t="shared" si="44"/>
        <v>19</v>
      </c>
      <c r="BV46" s="8"/>
      <c r="BW46" s="78">
        <f>IF(BU46&lt;&gt;"",ROUND(IF($F$11="raty równe",-PMT(W46/12,$F$4-BU45+SUM($BV$28:BV46)-$CB$43,BZ45,2),BX46+BY46),2),"")</f>
        <v>3522.09</v>
      </c>
      <c r="BX46" s="78">
        <f>IF(BU46&lt;&gt;"",IF($F$11="raty malejące",MIN(BZ45/($F$4-BU45+SUM($BV$28:BV45)-SUM($CB$28:CB45)),BZ45),MIN(BW46-BY46,BZ45)),"")</f>
        <v>881.68598670277925</v>
      </c>
      <c r="BY46" s="78">
        <f t="shared" si="70"/>
        <v>2640.4040132972209</v>
      </c>
      <c r="BZ46" s="79">
        <f t="shared" si="71"/>
        <v>363311.97101981041</v>
      </c>
      <c r="CA46" s="11"/>
      <c r="CB46" s="33"/>
      <c r="CC46" s="33">
        <f t="shared" si="46"/>
        <v>0</v>
      </c>
      <c r="CD46" s="33">
        <f t="shared" si="75"/>
        <v>1.0039427159341878E-2</v>
      </c>
      <c r="CE46" s="33">
        <f>IF(O46&lt;&gt;"",CD46-SUM($CC$44:CC46),"")</f>
        <v>3.9427159578346929E-5</v>
      </c>
      <c r="CF46" s="11">
        <f t="shared" si="20"/>
        <v>20</v>
      </c>
      <c r="CG46" s="11">
        <f>IF(BU46&lt;&gt;"",IF($B$16=listy!$K$8,'RZĄDOWY PROGRAM'!$F$3*'RZĄDOWY PROGRAM'!$F$15,BZ45*$F$15),"")</f>
        <v>50</v>
      </c>
      <c r="CH46" s="11">
        <f t="shared" si="21"/>
        <v>70</v>
      </c>
      <c r="CJ46" s="48">
        <f t="shared" si="22"/>
        <v>0.06</v>
      </c>
      <c r="CK46" s="18">
        <f t="shared" si="23"/>
        <v>4.8675505653430484E-3</v>
      </c>
      <c r="CL46" s="11">
        <f t="shared" si="24"/>
        <v>0</v>
      </c>
      <c r="CM46" s="11">
        <f t="shared" si="25"/>
        <v>29486.167067732356</v>
      </c>
      <c r="CN46" s="11">
        <f>IF(AB46&lt;&gt;"",CM46-SUM($CL$28:CL46),"")</f>
        <v>1309.4070677323616</v>
      </c>
    </row>
    <row r="47" spans="1:92" x14ac:dyDescent="0.45">
      <c r="A47" s="68">
        <f t="shared" si="47"/>
        <v>45323</v>
      </c>
      <c r="B47" s="8">
        <f t="shared" si="4"/>
        <v>20</v>
      </c>
      <c r="C47" s="11">
        <f t="shared" si="5"/>
        <v>3522.1</v>
      </c>
      <c r="D47" s="11">
        <f t="shared" si="6"/>
        <v>713.62141812481514</v>
      </c>
      <c r="E47" s="11">
        <f t="shared" si="7"/>
        <v>2808.4785818751848</v>
      </c>
      <c r="F47" s="9">
        <f t="shared" si="26"/>
        <v>386662.73470259027</v>
      </c>
      <c r="G47" s="10">
        <f t="shared" si="8"/>
        <v>7.0000000000000007E-2</v>
      </c>
      <c r="H47" s="10">
        <f t="shared" si="9"/>
        <v>1.7000000000000001E-2</v>
      </c>
      <c r="I47" s="48">
        <f t="shared" si="27"/>
        <v>8.7000000000000008E-2</v>
      </c>
      <c r="J47" s="11">
        <f t="shared" si="10"/>
        <v>20</v>
      </c>
      <c r="K47" s="11">
        <f>IF(B47&lt;&gt;"",IF($B$16=listy!$K$8,'RZĄDOWY PROGRAM'!$F$3*'RZĄDOWY PROGRAM'!$F$15,F46*$F$15),"")</f>
        <v>50</v>
      </c>
      <c r="L47" s="11">
        <f t="shared" si="28"/>
        <v>70</v>
      </c>
      <c r="N47" s="54">
        <f t="shared" si="48"/>
        <v>45323</v>
      </c>
      <c r="O47" s="8">
        <f t="shared" si="29"/>
        <v>20</v>
      </c>
      <c r="P47" s="8"/>
      <c r="Q47" s="11">
        <f>IF(O47&lt;&gt;"",ROUND(IF($F$11="raty równe",-PMT(W47/12,$F$4-O46+SUM($P$28:P47),T46,2),R47+S47),2),"")</f>
        <v>3522.1</v>
      </c>
      <c r="R47" s="11">
        <f>IF(O47&lt;&gt;"",IF($F$11="raty malejące",T46/($F$4-O46+SUM($P$28:P47)),IF(Q47-S47&gt;T46,T46,Q47-S47)),"")</f>
        <v>673.55001177338272</v>
      </c>
      <c r="S47" s="11">
        <f t="shared" si="68"/>
        <v>2848.5499882266172</v>
      </c>
      <c r="T47" s="9">
        <f t="shared" si="30"/>
        <v>392229.89664017374</v>
      </c>
      <c r="U47" s="10">
        <f t="shared" si="11"/>
        <v>7.0000000000000007E-2</v>
      </c>
      <c r="V47" s="10">
        <f t="shared" si="12"/>
        <v>1.7000000000000001E-2</v>
      </c>
      <c r="W47" s="48">
        <f t="shared" si="31"/>
        <v>8.7000000000000008E-2</v>
      </c>
      <c r="X47" s="11">
        <f t="shared" si="13"/>
        <v>20</v>
      </c>
      <c r="Y47" s="11">
        <f>IF(O47&lt;&gt;"",IF($B$16=listy!$K$8,'RZĄDOWY PROGRAM'!$F$3*'RZĄDOWY PROGRAM'!$F$15,T46*$F$15),"")</f>
        <v>50</v>
      </c>
      <c r="Z47" s="11">
        <f t="shared" si="32"/>
        <v>70</v>
      </c>
      <c r="AB47" s="8">
        <f t="shared" si="33"/>
        <v>20</v>
      </c>
      <c r="AC47" s="8"/>
      <c r="AD47" s="11">
        <f>IF(AB47&lt;&gt;"",ROUND(IF($F$11="raty równe",-PMT(W47/12,$F$4-AB46+SUM($AC$28:AC47),AG46,2),AE47+AF47),2),"")</f>
        <v>3280.39</v>
      </c>
      <c r="AE47" s="11">
        <f>IF(AB47&lt;&gt;"",IF($F$11="raty malejące",AG46/($F$4-AB46+SUM($AC$28:AC46)),MIN(AD47-AF47,AG46)),"")</f>
        <v>627.32184604645226</v>
      </c>
      <c r="AF47" s="11">
        <f t="shared" si="69"/>
        <v>2653.0681539535476</v>
      </c>
      <c r="AG47" s="9">
        <f t="shared" si="52"/>
        <v>365313.1131820291</v>
      </c>
      <c r="AH47" s="11"/>
      <c r="AI47" s="33">
        <f>IF(AB47&lt;&gt;"",ROUND(IF($F$11="raty równe",-PMT(W47/12,($F$4-AB46+SUM($AC$27:AC46)),AG46,2),AG46/($F$4-AB46+SUM($AC$27:AC46))+AG46*W47/12),2),"")</f>
        <v>3280.39</v>
      </c>
      <c r="AJ47" s="33">
        <f t="shared" si="34"/>
        <v>241.71000000000004</v>
      </c>
      <c r="AK47" s="33">
        <f t="shared" si="15"/>
        <v>3120.5769728173477</v>
      </c>
      <c r="AL47" s="33">
        <f>IF(AB47&lt;&gt;"",AK47-SUM($AJ$28:AJ47),"")</f>
        <v>81.316972817346141</v>
      </c>
      <c r="AM47" s="11">
        <f t="shared" si="35"/>
        <v>20</v>
      </c>
      <c r="AN47" s="11">
        <f>IF(AB47&lt;&gt;"",IF($B$16=listy!$K$8,'RZĄDOWY PROGRAM'!$F$3*'RZĄDOWY PROGRAM'!$F$15,AG46*$F$15),"")</f>
        <v>50</v>
      </c>
      <c r="AO47" s="11">
        <f t="shared" si="36"/>
        <v>70</v>
      </c>
      <c r="AQ47" s="8">
        <f t="shared" si="37"/>
        <v>20</v>
      </c>
      <c r="AR47" s="8"/>
      <c r="AS47" s="78">
        <f>IF(AQ47&lt;&gt;"",ROUND(IF($F$11="raty równe",-PMT(W47/12,$F$4-AQ46+SUM($AR$28:AR47),AV46,2),AT47+AU47),2),"")</f>
        <v>3263.83</v>
      </c>
      <c r="AT47" s="78">
        <f>IF(AQ47&lt;&gt;"",IF($F$11="raty malejące",AV46/($F$4-AQ46+SUM($AR$28:AR46)),MIN(AS47-AU47,AV46)),"")</f>
        <v>624.16015981538749</v>
      </c>
      <c r="AU47" s="78">
        <f t="shared" si="53"/>
        <v>2639.6698401846124</v>
      </c>
      <c r="AV47" s="79">
        <f t="shared" si="38"/>
        <v>363468.2315897863</v>
      </c>
      <c r="AW47" s="11"/>
      <c r="AX47" s="33">
        <f>IF(AQ47&lt;&gt;"",ROUND(IF($F$11="raty równe",-PMT(W47/12,($F$4-AQ46+SUM($AR$27:AR46)),AV46,2),AV46/($F$4-AQ46+SUM($AR$27:AR46))+AV46*W47/12),2),"")</f>
        <v>3263.83</v>
      </c>
      <c r="AY47" s="33">
        <f t="shared" si="39"/>
        <v>258.27</v>
      </c>
      <c r="AZ47" s="33">
        <f t="shared" si="72"/>
        <v>1039.1956678215629</v>
      </c>
      <c r="BA47" s="33">
        <f>IF(AQ47&lt;&gt;"",AZ47-SUM($AY$44:AY47),"")</f>
        <v>6.1256678215627289</v>
      </c>
      <c r="BB47" s="11">
        <f t="shared" si="40"/>
        <v>20</v>
      </c>
      <c r="BC47" s="11">
        <f>IF(AQ47&lt;&gt;"",IF($B$16=listy!$K$8,'RZĄDOWY PROGRAM'!$F$3*'RZĄDOWY PROGRAM'!$F$15,AV46*$F$15),"")</f>
        <v>50</v>
      </c>
      <c r="BD47" s="11">
        <f t="shared" si="41"/>
        <v>70</v>
      </c>
      <c r="BF47" s="8">
        <f t="shared" si="42"/>
        <v>20</v>
      </c>
      <c r="BG47" s="8"/>
      <c r="BH47" s="78">
        <f>IF(BF47&lt;&gt;"",ROUND(IF($F$11="raty równe",-PMT(W47/12,$F$4-BF46+SUM(BV$28:$BV47)-SUM($BM$29:BM47),BK46,2),BI47+BJ47),2),"")</f>
        <v>3522.1</v>
      </c>
      <c r="BI47" s="78">
        <f>IF(BF47&lt;&gt;"",IF($F$11="raty malejące",MIN(BK46/($F$4-BF46+SUM($BG$27:BG47)-SUM($BM$27:BM47)),BK46),MIN(BH47-BJ47,BK46)),"")</f>
        <v>890.02177498988749</v>
      </c>
      <c r="BJ47" s="78">
        <f t="shared" si="54"/>
        <v>2632.0782250101124</v>
      </c>
      <c r="BK47" s="79">
        <f t="shared" si="55"/>
        <v>362155.25064019801</v>
      </c>
      <c r="BL47" s="11"/>
      <c r="BM47" s="33" t="str">
        <f t="shared" si="56"/>
        <v/>
      </c>
      <c r="BN47" s="33">
        <f t="shared" si="73"/>
        <v>0</v>
      </c>
      <c r="BO47" s="33">
        <f t="shared" si="74"/>
        <v>-2.0158175601009746E-2</v>
      </c>
      <c r="BP47" s="33">
        <f>IF(O47&lt;&gt;"",BO47-SUM($BN$44:BN47),"")</f>
        <v>-1.5817560148268309E-4</v>
      </c>
      <c r="BQ47" s="11">
        <f t="shared" si="17"/>
        <v>20</v>
      </c>
      <c r="BR47" s="11">
        <f>IF(BF47&lt;&gt;"",IF($B$16=listy!$K$8,'RZĄDOWY PROGRAM'!$F$3*'RZĄDOWY PROGRAM'!$F$15,BK46*$F$15),"")</f>
        <v>50</v>
      </c>
      <c r="BS47" s="11">
        <f t="shared" si="18"/>
        <v>70</v>
      </c>
      <c r="BU47" s="8">
        <f t="shared" si="44"/>
        <v>20</v>
      </c>
      <c r="BV47" s="8"/>
      <c r="BW47" s="78">
        <f>IF(BU47&lt;&gt;"",ROUND(IF($F$11="raty równe",-PMT(W47/12,$F$4-BU46+SUM($BV$28:BV47)-$CB$43,BZ46,2),BX47+BY47),2),"")</f>
        <v>3522.09</v>
      </c>
      <c r="BX47" s="78">
        <f>IF(BU47&lt;&gt;"",IF($F$11="raty malejące",MIN(BZ46/($F$4-BU46+SUM($BV$28:BV46)-SUM($CB$28:CB46)),BZ46),MIN(BW47-BY47,BZ46)),"")</f>
        <v>888.07821010637463</v>
      </c>
      <c r="BY47" s="78">
        <f t="shared" si="70"/>
        <v>2634.0117898936255</v>
      </c>
      <c r="BZ47" s="79">
        <f t="shared" si="71"/>
        <v>362423.89280970406</v>
      </c>
      <c r="CA47" s="11"/>
      <c r="CB47" s="33"/>
      <c r="CC47" s="33">
        <f t="shared" si="46"/>
        <v>9.9999999997635314E-3</v>
      </c>
      <c r="CD47" s="33">
        <f t="shared" si="75"/>
        <v>2.0079009768775004E-2</v>
      </c>
      <c r="CE47" s="33">
        <f>IF(O47&lt;&gt;"",CD47-SUM($CC$44:CC47),"")</f>
        <v>7.9009769247941064E-5</v>
      </c>
      <c r="CF47" s="11">
        <f t="shared" si="20"/>
        <v>20</v>
      </c>
      <c r="CG47" s="11">
        <f>IF(BU47&lt;&gt;"",IF($B$16=listy!$K$8,'RZĄDOWY PROGRAM'!$F$3*'RZĄDOWY PROGRAM'!$F$15,BZ46*$F$15),"")</f>
        <v>50</v>
      </c>
      <c r="CH47" s="11">
        <f t="shared" si="21"/>
        <v>70</v>
      </c>
      <c r="CJ47" s="48">
        <f t="shared" si="22"/>
        <v>0.06</v>
      </c>
      <c r="CK47" s="18">
        <f t="shared" si="23"/>
        <v>4.8675505653430484E-3</v>
      </c>
      <c r="CL47" s="11">
        <f t="shared" si="24"/>
        <v>0</v>
      </c>
      <c r="CM47" s="11">
        <f t="shared" si="25"/>
        <v>29602.422649168435</v>
      </c>
      <c r="CN47" s="11">
        <f>IF(AB47&lt;&gt;"",CM47-SUM($CL$28:CL47),"")</f>
        <v>1425.6626491684401</v>
      </c>
    </row>
    <row r="48" spans="1:92" x14ac:dyDescent="0.45">
      <c r="A48" s="68">
        <f t="shared" si="47"/>
        <v>45352</v>
      </c>
      <c r="B48" s="8">
        <f t="shared" si="4"/>
        <v>21</v>
      </c>
      <c r="C48" s="11">
        <f t="shared" si="5"/>
        <v>3522.09</v>
      </c>
      <c r="D48" s="11">
        <f t="shared" si="6"/>
        <v>718.78517340622057</v>
      </c>
      <c r="E48" s="11">
        <f t="shared" si="7"/>
        <v>2803.3048265937796</v>
      </c>
      <c r="F48" s="9">
        <f t="shared" si="26"/>
        <v>385943.94952918403</v>
      </c>
      <c r="G48" s="10">
        <f t="shared" si="8"/>
        <v>7.0000000000000007E-2</v>
      </c>
      <c r="H48" s="10">
        <f t="shared" si="9"/>
        <v>1.7000000000000001E-2</v>
      </c>
      <c r="I48" s="48">
        <f t="shared" si="27"/>
        <v>8.7000000000000008E-2</v>
      </c>
      <c r="J48" s="11">
        <f t="shared" si="10"/>
        <v>20</v>
      </c>
      <c r="K48" s="11">
        <f>IF(B48&lt;&gt;"",IF($B$16=listy!$K$8,'RZĄDOWY PROGRAM'!$F$3*'RZĄDOWY PROGRAM'!$F$15,F47*$F$15),"")</f>
        <v>50</v>
      </c>
      <c r="L48" s="11">
        <f t="shared" si="28"/>
        <v>70</v>
      </c>
      <c r="N48" s="54">
        <f t="shared" si="48"/>
        <v>45352</v>
      </c>
      <c r="O48" s="8">
        <f t="shared" si="29"/>
        <v>21</v>
      </c>
      <c r="P48" s="8"/>
      <c r="Q48" s="11">
        <f>IF(O48&lt;&gt;"",ROUND(IF($F$11="raty równe",-PMT(W48/12,$F$4-O47+SUM($P$28:P48),T47,2),R48+S48),2),"")</f>
        <v>3522.09</v>
      </c>
      <c r="R48" s="11">
        <f>IF(O48&lt;&gt;"",IF($F$11="raty malejące",T47/($F$4-O47+SUM($P$28:P48)),IF(Q48-S48&gt;T47,T47,Q48-S48)),"")</f>
        <v>678.42324935874012</v>
      </c>
      <c r="S48" s="11">
        <f t="shared" si="68"/>
        <v>2843.66675064126</v>
      </c>
      <c r="T48" s="9">
        <f t="shared" si="30"/>
        <v>391551.47339081502</v>
      </c>
      <c r="U48" s="10">
        <f t="shared" si="11"/>
        <v>7.0000000000000007E-2</v>
      </c>
      <c r="V48" s="10">
        <f t="shared" si="12"/>
        <v>1.7000000000000001E-2</v>
      </c>
      <c r="W48" s="48">
        <f t="shared" si="31"/>
        <v>8.7000000000000008E-2</v>
      </c>
      <c r="X48" s="11">
        <f t="shared" si="13"/>
        <v>20</v>
      </c>
      <c r="Y48" s="11">
        <f>IF(O48&lt;&gt;"",IF($B$16=listy!$K$8,'RZĄDOWY PROGRAM'!$F$3*'RZĄDOWY PROGRAM'!$F$15,T47*$F$15),"")</f>
        <v>50</v>
      </c>
      <c r="Z48" s="11">
        <f t="shared" si="32"/>
        <v>70</v>
      </c>
      <c r="AB48" s="8">
        <f t="shared" si="33"/>
        <v>21</v>
      </c>
      <c r="AC48" s="8"/>
      <c r="AD48" s="11">
        <f>IF(AB48&lt;&gt;"",ROUND(IF($F$11="raty równe",-PMT(W48/12,$F$4-AB47+SUM($AC$28:AC48),AG47,2),AE48+AF48),2),"")</f>
        <v>3280.39</v>
      </c>
      <c r="AE48" s="11">
        <f>IF(AB48&lt;&gt;"",IF($F$11="raty malejące",AG47/($F$4-AB47+SUM($AC$28:AC47)),MIN(AD48-AF48,AG47)),"")</f>
        <v>631.86992943028872</v>
      </c>
      <c r="AF48" s="11">
        <f t="shared" si="69"/>
        <v>2648.5200705697112</v>
      </c>
      <c r="AG48" s="9">
        <f t="shared" si="52"/>
        <v>364681.2432525988</v>
      </c>
      <c r="AH48" s="11"/>
      <c r="AI48" s="33">
        <f>IF(AB48&lt;&gt;"",ROUND(IF($F$11="raty równe",-PMT(W48/12,($F$4-AB47+SUM($AC$27:AC47)),AG47,2),AG47/($F$4-AB47+SUM($AC$27:AC47))+AG47*W48/12),2),"")</f>
        <v>3280.39</v>
      </c>
      <c r="AJ48" s="33">
        <f t="shared" si="34"/>
        <v>241.70000000000027</v>
      </c>
      <c r="AK48" s="33">
        <f t="shared" si="15"/>
        <v>3374.5805214460174</v>
      </c>
      <c r="AL48" s="33">
        <f>IF(AB48&lt;&gt;"",AK48-SUM($AJ$28:AJ48),"")</f>
        <v>93.620521446015573</v>
      </c>
      <c r="AM48" s="11">
        <f t="shared" si="35"/>
        <v>20</v>
      </c>
      <c r="AN48" s="11">
        <f>IF(AB48&lt;&gt;"",IF($B$16=listy!$K$8,'RZĄDOWY PROGRAM'!$F$3*'RZĄDOWY PROGRAM'!$F$15,AG47*$F$15),"")</f>
        <v>50</v>
      </c>
      <c r="AO48" s="11">
        <f t="shared" si="36"/>
        <v>70</v>
      </c>
      <c r="AQ48" s="8">
        <f t="shared" si="37"/>
        <v>21</v>
      </c>
      <c r="AR48" s="8"/>
      <c r="AS48" s="78">
        <f>IF(AQ48&lt;&gt;"",ROUND(IF($F$11="raty równe",-PMT(W48/12,$F$4-AQ47+SUM($AR$28:AR48),AV47,2),AT48+AU48),2),"")</f>
        <v>3263.82</v>
      </c>
      <c r="AT48" s="78">
        <f>IF(AQ48&lt;&gt;"",IF($F$11="raty malejące",AV47/($F$4-AQ47+SUM($AR$28:AR47)),MIN(AS48-AU48,AV47)),"")</f>
        <v>628.6753209740491</v>
      </c>
      <c r="AU48" s="78">
        <f t="shared" si="53"/>
        <v>2635.1446790259511</v>
      </c>
      <c r="AV48" s="79">
        <f t="shared" si="38"/>
        <v>362839.55626881227</v>
      </c>
      <c r="AW48" s="11"/>
      <c r="AX48" s="33">
        <f>IF(AQ48&lt;&gt;"",ROUND(IF($F$11="raty równe",-PMT(W48/12,($F$4-AQ47+SUM($AR$27:AR47)),AV47,2),AV47/($F$4-AQ47+SUM($AR$27:AR47))+AV47*W48/12),2),"")</f>
        <v>3263.82</v>
      </c>
      <c r="AY48" s="33">
        <f t="shared" si="39"/>
        <v>258.27</v>
      </c>
      <c r="AZ48" s="33">
        <f t="shared" si="72"/>
        <v>1301.5629211644925</v>
      </c>
      <c r="BA48" s="33">
        <f>IF(AQ48&lt;&gt;"",AZ48-SUM($AY$44:AY48),"")</f>
        <v>10.222921164492391</v>
      </c>
      <c r="BB48" s="11">
        <f t="shared" si="40"/>
        <v>20</v>
      </c>
      <c r="BC48" s="11">
        <f>IF(AQ48&lt;&gt;"",IF($B$16=listy!$K$8,'RZĄDOWY PROGRAM'!$F$3*'RZĄDOWY PROGRAM'!$F$15,AV47*$F$15),"")</f>
        <v>50</v>
      </c>
      <c r="BD48" s="11">
        <f t="shared" si="41"/>
        <v>70</v>
      </c>
      <c r="BF48" s="8">
        <f t="shared" si="42"/>
        <v>21</v>
      </c>
      <c r="BG48" s="8"/>
      <c r="BH48" s="78">
        <f>IF(BF48&lt;&gt;"",ROUND(IF($F$11="raty równe",-PMT(W48/12,$F$4-BF47+SUM(BV$28:$BV48)-SUM($BM$29:BM48),BK47,2),BI48+BJ48),2),"")</f>
        <v>3522.1</v>
      </c>
      <c r="BI48" s="78">
        <f>IF(BF48&lt;&gt;"",IF($F$11="raty malejące",MIN(BK47/($F$4-BF47+SUM($BG$27:BG48)-SUM($BM$27:BM48)),BK47),MIN(BH48-BJ48,BK47)),"")</f>
        <v>896.47443285856389</v>
      </c>
      <c r="BJ48" s="78">
        <f t="shared" si="54"/>
        <v>2625.625567141436</v>
      </c>
      <c r="BK48" s="79">
        <f t="shared" si="55"/>
        <v>361258.77620733943</v>
      </c>
      <c r="BL48" s="11"/>
      <c r="BM48" s="33" t="str">
        <f t="shared" si="56"/>
        <v/>
      </c>
      <c r="BN48" s="33">
        <f t="shared" si="73"/>
        <v>-9.9999999997635314E-3</v>
      </c>
      <c r="BO48" s="33">
        <f t="shared" si="74"/>
        <v>-3.0237653561398091E-2</v>
      </c>
      <c r="BP48" s="33">
        <f>IF(O48&lt;&gt;"",BO48-SUM($BN$44:BN48),"")</f>
        <v>-2.3765356210749683E-4</v>
      </c>
      <c r="BQ48" s="11">
        <f t="shared" si="17"/>
        <v>20</v>
      </c>
      <c r="BR48" s="11">
        <f>IF(BF48&lt;&gt;"",IF($B$16=listy!$K$8,'RZĄDOWY PROGRAM'!$F$3*'RZĄDOWY PROGRAM'!$F$15,BK47*$F$15),"")</f>
        <v>50</v>
      </c>
      <c r="BS48" s="11">
        <f t="shared" si="18"/>
        <v>70</v>
      </c>
      <c r="BU48" s="8">
        <f t="shared" si="44"/>
        <v>21</v>
      </c>
      <c r="BV48" s="8"/>
      <c r="BW48" s="78">
        <f>IF(BU48&lt;&gt;"",ROUND(IF($F$11="raty równe",-PMT(W48/12,$F$4-BU47+SUM($BV$28:BV48)-$CB$43,BZ47,2),BX48+BY48),2),"")</f>
        <v>3522.09</v>
      </c>
      <c r="BX48" s="78">
        <f>IF(BU48&lt;&gt;"",IF($F$11="raty malejące",MIN(BZ47/($F$4-BU47+SUM($BV$28:BV47)-SUM($CB$28:CB47)),BZ47),MIN(BW48-BY48,BZ47)),"")</f>
        <v>894.51677712964556</v>
      </c>
      <c r="BY48" s="78">
        <f t="shared" si="70"/>
        <v>2627.5732228703546</v>
      </c>
      <c r="BZ48" s="79">
        <f t="shared" si="71"/>
        <v>361529.37603257439</v>
      </c>
      <c r="CA48" s="11"/>
      <c r="CB48" s="33"/>
      <c r="CC48" s="33">
        <f t="shared" si="46"/>
        <v>0</v>
      </c>
      <c r="CD48" s="33">
        <f t="shared" si="75"/>
        <v>2.0158175601009746E-2</v>
      </c>
      <c r="CE48" s="33">
        <f>IF(O48&lt;&gt;"",CD48-SUM($CC$44:CC48),"")</f>
        <v>1.5817560148268309E-4</v>
      </c>
      <c r="CF48" s="11">
        <f t="shared" si="20"/>
        <v>20</v>
      </c>
      <c r="CG48" s="11">
        <f>IF(BU48&lt;&gt;"",IF($B$16=listy!$K$8,'RZĄDOWY PROGRAM'!$F$3*'RZĄDOWY PROGRAM'!$F$15,BZ47*$F$15),"")</f>
        <v>50</v>
      </c>
      <c r="CH48" s="11">
        <f t="shared" si="21"/>
        <v>70</v>
      </c>
      <c r="CJ48" s="48">
        <f t="shared" si="22"/>
        <v>0.06</v>
      </c>
      <c r="CK48" s="18">
        <f t="shared" si="23"/>
        <v>4.8675505653430484E-3</v>
      </c>
      <c r="CL48" s="11">
        <f t="shared" si="24"/>
        <v>0</v>
      </c>
      <c r="CM48" s="11">
        <f t="shared" si="25"/>
        <v>29719.136593340638</v>
      </c>
      <c r="CN48" s="11">
        <f>IF(AB48&lt;&gt;"",CM48-SUM($CL$28:CL48),"")</f>
        <v>1542.376593340643</v>
      </c>
    </row>
    <row r="49" spans="1:92" x14ac:dyDescent="0.45">
      <c r="A49" s="68">
        <f t="shared" si="47"/>
        <v>45383</v>
      </c>
      <c r="B49" s="8">
        <f t="shared" si="4"/>
        <v>22</v>
      </c>
      <c r="C49" s="11">
        <f t="shared" si="5"/>
        <v>3522.1</v>
      </c>
      <c r="D49" s="11">
        <f t="shared" si="6"/>
        <v>724.00636591341527</v>
      </c>
      <c r="E49" s="11">
        <f t="shared" si="7"/>
        <v>2798.0936340865846</v>
      </c>
      <c r="F49" s="9">
        <f t="shared" si="26"/>
        <v>385219.9431632706</v>
      </c>
      <c r="G49" s="10">
        <f t="shared" si="8"/>
        <v>7.0000000000000007E-2</v>
      </c>
      <c r="H49" s="10">
        <f t="shared" si="9"/>
        <v>1.7000000000000001E-2</v>
      </c>
      <c r="I49" s="48">
        <f t="shared" si="27"/>
        <v>8.7000000000000008E-2</v>
      </c>
      <c r="J49" s="11">
        <f t="shared" si="10"/>
        <v>20</v>
      </c>
      <c r="K49" s="11">
        <f>IF(B49&lt;&gt;"",IF($B$16=listy!$K$8,'RZĄDOWY PROGRAM'!$F$3*'RZĄDOWY PROGRAM'!$F$15,F48*$F$15),"")</f>
        <v>50</v>
      </c>
      <c r="L49" s="11">
        <f t="shared" si="28"/>
        <v>70</v>
      </c>
      <c r="N49" s="54">
        <f t="shared" si="48"/>
        <v>45383</v>
      </c>
      <c r="O49" s="8">
        <f t="shared" si="29"/>
        <v>22</v>
      </c>
      <c r="P49" s="8"/>
      <c r="Q49" s="11">
        <f>IF(O49&lt;&gt;"",ROUND(IF($F$11="raty równe",-PMT(W49/12,$F$4-O48+SUM($P$28:P49),T48,2),R49+S49),2),"")</f>
        <v>3522.1</v>
      </c>
      <c r="R49" s="11">
        <f>IF(O49&lt;&gt;"",IF($F$11="raty malejące",T48/($F$4-O48+SUM($P$28:P49)),IF(Q49-S49&gt;T48,T48,Q49-S49)),"")</f>
        <v>683.35181791659079</v>
      </c>
      <c r="S49" s="11">
        <f t="shared" si="68"/>
        <v>2838.7481820834091</v>
      </c>
      <c r="T49" s="9">
        <f t="shared" si="30"/>
        <v>390868.12157289841</v>
      </c>
      <c r="U49" s="10">
        <f t="shared" si="11"/>
        <v>7.0000000000000007E-2</v>
      </c>
      <c r="V49" s="10">
        <f t="shared" si="12"/>
        <v>1.7000000000000001E-2</v>
      </c>
      <c r="W49" s="48">
        <f t="shared" si="31"/>
        <v>8.7000000000000008E-2</v>
      </c>
      <c r="X49" s="11">
        <f t="shared" si="13"/>
        <v>20</v>
      </c>
      <c r="Y49" s="11">
        <f>IF(O49&lt;&gt;"",IF($B$16=listy!$K$8,'RZĄDOWY PROGRAM'!$F$3*'RZĄDOWY PROGRAM'!$F$15,T48*$F$15),"")</f>
        <v>50</v>
      </c>
      <c r="Z49" s="11">
        <f t="shared" si="32"/>
        <v>70</v>
      </c>
      <c r="AB49" s="8">
        <f t="shared" si="33"/>
        <v>22</v>
      </c>
      <c r="AC49" s="8"/>
      <c r="AD49" s="11">
        <f>IF(AB49&lt;&gt;"",ROUND(IF($F$11="raty równe",-PMT(W49/12,$F$4-AB48+SUM($AC$28:AC49),AG48,2),AE49+AF49),2),"")</f>
        <v>3280.39</v>
      </c>
      <c r="AE49" s="11">
        <f>IF(AB49&lt;&gt;"",IF($F$11="raty malejące",AG48/($F$4-AB48+SUM($AC$28:AC48)),MIN(AD49-AF49,AG48)),"")</f>
        <v>636.45098641865843</v>
      </c>
      <c r="AF49" s="11">
        <f t="shared" si="69"/>
        <v>2643.9390135813414</v>
      </c>
      <c r="AG49" s="9">
        <f t="shared" si="52"/>
        <v>364044.79226618016</v>
      </c>
      <c r="AH49" s="11"/>
      <c r="AI49" s="33">
        <f>IF(AB49&lt;&gt;"",ROUND(IF($F$11="raty równe",-PMT(W49/12,($F$4-AB48+SUM($AC$27:AC48)),AG48,2),AG48/($F$4-AB48+SUM($AC$27:AC48))+AG48*W49/12),2),"")</f>
        <v>3280.39</v>
      </c>
      <c r="AJ49" s="33">
        <f t="shared" si="34"/>
        <v>241.71000000000004</v>
      </c>
      <c r="AK49" s="33">
        <f t="shared" si="15"/>
        <v>3629.5955339192355</v>
      </c>
      <c r="AL49" s="33">
        <f>IF(AB49&lt;&gt;"",AK49-SUM($AJ$28:AJ49),"")</f>
        <v>106.92553391923366</v>
      </c>
      <c r="AM49" s="11">
        <f t="shared" si="35"/>
        <v>20</v>
      </c>
      <c r="AN49" s="11">
        <f>IF(AB49&lt;&gt;"",IF($B$16=listy!$K$8,'RZĄDOWY PROGRAM'!$F$3*'RZĄDOWY PROGRAM'!$F$15,AG48*$F$15),"")</f>
        <v>50</v>
      </c>
      <c r="AO49" s="11">
        <f t="shared" si="36"/>
        <v>70</v>
      </c>
      <c r="AQ49" s="8">
        <f t="shared" si="37"/>
        <v>22</v>
      </c>
      <c r="AR49" s="8"/>
      <c r="AS49" s="78">
        <f>IF(AQ49&lt;&gt;"",ROUND(IF($F$11="raty równe",-PMT(W49/12,$F$4-AQ48+SUM($AR$28:AR49),AV48,2),AT49+AU49),2),"")</f>
        <v>3263.83</v>
      </c>
      <c r="AT49" s="78">
        <f>IF(AQ49&lt;&gt;"",IF($F$11="raty malejące",AV48/($F$4-AQ48+SUM($AR$28:AR48)),MIN(AS49-AU49,AV48)),"")</f>
        <v>633.24321705111061</v>
      </c>
      <c r="AU49" s="78">
        <f t="shared" si="53"/>
        <v>2630.5867829488893</v>
      </c>
      <c r="AV49" s="79">
        <f t="shared" si="38"/>
        <v>362206.31305176119</v>
      </c>
      <c r="AW49" s="11"/>
      <c r="AX49" s="33">
        <f>IF(AQ49&lt;&gt;"",ROUND(IF($F$11="raty równe",-PMT(W49/12,($F$4-AQ48+SUM($AR$27:AR48)),AV48,2),AV48/($F$4-AQ48+SUM($AR$27:AR48))+AV48*W49/12),2),"")</f>
        <v>3263.83</v>
      </c>
      <c r="AY49" s="33">
        <f t="shared" si="39"/>
        <v>258.27</v>
      </c>
      <c r="AZ49" s="33">
        <f t="shared" si="72"/>
        <v>1564.964614064015</v>
      </c>
      <c r="BA49" s="33">
        <f>IF(AQ49&lt;&gt;"",AZ49-SUM($AY$44:AY49),"")</f>
        <v>15.354614064014868</v>
      </c>
      <c r="BB49" s="11">
        <f t="shared" si="40"/>
        <v>20</v>
      </c>
      <c r="BC49" s="11">
        <f>IF(AQ49&lt;&gt;"",IF($B$16=listy!$K$8,'RZĄDOWY PROGRAM'!$F$3*'RZĄDOWY PROGRAM'!$F$15,AV48*$F$15),"")</f>
        <v>50</v>
      </c>
      <c r="BD49" s="11">
        <f t="shared" si="41"/>
        <v>70</v>
      </c>
      <c r="BF49" s="8">
        <f t="shared" si="42"/>
        <v>22</v>
      </c>
      <c r="BG49" s="8"/>
      <c r="BH49" s="78">
        <f>IF(BF49&lt;&gt;"",ROUND(IF($F$11="raty równe",-PMT(W49/12,$F$4-BF48+SUM(BV$28:$BV49)-SUM($BM$29:BM49),BK48,2),BI49+BJ49),2),"")</f>
        <v>3522.1</v>
      </c>
      <c r="BI49" s="78">
        <f>IF(BF49&lt;&gt;"",IF($F$11="raty malejące",MIN(BK48/($F$4-BF48+SUM($BG$27:BG49)-SUM($BM$27:BM49)),BK48),MIN(BH49-BJ49,BK48)),"")</f>
        <v>902.97387249678877</v>
      </c>
      <c r="BJ49" s="78">
        <f t="shared" si="54"/>
        <v>2619.1261275032111</v>
      </c>
      <c r="BK49" s="79">
        <f t="shared" si="55"/>
        <v>360355.80233484262</v>
      </c>
      <c r="BL49" s="11"/>
      <c r="BM49" s="33" t="str">
        <f t="shared" si="56"/>
        <v/>
      </c>
      <c r="BN49" s="33">
        <f t="shared" si="73"/>
        <v>0</v>
      </c>
      <c r="BO49" s="33">
        <f t="shared" si="74"/>
        <v>-3.0356872040624913E-2</v>
      </c>
      <c r="BP49" s="33">
        <f>IF(O49&lt;&gt;"",BO49-SUM($BN$44:BN49),"")</f>
        <v>-3.5687204133431905E-4</v>
      </c>
      <c r="BQ49" s="11">
        <f t="shared" si="17"/>
        <v>20</v>
      </c>
      <c r="BR49" s="11">
        <f>IF(BF49&lt;&gt;"",IF($B$16=listy!$K$8,'RZĄDOWY PROGRAM'!$F$3*'RZĄDOWY PROGRAM'!$F$15,BK48*$F$15),"")</f>
        <v>50</v>
      </c>
      <c r="BS49" s="11">
        <f t="shared" si="18"/>
        <v>70</v>
      </c>
      <c r="BU49" s="8">
        <f t="shared" si="44"/>
        <v>22</v>
      </c>
      <c r="BV49" s="8"/>
      <c r="BW49" s="78">
        <f>IF(BU49&lt;&gt;"",ROUND(IF($F$11="raty równe",-PMT(W49/12,$F$4-BU48+SUM($BV$28:BV49)-$CB$43,BZ48,2),BX49+BY49),2),"")</f>
        <v>3522.09</v>
      </c>
      <c r="BX49" s="78">
        <f>IF(BU49&lt;&gt;"",IF($F$11="raty malejące",MIN(BZ48/($F$4-BU48+SUM($BV$28:BV48)-SUM($CB$28:CB48)),BZ48),MIN(BW49-BY49,BZ48)),"")</f>
        <v>901.0020237638355</v>
      </c>
      <c r="BY49" s="78">
        <f t="shared" si="70"/>
        <v>2621.0879762361646</v>
      </c>
      <c r="BZ49" s="79">
        <f t="shared" si="71"/>
        <v>360628.37400881056</v>
      </c>
      <c r="CA49" s="11"/>
      <c r="CB49" s="33"/>
      <c r="CC49" s="33">
        <f t="shared" si="46"/>
        <v>9.9999999997635314E-3</v>
      </c>
      <c r="CD49" s="33">
        <f t="shared" si="75"/>
        <v>3.0237653561398091E-2</v>
      </c>
      <c r="CE49" s="33">
        <f>IF(O49&lt;&gt;"",CD49-SUM($CC$44:CC49),"")</f>
        <v>2.3765356210749683E-4</v>
      </c>
      <c r="CF49" s="11">
        <f t="shared" si="20"/>
        <v>20</v>
      </c>
      <c r="CG49" s="11">
        <f>IF(BU49&lt;&gt;"",IF($B$16=listy!$K$8,'RZĄDOWY PROGRAM'!$F$3*'RZĄDOWY PROGRAM'!$F$15,BZ48*$F$15),"")</f>
        <v>50</v>
      </c>
      <c r="CH49" s="11">
        <f t="shared" si="21"/>
        <v>70</v>
      </c>
      <c r="CJ49" s="48">
        <f t="shared" si="22"/>
        <v>0.06</v>
      </c>
      <c r="CK49" s="18">
        <f t="shared" si="23"/>
        <v>4.8675505653430484E-3</v>
      </c>
      <c r="CL49" s="11">
        <f t="shared" si="24"/>
        <v>0</v>
      </c>
      <c r="CM49" s="11">
        <f t="shared" si="25"/>
        <v>29836.310707443041</v>
      </c>
      <c r="CN49" s="11">
        <f>IF(AB49&lt;&gt;"",CM49-SUM($CL$28:CL49),"")</f>
        <v>1659.5507074430461</v>
      </c>
    </row>
    <row r="50" spans="1:92" x14ac:dyDescent="0.45">
      <c r="A50" s="68">
        <f t="shared" si="47"/>
        <v>45413</v>
      </c>
      <c r="B50" s="8">
        <f t="shared" si="4"/>
        <v>23</v>
      </c>
      <c r="C50" s="11">
        <f t="shared" si="5"/>
        <v>3522.09</v>
      </c>
      <c r="D50" s="11">
        <f t="shared" si="6"/>
        <v>729.24541206628783</v>
      </c>
      <c r="E50" s="11">
        <f t="shared" si="7"/>
        <v>2792.8445879337123</v>
      </c>
      <c r="F50" s="9">
        <f t="shared" si="26"/>
        <v>384490.69775120431</v>
      </c>
      <c r="G50" s="10">
        <f t="shared" si="8"/>
        <v>7.0000000000000007E-2</v>
      </c>
      <c r="H50" s="10">
        <f t="shared" si="9"/>
        <v>1.7000000000000001E-2</v>
      </c>
      <c r="I50" s="48">
        <f t="shared" si="27"/>
        <v>8.7000000000000008E-2</v>
      </c>
      <c r="J50" s="11">
        <f t="shared" si="10"/>
        <v>20</v>
      </c>
      <c r="K50" s="11">
        <f>IF(B50&lt;&gt;"",IF($B$16=listy!$K$8,'RZĄDOWY PROGRAM'!$F$3*'RZĄDOWY PROGRAM'!$F$15,F49*$F$15),"")</f>
        <v>50</v>
      </c>
      <c r="L50" s="11">
        <f t="shared" si="28"/>
        <v>70</v>
      </c>
      <c r="N50" s="54">
        <f t="shared" si="48"/>
        <v>45413</v>
      </c>
      <c r="O50" s="8">
        <f t="shared" si="29"/>
        <v>23</v>
      </c>
      <c r="P50" s="8"/>
      <c r="Q50" s="11">
        <f>IF(O50&lt;&gt;"",ROUND(IF($F$11="raty równe",-PMT(W50/12,$F$4-O49+SUM($P$28:P50),T49,2),R50+S50),2),"")</f>
        <v>3522.09</v>
      </c>
      <c r="R50" s="11">
        <f>IF(O50&lt;&gt;"",IF($F$11="raty malejące",T49/($F$4-O49+SUM($P$28:P50)),IF(Q50-S50&gt;T49,T49,Q50-S50)),"")</f>
        <v>688.29611859648639</v>
      </c>
      <c r="S50" s="11">
        <f t="shared" si="68"/>
        <v>2833.7938814035138</v>
      </c>
      <c r="T50" s="9">
        <f t="shared" si="30"/>
        <v>390179.8254543019</v>
      </c>
      <c r="U50" s="10">
        <f t="shared" si="11"/>
        <v>7.0000000000000007E-2</v>
      </c>
      <c r="V50" s="10">
        <f t="shared" si="12"/>
        <v>1.7000000000000001E-2</v>
      </c>
      <c r="W50" s="48">
        <f t="shared" si="31"/>
        <v>8.7000000000000008E-2</v>
      </c>
      <c r="X50" s="11">
        <f t="shared" si="13"/>
        <v>20</v>
      </c>
      <c r="Y50" s="11">
        <f>IF(O50&lt;&gt;"",IF($B$16=listy!$K$8,'RZĄDOWY PROGRAM'!$F$3*'RZĄDOWY PROGRAM'!$F$15,T49*$F$15),"")</f>
        <v>50</v>
      </c>
      <c r="Z50" s="11">
        <f t="shared" si="32"/>
        <v>70</v>
      </c>
      <c r="AB50" s="8">
        <f t="shared" si="33"/>
        <v>23</v>
      </c>
      <c r="AC50" s="8"/>
      <c r="AD50" s="11">
        <f>IF(AB50&lt;&gt;"",ROUND(IF($F$11="raty równe",-PMT(W50/12,$F$4-AB49+SUM($AC$28:AC50),AG49,2),AE50+AF50),2),"")</f>
        <v>3280.39</v>
      </c>
      <c r="AE50" s="11">
        <f>IF(AB50&lt;&gt;"",IF($F$11="raty malejące",AG49/($F$4-AB49+SUM($AC$28:AC49)),MIN(AD50-AF50,AG49)),"")</f>
        <v>641.06525607019375</v>
      </c>
      <c r="AF50" s="11">
        <f t="shared" si="69"/>
        <v>2639.3247439298061</v>
      </c>
      <c r="AG50" s="9">
        <f t="shared" si="52"/>
        <v>363403.72701010999</v>
      </c>
      <c r="AH50" s="11"/>
      <c r="AI50" s="33">
        <f>IF(AB50&lt;&gt;"",ROUND(IF($F$11="raty równe",-PMT(W50/12,($F$4-AB49+SUM($AC$27:AC49)),AG49,2),AG49/($F$4-AB49+SUM($AC$27:AC49))+AG49*W50/12),2),"")</f>
        <v>3280.39</v>
      </c>
      <c r="AJ50" s="33">
        <f t="shared" si="34"/>
        <v>241.70000000000027</v>
      </c>
      <c r="AK50" s="33">
        <f t="shared" si="15"/>
        <v>3885.6059981516432</v>
      </c>
      <c r="AL50" s="33">
        <f>IF(AB50&lt;&gt;"",AK50-SUM($AJ$28:AJ50),"")</f>
        <v>121.23599815164107</v>
      </c>
      <c r="AM50" s="11">
        <f t="shared" si="35"/>
        <v>20</v>
      </c>
      <c r="AN50" s="11">
        <f>IF(AB50&lt;&gt;"",IF($B$16=listy!$K$8,'RZĄDOWY PROGRAM'!$F$3*'RZĄDOWY PROGRAM'!$F$15,AG49*$F$15),"")</f>
        <v>50</v>
      </c>
      <c r="AO50" s="11">
        <f t="shared" si="36"/>
        <v>70</v>
      </c>
      <c r="AQ50" s="8">
        <f t="shared" si="37"/>
        <v>23</v>
      </c>
      <c r="AR50" s="8"/>
      <c r="AS50" s="78">
        <f>IF(AQ50&lt;&gt;"",ROUND(IF($F$11="raty równe",-PMT(W50/12,$F$4-AQ49+SUM($AR$28:AR50),AV49,2),AT50+AU50),2),"")</f>
        <v>3263.82</v>
      </c>
      <c r="AT50" s="78">
        <f>IF(AQ50&lt;&gt;"",IF($F$11="raty malejące",AV49/($F$4-AQ49+SUM($AR$28:AR49)),MIN(AS50-AU50,AV49)),"")</f>
        <v>637.82423037473109</v>
      </c>
      <c r="AU50" s="78">
        <f t="shared" si="53"/>
        <v>2625.9957696252691</v>
      </c>
      <c r="AV50" s="79">
        <f t="shared" si="38"/>
        <v>361568.48882138648</v>
      </c>
      <c r="AW50" s="11"/>
      <c r="AX50" s="33">
        <f>IF(AQ50&lt;&gt;"",ROUND(IF($F$11="raty równe",-PMT(W50/12,($F$4-AQ49+SUM($AR$27:AR49)),AV49,2),AV49/($F$4-AQ49+SUM($AR$27:AR49))+AV49*W50/12),2),"")</f>
        <v>3263.82</v>
      </c>
      <c r="AY50" s="33">
        <f>IF(AQ50&lt;&gt;"",IF(B50&lt;&gt;"",C50-AS50,-AS50),"")</f>
        <v>258.27</v>
      </c>
      <c r="AZ50" s="33">
        <f t="shared" si="72"/>
        <v>1829.4048250214778</v>
      </c>
      <c r="BA50" s="33">
        <f>IF(AQ50&lt;&gt;"",AZ50-SUM($AY$44:AY50),"")</f>
        <v>21.524825021477682</v>
      </c>
      <c r="BB50" s="11">
        <f t="shared" si="40"/>
        <v>20</v>
      </c>
      <c r="BC50" s="11">
        <f>IF(AQ50&lt;&gt;"",IF($B$16=listy!$K$8,'RZĄDOWY PROGRAM'!$F$3*'RZĄDOWY PROGRAM'!$F$15,AV49*$F$15),"")</f>
        <v>50</v>
      </c>
      <c r="BD50" s="11">
        <f t="shared" si="41"/>
        <v>70</v>
      </c>
      <c r="BF50" s="8">
        <f t="shared" si="42"/>
        <v>23</v>
      </c>
      <c r="BG50" s="8"/>
      <c r="BH50" s="78">
        <f>IF(BF50&lt;&gt;"",ROUND(IF($F$11="raty równe",-PMT(W50/12,$F$4-BF49+SUM(BV$28:$BV50)-SUM($BM$29:BM50),BK49,2),BI50+BJ50),2),"")</f>
        <v>3522.1</v>
      </c>
      <c r="BI50" s="78">
        <f>IF(BF50&lt;&gt;"",IF($F$11="raty malejące",MIN(BK49/($F$4-BF49+SUM($BG$27:BG50)-SUM($BM$27:BM50)),BK49),MIN(BH50-BJ50,BK49)),"")</f>
        <v>909.52043307239092</v>
      </c>
      <c r="BJ50" s="78">
        <f t="shared" si="54"/>
        <v>2612.579566927609</v>
      </c>
      <c r="BK50" s="79">
        <f t="shared" si="55"/>
        <v>359446.28190177021</v>
      </c>
      <c r="BL50" s="11"/>
      <c r="BM50" s="33" t="str">
        <f t="shared" si="56"/>
        <v/>
      </c>
      <c r="BN50" s="33">
        <f t="shared" si="73"/>
        <v>-9.9999999997635314E-3</v>
      </c>
      <c r="BO50" s="33">
        <f t="shared" si="74"/>
        <v>-4.0476560564215794E-2</v>
      </c>
      <c r="BP50" s="33">
        <f>IF(O50&lt;&gt;"",BO50-SUM($BN$44:BN50),"")</f>
        <v>-4.7656056516166834E-4</v>
      </c>
      <c r="BQ50" s="11">
        <f t="shared" si="17"/>
        <v>20</v>
      </c>
      <c r="BR50" s="11">
        <f>IF(BF50&lt;&gt;"",IF($B$16=listy!$K$8,'RZĄDOWY PROGRAM'!$F$3*'RZĄDOWY PROGRAM'!$F$15,BK49*$F$15),"")</f>
        <v>50</v>
      </c>
      <c r="BS50" s="11">
        <f t="shared" si="18"/>
        <v>70</v>
      </c>
      <c r="BU50" s="8">
        <f t="shared" si="44"/>
        <v>23</v>
      </c>
      <c r="BV50" s="8"/>
      <c r="BW50" s="78">
        <f>IF(BU50&lt;&gt;"",ROUND(IF($F$11="raty równe",-PMT(W50/12,$F$4-BU49+SUM($BV$28:BV50)-$CB$43,BZ49,2),BX50+BY50),2),"")</f>
        <v>3522.09</v>
      </c>
      <c r="BX50" s="78">
        <f>IF(BU50&lt;&gt;"",IF($F$11="raty malejące",MIN(BZ49/($F$4-BU49+SUM($BV$28:BV49)-SUM($CB$28:CB49)),BZ49),MIN(BW50-BY50,BZ49)),"")</f>
        <v>907.53428843612346</v>
      </c>
      <c r="BY50" s="78">
        <f t="shared" si="70"/>
        <v>2614.5557115638767</v>
      </c>
      <c r="BZ50" s="79">
        <f t="shared" si="71"/>
        <v>359720.83972037444</v>
      </c>
      <c r="CA50" s="11"/>
      <c r="CB50" s="33"/>
      <c r="CC50" s="33">
        <f t="shared" si="46"/>
        <v>0</v>
      </c>
      <c r="CD50" s="33">
        <f t="shared" si="75"/>
        <v>3.0356872040624913E-2</v>
      </c>
      <c r="CE50" s="33">
        <f>IF(O50&lt;&gt;"",CD50-SUM($CC$44:CC50),"")</f>
        <v>3.5687204133431905E-4</v>
      </c>
      <c r="CF50" s="11">
        <f t="shared" si="20"/>
        <v>20</v>
      </c>
      <c r="CG50" s="11">
        <f>IF(BU50&lt;&gt;"",IF($B$16=listy!$K$8,'RZĄDOWY PROGRAM'!$F$3*'RZĄDOWY PROGRAM'!$F$15,BZ49*$F$15),"")</f>
        <v>50</v>
      </c>
      <c r="CH50" s="11">
        <f t="shared" si="21"/>
        <v>70</v>
      </c>
      <c r="CJ50" s="48">
        <f t="shared" si="22"/>
        <v>0.06</v>
      </c>
      <c r="CK50" s="18">
        <f t="shared" si="23"/>
        <v>4.8675505653430484E-3</v>
      </c>
      <c r="CL50" s="11">
        <f t="shared" si="24"/>
        <v>0</v>
      </c>
      <c r="CM50" s="11">
        <f t="shared" si="25"/>
        <v>29953.946805794974</v>
      </c>
      <c r="CN50" s="11">
        <f>IF(AB50&lt;&gt;"",CM50-SUM($CL$28:CL50),"")</f>
        <v>1777.1868057949796</v>
      </c>
    </row>
    <row r="51" spans="1:92" x14ac:dyDescent="0.45">
      <c r="A51" s="68">
        <f t="shared" si="47"/>
        <v>45444</v>
      </c>
      <c r="B51" s="8">
        <f t="shared" si="4"/>
        <v>24</v>
      </c>
      <c r="C51" s="11">
        <f t="shared" si="5"/>
        <v>3522.1</v>
      </c>
      <c r="D51" s="11">
        <f t="shared" si="6"/>
        <v>734.54244130376856</v>
      </c>
      <c r="E51" s="11">
        <f t="shared" si="7"/>
        <v>2787.5575586962314</v>
      </c>
      <c r="F51" s="9">
        <f t="shared" si="26"/>
        <v>383756.15530990053</v>
      </c>
      <c r="G51" s="10">
        <f t="shared" si="8"/>
        <v>7.0000000000000007E-2</v>
      </c>
      <c r="H51" s="10">
        <f t="shared" si="9"/>
        <v>1.7000000000000001E-2</v>
      </c>
      <c r="I51" s="48">
        <f t="shared" si="27"/>
        <v>8.7000000000000008E-2</v>
      </c>
      <c r="J51" s="11">
        <f t="shared" si="10"/>
        <v>20</v>
      </c>
      <c r="K51" s="11">
        <f>IF(B51&lt;&gt;"",IF($B$16=listy!$K$8,'RZĄDOWY PROGRAM'!$F$3*'RZĄDOWY PROGRAM'!$F$15,F50*$F$15),"")</f>
        <v>50</v>
      </c>
      <c r="L51" s="11">
        <f t="shared" si="28"/>
        <v>70</v>
      </c>
      <c r="N51" s="54">
        <f t="shared" si="48"/>
        <v>45444</v>
      </c>
      <c r="O51" s="8">
        <f t="shared" si="29"/>
        <v>24</v>
      </c>
      <c r="P51" s="8"/>
      <c r="Q51" s="11">
        <f>IF(O51&lt;&gt;"",ROUND(IF($F$11="raty równe",-PMT(W51/12,$F$4-O50+SUM($P$28:P51),T50,2),R51+S51),2),"")</f>
        <v>3522.1</v>
      </c>
      <c r="R51" s="11">
        <f>IF(O51&lt;&gt;"",IF($F$11="raty malejące",T50/($F$4-O50+SUM($P$28:P51)),IF(Q51-S51&gt;T50,T50,Q51-S51)),"")</f>
        <v>693.29626545631072</v>
      </c>
      <c r="S51" s="11">
        <f t="shared" si="68"/>
        <v>2828.8037345436892</v>
      </c>
      <c r="T51" s="9">
        <f t="shared" si="30"/>
        <v>389486.5291888456</v>
      </c>
      <c r="U51" s="10">
        <f t="shared" si="11"/>
        <v>7.0000000000000007E-2</v>
      </c>
      <c r="V51" s="10">
        <f t="shared" si="12"/>
        <v>1.7000000000000001E-2</v>
      </c>
      <c r="W51" s="48">
        <f t="shared" si="31"/>
        <v>8.7000000000000008E-2</v>
      </c>
      <c r="X51" s="11">
        <f t="shared" si="13"/>
        <v>20</v>
      </c>
      <c r="Y51" s="11">
        <f>IF(O51&lt;&gt;"",IF($B$16=listy!$K$8,'RZĄDOWY PROGRAM'!$F$3*'RZĄDOWY PROGRAM'!$F$15,T50*$F$15),"")</f>
        <v>50</v>
      </c>
      <c r="Z51" s="11">
        <f t="shared" si="32"/>
        <v>70</v>
      </c>
      <c r="AB51" s="8">
        <f t="shared" si="33"/>
        <v>24</v>
      </c>
      <c r="AC51" s="8"/>
      <c r="AD51" s="11">
        <f>IF(AB51&lt;&gt;"",ROUND(IF($F$11="raty równe",-PMT(W51/12,$F$4-AB50+SUM($AC$28:AC51),AG50,2),AE51+AF51),2),"")</f>
        <v>3280.39</v>
      </c>
      <c r="AE51" s="11">
        <f>IF(AB51&lt;&gt;"",IF($F$11="raty malejące",AG50/($F$4-AB50+SUM($AC$28:AC50)),MIN(AD51-AF51,AG50)),"")</f>
        <v>645.71297917670199</v>
      </c>
      <c r="AF51" s="11">
        <f t="shared" si="69"/>
        <v>2634.6770208232979</v>
      </c>
      <c r="AG51" s="9">
        <f t="shared" si="52"/>
        <v>362758.01403093326</v>
      </c>
      <c r="AH51" s="11"/>
      <c r="AI51" s="33">
        <f>IF(AB51&lt;&gt;"",ROUND(IF($F$11="raty równe",-PMT(W51/12,($F$4-AB50+SUM($AC$27:AC50)),AG50,2),AG50/($F$4-AB50+SUM($AC$27:AC50))+AG50*W51/12),2),"")</f>
        <v>3280.39</v>
      </c>
      <c r="AJ51" s="33">
        <f t="shared" si="34"/>
        <v>241.71000000000004</v>
      </c>
      <c r="AK51" s="33">
        <f t="shared" si="15"/>
        <v>4142.6358389267762</v>
      </c>
      <c r="AL51" s="33">
        <f>IF(AB51&lt;&gt;"",AK51-SUM($AJ$28:AJ51),"")</f>
        <v>136.55583892677396</v>
      </c>
      <c r="AM51" s="11">
        <f t="shared" si="35"/>
        <v>20</v>
      </c>
      <c r="AN51" s="11">
        <f>IF(AB51&lt;&gt;"",IF($B$16=listy!$K$8,'RZĄDOWY PROGRAM'!$F$3*'RZĄDOWY PROGRAM'!$F$15,AG50*$F$15),"")</f>
        <v>50</v>
      </c>
      <c r="AO51" s="11">
        <f t="shared" si="36"/>
        <v>70</v>
      </c>
      <c r="AQ51" s="8">
        <f t="shared" si="37"/>
        <v>24</v>
      </c>
      <c r="AR51" s="8"/>
      <c r="AS51" s="78">
        <f>IF(AQ51&lt;&gt;"",ROUND(IF($F$11="raty równe",-PMT(W51/12,$F$4-AQ50+SUM($AR$28:AR51),AV50,2),AT51+AU51),2),"")</f>
        <v>3263.83</v>
      </c>
      <c r="AT51" s="78">
        <f>IF(AQ51&lt;&gt;"",IF($F$11="raty malejące",AV50/($F$4-AQ50+SUM($AR$28:AR50)),MIN(AS51-AU51,AV50)),"")</f>
        <v>642.45845604494798</v>
      </c>
      <c r="AU51" s="78">
        <f t="shared" si="53"/>
        <v>2621.3715439550519</v>
      </c>
      <c r="AV51" s="79">
        <f t="shared" si="38"/>
        <v>360926.03036534152</v>
      </c>
      <c r="AW51" s="11"/>
      <c r="AX51" s="33">
        <f>IF(AQ51&lt;&gt;"",ROUND(IF($F$11="raty równe",-PMT(W51/12,($F$4-AQ50+SUM($AR$27:AR50)),AV50,2),AV50/($F$4-AQ50+SUM($AR$27:AR50))+AV50*W51/12),2),"")</f>
        <v>3263.83</v>
      </c>
      <c r="AY51" s="33">
        <f>IF(AQ51&lt;&gt;"",IF(B51&lt;&gt;"",C51-AS51,-AS51),"")</f>
        <v>258.27</v>
      </c>
      <c r="AZ51" s="33">
        <f t="shared" si="72"/>
        <v>2094.8876486186</v>
      </c>
      <c r="BA51" s="33">
        <f>IF(AQ51&lt;&gt;"",AZ51-SUM($AY$44:AY51),"")</f>
        <v>28.737648618599906</v>
      </c>
      <c r="BB51" s="11">
        <f t="shared" si="40"/>
        <v>20</v>
      </c>
      <c r="BC51" s="11">
        <f>IF(AQ51&lt;&gt;"",IF($B$16=listy!$K$8,'RZĄDOWY PROGRAM'!$F$3*'RZĄDOWY PROGRAM'!$F$15,AV50*$F$15),"")</f>
        <v>50</v>
      </c>
      <c r="BD51" s="11">
        <f t="shared" si="41"/>
        <v>70</v>
      </c>
      <c r="BF51" s="8">
        <f t="shared" si="42"/>
        <v>24</v>
      </c>
      <c r="BG51" s="8"/>
      <c r="BH51" s="78">
        <f>IF(BF51&lt;&gt;"",ROUND(IF($F$11="raty równe",-PMT(W51/12,$F$4-BF50+SUM(BV$28:$BV51)-SUM($BM$29:BM51),BK50,2),BI51+BJ51),2),"")</f>
        <v>3522.1</v>
      </c>
      <c r="BI51" s="78">
        <f>IF(BF51&lt;&gt;"",IF($F$11="raty malejące",MIN(BK50/($F$4-BF50+SUM($BG$27:BG51)-SUM($BM$27:BM51)),BK50),MIN(BH51-BJ51,BK50)),"")</f>
        <v>916.11445621216535</v>
      </c>
      <c r="BJ51" s="78">
        <f t="shared" si="54"/>
        <v>2605.9855437878346</v>
      </c>
      <c r="BK51" s="79">
        <f t="shared" si="55"/>
        <v>358530.16744555807</v>
      </c>
      <c r="BL51" s="11"/>
      <c r="BM51" s="33"/>
      <c r="BN51" s="33">
        <f t="shared" si="73"/>
        <v>0</v>
      </c>
      <c r="BO51" s="33">
        <f t="shared" si="74"/>
        <v>-4.0636148145474366E-2</v>
      </c>
      <c r="BP51" s="33">
        <f>IF(O51&lt;&gt;"",BO51-SUM($BN$44:BN51),"")</f>
        <v>-6.3614814642024009E-4</v>
      </c>
      <c r="BQ51" s="11">
        <f t="shared" si="17"/>
        <v>20</v>
      </c>
      <c r="BR51" s="11">
        <f>IF(BF51&lt;&gt;"",IF($B$16=listy!$K$8,'RZĄDOWY PROGRAM'!$F$3*'RZĄDOWY PROGRAM'!$F$15,BK50*$F$15),"")</f>
        <v>50</v>
      </c>
      <c r="BS51" s="11">
        <f t="shared" si="18"/>
        <v>70</v>
      </c>
      <c r="BU51" s="8">
        <f t="shared" si="44"/>
        <v>24</v>
      </c>
      <c r="BV51" s="8"/>
      <c r="BW51" s="78">
        <f>IF(BU51&lt;&gt;"",ROUND(IF($F$11="raty równe",-PMT(W51/12,$F$4-BU50+SUM($BV$28:BV51)-$CB$43,BZ50,2),BX51+BY51),2),"")</f>
        <v>3522.09</v>
      </c>
      <c r="BX51" s="78">
        <f>IF(BU51&lt;&gt;"",IF($F$11="raty malejące",MIN(BZ50/($F$4-BU50+SUM($BV$28:BV50)-SUM($CB$28:CB50)),BZ50),MIN(BW51-BY51,BZ50)),"")</f>
        <v>914.1139120272851</v>
      </c>
      <c r="BY51" s="78">
        <f t="shared" si="70"/>
        <v>2607.976087972715</v>
      </c>
      <c r="BZ51" s="79">
        <f t="shared" si="71"/>
        <v>358806.72580834717</v>
      </c>
      <c r="CA51" s="11"/>
      <c r="CB51" s="33"/>
      <c r="CC51" s="33">
        <f t="shared" si="46"/>
        <v>9.9999999997635314E-3</v>
      </c>
      <c r="CD51" s="33">
        <f t="shared" si="75"/>
        <v>4.0476560564215794E-2</v>
      </c>
      <c r="CE51" s="33">
        <f>IF(O51&lt;&gt;"",CD51-SUM($CC$44:CC51),"")</f>
        <v>4.7656056516166834E-4</v>
      </c>
      <c r="CF51" s="11">
        <f t="shared" si="20"/>
        <v>20</v>
      </c>
      <c r="CG51" s="11">
        <f>IF(BU51&lt;&gt;"",IF($B$16=listy!$K$8,'RZĄDOWY PROGRAM'!$F$3*'RZĄDOWY PROGRAM'!$F$15,BZ50*$F$15),"")</f>
        <v>50</v>
      </c>
      <c r="CH51" s="11">
        <f t="shared" si="21"/>
        <v>70</v>
      </c>
      <c r="CJ51" s="48">
        <f t="shared" si="22"/>
        <v>0.06</v>
      </c>
      <c r="CK51" s="18">
        <f t="shared" si="23"/>
        <v>4.8675505653430484E-3</v>
      </c>
      <c r="CL51" s="11">
        <f t="shared" si="24"/>
        <v>0</v>
      </c>
      <c r="CM51" s="11">
        <f t="shared" si="25"/>
        <v>30072.046709869108</v>
      </c>
      <c r="CN51" s="11">
        <f>IF(AB51&lt;&gt;"",CM51-SUM($CL$28:CL51),"")</f>
        <v>1895.2867098691131</v>
      </c>
    </row>
    <row r="52" spans="1:92" x14ac:dyDescent="0.45">
      <c r="A52" s="68">
        <f t="shared" si="47"/>
        <v>45474</v>
      </c>
      <c r="B52" s="8">
        <f t="shared" si="4"/>
        <v>25</v>
      </c>
      <c r="C52" s="11">
        <f t="shared" si="5"/>
        <v>3522.09</v>
      </c>
      <c r="D52" s="11">
        <f t="shared" si="6"/>
        <v>739.85787400322079</v>
      </c>
      <c r="E52" s="11">
        <f t="shared" si="7"/>
        <v>2782.2321259967794</v>
      </c>
      <c r="F52" s="9">
        <f t="shared" si="26"/>
        <v>383016.29743589729</v>
      </c>
      <c r="G52" s="10">
        <f t="shared" si="8"/>
        <v>7.0000000000000007E-2</v>
      </c>
      <c r="H52" s="10">
        <f t="shared" si="9"/>
        <v>1.7000000000000001E-2</v>
      </c>
      <c r="I52" s="48">
        <f t="shared" si="27"/>
        <v>8.7000000000000008E-2</v>
      </c>
      <c r="J52" s="11">
        <f t="shared" si="10"/>
        <v>20</v>
      </c>
      <c r="K52" s="11">
        <f>IF(B52&lt;&gt;"",IF($B$16=listy!$K$8,'RZĄDOWY PROGRAM'!$F$3*'RZĄDOWY PROGRAM'!$F$15,F51*$F$15),"")</f>
        <v>50</v>
      </c>
      <c r="L52" s="11">
        <f t="shared" si="28"/>
        <v>70</v>
      </c>
      <c r="N52" s="54">
        <f t="shared" si="48"/>
        <v>45474</v>
      </c>
      <c r="O52" s="8">
        <f t="shared" si="29"/>
        <v>25</v>
      </c>
      <c r="P52" s="8"/>
      <c r="Q52" s="11">
        <f>IF(O52&lt;&gt;"",ROUND(IF($F$11="raty równe",-PMT(W52/12,$F$4-O51+SUM($P$28:P52),T51,2),R52+S52),2),"")</f>
        <v>3522.09</v>
      </c>
      <c r="R52" s="11">
        <f>IF(O52&lt;&gt;"",IF($F$11="raty malejące",T51/($F$4-O51+SUM($P$28:P52)),IF(Q52-S52&gt;T51,T51,Q52-S52)),"")</f>
        <v>698.31266338086925</v>
      </c>
      <c r="S52" s="11">
        <f t="shared" si="68"/>
        <v>2823.7773366191309</v>
      </c>
      <c r="T52" s="9">
        <f t="shared" si="30"/>
        <v>388788.21652546473</v>
      </c>
      <c r="U52" s="10">
        <f t="shared" si="11"/>
        <v>7.0000000000000007E-2</v>
      </c>
      <c r="V52" s="10">
        <f t="shared" si="12"/>
        <v>1.7000000000000001E-2</v>
      </c>
      <c r="W52" s="48">
        <f t="shared" si="31"/>
        <v>8.7000000000000008E-2</v>
      </c>
      <c r="X52" s="11">
        <f t="shared" si="13"/>
        <v>20</v>
      </c>
      <c r="Y52" s="11">
        <f>IF(O52&lt;&gt;"",IF($B$16=listy!$K$8,'RZĄDOWY PROGRAM'!$F$3*'RZĄDOWY PROGRAM'!$F$15,T51*$F$15),"")</f>
        <v>50</v>
      </c>
      <c r="Z52" s="11">
        <f t="shared" si="32"/>
        <v>70</v>
      </c>
      <c r="AB52" s="8">
        <f t="shared" si="33"/>
        <v>25</v>
      </c>
      <c r="AC52" s="8"/>
      <c r="AD52" s="11">
        <f>IF(AB52&lt;&gt;"",ROUND(IF($F$11="raty równe",-PMT(W52/12,$F$4-AB51+SUM($AC$28:AC52),AG51,2),AE52+AF52),2),"")</f>
        <v>3280.39</v>
      </c>
      <c r="AE52" s="11">
        <f>IF(AB52&lt;&gt;"",IF($F$11="raty malejące",AG51/($F$4-AB51+SUM($AC$28:AC51)),MIN(AD52-AF52,AG51)),"")</f>
        <v>650.39439827573369</v>
      </c>
      <c r="AF52" s="11">
        <f t="shared" si="69"/>
        <v>2629.9956017242662</v>
      </c>
      <c r="AG52" s="9">
        <f t="shared" si="52"/>
        <v>362107.6196326575</v>
      </c>
      <c r="AH52" s="11"/>
      <c r="AI52" s="33">
        <f>IF(AB52&lt;&gt;"",ROUND(IF($F$11="raty równe",-PMT(W52/12,($F$4-AB51+SUM($AC$27:AC51)),AG51,2),AG51/($F$4-AB51+SUM($AC$27:AC51))+AG51*W52/12),2),"")</f>
        <v>3280.39</v>
      </c>
      <c r="AJ52" s="33">
        <f t="shared" si="34"/>
        <v>241.70000000000027</v>
      </c>
      <c r="AK52" s="33">
        <f t="shared" si="15"/>
        <v>4400.6690753567964</v>
      </c>
      <c r="AL52" s="33">
        <f>IF(AB52&lt;&gt;"",AK52-SUM($AJ$28:AJ52),"")</f>
        <v>152.88907535679391</v>
      </c>
      <c r="AM52" s="11">
        <f t="shared" si="35"/>
        <v>20</v>
      </c>
      <c r="AN52" s="11">
        <f>IF(AB52&lt;&gt;"",IF($B$16=listy!$K$8,'RZĄDOWY PROGRAM'!$F$3*'RZĄDOWY PROGRAM'!$F$15,AG51*$F$15),"")</f>
        <v>50</v>
      </c>
      <c r="AO52" s="11">
        <f t="shared" si="36"/>
        <v>70</v>
      </c>
      <c r="AQ52" s="8">
        <f t="shared" si="37"/>
        <v>25</v>
      </c>
      <c r="AR52" s="8"/>
      <c r="AS52" s="78">
        <f>IF(AQ52&lt;&gt;"",ROUND(IF($F$11="raty równe",-PMT(W52/12,$F$4-AQ51+SUM($AR$28:AR52),AV51,2),AT52+AU52),2),"")</f>
        <v>3263.82</v>
      </c>
      <c r="AT52" s="78">
        <f>IF(AQ52&lt;&gt;"",IF($F$11="raty malejące",AV51/($F$4-AQ51+SUM($AR$28:AR51)),MIN(AS52-AU52,AV51)),"")</f>
        <v>647.10627985127394</v>
      </c>
      <c r="AU52" s="78">
        <f t="shared" si="53"/>
        <v>2616.7137201487262</v>
      </c>
      <c r="AV52" s="79">
        <f t="shared" si="38"/>
        <v>360278.92408549023</v>
      </c>
      <c r="AW52" s="11"/>
      <c r="AX52" s="33">
        <f>IF(AQ52&lt;&gt;"",ROUND(IF($F$11="raty równe",-PMT(W52/12,($F$4-AQ51+SUM($AR$27:AR51)),AV51,2),AV51/($F$4-AQ51+SUM($AR$27:AR51))+AV51*W52/12),2),"")</f>
        <v>3263.82</v>
      </c>
      <c r="AY52" s="33">
        <f t="shared" si="39"/>
        <v>258.27</v>
      </c>
      <c r="AZ52" s="33">
        <f t="shared" si="72"/>
        <v>2361.4171955808747</v>
      </c>
      <c r="BA52" s="33">
        <f>IF(AQ52&lt;&gt;"",AZ52-SUM($AY$44:AY52),"")</f>
        <v>36.997195580874632</v>
      </c>
      <c r="BB52" s="11">
        <f t="shared" si="40"/>
        <v>20</v>
      </c>
      <c r="BC52" s="11">
        <f>IF(AQ52&lt;&gt;"",IF($B$16=listy!$K$8,'RZĄDOWY PROGRAM'!$F$3*'RZĄDOWY PROGRAM'!$F$15,AV51*$F$15),"")</f>
        <v>50</v>
      </c>
      <c r="BD52" s="11">
        <f t="shared" si="41"/>
        <v>70</v>
      </c>
      <c r="BF52" s="8">
        <f t="shared" si="42"/>
        <v>25</v>
      </c>
      <c r="BG52" s="8"/>
      <c r="BH52" s="78">
        <f>IF(BF52&lt;&gt;"",ROUND(IF($F$11="raty równe",-PMT(W52/12,$F$4-BF51+SUM(BV$28:$BV52)-SUM($BM$29:BM52),BK51,2),BI52+BJ52),2),"")</f>
        <v>3522.1</v>
      </c>
      <c r="BI52" s="78">
        <f>IF(BF52&lt;&gt;"",IF($F$11="raty malejące",MIN(BK51/($F$4-BF51+SUM($BG$27:BG52)-SUM($BM$27:BM52)),BK51),MIN(BH52-BJ52,BK51)),"")</f>
        <v>922.75628601970357</v>
      </c>
      <c r="BJ52" s="78">
        <f t="shared" si="54"/>
        <v>2599.3437139802963</v>
      </c>
      <c r="BK52" s="79">
        <f t="shared" si="55"/>
        <v>357607.41115953837</v>
      </c>
      <c r="BL52" s="11"/>
      <c r="BM52" s="33"/>
      <c r="BN52" s="33">
        <f t="shared" si="73"/>
        <v>-9.9999999997635314E-3</v>
      </c>
      <c r="BO52" s="33">
        <f t="shared" si="74"/>
        <v>-5.0796364934999783E-2</v>
      </c>
      <c r="BP52" s="33">
        <f>IF(O52&lt;&gt;"",BO52-SUM($BN$44:BN52),"")</f>
        <v>-7.9636493618212567E-4</v>
      </c>
      <c r="BQ52" s="11">
        <f t="shared" si="17"/>
        <v>20</v>
      </c>
      <c r="BR52" s="11">
        <f>IF(BF52&lt;&gt;"",IF($B$16=listy!$K$8,'RZĄDOWY PROGRAM'!$F$3*'RZĄDOWY PROGRAM'!$F$15,BK51*$F$15),"")</f>
        <v>50</v>
      </c>
      <c r="BS52" s="11">
        <f t="shared" si="18"/>
        <v>70</v>
      </c>
      <c r="BU52" s="8">
        <f t="shared" si="44"/>
        <v>25</v>
      </c>
      <c r="BV52" s="8"/>
      <c r="BW52" s="78">
        <f>IF(BU52&lt;&gt;"",ROUND(IF($F$11="raty równe",-PMT(W52/12,$F$4-BU51+SUM($BV$28:BV52)-$CB$43,BZ51,2),BX52+BY52),2),"")</f>
        <v>3522.09</v>
      </c>
      <c r="BX52" s="78">
        <f>IF(BU52&lt;&gt;"",IF($F$11="raty malejące",MIN(BZ51/($F$4-BU51+SUM($BV$28:BV51)-SUM($CB$28:CB51)),BZ51),MIN(BW52-BY52,BZ51)),"")</f>
        <v>920.74123788948282</v>
      </c>
      <c r="BY52" s="78">
        <f t="shared" si="70"/>
        <v>2601.3487621105173</v>
      </c>
      <c r="BZ52" s="79">
        <f t="shared" si="71"/>
        <v>357885.98457045766</v>
      </c>
      <c r="CA52" s="11"/>
      <c r="CB52" s="33"/>
      <c r="CC52" s="33">
        <f t="shared" si="46"/>
        <v>0</v>
      </c>
      <c r="CD52" s="33">
        <f t="shared" si="75"/>
        <v>4.0636148145474366E-2</v>
      </c>
      <c r="CE52" s="33">
        <f>IF(O52&lt;&gt;"",CD52-SUM($CC$44:CC52),"")</f>
        <v>6.3614814642024009E-4</v>
      </c>
      <c r="CF52" s="11">
        <f t="shared" si="20"/>
        <v>20</v>
      </c>
      <c r="CG52" s="11">
        <f>IF(BU52&lt;&gt;"",IF($B$16=listy!$K$8,'RZĄDOWY PROGRAM'!$F$3*'RZĄDOWY PROGRAM'!$F$15,BZ51*$F$15),"")</f>
        <v>50</v>
      </c>
      <c r="CH52" s="11">
        <f t="shared" si="21"/>
        <v>70</v>
      </c>
      <c r="CJ52" s="48">
        <f t="shared" si="22"/>
        <v>0.06</v>
      </c>
      <c r="CK52" s="18">
        <f t="shared" si="23"/>
        <v>4.8675505653430484E-3</v>
      </c>
      <c r="CL52" s="11">
        <f t="shared" si="24"/>
        <v>0</v>
      </c>
      <c r="CM52" s="11">
        <f t="shared" si="25"/>
        <v>30190.612248319663</v>
      </c>
      <c r="CN52" s="11">
        <f>IF(AB52&lt;&gt;"",CM52-SUM($CL$28:CL52),"")</f>
        <v>2013.8522483196684</v>
      </c>
    </row>
    <row r="53" spans="1:92" x14ac:dyDescent="0.45">
      <c r="A53" s="68">
        <f t="shared" si="47"/>
        <v>45505</v>
      </c>
      <c r="B53" s="8">
        <f t="shared" si="4"/>
        <v>26</v>
      </c>
      <c r="C53" s="11">
        <f t="shared" si="5"/>
        <v>3522.1</v>
      </c>
      <c r="D53" s="11">
        <f t="shared" si="6"/>
        <v>745.23184358974459</v>
      </c>
      <c r="E53" s="11">
        <f t="shared" si="7"/>
        <v>2776.8681564102553</v>
      </c>
      <c r="F53" s="9">
        <f t="shared" si="26"/>
        <v>382271.06559230754</v>
      </c>
      <c r="G53" s="10">
        <f t="shared" si="8"/>
        <v>7.0000000000000007E-2</v>
      </c>
      <c r="H53" s="10">
        <f t="shared" si="9"/>
        <v>1.7000000000000001E-2</v>
      </c>
      <c r="I53" s="48">
        <f t="shared" si="27"/>
        <v>8.7000000000000008E-2</v>
      </c>
      <c r="J53" s="11">
        <f t="shared" si="10"/>
        <v>20</v>
      </c>
      <c r="K53" s="11">
        <f>IF(B53&lt;&gt;"",IF($B$16=listy!$K$8,'RZĄDOWY PROGRAM'!$F$3*'RZĄDOWY PROGRAM'!$F$15,F52*$F$15),"")</f>
        <v>50</v>
      </c>
      <c r="L53" s="11">
        <f t="shared" si="28"/>
        <v>70</v>
      </c>
      <c r="N53" s="54">
        <f t="shared" si="48"/>
        <v>45505</v>
      </c>
      <c r="O53" s="8">
        <f t="shared" si="29"/>
        <v>26</v>
      </c>
      <c r="P53" s="8"/>
      <c r="Q53" s="11">
        <f>IF(O53&lt;&gt;"",ROUND(IF($F$11="raty równe",-PMT(W53/12,$F$4-O52+SUM($P$28:P53),T52,2),R53+S53),2),"")</f>
        <v>3522.1</v>
      </c>
      <c r="R53" s="11">
        <f>IF(O53&lt;&gt;"",IF($F$11="raty malejące",T52/($F$4-O52+SUM($P$28:P53)),IF(Q53-S53&gt;T52,T52,Q53-S53)),"")</f>
        <v>703.38543019038025</v>
      </c>
      <c r="S53" s="11">
        <f t="shared" si="68"/>
        <v>2818.7145698096197</v>
      </c>
      <c r="T53" s="9">
        <f t="shared" si="30"/>
        <v>388084.83109527436</v>
      </c>
      <c r="U53" s="10">
        <f t="shared" si="11"/>
        <v>7.0000000000000007E-2</v>
      </c>
      <c r="V53" s="10">
        <f t="shared" si="12"/>
        <v>1.7000000000000001E-2</v>
      </c>
      <c r="W53" s="48">
        <f t="shared" si="31"/>
        <v>8.7000000000000008E-2</v>
      </c>
      <c r="X53" s="11">
        <f t="shared" si="13"/>
        <v>20</v>
      </c>
      <c r="Y53" s="11">
        <f>IF(O53&lt;&gt;"",IF($B$16=listy!$K$8,'RZĄDOWY PROGRAM'!$F$3*'RZĄDOWY PROGRAM'!$F$15,T52*$F$15),"")</f>
        <v>50</v>
      </c>
      <c r="Z53" s="11">
        <f t="shared" si="32"/>
        <v>70</v>
      </c>
      <c r="AB53" s="8">
        <f t="shared" si="33"/>
        <v>26</v>
      </c>
      <c r="AC53" s="8"/>
      <c r="AD53" s="11">
        <f>IF(AB53&lt;&gt;"",ROUND(IF($F$11="raty równe",-PMT(W53/12,$F$4-AB52+SUM($AC$28:AC53),AG52,2),AE53+AF53),2),"")</f>
        <v>3280.39</v>
      </c>
      <c r="AE53" s="11">
        <f>IF(AB53&lt;&gt;"",IF($F$11="raty malejące",AG52/($F$4-AB52+SUM($AC$28:AC52)),MIN(AD53-AF53,AG52)),"")</f>
        <v>655.10975766323281</v>
      </c>
      <c r="AF53" s="11">
        <f t="shared" si="69"/>
        <v>2625.2802423367671</v>
      </c>
      <c r="AG53" s="9">
        <f t="shared" si="52"/>
        <v>361452.50987499428</v>
      </c>
      <c r="AH53" s="11"/>
      <c r="AI53" s="33">
        <f>IF(AB53&lt;&gt;"",ROUND(IF($F$11="raty równe",-PMT(W53/12,($F$4-AB52+SUM($AC$27:AC52)),AG52,2),AG52/($F$4-AB52+SUM($AC$27:AC52))+AG52*W53/12),2),"")</f>
        <v>3280.39</v>
      </c>
      <c r="AJ53" s="33">
        <f t="shared" si="34"/>
        <v>241.71000000000004</v>
      </c>
      <c r="AK53" s="33">
        <f t="shared" si="15"/>
        <v>4659.729663545766</v>
      </c>
      <c r="AL53" s="33">
        <f>IF(AB53&lt;&gt;"",AK53-SUM($AJ$28:AJ53),"")</f>
        <v>170.23966354576351</v>
      </c>
      <c r="AM53" s="11">
        <f t="shared" si="35"/>
        <v>20</v>
      </c>
      <c r="AN53" s="11">
        <f>IF(AB53&lt;&gt;"",IF($B$16=listy!$K$8,'RZĄDOWY PROGRAM'!$F$3*'RZĄDOWY PROGRAM'!$F$15,AG52*$F$15),"")</f>
        <v>50</v>
      </c>
      <c r="AO53" s="11">
        <f t="shared" si="36"/>
        <v>70</v>
      </c>
      <c r="AQ53" s="8">
        <f t="shared" si="37"/>
        <v>26</v>
      </c>
      <c r="AR53" s="8"/>
      <c r="AS53" s="78">
        <f>IF(AQ53&lt;&gt;"",ROUND(IF($F$11="raty równe",-PMT(W53/12,$F$4-AQ52+SUM($AR$28:AR53),AV52,2),AT53+AU53),2),"")</f>
        <v>3263.83</v>
      </c>
      <c r="AT53" s="78">
        <f>IF(AQ53&lt;&gt;"",IF($F$11="raty malejące",AV52/($F$4-AQ52+SUM($AR$28:AR52)),MIN(AS53-AU53,AV52)),"")</f>
        <v>651.80780038019566</v>
      </c>
      <c r="AU53" s="78">
        <f t="shared" si="53"/>
        <v>2612.0221996198043</v>
      </c>
      <c r="AV53" s="79">
        <f t="shared" si="38"/>
        <v>359627.11628511001</v>
      </c>
      <c r="AW53" s="11"/>
      <c r="AX53" s="33">
        <f>IF(AQ53&lt;&gt;"",ROUND(IF($F$11="raty równe",-PMT(W53/12,($F$4-AQ52+SUM($AR$27:AR52)),AV52,2),AV52/($F$4-AQ52+SUM($AR$27:AR52))+AV52*W53/12),2),"")</f>
        <v>3263.83</v>
      </c>
      <c r="AY53" s="33">
        <f t="shared" si="39"/>
        <v>258.27</v>
      </c>
      <c r="AZ53" s="33">
        <f t="shared" si="72"/>
        <v>2628.9975928412168</v>
      </c>
      <c r="BA53" s="33">
        <f>IF(AQ53&lt;&gt;"",AZ53-SUM($AY$44:AY53),"")</f>
        <v>46.307592841216774</v>
      </c>
      <c r="BB53" s="11">
        <f t="shared" si="40"/>
        <v>20</v>
      </c>
      <c r="BC53" s="11">
        <f>IF(AQ53&lt;&gt;"",IF($B$16=listy!$K$8,'RZĄDOWY PROGRAM'!$F$3*'RZĄDOWY PROGRAM'!$F$15,AV52*$F$15),"")</f>
        <v>50</v>
      </c>
      <c r="BD53" s="11">
        <f t="shared" si="41"/>
        <v>70</v>
      </c>
      <c r="BF53" s="8">
        <f t="shared" si="42"/>
        <v>26</v>
      </c>
      <c r="BG53" s="8"/>
      <c r="BH53" s="78">
        <f>IF(BF53&lt;&gt;"",ROUND(IF($F$11="raty równe",-PMT(W53/12,$F$4-BF52+SUM(BV$28:$BV53)-SUM($BM$29:BM53),BK52,2),BI53+BJ53),2),"")</f>
        <v>3522.1</v>
      </c>
      <c r="BI53" s="78">
        <f>IF(BF53&lt;&gt;"",IF($F$11="raty malejące",MIN(BK52/($F$4-BF52+SUM($BG$27:BG53)-SUM($BM$27:BM53)),BK52),MIN(BH53-BJ53,BK52)),"")</f>
        <v>929.44626909334647</v>
      </c>
      <c r="BJ53" s="78">
        <f t="shared" si="54"/>
        <v>2592.6537309066534</v>
      </c>
      <c r="BK53" s="79">
        <f t="shared" si="55"/>
        <v>356677.964890445</v>
      </c>
      <c r="BL53" s="11"/>
      <c r="BM53" s="33"/>
      <c r="BN53" s="33">
        <f t="shared" si="73"/>
        <v>0</v>
      </c>
      <c r="BO53" s="33">
        <f t="shared" si="74"/>
        <v>-5.0996640573633741E-2</v>
      </c>
      <c r="BP53" s="33">
        <f>IF(O53&lt;&gt;"",BO53-SUM($BN$44:BN53),"")</f>
        <v>-9.9664057481608365E-4</v>
      </c>
      <c r="BQ53" s="11">
        <f t="shared" si="17"/>
        <v>20</v>
      </c>
      <c r="BR53" s="11">
        <f>IF(BF53&lt;&gt;"",IF($B$16=listy!$K$8,'RZĄDOWY PROGRAM'!$F$3*'RZĄDOWY PROGRAM'!$F$15,BK52*$F$15),"")</f>
        <v>50</v>
      </c>
      <c r="BS53" s="11">
        <f t="shared" si="18"/>
        <v>70</v>
      </c>
      <c r="BU53" s="8">
        <f t="shared" si="44"/>
        <v>26</v>
      </c>
      <c r="BV53" s="8"/>
      <c r="BW53" s="78">
        <f>IF(BU53&lt;&gt;"",ROUND(IF($F$11="raty równe",-PMT(W53/12,$F$4-BU52+SUM($BV$28:BV53)-$CB$43,BZ52,2),BX53+BY53),2),"")</f>
        <v>3522.09</v>
      </c>
      <c r="BX53" s="78">
        <f>IF(BU53&lt;&gt;"",IF($F$11="raty malejące",MIN(BZ52/($F$4-BU52+SUM($BV$28:BV52)-SUM($CB$28:CB52)),BZ52),MIN(BW53-BY53,BZ52)),"")</f>
        <v>927.41661186418196</v>
      </c>
      <c r="BY53" s="78">
        <f t="shared" si="70"/>
        <v>2594.6733881358182</v>
      </c>
      <c r="BZ53" s="79">
        <f t="shared" si="71"/>
        <v>356958.56795859348</v>
      </c>
      <c r="CA53" s="11"/>
      <c r="CB53" s="33"/>
      <c r="CC53" s="33">
        <f t="shared" si="46"/>
        <v>9.9999999997635314E-3</v>
      </c>
      <c r="CD53" s="33">
        <f t="shared" si="75"/>
        <v>5.0796364934999783E-2</v>
      </c>
      <c r="CE53" s="33">
        <f>IF(O53&lt;&gt;"",CD53-SUM($CC$44:CC53),"")</f>
        <v>7.9636493618212567E-4</v>
      </c>
      <c r="CF53" s="11">
        <f t="shared" si="20"/>
        <v>20</v>
      </c>
      <c r="CG53" s="11">
        <f>IF(BU53&lt;&gt;"",IF($B$16=listy!$K$8,'RZĄDOWY PROGRAM'!$F$3*'RZĄDOWY PROGRAM'!$F$15,BZ52*$F$15),"")</f>
        <v>50</v>
      </c>
      <c r="CH53" s="11">
        <f t="shared" si="21"/>
        <v>70</v>
      </c>
      <c r="CJ53" s="48">
        <f t="shared" si="22"/>
        <v>0.06</v>
      </c>
      <c r="CK53" s="18">
        <f t="shared" si="23"/>
        <v>4.8675505653430484E-3</v>
      </c>
      <c r="CL53" s="11">
        <f t="shared" si="24"/>
        <v>0</v>
      </c>
      <c r="CM53" s="11">
        <f t="shared" si="25"/>
        <v>30309.645257010729</v>
      </c>
      <c r="CN53" s="11">
        <f>IF(AB53&lt;&gt;"",CM53-SUM($CL$28:CL53),"")</f>
        <v>2132.8852570107338</v>
      </c>
    </row>
    <row r="54" spans="1:92" x14ac:dyDescent="0.45">
      <c r="A54" s="68">
        <f t="shared" si="47"/>
        <v>45536</v>
      </c>
      <c r="B54" s="8">
        <f t="shared" si="4"/>
        <v>27</v>
      </c>
      <c r="C54" s="11">
        <f t="shared" si="5"/>
        <v>3522.09</v>
      </c>
      <c r="D54" s="11">
        <f t="shared" si="6"/>
        <v>750.62477445576997</v>
      </c>
      <c r="E54" s="11">
        <f t="shared" si="7"/>
        <v>2771.4652255442302</v>
      </c>
      <c r="F54" s="9">
        <f t="shared" si="26"/>
        <v>381520.44081785175</v>
      </c>
      <c r="G54" s="10">
        <f t="shared" si="8"/>
        <v>7.0000000000000007E-2</v>
      </c>
      <c r="H54" s="10">
        <f t="shared" si="9"/>
        <v>1.7000000000000001E-2</v>
      </c>
      <c r="I54" s="48">
        <f t="shared" si="27"/>
        <v>8.7000000000000008E-2</v>
      </c>
      <c r="J54" s="11">
        <f t="shared" si="10"/>
        <v>20</v>
      </c>
      <c r="K54" s="11">
        <f>IF(B54&lt;&gt;"",IF($B$16=listy!$K$8,'RZĄDOWY PROGRAM'!$F$3*'RZĄDOWY PROGRAM'!$F$15,F53*$F$15),"")</f>
        <v>50</v>
      </c>
      <c r="L54" s="11">
        <f t="shared" si="28"/>
        <v>70</v>
      </c>
      <c r="N54" s="54">
        <f t="shared" si="48"/>
        <v>45536</v>
      </c>
      <c r="O54" s="8">
        <f t="shared" si="29"/>
        <v>27</v>
      </c>
      <c r="P54" s="8"/>
      <c r="Q54" s="11">
        <f>IF(O54&lt;&gt;"",ROUND(IF($F$11="raty równe",-PMT(W54/12,$F$4-O53+SUM($P$28:P54),T53,2),R54+S54),2),"")</f>
        <v>3522.09</v>
      </c>
      <c r="R54" s="11">
        <f>IF(O54&lt;&gt;"",IF($F$11="raty malejące",T53/($F$4-O53+SUM($P$28:P54)),IF(Q54-S54&gt;T53,T53,Q54-S54)),"")</f>
        <v>708.47497455926032</v>
      </c>
      <c r="S54" s="11">
        <f t="shared" si="68"/>
        <v>2813.6150254407398</v>
      </c>
      <c r="T54" s="9">
        <f t="shared" si="30"/>
        <v>387376.35612071509</v>
      </c>
      <c r="U54" s="10">
        <f t="shared" si="11"/>
        <v>7.0000000000000007E-2</v>
      </c>
      <c r="V54" s="10">
        <f t="shared" si="12"/>
        <v>1.7000000000000001E-2</v>
      </c>
      <c r="W54" s="48">
        <f t="shared" si="31"/>
        <v>8.7000000000000008E-2</v>
      </c>
      <c r="X54" s="11">
        <f t="shared" si="13"/>
        <v>20</v>
      </c>
      <c r="Y54" s="11">
        <f>IF(O54&lt;&gt;"",IF($B$16=listy!$K$8,'RZĄDOWY PROGRAM'!$F$3*'RZĄDOWY PROGRAM'!$F$15,T53*$F$15),"")</f>
        <v>50</v>
      </c>
      <c r="Z54" s="11">
        <f t="shared" si="32"/>
        <v>70</v>
      </c>
      <c r="AB54" s="8">
        <f t="shared" si="33"/>
        <v>27</v>
      </c>
      <c r="AC54" s="8"/>
      <c r="AD54" s="11">
        <f>IF(AB54&lt;&gt;"",ROUND(IF($F$11="raty równe",-PMT(W54/12,$F$4-AB53+SUM($AC$28:AC54),AG53,2),AE54+AF54),2),"")</f>
        <v>3280.39</v>
      </c>
      <c r="AE54" s="11">
        <f>IF(AB54&lt;&gt;"",IF($F$11="raty malejące",AG53/($F$4-AB53+SUM($AC$28:AC53)),MIN(AD54-AF54,AG53)),"")</f>
        <v>659.85930340629102</v>
      </c>
      <c r="AF54" s="11">
        <f t="shared" si="69"/>
        <v>2620.5306965937089</v>
      </c>
      <c r="AG54" s="9">
        <f t="shared" si="52"/>
        <v>360792.65057158802</v>
      </c>
      <c r="AH54" s="11"/>
      <c r="AI54" s="33">
        <f>IF(AB54&lt;&gt;"",ROUND(IF($F$11="raty równe",-PMT(W54/12,($F$4-AB53+SUM($AC$27:AC53)),AG53,2),AG53/($F$4-AB53+SUM($AC$27:AC53))+AG53*W54/12),2),"")</f>
        <v>3280.39</v>
      </c>
      <c r="AJ54" s="33">
        <f t="shared" si="34"/>
        <v>241.70000000000027</v>
      </c>
      <c r="AK54" s="33">
        <f t="shared" si="15"/>
        <v>4919.8016540498593</v>
      </c>
      <c r="AL54" s="33">
        <f>IF(AB54&lt;&gt;"",AK54-SUM($AJ$28:AJ54),"")</f>
        <v>188.61165404985695</v>
      </c>
      <c r="AM54" s="11">
        <f t="shared" si="35"/>
        <v>20</v>
      </c>
      <c r="AN54" s="11">
        <f>IF(AB54&lt;&gt;"",IF($B$16=listy!$K$8,'RZĄDOWY PROGRAM'!$F$3*'RZĄDOWY PROGRAM'!$F$15,AG53*$F$15),"")</f>
        <v>50</v>
      </c>
      <c r="AO54" s="11">
        <f t="shared" si="36"/>
        <v>70</v>
      </c>
      <c r="AQ54" s="8">
        <f t="shared" si="37"/>
        <v>27</v>
      </c>
      <c r="AR54" s="8"/>
      <c r="AS54" s="78">
        <f>IF(AQ54&lt;&gt;"",ROUND(IF($F$11="raty równe",-PMT(W54/12,$F$4-AQ53+SUM($AR$28:AR54),AV53,2),AT54+AU54),2),"")</f>
        <v>3263.82</v>
      </c>
      <c r="AT54" s="78">
        <f>IF(AQ54&lt;&gt;"",IF($F$11="raty malejące",AV53/($F$4-AQ53+SUM($AR$28:AR53)),MIN(AS54-AU54,AV53)),"")</f>
        <v>656.52340693295264</v>
      </c>
      <c r="AU54" s="78">
        <f t="shared" si="53"/>
        <v>2607.2965930670475</v>
      </c>
      <c r="AV54" s="79">
        <f t="shared" si="38"/>
        <v>358970.59287817706</v>
      </c>
      <c r="AW54" s="11"/>
      <c r="AX54" s="33">
        <f>IF(AQ54&lt;&gt;"",ROUND(IF($F$11="raty równe",-PMT(W54/12,($F$4-AQ53+SUM($AR$27:AR53)),AV53,2),AV53/($F$4-AQ53+SUM($AR$27:AR53))+AV53*W54/12),2),"")</f>
        <v>3263.82</v>
      </c>
      <c r="AY54" s="33">
        <f t="shared" si="39"/>
        <v>258.27</v>
      </c>
      <c r="AZ54" s="33">
        <f t="shared" si="72"/>
        <v>2897.6329836038663</v>
      </c>
      <c r="BA54" s="33">
        <f>IF(AQ54&lt;&gt;"",AZ54-SUM($AY$44:AY54),"")</f>
        <v>56.672983603866214</v>
      </c>
      <c r="BB54" s="11">
        <f t="shared" si="40"/>
        <v>20</v>
      </c>
      <c r="BC54" s="11">
        <f>IF(AQ54&lt;&gt;"",IF($B$16=listy!$K$8,'RZĄDOWY PROGRAM'!$F$3*'RZĄDOWY PROGRAM'!$F$15,AV53*$F$15),"")</f>
        <v>50</v>
      </c>
      <c r="BD54" s="11">
        <f t="shared" si="41"/>
        <v>70</v>
      </c>
      <c r="BF54" s="8">
        <f t="shared" si="42"/>
        <v>27</v>
      </c>
      <c r="BG54" s="8"/>
      <c r="BH54" s="78">
        <f>IF(BF54&lt;&gt;"",ROUND(IF($F$11="raty równe",-PMT(W54/12,$F$4-BF53+SUM(BV$28:$BV54)-SUM($BM$29:BM54),BK53,2),BI54+BJ54),2),"")</f>
        <v>3522.1</v>
      </c>
      <c r="BI54" s="78">
        <f>IF(BF54&lt;&gt;"",IF($F$11="raty malejące",MIN(BK53/($F$4-BF53+SUM($BG$27:BG54)-SUM($BM$27:BM54)),BK53),MIN(BH54-BJ54,BK53)),"")</f>
        <v>936.18475454427335</v>
      </c>
      <c r="BJ54" s="78">
        <f t="shared" si="54"/>
        <v>2585.9152454557266</v>
      </c>
      <c r="BK54" s="79">
        <f t="shared" si="55"/>
        <v>355741.78013590071</v>
      </c>
      <c r="BL54" s="11"/>
      <c r="BM54" s="33"/>
      <c r="BN54" s="33">
        <f t="shared" si="73"/>
        <v>-9.9999999997635314E-3</v>
      </c>
      <c r="BO54" s="33">
        <f t="shared" si="74"/>
        <v>-6.1197705841987651E-2</v>
      </c>
      <c r="BP54" s="33">
        <f>IF(O54&lt;&gt;"",BO54-SUM($BN$44:BN54),"")</f>
        <v>-1.197705843406463E-3</v>
      </c>
      <c r="BQ54" s="11">
        <f t="shared" si="17"/>
        <v>20</v>
      </c>
      <c r="BR54" s="11">
        <f>IF(BF54&lt;&gt;"",IF($B$16=listy!$K$8,'RZĄDOWY PROGRAM'!$F$3*'RZĄDOWY PROGRAM'!$F$15,BK53*$F$15),"")</f>
        <v>50</v>
      </c>
      <c r="BS54" s="11">
        <f t="shared" si="18"/>
        <v>70</v>
      </c>
      <c r="BU54" s="8">
        <f t="shared" si="44"/>
        <v>27</v>
      </c>
      <c r="BV54" s="8"/>
      <c r="BW54" s="78">
        <f>IF(BU54&lt;&gt;"",ROUND(IF($F$11="raty równe",-PMT(W54/12,$F$4-BU53+SUM($BV$28:BV54)-$CB$43,BZ53,2),BX54+BY54),2),"")</f>
        <v>3522.09</v>
      </c>
      <c r="BX54" s="78">
        <f>IF(BU54&lt;&gt;"",IF($F$11="raty malejące",MIN(BZ53/($F$4-BU53+SUM($BV$28:BV53)-SUM($CB$28:CB53)),BZ53),MIN(BW54-BY54,BZ53)),"")</f>
        <v>934.14038230019696</v>
      </c>
      <c r="BY54" s="78">
        <f t="shared" si="70"/>
        <v>2587.9496176998032</v>
      </c>
      <c r="BZ54" s="79">
        <f t="shared" si="71"/>
        <v>356024.4275762933</v>
      </c>
      <c r="CA54" s="11"/>
      <c r="CB54" s="33"/>
      <c r="CC54" s="33">
        <f t="shared" si="46"/>
        <v>0</v>
      </c>
      <c r="CD54" s="33">
        <f t="shared" si="75"/>
        <v>5.0996640573633741E-2</v>
      </c>
      <c r="CE54" s="33">
        <f>IF(O54&lt;&gt;"",CD54-SUM($CC$44:CC54),"")</f>
        <v>9.9664057481608365E-4</v>
      </c>
      <c r="CF54" s="11">
        <f t="shared" si="20"/>
        <v>20</v>
      </c>
      <c r="CG54" s="11">
        <f>IF(BU54&lt;&gt;"",IF($B$16=listy!$K$8,'RZĄDOWY PROGRAM'!$F$3*'RZĄDOWY PROGRAM'!$F$15,BZ53*$F$15),"")</f>
        <v>50</v>
      </c>
      <c r="CH54" s="11">
        <f t="shared" si="21"/>
        <v>70</v>
      </c>
      <c r="CJ54" s="48">
        <f t="shared" si="22"/>
        <v>0.06</v>
      </c>
      <c r="CK54" s="18">
        <f t="shared" si="23"/>
        <v>4.8675505653430484E-3</v>
      </c>
      <c r="CL54" s="11">
        <f t="shared" si="24"/>
        <v>0</v>
      </c>
      <c r="CM54" s="11">
        <f t="shared" si="25"/>
        <v>30429.147579044678</v>
      </c>
      <c r="CN54" s="11">
        <f>IF(AB54&lt;&gt;"",CM54-SUM($CL$28:CL54),"")</f>
        <v>2252.3875790446837</v>
      </c>
    </row>
    <row r="55" spans="1:92" x14ac:dyDescent="0.45">
      <c r="A55" s="68">
        <f t="shared" si="47"/>
        <v>45566</v>
      </c>
      <c r="B55" s="8">
        <f t="shared" si="4"/>
        <v>28</v>
      </c>
      <c r="C55" s="11">
        <f t="shared" si="5"/>
        <v>3522.1</v>
      </c>
      <c r="D55" s="11">
        <f t="shared" si="6"/>
        <v>756.07680407057478</v>
      </c>
      <c r="E55" s="11">
        <f t="shared" si="7"/>
        <v>2766.0231959294251</v>
      </c>
      <c r="F55" s="9">
        <f t="shared" si="26"/>
        <v>380764.36401378119</v>
      </c>
      <c r="G55" s="10">
        <f t="shared" si="8"/>
        <v>7.0000000000000007E-2</v>
      </c>
      <c r="H55" s="10">
        <f t="shared" si="9"/>
        <v>1.7000000000000001E-2</v>
      </c>
      <c r="I55" s="48">
        <f t="shared" si="27"/>
        <v>8.7000000000000008E-2</v>
      </c>
      <c r="J55" s="11">
        <f t="shared" si="10"/>
        <v>20</v>
      </c>
      <c r="K55" s="11">
        <f>IF(B55&lt;&gt;"",IF($B$16=listy!$K$8,'RZĄDOWY PROGRAM'!$F$3*'RZĄDOWY PROGRAM'!$F$15,F54*$F$15),"")</f>
        <v>50</v>
      </c>
      <c r="L55" s="11">
        <f t="shared" si="28"/>
        <v>70</v>
      </c>
      <c r="N55" s="54">
        <f t="shared" si="48"/>
        <v>45566</v>
      </c>
      <c r="O55" s="8">
        <f t="shared" si="29"/>
        <v>28</v>
      </c>
      <c r="P55" s="8"/>
      <c r="Q55" s="11">
        <f>IF(O55&lt;&gt;"",ROUND(IF($F$11="raty równe",-PMT(W55/12,$F$4-O54+SUM($P$28:P55),T54,2),R55+S55),2),"")</f>
        <v>3522.1</v>
      </c>
      <c r="R55" s="11">
        <f>IF(O55&lt;&gt;"",IF($F$11="raty malejące",T54/($F$4-O54+SUM($P$28:P55)),IF(Q55-S55&gt;T54,T54,Q55-S55)),"")</f>
        <v>713.62141812481514</v>
      </c>
      <c r="S55" s="11">
        <f t="shared" si="68"/>
        <v>2808.4785818751848</v>
      </c>
      <c r="T55" s="9">
        <f t="shared" si="30"/>
        <v>386662.73470259027</v>
      </c>
      <c r="U55" s="10">
        <f t="shared" si="11"/>
        <v>7.0000000000000007E-2</v>
      </c>
      <c r="V55" s="10">
        <f t="shared" si="12"/>
        <v>1.7000000000000001E-2</v>
      </c>
      <c r="W55" s="48">
        <f t="shared" si="31"/>
        <v>8.7000000000000008E-2</v>
      </c>
      <c r="X55" s="11">
        <f t="shared" si="13"/>
        <v>20</v>
      </c>
      <c r="Y55" s="11">
        <f>IF(O55&lt;&gt;"",IF($B$16=listy!$K$8,'RZĄDOWY PROGRAM'!$F$3*'RZĄDOWY PROGRAM'!$F$15,T54*$F$15),"")</f>
        <v>50</v>
      </c>
      <c r="Z55" s="11">
        <f t="shared" si="32"/>
        <v>70</v>
      </c>
      <c r="AB55" s="8">
        <f t="shared" si="33"/>
        <v>28</v>
      </c>
      <c r="AC55" s="8"/>
      <c r="AD55" s="11">
        <f>IF(AB55&lt;&gt;"",ROUND(IF($F$11="raty równe",-PMT(W55/12,$F$4-AB54+SUM($AC$28:AC55),AG54,2),AE55+AF55),2),"")</f>
        <v>3280.39</v>
      </c>
      <c r="AE55" s="11">
        <f>IF(AB55&lt;&gt;"",IF($F$11="raty malejące",AG54/($F$4-AB54+SUM($AC$28:AC54)),MIN(AD55-AF55,AG54)),"")</f>
        <v>664.64328335598657</v>
      </c>
      <c r="AF55" s="11">
        <f t="shared" si="69"/>
        <v>2615.7467166440133</v>
      </c>
      <c r="AG55" s="9">
        <f t="shared" si="52"/>
        <v>360128.00728823204</v>
      </c>
      <c r="AH55" s="11"/>
      <c r="AI55" s="33">
        <f>IF(AB55&lt;&gt;"",ROUND(IF($F$11="raty równe",-PMT(W55/12,($F$4-AB54+SUM($AC$27:AC54)),AG54,2),AG54/($F$4-AB54+SUM($AC$27:AC54))+AG54*W55/12),2),"")</f>
        <v>3280.39</v>
      </c>
      <c r="AJ55" s="33">
        <f t="shared" si="34"/>
        <v>241.71000000000004</v>
      </c>
      <c r="AK55" s="33">
        <f t="shared" si="15"/>
        <v>5180.9090345411223</v>
      </c>
      <c r="AL55" s="33">
        <f>IF(AB55&lt;&gt;"",AK55-SUM($AJ$28:AJ55),"")</f>
        <v>208.00903454111995</v>
      </c>
      <c r="AM55" s="11">
        <f t="shared" si="35"/>
        <v>20</v>
      </c>
      <c r="AN55" s="11">
        <f>IF(AB55&lt;&gt;"",IF($B$16=listy!$K$8,'RZĄDOWY PROGRAM'!$F$3*'RZĄDOWY PROGRAM'!$F$15,AG54*$F$15),"")</f>
        <v>50</v>
      </c>
      <c r="AO55" s="11">
        <f t="shared" si="36"/>
        <v>70</v>
      </c>
      <c r="AQ55" s="8">
        <f t="shared" si="37"/>
        <v>28</v>
      </c>
      <c r="AR55" s="8"/>
      <c r="AS55" s="78">
        <f>IF(AQ55&lt;&gt;"",ROUND(IF($F$11="raty równe",-PMT(W55/12,$F$4-AQ54+SUM($AR$28:AR55),AV54,2),AT55+AU55),2),"")</f>
        <v>3263.83</v>
      </c>
      <c r="AT55" s="78">
        <f>IF(AQ55&lt;&gt;"",IF($F$11="raty malejące",AV54/($F$4-AQ54+SUM($AR$28:AR54)),MIN(AS55-AU55,AV54)),"")</f>
        <v>661.29320163321609</v>
      </c>
      <c r="AU55" s="78">
        <f t="shared" si="53"/>
        <v>2602.5367983667838</v>
      </c>
      <c r="AV55" s="79">
        <f t="shared" si="38"/>
        <v>358309.29967654386</v>
      </c>
      <c r="AW55" s="11"/>
      <c r="AX55" s="33">
        <f>IF(AQ55&lt;&gt;"",ROUND(IF($F$11="raty równe",-PMT(W55/12,($F$4-AQ54+SUM($AR$27:AR54)),AV54,2),AV54/($F$4-AQ54+SUM($AR$27:AR54))+AV54*W55/12),2),"")</f>
        <v>3263.83</v>
      </c>
      <c r="AY55" s="33">
        <f t="shared" si="39"/>
        <v>258.27</v>
      </c>
      <c r="AZ55" s="33">
        <f t="shared" si="72"/>
        <v>3167.3275274085395</v>
      </c>
      <c r="BA55" s="33">
        <f>IF(AQ55&lt;&gt;"",AZ55-SUM($AY$44:AY55),"")</f>
        <v>68.097527408539463</v>
      </c>
      <c r="BB55" s="11">
        <f t="shared" si="40"/>
        <v>20</v>
      </c>
      <c r="BC55" s="11">
        <f>IF(AQ55&lt;&gt;"",IF($B$16=listy!$K$8,'RZĄDOWY PROGRAM'!$F$3*'RZĄDOWY PROGRAM'!$F$15,AV54*$F$15),"")</f>
        <v>50</v>
      </c>
      <c r="BD55" s="11">
        <f t="shared" si="41"/>
        <v>70</v>
      </c>
      <c r="BF55" s="8">
        <f t="shared" si="42"/>
        <v>28</v>
      </c>
      <c r="BG55" s="8"/>
      <c r="BH55" s="78">
        <f>IF(BF55&lt;&gt;"",ROUND(IF($F$11="raty równe",-PMT(W55/12,$F$4-BF54+SUM(BV$28:$BV55)-SUM($BM$29:BM55),BK54,2),BI55+BJ55),2),"")</f>
        <v>3522.1</v>
      </c>
      <c r="BI55" s="78">
        <f>IF(BF55&lt;&gt;"",IF($F$11="raty malejące",MIN(BK54/($F$4-BF54+SUM($BG$27:BG55)-SUM($BM$27:BM55)),BK54),MIN(BH55-BJ55,BK54)),"")</f>
        <v>942.97209401471946</v>
      </c>
      <c r="BJ55" s="78">
        <f t="shared" si="54"/>
        <v>2579.1279059852804</v>
      </c>
      <c r="BK55" s="79">
        <f t="shared" si="55"/>
        <v>354798.80804188602</v>
      </c>
      <c r="BL55" s="11"/>
      <c r="BM55" s="33"/>
      <c r="BN55" s="33">
        <f t="shared" si="73"/>
        <v>0</v>
      </c>
      <c r="BO55" s="33">
        <f t="shared" si="74"/>
        <v>-6.143899101339944E-2</v>
      </c>
      <c r="BP55" s="33">
        <f>IF(O55&lt;&gt;"",BO55-SUM($BN$44:BN55),"")</f>
        <v>-1.4389910148182514E-3</v>
      </c>
      <c r="BQ55" s="11">
        <f t="shared" si="17"/>
        <v>20</v>
      </c>
      <c r="BR55" s="11">
        <f>IF(BF55&lt;&gt;"",IF($B$16=listy!$K$8,'RZĄDOWY PROGRAM'!$F$3*'RZĄDOWY PROGRAM'!$F$15,BK54*$F$15),"")</f>
        <v>50</v>
      </c>
      <c r="BS55" s="11">
        <f t="shared" si="18"/>
        <v>70</v>
      </c>
      <c r="BU55" s="8">
        <f t="shared" si="44"/>
        <v>28</v>
      </c>
      <c r="BV55" s="8"/>
      <c r="BW55" s="78">
        <f>IF(BU55&lt;&gt;"",ROUND(IF($F$11="raty równe",-PMT(W55/12,$F$4-BU54+SUM($BV$28:BV55)-$CB$43,BZ54,2),BX55+BY55),2),"")</f>
        <v>3522.09</v>
      </c>
      <c r="BX55" s="78">
        <f>IF(BU55&lt;&gt;"",IF($F$11="raty malejące",MIN(BZ54/($F$4-BU54+SUM($BV$28:BV54)-SUM($CB$28:CB54)),BZ54),MIN(BW55-BY55,BZ54)),"")</f>
        <v>940.91290007187354</v>
      </c>
      <c r="BY55" s="78">
        <f t="shared" si="70"/>
        <v>2581.1770999281266</v>
      </c>
      <c r="BZ55" s="79">
        <f t="shared" si="71"/>
        <v>355083.51467622141</v>
      </c>
      <c r="CA55" s="11"/>
      <c r="CB55" s="33"/>
      <c r="CC55" s="33">
        <f t="shared" si="46"/>
        <v>9.9999999997635314E-3</v>
      </c>
      <c r="CD55" s="33">
        <f t="shared" si="75"/>
        <v>6.1197705841987651E-2</v>
      </c>
      <c r="CE55" s="33">
        <f>IF(O55&lt;&gt;"",CD55-SUM($CC$44:CC55),"")</f>
        <v>1.197705843406463E-3</v>
      </c>
      <c r="CF55" s="11">
        <f t="shared" si="20"/>
        <v>20</v>
      </c>
      <c r="CG55" s="11">
        <f>IF(BU55&lt;&gt;"",IF($B$16=listy!$K$8,'RZĄDOWY PROGRAM'!$F$3*'RZĄDOWY PROGRAM'!$F$15,BZ54*$F$15),"")</f>
        <v>50</v>
      </c>
      <c r="CH55" s="11">
        <f t="shared" si="21"/>
        <v>70</v>
      </c>
      <c r="CJ55" s="48">
        <f t="shared" si="22"/>
        <v>0.06</v>
      </c>
      <c r="CK55" s="18">
        <f t="shared" si="23"/>
        <v>4.8675505653430484E-3</v>
      </c>
      <c r="CL55" s="11">
        <f t="shared" si="24"/>
        <v>0</v>
      </c>
      <c r="CM55" s="11">
        <f t="shared" si="25"/>
        <v>30549.121064790721</v>
      </c>
      <c r="CN55" s="11">
        <f>IF(AB55&lt;&gt;"",CM55-SUM($CL$28:CL55),"")</f>
        <v>2372.3610647907262</v>
      </c>
    </row>
    <row r="56" spans="1:92" x14ac:dyDescent="0.45">
      <c r="A56" s="68">
        <f t="shared" si="47"/>
        <v>45597</v>
      </c>
      <c r="B56" s="8">
        <f t="shared" si="4"/>
        <v>29</v>
      </c>
      <c r="C56" s="11">
        <f t="shared" si="5"/>
        <v>3522.09</v>
      </c>
      <c r="D56" s="11">
        <f t="shared" si="6"/>
        <v>761.54836090008621</v>
      </c>
      <c r="E56" s="11">
        <f t="shared" si="7"/>
        <v>2760.5416390999139</v>
      </c>
      <c r="F56" s="9">
        <f t="shared" si="26"/>
        <v>380002.81565288111</v>
      </c>
      <c r="G56" s="10">
        <f t="shared" si="8"/>
        <v>7.0000000000000007E-2</v>
      </c>
      <c r="H56" s="10">
        <f t="shared" si="9"/>
        <v>1.7000000000000001E-2</v>
      </c>
      <c r="I56" s="48">
        <f t="shared" si="27"/>
        <v>8.7000000000000008E-2</v>
      </c>
      <c r="J56" s="11">
        <f t="shared" si="10"/>
        <v>20</v>
      </c>
      <c r="K56" s="11">
        <f>IF(B56&lt;&gt;"",IF($B$16=listy!$K$8,'RZĄDOWY PROGRAM'!$F$3*'RZĄDOWY PROGRAM'!$F$15,F55*$F$15),"")</f>
        <v>50</v>
      </c>
      <c r="L56" s="11">
        <f t="shared" si="28"/>
        <v>70</v>
      </c>
      <c r="N56" s="54">
        <f t="shared" si="48"/>
        <v>45597</v>
      </c>
      <c r="O56" s="8">
        <f t="shared" si="29"/>
        <v>29</v>
      </c>
      <c r="P56" s="8"/>
      <c r="Q56" s="11">
        <f>IF(O56&lt;&gt;"",ROUND(IF($F$11="raty równe",-PMT(W56/12,$F$4-O55+SUM($P$28:P56),T55,2),R56+S56),2),"")</f>
        <v>3522.09</v>
      </c>
      <c r="R56" s="11">
        <f>IF(O56&lt;&gt;"",IF($F$11="raty malejące",T55/($F$4-O55+SUM($P$28:P56)),IF(Q56-S56&gt;T55,T55,Q56-S56)),"")</f>
        <v>718.78517340622057</v>
      </c>
      <c r="S56" s="11">
        <f t="shared" si="68"/>
        <v>2803.3048265937796</v>
      </c>
      <c r="T56" s="9">
        <f t="shared" si="30"/>
        <v>385943.94952918403</v>
      </c>
      <c r="U56" s="10">
        <f t="shared" si="11"/>
        <v>7.0000000000000007E-2</v>
      </c>
      <c r="V56" s="10">
        <f t="shared" si="12"/>
        <v>1.7000000000000001E-2</v>
      </c>
      <c r="W56" s="48">
        <f t="shared" si="31"/>
        <v>8.7000000000000008E-2</v>
      </c>
      <c r="X56" s="11">
        <f t="shared" si="13"/>
        <v>20</v>
      </c>
      <c r="Y56" s="11">
        <f>IF(O56&lt;&gt;"",IF($B$16=listy!$K$8,'RZĄDOWY PROGRAM'!$F$3*'RZĄDOWY PROGRAM'!$F$15,T55*$F$15),"")</f>
        <v>50</v>
      </c>
      <c r="Z56" s="11">
        <f t="shared" si="32"/>
        <v>70</v>
      </c>
      <c r="AB56" s="8">
        <f t="shared" si="33"/>
        <v>29</v>
      </c>
      <c r="AC56" s="8"/>
      <c r="AD56" s="11">
        <f>IF(AB56&lt;&gt;"",ROUND(IF($F$11="raty równe",-PMT(W56/12,$F$4-AB55+SUM($AC$28:AC56),AG55,2),AE56+AF56),2),"")</f>
        <v>3280.39</v>
      </c>
      <c r="AE56" s="11">
        <f>IF(AB56&lt;&gt;"",IF($F$11="raty malejące",AG55/($F$4-AB55+SUM($AC$28:AC55)),MIN(AD56-AF56,AG55)),"")</f>
        <v>669.46194716031732</v>
      </c>
      <c r="AF56" s="11">
        <f t="shared" si="69"/>
        <v>2610.9280528396826</v>
      </c>
      <c r="AG56" s="9">
        <f t="shared" si="52"/>
        <v>359458.54534107173</v>
      </c>
      <c r="AH56" s="11"/>
      <c r="AI56" s="33">
        <f>IF(AB56&lt;&gt;"",ROUND(IF($F$11="raty równe",-PMT(W56/12,($F$4-AB55+SUM($AC$27:AC55)),AG55,2),AG55/($F$4-AB55+SUM($AC$27:AC55))+AG55*W56/12),2),"")</f>
        <v>3280.39</v>
      </c>
      <c r="AJ56" s="33">
        <f t="shared" si="34"/>
        <v>241.70000000000027</v>
      </c>
      <c r="AK56" s="33">
        <f t="shared" si="15"/>
        <v>5443.0358872681809</v>
      </c>
      <c r="AL56" s="33">
        <f>IF(AB56&lt;&gt;"",AK56-SUM($AJ$28:AJ56),"")</f>
        <v>228.4358872681787</v>
      </c>
      <c r="AM56" s="11">
        <f t="shared" si="35"/>
        <v>20</v>
      </c>
      <c r="AN56" s="11">
        <f>IF(AB56&lt;&gt;"",IF($B$16=listy!$K$8,'RZĄDOWY PROGRAM'!$F$3*'RZĄDOWY PROGRAM'!$F$15,AG55*$F$15),"")</f>
        <v>50</v>
      </c>
      <c r="AO56" s="11">
        <f t="shared" si="36"/>
        <v>70</v>
      </c>
      <c r="AQ56" s="8">
        <f t="shared" si="37"/>
        <v>29</v>
      </c>
      <c r="AR56" s="8"/>
      <c r="AS56" s="78">
        <f>IF(AQ56&lt;&gt;"",ROUND(IF($F$11="raty równe",-PMT(W56/12,$F$4-AQ55+SUM($AR$28:AR56),AV55,2),AT56+AU56),2),"")</f>
        <v>3263.82</v>
      </c>
      <c r="AT56" s="78">
        <f>IF(AQ56&lt;&gt;"",IF($F$11="raty malejące",AV55/($F$4-AQ55+SUM($AR$28:AR55)),MIN(AS56-AU56,AV55)),"")</f>
        <v>666.07757734505685</v>
      </c>
      <c r="AU56" s="78">
        <f t="shared" si="53"/>
        <v>2597.7424226549433</v>
      </c>
      <c r="AV56" s="79">
        <f t="shared" si="38"/>
        <v>357643.22209919879</v>
      </c>
      <c r="AW56" s="11"/>
      <c r="AX56" s="33">
        <f>IF(AQ56&lt;&gt;"",ROUND(IF($F$11="raty równe",-PMT(W56/12,($F$4-AQ55+SUM($AR$27:AR55)),AV55,2),AV55/($F$4-AQ55+SUM($AR$27:AR55))+AV55*W56/12),2),"")</f>
        <v>3263.82</v>
      </c>
      <c r="AY56" s="33">
        <f t="shared" si="39"/>
        <v>258.27</v>
      </c>
      <c r="AZ56" s="33">
        <f t="shared" si="72"/>
        <v>3438.0854001948373</v>
      </c>
      <c r="BA56" s="33">
        <f>IF(AQ56&lt;&gt;"",AZ56-SUM($AY$44:AY56),"")</f>
        <v>80.585400194837348</v>
      </c>
      <c r="BB56" s="11">
        <f t="shared" si="40"/>
        <v>20</v>
      </c>
      <c r="BC56" s="11">
        <f>IF(AQ56&lt;&gt;"",IF($B$16=listy!$K$8,'RZĄDOWY PROGRAM'!$F$3*'RZĄDOWY PROGRAM'!$F$15,AV55*$F$15),"")</f>
        <v>50</v>
      </c>
      <c r="BD56" s="11">
        <f t="shared" si="41"/>
        <v>70</v>
      </c>
      <c r="BF56" s="8">
        <f t="shared" si="42"/>
        <v>29</v>
      </c>
      <c r="BG56" s="8"/>
      <c r="BH56" s="78">
        <f>IF(BF56&lt;&gt;"",ROUND(IF($F$11="raty równe",-PMT(W56/12,$F$4-BF55+SUM(BV$28:$BV56)-SUM($BM$29:BM56),BK55,2),BI56+BJ56),2),"")</f>
        <v>3522.1</v>
      </c>
      <c r="BI56" s="78">
        <f>IF(BF56&lt;&gt;"",IF($F$11="raty malejące",MIN(BK55/($F$4-BF55+SUM($BG$27:BG56)-SUM($BM$27:BM56)),BK55),MIN(BH56-BJ56,BK55)),"")</f>
        <v>949.80864169632605</v>
      </c>
      <c r="BJ56" s="78">
        <f t="shared" si="54"/>
        <v>2572.2913583036739</v>
      </c>
      <c r="BK56" s="79">
        <f t="shared" si="55"/>
        <v>353848.99940018967</v>
      </c>
      <c r="BL56" s="11"/>
      <c r="BM56" s="33"/>
      <c r="BN56" s="33">
        <f t="shared" si="73"/>
        <v>-9.9999999997635314E-3</v>
      </c>
      <c r="BO56" s="33">
        <f t="shared" si="74"/>
        <v>-7.1681227503470502E-2</v>
      </c>
      <c r="BP56" s="33">
        <f>IF(O56&lt;&gt;"",BO56-SUM($BN$44:BN56),"")</f>
        <v>-1.6812275051257819E-3</v>
      </c>
      <c r="BQ56" s="11">
        <f t="shared" si="17"/>
        <v>20</v>
      </c>
      <c r="BR56" s="11">
        <f>IF(BF56&lt;&gt;"",IF($B$16=listy!$K$8,'RZĄDOWY PROGRAM'!$F$3*'RZĄDOWY PROGRAM'!$F$15,BK55*$F$15),"")</f>
        <v>50</v>
      </c>
      <c r="BS56" s="11">
        <f t="shared" si="18"/>
        <v>70</v>
      </c>
      <c r="BU56" s="8">
        <f t="shared" si="44"/>
        <v>29</v>
      </c>
      <c r="BV56" s="8"/>
      <c r="BW56" s="78">
        <f>IF(BU56&lt;&gt;"",ROUND(IF($F$11="raty równe",-PMT(W56/12,$F$4-BU55+SUM($BV$28:BV56)-$CB$43,BZ55,2),BX56+BY56),2),"")</f>
        <v>3522.09</v>
      </c>
      <c r="BX56" s="78">
        <f>IF(BU56&lt;&gt;"",IF($F$11="raty malejące",MIN(BZ55/($F$4-BU55+SUM($BV$28:BV55)-SUM($CB$28:CB55)),BZ55),MIN(BW56-BY56,BZ55)),"")</f>
        <v>947.73451859739453</v>
      </c>
      <c r="BY56" s="78">
        <f t="shared" si="70"/>
        <v>2574.3554814026056</v>
      </c>
      <c r="BZ56" s="79">
        <f t="shared" si="71"/>
        <v>354135.78015762405</v>
      </c>
      <c r="CA56" s="11"/>
      <c r="CB56" s="33"/>
      <c r="CC56" s="33">
        <f t="shared" si="46"/>
        <v>0</v>
      </c>
      <c r="CD56" s="33">
        <f t="shared" si="75"/>
        <v>6.143899101339944E-2</v>
      </c>
      <c r="CE56" s="33">
        <f>IF(O56&lt;&gt;"",CD56-SUM($CC$44:CC56),"")</f>
        <v>1.4389910148182514E-3</v>
      </c>
      <c r="CF56" s="11">
        <f t="shared" si="20"/>
        <v>20</v>
      </c>
      <c r="CG56" s="11">
        <f>IF(BU56&lt;&gt;"",IF($B$16=listy!$K$8,'RZĄDOWY PROGRAM'!$F$3*'RZĄDOWY PROGRAM'!$F$15,BZ55*$F$15),"")</f>
        <v>50</v>
      </c>
      <c r="CH56" s="11">
        <f t="shared" si="21"/>
        <v>70</v>
      </c>
      <c r="CJ56" s="48">
        <f t="shared" si="22"/>
        <v>0.06</v>
      </c>
      <c r="CK56" s="18">
        <f t="shared" si="23"/>
        <v>4.8675505653430484E-3</v>
      </c>
      <c r="CL56" s="11">
        <f t="shared" si="24"/>
        <v>0</v>
      </c>
      <c r="CM56" s="11">
        <f t="shared" si="25"/>
        <v>30669.567571913543</v>
      </c>
      <c r="CN56" s="11">
        <f>IF(AB56&lt;&gt;"",CM56-SUM($CL$28:CL56),"")</f>
        <v>2492.8075719135486</v>
      </c>
    </row>
    <row r="57" spans="1:92" x14ac:dyDescent="0.45">
      <c r="A57" s="68">
        <f t="shared" si="47"/>
        <v>45627</v>
      </c>
      <c r="B57" s="8">
        <f t="shared" si="4"/>
        <v>30</v>
      </c>
      <c r="C57" s="11">
        <f t="shared" si="5"/>
        <v>3522.1</v>
      </c>
      <c r="D57" s="11">
        <f t="shared" si="6"/>
        <v>767.07958651661193</v>
      </c>
      <c r="E57" s="11">
        <f t="shared" si="7"/>
        <v>2755.020413483388</v>
      </c>
      <c r="F57" s="9">
        <f t="shared" si="26"/>
        <v>379235.73606636451</v>
      </c>
      <c r="G57" s="10">
        <f t="shared" si="8"/>
        <v>7.0000000000000007E-2</v>
      </c>
      <c r="H57" s="10">
        <f t="shared" si="9"/>
        <v>1.7000000000000001E-2</v>
      </c>
      <c r="I57" s="48">
        <f t="shared" si="27"/>
        <v>8.7000000000000008E-2</v>
      </c>
      <c r="J57" s="11">
        <f t="shared" si="10"/>
        <v>20</v>
      </c>
      <c r="K57" s="11">
        <f>IF(B57&lt;&gt;"",IF($B$16=listy!$K$8,'RZĄDOWY PROGRAM'!$F$3*'RZĄDOWY PROGRAM'!$F$15,F56*$F$15),"")</f>
        <v>50</v>
      </c>
      <c r="L57" s="11">
        <f t="shared" si="28"/>
        <v>70</v>
      </c>
      <c r="N57" s="54">
        <f t="shared" si="48"/>
        <v>45627</v>
      </c>
      <c r="O57" s="8">
        <f t="shared" si="29"/>
        <v>30</v>
      </c>
      <c r="P57" s="8"/>
      <c r="Q57" s="11">
        <f>IF(O57&lt;&gt;"",ROUND(IF($F$11="raty równe",-PMT(W57/12,$F$4-O56+SUM($P$28:P57),T56,2),R57+S57),2),"")</f>
        <v>3522.1</v>
      </c>
      <c r="R57" s="11">
        <f>IF(O57&lt;&gt;"",IF($F$11="raty malejące",T56/($F$4-O56+SUM($P$28:P57)),IF(Q57-S57&gt;T56,T56,Q57-S57)),"")</f>
        <v>724.00636591341527</v>
      </c>
      <c r="S57" s="11">
        <f t="shared" si="68"/>
        <v>2798.0936340865846</v>
      </c>
      <c r="T57" s="9">
        <f t="shared" si="30"/>
        <v>385219.9431632706</v>
      </c>
      <c r="U57" s="10">
        <f t="shared" si="11"/>
        <v>7.0000000000000007E-2</v>
      </c>
      <c r="V57" s="10">
        <f t="shared" si="12"/>
        <v>1.7000000000000001E-2</v>
      </c>
      <c r="W57" s="48">
        <f t="shared" si="31"/>
        <v>8.7000000000000008E-2</v>
      </c>
      <c r="X57" s="11">
        <f t="shared" si="13"/>
        <v>20</v>
      </c>
      <c r="Y57" s="11">
        <f>IF(O57&lt;&gt;"",IF($B$16=listy!$K$8,'RZĄDOWY PROGRAM'!$F$3*'RZĄDOWY PROGRAM'!$F$15,T56*$F$15),"")</f>
        <v>50</v>
      </c>
      <c r="Z57" s="11">
        <f t="shared" si="32"/>
        <v>70</v>
      </c>
      <c r="AB57" s="8">
        <f t="shared" si="33"/>
        <v>30</v>
      </c>
      <c r="AC57" s="8"/>
      <c r="AD57" s="11">
        <f>IF(AB57&lt;&gt;"",ROUND(IF($F$11="raty równe",-PMT(W57/12,$F$4-AB56+SUM($AC$28:AC57),AG56,2),AE57+AF57),2),"")</f>
        <v>3280.39</v>
      </c>
      <c r="AE57" s="11">
        <f>IF(AB57&lt;&gt;"",IF($F$11="raty malejące",AG56/($F$4-AB56+SUM($AC$28:AC56)),MIN(AD57-AF57,AG56)),"")</f>
        <v>674.31554627722971</v>
      </c>
      <c r="AF57" s="11">
        <f t="shared" si="69"/>
        <v>2606.0744537227702</v>
      </c>
      <c r="AG57" s="9">
        <f t="shared" si="52"/>
        <v>358784.22979479452</v>
      </c>
      <c r="AH57" s="11"/>
      <c r="AI57" s="33">
        <f>IF(AB57&lt;&gt;"",ROUND(IF($F$11="raty równe",-PMT(W57/12,($F$4-AB56+SUM($AC$27:AC56)),AG56,2),AG56/($F$4-AB56+SUM($AC$27:AC56))+AG56*W57/12),2),"")</f>
        <v>3280.39</v>
      </c>
      <c r="AJ57" s="33">
        <f t="shared" si="34"/>
        <v>241.71000000000004</v>
      </c>
      <c r="AK57" s="33">
        <f t="shared" si="15"/>
        <v>5706.2062317204873</v>
      </c>
      <c r="AL57" s="33">
        <f>IF(AB57&lt;&gt;"",AK57-SUM($AJ$28:AJ57),"")</f>
        <v>249.89623172048505</v>
      </c>
      <c r="AM57" s="11">
        <f t="shared" si="35"/>
        <v>20</v>
      </c>
      <c r="AN57" s="11">
        <f>IF(AB57&lt;&gt;"",IF($B$16=listy!$K$8,'RZĄDOWY PROGRAM'!$F$3*'RZĄDOWY PROGRAM'!$F$15,AG56*$F$15),"")</f>
        <v>50</v>
      </c>
      <c r="AO57" s="11">
        <f t="shared" si="36"/>
        <v>70</v>
      </c>
      <c r="AQ57" s="8">
        <f t="shared" si="37"/>
        <v>30</v>
      </c>
      <c r="AR57" s="8"/>
      <c r="AS57" s="78">
        <f>IF(AQ57&lt;&gt;"",ROUND(IF($F$11="raty równe",-PMT(W57/12,$F$4-AQ56+SUM($AR$28:AR57),AV56,2),AT57+AU57),2),"")</f>
        <v>3263.83</v>
      </c>
      <c r="AT57" s="78">
        <f>IF(AQ57&lt;&gt;"",IF($F$11="raty malejące",AV56/($F$4-AQ56+SUM($AR$28:AR56)),MIN(AS57-AU57,AV56)),"")</f>
        <v>670.91663978080851</v>
      </c>
      <c r="AU57" s="78">
        <f t="shared" si="53"/>
        <v>2592.9133602191914</v>
      </c>
      <c r="AV57" s="79">
        <f t="shared" si="38"/>
        <v>356972.30545941798</v>
      </c>
      <c r="AW57" s="11"/>
      <c r="AX57" s="33">
        <f>IF(AQ57&lt;&gt;"",ROUND(IF($F$11="raty równe",-PMT(W57/12,($F$4-AQ56+SUM($AR$27:AR56)),AV56,2),AV56/($F$4-AQ56+SUM($AR$27:AR56))+AV56*W57/12),2),"")</f>
        <v>3263.83</v>
      </c>
      <c r="AY57" s="33">
        <f t="shared" si="39"/>
        <v>258.27</v>
      </c>
      <c r="AZ57" s="33">
        <f t="shared" si="72"/>
        <v>3709.9107943669046</v>
      </c>
      <c r="BA57" s="33">
        <f>IF(AQ57&lt;&gt;"",AZ57-SUM($AY$44:AY57),"")</f>
        <v>94.140794366904629</v>
      </c>
      <c r="BB57" s="11">
        <f t="shared" si="40"/>
        <v>20</v>
      </c>
      <c r="BC57" s="11">
        <f>IF(AQ57&lt;&gt;"",IF($B$16=listy!$K$8,'RZĄDOWY PROGRAM'!$F$3*'RZĄDOWY PROGRAM'!$F$15,AV56*$F$15),"")</f>
        <v>50</v>
      </c>
      <c r="BD57" s="11">
        <f t="shared" si="41"/>
        <v>70</v>
      </c>
      <c r="BF57" s="8">
        <f t="shared" si="42"/>
        <v>30</v>
      </c>
      <c r="BG57" s="8"/>
      <c r="BH57" s="78">
        <f>IF(BF57&lt;&gt;"",ROUND(IF($F$11="raty równe",-PMT(W57/12,$F$4-BF56+SUM(BV$28:$BV57)-SUM($BM$29:BM57),BK56,2),BI57+BJ57),2),"")</f>
        <v>3522.1</v>
      </c>
      <c r="BI57" s="78">
        <f>IF(BF57&lt;&gt;"",IF($F$11="raty malejące",MIN(BK56/($F$4-BF56+SUM($BG$27:BG57)-SUM($BM$27:BM57)),BK56),MIN(BH57-BJ57,BK56)),"")</f>
        <v>956.69475434862443</v>
      </c>
      <c r="BJ57" s="78">
        <f t="shared" si="54"/>
        <v>2565.4052456513755</v>
      </c>
      <c r="BK57" s="79">
        <f t="shared" si="55"/>
        <v>352892.30464584107</v>
      </c>
      <c r="BL57" s="11"/>
      <c r="BM57" s="33"/>
      <c r="BN57" s="33">
        <f t="shared" si="73"/>
        <v>0</v>
      </c>
      <c r="BO57" s="33">
        <f t="shared" si="74"/>
        <v>-7.1963846223032299E-2</v>
      </c>
      <c r="BP57" s="33">
        <f>IF(O57&lt;&gt;"",BO57-SUM($BN$44:BN57),"")</f>
        <v>-1.9638462246875793E-3</v>
      </c>
      <c r="BQ57" s="11">
        <f t="shared" si="17"/>
        <v>20</v>
      </c>
      <c r="BR57" s="11">
        <f>IF(BF57&lt;&gt;"",IF($B$16=listy!$K$8,'RZĄDOWY PROGRAM'!$F$3*'RZĄDOWY PROGRAM'!$F$15,BK56*$F$15),"")</f>
        <v>50</v>
      </c>
      <c r="BS57" s="11">
        <f t="shared" si="18"/>
        <v>70</v>
      </c>
      <c r="BU57" s="8">
        <f t="shared" si="44"/>
        <v>30</v>
      </c>
      <c r="BV57" s="8"/>
      <c r="BW57" s="78">
        <f>IF(BU57&lt;&gt;"",ROUND(IF($F$11="raty równe",-PMT(W57/12,$F$4-BU56+SUM($BV$28:BV57)-$CB$43,BZ56,2),BX57+BY57),2),"")</f>
        <v>3522.09</v>
      </c>
      <c r="BX57" s="78">
        <f>IF(BU57&lt;&gt;"",IF($F$11="raty malejące",MIN(BZ56/($F$4-BU56+SUM($BV$28:BV56)-SUM($CB$28:CB56)),BZ56),MIN(BW57-BY57,BZ56)),"")</f>
        <v>954.60559385722581</v>
      </c>
      <c r="BY57" s="78">
        <f t="shared" si="70"/>
        <v>2567.4844061427743</v>
      </c>
      <c r="BZ57" s="79">
        <f t="shared" si="71"/>
        <v>353181.17456376681</v>
      </c>
      <c r="CA57" s="11"/>
      <c r="CB57" s="33"/>
      <c r="CC57" s="33">
        <f t="shared" si="46"/>
        <v>9.9999999997635314E-3</v>
      </c>
      <c r="CD57" s="33">
        <f t="shared" si="75"/>
        <v>7.1681227503470502E-2</v>
      </c>
      <c r="CE57" s="33">
        <f>IF(O57&lt;&gt;"",CD57-SUM($CC$44:CC57),"")</f>
        <v>1.6812275051257819E-3</v>
      </c>
      <c r="CF57" s="11">
        <f t="shared" si="20"/>
        <v>20</v>
      </c>
      <c r="CG57" s="11">
        <f>IF(BU57&lt;&gt;"",IF($B$16=listy!$K$8,'RZĄDOWY PROGRAM'!$F$3*'RZĄDOWY PROGRAM'!$F$15,BZ56*$F$15),"")</f>
        <v>50</v>
      </c>
      <c r="CH57" s="11">
        <f t="shared" si="21"/>
        <v>70</v>
      </c>
      <c r="CJ57" s="48">
        <f t="shared" si="22"/>
        <v>0.06</v>
      </c>
      <c r="CK57" s="18">
        <f t="shared" si="23"/>
        <v>4.8675505653430484E-3</v>
      </c>
      <c r="CL57" s="11">
        <f t="shared" si="24"/>
        <v>0</v>
      </c>
      <c r="CM57" s="11">
        <f t="shared" si="25"/>
        <v>30790.488965402077</v>
      </c>
      <c r="CN57" s="11">
        <f>IF(AB57&lt;&gt;"",CM57-SUM($CL$28:CL57),"")</f>
        <v>2613.7289654020824</v>
      </c>
    </row>
    <row r="58" spans="1:92" x14ac:dyDescent="0.45">
      <c r="A58" s="68">
        <f t="shared" si="47"/>
        <v>45658</v>
      </c>
      <c r="B58" s="8">
        <f t="shared" si="4"/>
        <v>31</v>
      </c>
      <c r="C58" s="11">
        <f t="shared" si="5"/>
        <v>3522.09</v>
      </c>
      <c r="D58" s="11">
        <f t="shared" si="6"/>
        <v>772.63091351885714</v>
      </c>
      <c r="E58" s="11">
        <f t="shared" si="7"/>
        <v>2749.459086481143</v>
      </c>
      <c r="F58" s="9">
        <f t="shared" si="26"/>
        <v>378463.10515284567</v>
      </c>
      <c r="G58" s="10">
        <f t="shared" si="8"/>
        <v>7.0000000000000007E-2</v>
      </c>
      <c r="H58" s="10">
        <f t="shared" si="9"/>
        <v>1.7000000000000001E-2</v>
      </c>
      <c r="I58" s="48">
        <f t="shared" si="27"/>
        <v>8.7000000000000008E-2</v>
      </c>
      <c r="J58" s="11">
        <f t="shared" si="10"/>
        <v>20</v>
      </c>
      <c r="K58" s="11">
        <f>IF(B58&lt;&gt;"",IF($B$16=listy!$K$8,'RZĄDOWY PROGRAM'!$F$3*'RZĄDOWY PROGRAM'!$F$15,F57*$F$15),"")</f>
        <v>50</v>
      </c>
      <c r="L58" s="11">
        <f t="shared" si="28"/>
        <v>70</v>
      </c>
      <c r="N58" s="54">
        <f t="shared" si="48"/>
        <v>45658</v>
      </c>
      <c r="O58" s="8">
        <f t="shared" si="29"/>
        <v>31</v>
      </c>
      <c r="P58" s="8"/>
      <c r="Q58" s="11">
        <f>IF(O58&lt;&gt;"",ROUND(IF($F$11="raty równe",-PMT(W58/12,$F$4-O57+SUM($P$28:P58),T57,2),R58+S58),2),"")</f>
        <v>3522.09</v>
      </c>
      <c r="R58" s="11">
        <f>IF(O58&lt;&gt;"",IF($F$11="raty malejące",T57/($F$4-O57+SUM($P$28:P58)),IF(Q58-S58&gt;T57,T57,Q58-S58)),"")</f>
        <v>729.24541206628783</v>
      </c>
      <c r="S58" s="11">
        <f t="shared" si="68"/>
        <v>2792.8445879337123</v>
      </c>
      <c r="T58" s="9">
        <f t="shared" si="30"/>
        <v>384490.69775120431</v>
      </c>
      <c r="U58" s="10">
        <f t="shared" si="11"/>
        <v>7.0000000000000007E-2</v>
      </c>
      <c r="V58" s="10">
        <f t="shared" si="12"/>
        <v>1.7000000000000001E-2</v>
      </c>
      <c r="W58" s="48">
        <f t="shared" si="31"/>
        <v>8.7000000000000008E-2</v>
      </c>
      <c r="X58" s="11">
        <f t="shared" si="13"/>
        <v>20</v>
      </c>
      <c r="Y58" s="11">
        <f>IF(O58&lt;&gt;"",IF($B$16=listy!$K$8,'RZĄDOWY PROGRAM'!$F$3*'RZĄDOWY PROGRAM'!$F$15,T57*$F$15),"")</f>
        <v>50</v>
      </c>
      <c r="Z58" s="11">
        <f t="shared" si="32"/>
        <v>70</v>
      </c>
      <c r="AB58" s="8">
        <f t="shared" si="33"/>
        <v>31</v>
      </c>
      <c r="AC58" s="8"/>
      <c r="AD58" s="11">
        <f>IF(AB58&lt;&gt;"",ROUND(IF($F$11="raty równe",-PMT(W58/12,$F$4-AB57+SUM($AC$28:AC58),AG57,2),AE58+AF58),2),"")</f>
        <v>3280.39</v>
      </c>
      <c r="AE58" s="11">
        <f>IF(AB58&lt;&gt;"",IF($F$11="raty malejące",AG57/($F$4-AB57+SUM($AC$28:AC57)),MIN(AD58-AF58,AG57)),"")</f>
        <v>679.20433398773912</v>
      </c>
      <c r="AF58" s="11">
        <f t="shared" si="69"/>
        <v>2601.1856660122608</v>
      </c>
      <c r="AG58" s="9">
        <f t="shared" si="52"/>
        <v>358105.02546080679</v>
      </c>
      <c r="AH58" s="11"/>
      <c r="AI58" s="33">
        <f>IF(AB58&lt;&gt;"",ROUND(IF($F$11="raty równe",-PMT(W58/12,($F$4-AB57+SUM($AC$27:AC57)),AG57,2),AG57/($F$4-AB57+SUM($AC$27:AC57))+AG57*W58/12),2),"")</f>
        <v>3280.39</v>
      </c>
      <c r="AJ58" s="33">
        <f t="shared" si="34"/>
        <v>241.70000000000027</v>
      </c>
      <c r="AK58" s="33">
        <f t="shared" si="15"/>
        <v>5970.40418208952</v>
      </c>
      <c r="AL58" s="33">
        <f>IF(AB58&lt;&gt;"",AK58-SUM($AJ$28:AJ58),"")</f>
        <v>272.39418208951793</v>
      </c>
      <c r="AM58" s="11">
        <f t="shared" si="35"/>
        <v>20</v>
      </c>
      <c r="AN58" s="11">
        <f>IF(AB58&lt;&gt;"",IF($B$16=listy!$K$8,'RZĄDOWY PROGRAM'!$F$3*'RZĄDOWY PROGRAM'!$F$15,AG57*$F$15),"")</f>
        <v>50</v>
      </c>
      <c r="AO58" s="11">
        <f t="shared" si="36"/>
        <v>70</v>
      </c>
      <c r="AQ58" s="8">
        <f t="shared" si="37"/>
        <v>31</v>
      </c>
      <c r="AR58" s="8"/>
      <c r="AS58" s="78">
        <f>IF(AQ58&lt;&gt;"",ROUND(IF($F$11="raty równe",-PMT(W58/12,$F$4-AQ57+SUM($AR$28:AR58),AV57,2),AT58+AU58),2),"")</f>
        <v>3263.82</v>
      </c>
      <c r="AT58" s="78">
        <f>IF(AQ58&lt;&gt;"",IF($F$11="raty malejące",AV57/($F$4-AQ57+SUM($AR$28:AR57)),MIN(AS58-AU58,AV57)),"")</f>
        <v>675.77078541921946</v>
      </c>
      <c r="AU58" s="78">
        <f t="shared" si="53"/>
        <v>2588.0492145807807</v>
      </c>
      <c r="AV58" s="79">
        <f t="shared" si="38"/>
        <v>356296.53467399877</v>
      </c>
      <c r="AW58" s="11"/>
      <c r="AX58" s="33">
        <f>IF(AQ58&lt;&gt;"",ROUND(IF($F$11="raty równe",-PMT(W58/12,($F$4-AQ57+SUM($AR$27:AR57)),AV57,2),AV57/($F$4-AQ57+SUM($AR$27:AR57))+AV57*W58/12),2),"")</f>
        <v>3263.82</v>
      </c>
      <c r="AY58" s="33">
        <f t="shared" si="39"/>
        <v>258.27</v>
      </c>
      <c r="AZ58" s="33">
        <f t="shared" si="72"/>
        <v>3982.8079188583442</v>
      </c>
      <c r="BA58" s="33">
        <f>IF(AQ58&lt;&gt;"",AZ58-SUM($AY$44:AY58),"")</f>
        <v>108.76791885834427</v>
      </c>
      <c r="BB58" s="11">
        <f t="shared" si="40"/>
        <v>20</v>
      </c>
      <c r="BC58" s="11">
        <f>IF(AQ58&lt;&gt;"",IF($B$16=listy!$K$8,'RZĄDOWY PROGRAM'!$F$3*'RZĄDOWY PROGRAM'!$F$15,AV57*$F$15),"")</f>
        <v>50</v>
      </c>
      <c r="BD58" s="11">
        <f t="shared" si="41"/>
        <v>70</v>
      </c>
      <c r="BF58" s="8">
        <f t="shared" si="42"/>
        <v>31</v>
      </c>
      <c r="BG58" s="8"/>
      <c r="BH58" s="78">
        <f>IF(BF58&lt;&gt;"",ROUND(IF($F$11="raty równe",-PMT(W58/12,$F$4-BF57+SUM(BV$28:$BV58)-SUM($BM$29:BM58),BK57,2),BI58+BJ58),2),"")</f>
        <v>3522.1</v>
      </c>
      <c r="BI58" s="78">
        <f>IF(BF58&lt;&gt;"",IF($F$11="raty malejące",MIN(BK57/($F$4-BF57+SUM($BG$27:BG58)-SUM($BM$27:BM58)),BK57),MIN(BH58-BJ58,BK57)),"")</f>
        <v>963.63079131765198</v>
      </c>
      <c r="BJ58" s="78">
        <f t="shared" si="54"/>
        <v>2558.4692086823479</v>
      </c>
      <c r="BK58" s="79">
        <f t="shared" si="55"/>
        <v>351928.6738545234</v>
      </c>
      <c r="BL58" s="11"/>
      <c r="BM58" s="33"/>
      <c r="BN58" s="33">
        <f t="shared" si="73"/>
        <v>-9.9999999997635314E-3</v>
      </c>
      <c r="BO58" s="33">
        <f t="shared" si="74"/>
        <v>-8.2247579227693254E-2</v>
      </c>
      <c r="BP58" s="33">
        <f>IF(O58&lt;&gt;"",BO58-SUM($BN$44:BN58),"")</f>
        <v>-2.2475792295850033E-3</v>
      </c>
      <c r="BQ58" s="11">
        <f t="shared" si="17"/>
        <v>20</v>
      </c>
      <c r="BR58" s="11">
        <f>IF(BF58&lt;&gt;"",IF($B$16=listy!$K$8,'RZĄDOWY PROGRAM'!$F$3*'RZĄDOWY PROGRAM'!$F$15,BK57*$F$15),"")</f>
        <v>50</v>
      </c>
      <c r="BS58" s="11">
        <f t="shared" si="18"/>
        <v>70</v>
      </c>
      <c r="BU58" s="8">
        <f t="shared" si="44"/>
        <v>31</v>
      </c>
      <c r="BV58" s="8"/>
      <c r="BW58" s="78">
        <f>IF(BU58&lt;&gt;"",ROUND(IF($F$11="raty równe",-PMT(W58/12,$F$4-BU57+SUM($BV$28:BV58)-$CB$43,BZ57,2),BX58+BY58),2),"")</f>
        <v>3522.09</v>
      </c>
      <c r="BX58" s="78">
        <f>IF(BU58&lt;&gt;"",IF($F$11="raty malejące",MIN(BZ57/($F$4-BU57+SUM($BV$28:BV57)-SUM($CB$28:CB57)),BZ57),MIN(BW58-BY58,BZ57)),"")</f>
        <v>961.52648441269048</v>
      </c>
      <c r="BY58" s="78">
        <f t="shared" si="70"/>
        <v>2560.5635155873097</v>
      </c>
      <c r="BZ58" s="79">
        <f t="shared" si="71"/>
        <v>352219.64807935414</v>
      </c>
      <c r="CA58" s="11"/>
      <c r="CB58" s="33"/>
      <c r="CC58" s="33">
        <f t="shared" si="46"/>
        <v>0</v>
      </c>
      <c r="CD58" s="33">
        <f t="shared" si="75"/>
        <v>7.1963846223032299E-2</v>
      </c>
      <c r="CE58" s="33">
        <f>IF(O58&lt;&gt;"",CD58-SUM($CC$44:CC58),"")</f>
        <v>1.9638462246875793E-3</v>
      </c>
      <c r="CF58" s="11">
        <f t="shared" si="20"/>
        <v>20</v>
      </c>
      <c r="CG58" s="11">
        <f>IF(BU58&lt;&gt;"",IF($B$16=listy!$K$8,'RZĄDOWY PROGRAM'!$F$3*'RZĄDOWY PROGRAM'!$F$15,BZ57*$F$15),"")</f>
        <v>50</v>
      </c>
      <c r="CH58" s="11">
        <f t="shared" si="21"/>
        <v>70</v>
      </c>
      <c r="CJ58" s="48">
        <f t="shared" si="22"/>
        <v>0.06</v>
      </c>
      <c r="CK58" s="18">
        <f t="shared" si="23"/>
        <v>4.8675505653430484E-3</v>
      </c>
      <c r="CL58" s="11">
        <f t="shared" si="24"/>
        <v>0</v>
      </c>
      <c r="CM58" s="11">
        <f t="shared" si="25"/>
        <v>30911.887117598373</v>
      </c>
      <c r="CN58" s="11">
        <f>IF(AB58&lt;&gt;"",CM58-SUM($CL$28:CL58),"")</f>
        <v>2735.1271175983784</v>
      </c>
    </row>
    <row r="59" spans="1:92" x14ac:dyDescent="0.45">
      <c r="A59" s="68">
        <f t="shared" si="47"/>
        <v>45689</v>
      </c>
      <c r="B59" s="8">
        <f t="shared" si="4"/>
        <v>32</v>
      </c>
      <c r="C59" s="11">
        <f t="shared" si="5"/>
        <v>3522.1</v>
      </c>
      <c r="D59" s="11">
        <f t="shared" si="6"/>
        <v>778.24248764186814</v>
      </c>
      <c r="E59" s="11">
        <f t="shared" si="7"/>
        <v>2743.8575123581318</v>
      </c>
      <c r="F59" s="9">
        <f t="shared" si="26"/>
        <v>377684.86266520381</v>
      </c>
      <c r="G59" s="10">
        <f t="shared" si="8"/>
        <v>7.0000000000000007E-2</v>
      </c>
      <c r="H59" s="10">
        <f t="shared" si="9"/>
        <v>1.7000000000000001E-2</v>
      </c>
      <c r="I59" s="48">
        <f t="shared" si="27"/>
        <v>8.7000000000000008E-2</v>
      </c>
      <c r="J59" s="11">
        <f t="shared" si="10"/>
        <v>20</v>
      </c>
      <c r="K59" s="11">
        <f>IF(B59&lt;&gt;"",IF($B$16=listy!$K$8,'RZĄDOWY PROGRAM'!$F$3*'RZĄDOWY PROGRAM'!$F$15,F58*$F$15),"")</f>
        <v>50</v>
      </c>
      <c r="L59" s="11">
        <f t="shared" si="28"/>
        <v>70</v>
      </c>
      <c r="N59" s="54">
        <f t="shared" si="48"/>
        <v>45689</v>
      </c>
      <c r="O59" s="8">
        <f t="shared" si="29"/>
        <v>32</v>
      </c>
      <c r="P59" s="8"/>
      <c r="Q59" s="11">
        <f>IF(O59&lt;&gt;"",ROUND(IF($F$11="raty równe",-PMT(W59/12,$F$4-O58+SUM($P$28:P59),T58,2),R59+S59),2),"")</f>
        <v>3522.1</v>
      </c>
      <c r="R59" s="11">
        <f>IF(O59&lt;&gt;"",IF($F$11="raty malejące",T58/($F$4-O58+SUM($P$28:P59)),IF(Q59-S59&gt;T58,T58,Q59-S59)),"")</f>
        <v>734.54244130376856</v>
      </c>
      <c r="S59" s="11">
        <f t="shared" si="68"/>
        <v>2787.5575586962314</v>
      </c>
      <c r="T59" s="9">
        <f t="shared" si="30"/>
        <v>383756.15530990053</v>
      </c>
      <c r="U59" s="10">
        <f t="shared" si="11"/>
        <v>7.0000000000000007E-2</v>
      </c>
      <c r="V59" s="10">
        <f t="shared" si="12"/>
        <v>1.7000000000000001E-2</v>
      </c>
      <c r="W59" s="48">
        <f t="shared" si="31"/>
        <v>8.7000000000000008E-2</v>
      </c>
      <c r="X59" s="11">
        <f t="shared" si="13"/>
        <v>20</v>
      </c>
      <c r="Y59" s="11">
        <f>IF(O59&lt;&gt;"",IF($B$16=listy!$K$8,'RZĄDOWY PROGRAM'!$F$3*'RZĄDOWY PROGRAM'!$F$15,T58*$F$15),"")</f>
        <v>50</v>
      </c>
      <c r="Z59" s="11">
        <f t="shared" si="32"/>
        <v>70</v>
      </c>
      <c r="AB59" s="8">
        <f t="shared" si="33"/>
        <v>32</v>
      </c>
      <c r="AC59" s="8"/>
      <c r="AD59" s="11">
        <f>IF(AB59&lt;&gt;"",ROUND(IF($F$11="raty równe",-PMT(W59/12,$F$4-AB58+SUM($AC$28:AC59),AG58,2),AE59+AF59),2),"")</f>
        <v>3280.39</v>
      </c>
      <c r="AE59" s="11">
        <f>IF(AB59&lt;&gt;"",IF($F$11="raty malejące",AG58/($F$4-AB58+SUM($AC$28:AC58)),MIN(AD59-AF59,AG58)),"")</f>
        <v>684.12856540915027</v>
      </c>
      <c r="AF59" s="11">
        <f t="shared" si="69"/>
        <v>2596.2614345908496</v>
      </c>
      <c r="AG59" s="9">
        <f t="shared" si="52"/>
        <v>357420.89689539763</v>
      </c>
      <c r="AH59" s="11"/>
      <c r="AI59" s="33">
        <f>IF(AB59&lt;&gt;"",ROUND(IF($F$11="raty równe",-PMT(W59/12,($F$4-AB58+SUM($AC$27:AC58)),AG58,2),AG58/($F$4-AB58+SUM($AC$27:AC58))+AG58*W59/12),2),"")</f>
        <v>3280.39</v>
      </c>
      <c r="AJ59" s="33">
        <f t="shared" si="34"/>
        <v>241.71000000000004</v>
      </c>
      <c r="AK59" s="33">
        <f t="shared" si="15"/>
        <v>6235.6537899335244</v>
      </c>
      <c r="AL59" s="33">
        <f>IF(AB59&lt;&gt;"",AK59-SUM($AJ$28:AJ59),"")</f>
        <v>295.93378993352235</v>
      </c>
      <c r="AM59" s="11">
        <f t="shared" si="35"/>
        <v>20</v>
      </c>
      <c r="AN59" s="11">
        <f>IF(AB59&lt;&gt;"",IF($B$16=listy!$K$8,'RZĄDOWY PROGRAM'!$F$3*'RZĄDOWY PROGRAM'!$F$15,AG58*$F$15),"")</f>
        <v>50</v>
      </c>
      <c r="AO59" s="11">
        <f t="shared" si="36"/>
        <v>70</v>
      </c>
      <c r="AQ59" s="8">
        <f t="shared" si="37"/>
        <v>32</v>
      </c>
      <c r="AR59" s="8"/>
      <c r="AS59" s="78">
        <f>IF(AQ59&lt;&gt;"",ROUND(IF($F$11="raty równe",-PMT(W59/12,$F$4-AQ58+SUM($AR$28:AR59),AV58,2),AT59+AU59),2),"")</f>
        <v>3263.83</v>
      </c>
      <c r="AT59" s="78">
        <f>IF(AQ59&lt;&gt;"",IF($F$11="raty malejące",AV58/($F$4-AQ58+SUM($AR$28:AR58)),MIN(AS59-AU59,AV58)),"")</f>
        <v>680.68012361350839</v>
      </c>
      <c r="AU59" s="78">
        <f t="shared" si="53"/>
        <v>2583.1498763864915</v>
      </c>
      <c r="AV59" s="79">
        <f t="shared" si="38"/>
        <v>355615.85455038527</v>
      </c>
      <c r="AW59" s="11"/>
      <c r="AX59" s="33">
        <f>IF(AQ59&lt;&gt;"",ROUND(IF($F$11="raty równe",-PMT(W59/12,($F$4-AQ58+SUM($AR$27:AR58)),AV58,2),AV58/($F$4-AQ58+SUM($AR$27:AR58))+AV58*W59/12),2),"")</f>
        <v>3263.83</v>
      </c>
      <c r="AY59" s="33">
        <f t="shared" si="39"/>
        <v>258.27</v>
      </c>
      <c r="AZ59" s="33">
        <f t="shared" si="72"/>
        <v>4256.7809991973882</v>
      </c>
      <c r="BA59" s="33">
        <f>IF(AQ59&lt;&gt;"",AZ59-SUM($AY$44:AY59),"")</f>
        <v>124.47099919738866</v>
      </c>
      <c r="BB59" s="11">
        <f t="shared" si="40"/>
        <v>20</v>
      </c>
      <c r="BC59" s="11">
        <f>IF(AQ59&lt;&gt;"",IF($B$16=listy!$K$8,'RZĄDOWY PROGRAM'!$F$3*'RZĄDOWY PROGRAM'!$F$15,AV58*$F$15),"")</f>
        <v>50</v>
      </c>
      <c r="BD59" s="11">
        <f t="shared" si="41"/>
        <v>70</v>
      </c>
      <c r="BF59" s="8">
        <f t="shared" si="42"/>
        <v>32</v>
      </c>
      <c r="BG59" s="8"/>
      <c r="BH59" s="78">
        <f>IF(BF59&lt;&gt;"",ROUND(IF($F$11="raty równe",-PMT(W59/12,$F$4-BF58+SUM(BV$28:$BV59)-SUM($BM$29:BM59),BK58,2),BI59+BJ59),2),"")</f>
        <v>3522.1</v>
      </c>
      <c r="BI59" s="78">
        <f>IF(BF59&lt;&gt;"",IF($F$11="raty malejące",MIN(BK58/($F$4-BF58+SUM($BG$27:BG59)-SUM($BM$27:BM59)),BK58),MIN(BH59-BJ59,BK58)),"")</f>
        <v>970.61711455470504</v>
      </c>
      <c r="BJ59" s="78">
        <f t="shared" si="54"/>
        <v>2551.4828854452949</v>
      </c>
      <c r="BK59" s="79">
        <f t="shared" si="55"/>
        <v>350958.05673996871</v>
      </c>
      <c r="BL59" s="11"/>
      <c r="BM59" s="33"/>
      <c r="BN59" s="33">
        <f t="shared" si="73"/>
        <v>0</v>
      </c>
      <c r="BO59" s="33">
        <f t="shared" si="74"/>
        <v>-8.2571858070815227E-2</v>
      </c>
      <c r="BP59" s="33">
        <f>IF(O59&lt;&gt;"",BO59-SUM($BN$44:BN59),"")</f>
        <v>-2.5718580727069756E-3</v>
      </c>
      <c r="BQ59" s="11">
        <f t="shared" si="17"/>
        <v>20</v>
      </c>
      <c r="BR59" s="11">
        <f>IF(BF59&lt;&gt;"",IF($B$16=listy!$K$8,'RZĄDOWY PROGRAM'!$F$3*'RZĄDOWY PROGRAM'!$F$15,BK58*$F$15),"")</f>
        <v>50</v>
      </c>
      <c r="BS59" s="11">
        <f t="shared" si="18"/>
        <v>70</v>
      </c>
      <c r="BU59" s="8">
        <f t="shared" si="44"/>
        <v>32</v>
      </c>
      <c r="BV59" s="8"/>
      <c r="BW59" s="78">
        <f>IF(BU59&lt;&gt;"",ROUND(IF($F$11="raty równe",-PMT(W59/12,$F$4-BU58+SUM($BV$28:BV59)-$CB$43,BZ58,2),BX59+BY59),2),"")</f>
        <v>3522.09</v>
      </c>
      <c r="BX59" s="78">
        <f>IF(BU59&lt;&gt;"",IF($F$11="raty malejące",MIN(BZ58/($F$4-BU58+SUM($BV$28:BV58)-SUM($CB$28:CB58)),BZ58),MIN(BW59-BY59,BZ58)),"")</f>
        <v>968.49755142468211</v>
      </c>
      <c r="BY59" s="78">
        <f t="shared" si="70"/>
        <v>2553.592448575318</v>
      </c>
      <c r="BZ59" s="79">
        <f t="shared" si="71"/>
        <v>351251.15052792948</v>
      </c>
      <c r="CA59" s="11"/>
      <c r="CB59" s="33"/>
      <c r="CC59" s="33">
        <f t="shared" si="46"/>
        <v>9.9999999997635314E-3</v>
      </c>
      <c r="CD59" s="33">
        <f t="shared" si="75"/>
        <v>8.2247579227693254E-2</v>
      </c>
      <c r="CE59" s="33">
        <f>IF(O59&lt;&gt;"",CD59-SUM($CC$44:CC59),"")</f>
        <v>2.2475792295850033E-3</v>
      </c>
      <c r="CF59" s="11">
        <f t="shared" si="20"/>
        <v>20</v>
      </c>
      <c r="CG59" s="11">
        <f>IF(BU59&lt;&gt;"",IF($B$16=listy!$K$8,'RZĄDOWY PROGRAM'!$F$3*'RZĄDOWY PROGRAM'!$F$15,BZ58*$F$15),"")</f>
        <v>50</v>
      </c>
      <c r="CH59" s="11">
        <f t="shared" si="21"/>
        <v>70</v>
      </c>
      <c r="CJ59" s="48">
        <f t="shared" si="22"/>
        <v>0.06</v>
      </c>
      <c r="CK59" s="18">
        <f t="shared" si="23"/>
        <v>4.8675505653430484E-3</v>
      </c>
      <c r="CL59" s="11">
        <f t="shared" si="24"/>
        <v>0</v>
      </c>
      <c r="CM59" s="11">
        <f t="shared" si="25"/>
        <v>31033.763908226596</v>
      </c>
      <c r="CN59" s="11">
        <f>IF(AB59&lt;&gt;"",CM59-SUM($CL$28:CL59),"")</f>
        <v>2857.0039082266012</v>
      </c>
    </row>
    <row r="60" spans="1:92" x14ac:dyDescent="0.45">
      <c r="A60" s="68">
        <f t="shared" si="47"/>
        <v>45717</v>
      </c>
      <c r="B60" s="8">
        <f t="shared" si="4"/>
        <v>33</v>
      </c>
      <c r="C60" s="11">
        <f t="shared" si="5"/>
        <v>3522.09</v>
      </c>
      <c r="D60" s="11">
        <f t="shared" si="6"/>
        <v>783.87474567727259</v>
      </c>
      <c r="E60" s="11">
        <f t="shared" si="7"/>
        <v>2738.2152543227276</v>
      </c>
      <c r="F60" s="9">
        <f t="shared" si="26"/>
        <v>376900.98791952652</v>
      </c>
      <c r="G60" s="10">
        <f t="shared" si="8"/>
        <v>7.0000000000000007E-2</v>
      </c>
      <c r="H60" s="10">
        <f t="shared" si="9"/>
        <v>1.7000000000000001E-2</v>
      </c>
      <c r="I60" s="48">
        <f t="shared" si="27"/>
        <v>8.7000000000000008E-2</v>
      </c>
      <c r="J60" s="11">
        <f t="shared" si="10"/>
        <v>20</v>
      </c>
      <c r="K60" s="11">
        <f>IF(B60&lt;&gt;"",IF($B$16=listy!$K$8,'RZĄDOWY PROGRAM'!$F$3*'RZĄDOWY PROGRAM'!$F$15,F59*$F$15),"")</f>
        <v>50</v>
      </c>
      <c r="L60" s="11">
        <f t="shared" si="28"/>
        <v>70</v>
      </c>
      <c r="N60" s="54">
        <f t="shared" si="48"/>
        <v>45717</v>
      </c>
      <c r="O60" s="8">
        <f t="shared" si="29"/>
        <v>33</v>
      </c>
      <c r="P60" s="8"/>
      <c r="Q60" s="11">
        <f>IF(O60&lt;&gt;"",ROUND(IF($F$11="raty równe",-PMT(W60/12,$F$4-O59+SUM($P$28:P60),T59,2),R60+S60),2),"")</f>
        <v>3522.09</v>
      </c>
      <c r="R60" s="11">
        <f>IF(O60&lt;&gt;"",IF($F$11="raty malejące",T59/($F$4-O59+SUM($P$28:P60)),IF(Q60-S60&gt;T59,T59,Q60-S60)),"")</f>
        <v>739.85787400322079</v>
      </c>
      <c r="S60" s="11">
        <f t="shared" si="68"/>
        <v>2782.2321259967794</v>
      </c>
      <c r="T60" s="9">
        <f t="shared" si="30"/>
        <v>383016.29743589729</v>
      </c>
      <c r="U60" s="10">
        <f t="shared" si="11"/>
        <v>7.0000000000000007E-2</v>
      </c>
      <c r="V60" s="10">
        <f t="shared" si="12"/>
        <v>1.7000000000000001E-2</v>
      </c>
      <c r="W60" s="48">
        <f t="shared" si="31"/>
        <v>8.7000000000000008E-2</v>
      </c>
      <c r="X60" s="11">
        <f t="shared" si="13"/>
        <v>20</v>
      </c>
      <c r="Y60" s="11">
        <f>IF(O60&lt;&gt;"",IF($B$16=listy!$K$8,'RZĄDOWY PROGRAM'!$F$3*'RZĄDOWY PROGRAM'!$F$15,T59*$F$15),"")</f>
        <v>50</v>
      </c>
      <c r="Z60" s="11">
        <f t="shared" si="32"/>
        <v>70</v>
      </c>
      <c r="AB60" s="8">
        <f t="shared" si="33"/>
        <v>33</v>
      </c>
      <c r="AC60" s="8"/>
      <c r="AD60" s="11">
        <f>IF(AB60&lt;&gt;"",ROUND(IF($F$11="raty równe",-PMT(W60/12,$F$4-AB59+SUM($AC$28:AC60),AG59,2),AE60+AF60),2),"")</f>
        <v>3280.39</v>
      </c>
      <c r="AE60" s="11">
        <f>IF(AB60&lt;&gt;"",IF($F$11="raty malejące",AG59/($F$4-AB59+SUM($AC$28:AC59)),MIN(AD60-AF60,AG59)),"")</f>
        <v>689.0884975083668</v>
      </c>
      <c r="AF60" s="11">
        <f t="shared" si="69"/>
        <v>2591.3015024916331</v>
      </c>
      <c r="AG60" s="9">
        <f t="shared" si="52"/>
        <v>356731.80839788925</v>
      </c>
      <c r="AH60" s="11"/>
      <c r="AI60" s="33">
        <f>IF(AB60&lt;&gt;"",ROUND(IF($F$11="raty równe",-PMT(W60/12,($F$4-AB59+SUM($AC$27:AC59)),AG59,2),AG59/($F$4-AB59+SUM($AC$27:AC59))+AG59*W60/12),2),"")</f>
        <v>3280.39</v>
      </c>
      <c r="AJ60" s="33">
        <f t="shared" si="34"/>
        <v>241.70000000000027</v>
      </c>
      <c r="AK60" s="33">
        <f t="shared" si="15"/>
        <v>6501.9392016392103</v>
      </c>
      <c r="AL60" s="33">
        <f>IF(AB60&lt;&gt;"",AK60-SUM($AJ$28:AJ60),"")</f>
        <v>320.5192016392084</v>
      </c>
      <c r="AM60" s="11">
        <f t="shared" si="35"/>
        <v>20</v>
      </c>
      <c r="AN60" s="11">
        <f>IF(AB60&lt;&gt;"",IF($B$16=listy!$K$8,'RZĄDOWY PROGRAM'!$F$3*'RZĄDOWY PROGRAM'!$F$15,AG59*$F$15),"")</f>
        <v>50</v>
      </c>
      <c r="AO60" s="11">
        <f t="shared" si="36"/>
        <v>70</v>
      </c>
      <c r="AQ60" s="8">
        <f t="shared" si="37"/>
        <v>33</v>
      </c>
      <c r="AR60" s="8"/>
      <c r="AS60" s="78">
        <f>IF(AQ60&lt;&gt;"",ROUND(IF($F$11="raty równe",-PMT(W60/12,$F$4-AQ59+SUM($AR$28:AR60),AV59,2),AT60+AU60),2),"")</f>
        <v>3263.82</v>
      </c>
      <c r="AT60" s="78">
        <f>IF(AQ60&lt;&gt;"",IF($F$11="raty malejące",AV59/($F$4-AQ59+SUM($AR$28:AR59)),MIN(AS60-AU60,AV59)),"")</f>
        <v>685.60505450970686</v>
      </c>
      <c r="AU60" s="78">
        <f t="shared" si="53"/>
        <v>2578.2149454902933</v>
      </c>
      <c r="AV60" s="79">
        <f t="shared" si="38"/>
        <v>354930.24949587556</v>
      </c>
      <c r="AW60" s="11"/>
      <c r="AX60" s="33">
        <f>IF(AQ60&lt;&gt;"",ROUND(IF($F$11="raty równe",-PMT(W60/12,($F$4-AQ59+SUM($AR$27:AR59)),AV59,2),AV59/($F$4-AQ59+SUM($AR$27:AR59))+AV59*W60/12),2),"")</f>
        <v>3263.82</v>
      </c>
      <c r="AY60" s="33">
        <f t="shared" si="39"/>
        <v>258.27</v>
      </c>
      <c r="AZ60" s="33">
        <f t="shared" si="72"/>
        <v>4531.8342775723286</v>
      </c>
      <c r="BA60" s="33">
        <f>IF(AQ60&lt;&gt;"",AZ60-SUM($AY$44:AY60),"")</f>
        <v>141.25427757232865</v>
      </c>
      <c r="BB60" s="11">
        <f t="shared" si="40"/>
        <v>20</v>
      </c>
      <c r="BC60" s="11">
        <f>IF(AQ60&lt;&gt;"",IF($B$16=listy!$K$8,'RZĄDOWY PROGRAM'!$F$3*'RZĄDOWY PROGRAM'!$F$15,AV59*$F$15),"")</f>
        <v>50</v>
      </c>
      <c r="BD60" s="11">
        <f t="shared" si="41"/>
        <v>70</v>
      </c>
      <c r="BF60" s="8">
        <f t="shared" si="42"/>
        <v>33</v>
      </c>
      <c r="BG60" s="8"/>
      <c r="BH60" s="78">
        <f>IF(BF60&lt;&gt;"",ROUND(IF($F$11="raty równe",-PMT(W60/12,$F$4-BF59+SUM(BV$28:$BV60)-SUM($BM$29:BM60),BK59,2),BI60+BJ60),2),"")</f>
        <v>3522.1</v>
      </c>
      <c r="BI60" s="78">
        <f>IF(BF60&lt;&gt;"",IF($F$11="raty malejące",MIN(BK59/($F$4-BF59+SUM($BG$27:BG60)-SUM($BM$27:BM60)),BK59),MIN(BH60-BJ60,BK59)),"")</f>
        <v>977.6540886352268</v>
      </c>
      <c r="BJ60" s="78">
        <f t="shared" si="54"/>
        <v>2544.4459113647731</v>
      </c>
      <c r="BK60" s="79">
        <f t="shared" si="55"/>
        <v>349980.40265133348</v>
      </c>
      <c r="BL60" s="11"/>
      <c r="BM60" s="33"/>
      <c r="BN60" s="33">
        <f t="shared" si="73"/>
        <v>-9.9999999997635314E-3</v>
      </c>
      <c r="BO60" s="33">
        <f t="shared" si="74"/>
        <v>-9.2897415453070328E-2</v>
      </c>
      <c r="BP60" s="33">
        <f>IF(O60&lt;&gt;"",BO60-SUM($BN$44:BN60),"")</f>
        <v>-2.8974154551985459E-3</v>
      </c>
      <c r="BQ60" s="11">
        <f t="shared" si="17"/>
        <v>20</v>
      </c>
      <c r="BR60" s="11">
        <f>IF(BF60&lt;&gt;"",IF($B$16=listy!$K$8,'RZĄDOWY PROGRAM'!$F$3*'RZĄDOWY PROGRAM'!$F$15,BK59*$F$15),"")</f>
        <v>50</v>
      </c>
      <c r="BS60" s="11">
        <f t="shared" si="18"/>
        <v>70</v>
      </c>
      <c r="BU60" s="8">
        <f t="shared" si="44"/>
        <v>33</v>
      </c>
      <c r="BV60" s="8"/>
      <c r="BW60" s="78">
        <f>IF(BU60&lt;&gt;"",ROUND(IF($F$11="raty równe",-PMT(W60/12,$F$4-BU59+SUM($BV$28:BV60)-$CB$43,BZ59,2),BX60+BY60),2),"")</f>
        <v>3522.09</v>
      </c>
      <c r="BX60" s="78">
        <f>IF(BU60&lt;&gt;"",IF($F$11="raty malejące",MIN(BZ59/($F$4-BU59+SUM($BV$28:BV59)-SUM($CB$28:CB59)),BZ59),MIN(BW60-BY60,BZ59)),"")</f>
        <v>975.51915867251091</v>
      </c>
      <c r="BY60" s="78">
        <f t="shared" si="70"/>
        <v>2546.5708413274892</v>
      </c>
      <c r="BZ60" s="79">
        <f t="shared" si="71"/>
        <v>350275.631369257</v>
      </c>
      <c r="CA60" s="11"/>
      <c r="CB60" s="33"/>
      <c r="CC60" s="33">
        <f t="shared" si="46"/>
        <v>0</v>
      </c>
      <c r="CD60" s="33">
        <f t="shared" si="75"/>
        <v>8.2571858070815227E-2</v>
      </c>
      <c r="CE60" s="33">
        <f>IF(O60&lt;&gt;"",CD60-SUM($CC$44:CC60),"")</f>
        <v>2.5718580727069756E-3</v>
      </c>
      <c r="CF60" s="11">
        <f t="shared" si="20"/>
        <v>20</v>
      </c>
      <c r="CG60" s="11">
        <f>IF(BU60&lt;&gt;"",IF($B$16=listy!$K$8,'RZĄDOWY PROGRAM'!$F$3*'RZĄDOWY PROGRAM'!$F$15,BZ59*$F$15),"")</f>
        <v>50</v>
      </c>
      <c r="CH60" s="11">
        <f t="shared" si="21"/>
        <v>70</v>
      </c>
      <c r="CJ60" s="48">
        <f t="shared" si="22"/>
        <v>0.06</v>
      </c>
      <c r="CK60" s="18">
        <f t="shared" si="23"/>
        <v>4.8675505653430484E-3</v>
      </c>
      <c r="CL60" s="11">
        <f t="shared" si="24"/>
        <v>0</v>
      </c>
      <c r="CM60" s="11">
        <f t="shared" si="25"/>
        <v>31156.121224422128</v>
      </c>
      <c r="CN60" s="11">
        <f>IF(AB60&lt;&gt;"",CM60-SUM($CL$28:CL60),"")</f>
        <v>2979.3612244221331</v>
      </c>
    </row>
    <row r="61" spans="1:92" x14ac:dyDescent="0.45">
      <c r="A61" s="68">
        <f t="shared" si="47"/>
        <v>45748</v>
      </c>
      <c r="B61" s="8">
        <f t="shared" si="4"/>
        <v>34</v>
      </c>
      <c r="C61" s="11">
        <f t="shared" si="5"/>
        <v>3522.1</v>
      </c>
      <c r="D61" s="11">
        <f t="shared" si="6"/>
        <v>789.56783758343227</v>
      </c>
      <c r="E61" s="11">
        <f t="shared" si="7"/>
        <v>2732.5321624165676</v>
      </c>
      <c r="F61" s="9">
        <f t="shared" si="26"/>
        <v>376111.4200819431</v>
      </c>
      <c r="G61" s="10">
        <f t="shared" si="8"/>
        <v>7.0000000000000007E-2</v>
      </c>
      <c r="H61" s="10">
        <f t="shared" si="9"/>
        <v>1.7000000000000001E-2</v>
      </c>
      <c r="I61" s="48">
        <f t="shared" si="27"/>
        <v>8.7000000000000008E-2</v>
      </c>
      <c r="J61" s="11">
        <f t="shared" si="10"/>
        <v>20</v>
      </c>
      <c r="K61" s="11">
        <f>IF(B61&lt;&gt;"",IF($B$16=listy!$K$8,'RZĄDOWY PROGRAM'!$F$3*'RZĄDOWY PROGRAM'!$F$15,F60*$F$15),"")</f>
        <v>50</v>
      </c>
      <c r="L61" s="11">
        <f t="shared" si="28"/>
        <v>70</v>
      </c>
      <c r="N61" s="54">
        <f t="shared" si="48"/>
        <v>45748</v>
      </c>
      <c r="O61" s="8">
        <f t="shared" si="29"/>
        <v>34</v>
      </c>
      <c r="P61" s="8"/>
      <c r="Q61" s="11">
        <f>IF(O61&lt;&gt;"",ROUND(IF($F$11="raty równe",-PMT(W61/12,$F$4-O60+SUM($P$28:P61),T60,2),R61+S61),2),"")</f>
        <v>3522.1</v>
      </c>
      <c r="R61" s="11">
        <f>IF(O61&lt;&gt;"",IF($F$11="raty malejące",T60/($F$4-O60+SUM($P$28:P61)),IF(Q61-S61&gt;T60,T60,Q61-S61)),"")</f>
        <v>745.23184358974459</v>
      </c>
      <c r="S61" s="11">
        <f t="shared" si="68"/>
        <v>2776.8681564102553</v>
      </c>
      <c r="T61" s="9">
        <f t="shared" si="30"/>
        <v>382271.06559230754</v>
      </c>
      <c r="U61" s="10">
        <f t="shared" si="11"/>
        <v>7.0000000000000007E-2</v>
      </c>
      <c r="V61" s="10">
        <f t="shared" si="12"/>
        <v>1.7000000000000001E-2</v>
      </c>
      <c r="W61" s="48">
        <f t="shared" si="31"/>
        <v>8.7000000000000008E-2</v>
      </c>
      <c r="X61" s="11">
        <f t="shared" si="13"/>
        <v>20</v>
      </c>
      <c r="Y61" s="11">
        <f>IF(O61&lt;&gt;"",IF($B$16=listy!$K$8,'RZĄDOWY PROGRAM'!$F$3*'RZĄDOWY PROGRAM'!$F$15,T60*$F$15),"")</f>
        <v>50</v>
      </c>
      <c r="Z61" s="11">
        <f t="shared" si="32"/>
        <v>70</v>
      </c>
      <c r="AB61" s="8">
        <f t="shared" si="33"/>
        <v>34</v>
      </c>
      <c r="AC61" s="8"/>
      <c r="AD61" s="11">
        <f>IF(AB61&lt;&gt;"",ROUND(IF($F$11="raty równe",-PMT(W61/12,$F$4-AB60+SUM($AC$28:AC61),AG60,2),AE61+AF61),2),"")</f>
        <v>3280.39</v>
      </c>
      <c r="AE61" s="11">
        <f>IF(AB61&lt;&gt;"",IF($F$11="raty malejące",AG60/($F$4-AB60+SUM($AC$28:AC60)),MIN(AD61-AF61,AG60)),"")</f>
        <v>694.08438911530266</v>
      </c>
      <c r="AF61" s="11">
        <f t="shared" si="69"/>
        <v>2586.3056108846972</v>
      </c>
      <c r="AG61" s="9">
        <f t="shared" si="52"/>
        <v>356037.72400877398</v>
      </c>
      <c r="AH61" s="11"/>
      <c r="AI61" s="33">
        <f>IF(AB61&lt;&gt;"",ROUND(IF($F$11="raty równe",-PMT(W61/12,($F$4-AB60+SUM($AC$27:AC60)),AG60,2),AG60/($F$4-AB60+SUM($AC$27:AC60))+AG60*W61/12),2),"")</f>
        <v>3280.39</v>
      </c>
      <c r="AJ61" s="33">
        <f t="shared" si="34"/>
        <v>241.71000000000004</v>
      </c>
      <c r="AK61" s="33">
        <f t="shared" si="15"/>
        <v>6769.2845010869905</v>
      </c>
      <c r="AL61" s="33">
        <f>IF(AB61&lt;&gt;"",AK61-SUM($AJ$28:AJ61),"")</f>
        <v>346.1545010869886</v>
      </c>
      <c r="AM61" s="11">
        <f t="shared" si="35"/>
        <v>20</v>
      </c>
      <c r="AN61" s="11">
        <f>IF(AB61&lt;&gt;"",IF($B$16=listy!$K$8,'RZĄDOWY PROGRAM'!$F$3*'RZĄDOWY PROGRAM'!$F$15,AG60*$F$15),"")</f>
        <v>50</v>
      </c>
      <c r="AO61" s="11">
        <f t="shared" si="36"/>
        <v>70</v>
      </c>
      <c r="AQ61" s="8">
        <f t="shared" si="37"/>
        <v>34</v>
      </c>
      <c r="AR61" s="8"/>
      <c r="AS61" s="78">
        <f>IF(AQ61&lt;&gt;"",ROUND(IF($F$11="raty równe",-PMT(W61/12,$F$4-AQ60+SUM($AR$28:AR61),AV60,2),AT61+AU61),2),"")</f>
        <v>3263.83</v>
      </c>
      <c r="AT61" s="78">
        <f>IF(AQ61&lt;&gt;"",IF($F$11="raty malejące",AV60/($F$4-AQ60+SUM($AR$28:AR60)),MIN(AS61-AU61,AV60)),"")</f>
        <v>690.58569115490218</v>
      </c>
      <c r="AU61" s="78">
        <f t="shared" si="53"/>
        <v>2573.2443088450977</v>
      </c>
      <c r="AV61" s="79">
        <f t="shared" si="38"/>
        <v>354239.66380472068</v>
      </c>
      <c r="AW61" s="11"/>
      <c r="AX61" s="33">
        <f>IF(AQ61&lt;&gt;"",ROUND(IF($F$11="raty równe",-PMT(W61/12,($F$4-AQ60+SUM($AR$27:AR60)),AV60,2),AV60/($F$4-AQ60+SUM($AR$27:AR60))+AV60*W61/12),2),"")</f>
        <v>3263.83</v>
      </c>
      <c r="AY61" s="33">
        <f t="shared" si="39"/>
        <v>258.27</v>
      </c>
      <c r="AZ61" s="33">
        <f t="shared" si="72"/>
        <v>4807.9720128971985</v>
      </c>
      <c r="BA61" s="33">
        <f>IF(AQ61&lt;&gt;"",AZ61-SUM($AY$44:AY61),"")</f>
        <v>159.12201289719815</v>
      </c>
      <c r="BB61" s="11">
        <f t="shared" si="40"/>
        <v>20</v>
      </c>
      <c r="BC61" s="11">
        <f>IF(AQ61&lt;&gt;"",IF($B$16=listy!$K$8,'RZĄDOWY PROGRAM'!$F$3*'RZĄDOWY PROGRAM'!$F$15,AV60*$F$15),"")</f>
        <v>50</v>
      </c>
      <c r="BD61" s="11">
        <f t="shared" si="41"/>
        <v>70</v>
      </c>
      <c r="BF61" s="8">
        <f t="shared" si="42"/>
        <v>34</v>
      </c>
      <c r="BG61" s="8"/>
      <c r="BH61" s="78">
        <f>IF(BF61&lt;&gt;"",ROUND(IF($F$11="raty równe",-PMT(W61/12,$F$4-BF60+SUM(BV$28:$BV61)-SUM($BM$29:BM61),BK60,2),BI61+BJ61),2),"")</f>
        <v>3522.09</v>
      </c>
      <c r="BI61" s="78">
        <f>IF(BF61&lt;&gt;"",IF($F$11="raty malejące",MIN(BK60/($F$4-BF60+SUM($BG$27:BG61)-SUM($BM$27:BM61)),BK60),MIN(BH61-BJ61,BK60)),"")</f>
        <v>984.73208077783192</v>
      </c>
      <c r="BJ61" s="78">
        <f t="shared" si="54"/>
        <v>2537.3579192221682</v>
      </c>
      <c r="BK61" s="79">
        <f t="shared" si="55"/>
        <v>348995.67057055567</v>
      </c>
      <c r="BL61" s="11"/>
      <c r="BM61" s="33"/>
      <c r="BN61" s="33">
        <f t="shared" si="73"/>
        <v>9.9999999997635314E-3</v>
      </c>
      <c r="BO61" s="33">
        <f t="shared" si="74"/>
        <v>-8.3263683575663883E-2</v>
      </c>
      <c r="BP61" s="33">
        <f>IF(O61&lt;&gt;"",BO61-SUM($BN$44:BN61),"")</f>
        <v>-3.2636835775556317E-3</v>
      </c>
      <c r="BQ61" s="11">
        <f t="shared" si="17"/>
        <v>20</v>
      </c>
      <c r="BR61" s="11">
        <f>IF(BF61&lt;&gt;"",IF($B$16=listy!$K$8,'RZĄDOWY PROGRAM'!$F$3*'RZĄDOWY PROGRAM'!$F$15,BK60*$F$15),"")</f>
        <v>50</v>
      </c>
      <c r="BS61" s="11">
        <f t="shared" si="18"/>
        <v>70</v>
      </c>
      <c r="BU61" s="8">
        <f t="shared" si="44"/>
        <v>34</v>
      </c>
      <c r="BV61" s="8"/>
      <c r="BW61" s="78">
        <f>IF(BU61&lt;&gt;"",ROUND(IF($F$11="raty równe",-PMT(W61/12,$F$4-BU60+SUM($BV$28:BV61)-$CB$43,BZ60,2),BX61+BY61),2),"")</f>
        <v>3522.09</v>
      </c>
      <c r="BX61" s="78">
        <f>IF(BU61&lt;&gt;"",IF($F$11="raty malejące",MIN(BZ60/($F$4-BU60+SUM($BV$28:BV60)-SUM($CB$28:CB60)),BZ60),MIN(BW61-BY61,BZ60)),"")</f>
        <v>982.59167257288664</v>
      </c>
      <c r="BY61" s="78">
        <f t="shared" si="70"/>
        <v>2539.4983274271135</v>
      </c>
      <c r="BZ61" s="79">
        <f t="shared" si="71"/>
        <v>349293.03969668411</v>
      </c>
      <c r="CA61" s="11"/>
      <c r="CB61" s="33"/>
      <c r="CC61" s="33">
        <f t="shared" si="46"/>
        <v>9.9999999997635314E-3</v>
      </c>
      <c r="CD61" s="33">
        <f t="shared" si="75"/>
        <v>9.2897415453070328E-2</v>
      </c>
      <c r="CE61" s="33">
        <f>IF(O61&lt;&gt;"",CD61-SUM($CC$44:CC61),"")</f>
        <v>2.8974154551985459E-3</v>
      </c>
      <c r="CF61" s="11">
        <f t="shared" si="20"/>
        <v>20</v>
      </c>
      <c r="CG61" s="11">
        <f>IF(BU61&lt;&gt;"",IF($B$16=listy!$K$8,'RZĄDOWY PROGRAM'!$F$3*'RZĄDOWY PROGRAM'!$F$15,BZ60*$F$15),"")</f>
        <v>50</v>
      </c>
      <c r="CH61" s="11">
        <f t="shared" si="21"/>
        <v>70</v>
      </c>
      <c r="CJ61" s="48">
        <f t="shared" si="22"/>
        <v>0.06</v>
      </c>
      <c r="CK61" s="18">
        <f t="shared" si="23"/>
        <v>4.8675505653430484E-3</v>
      </c>
      <c r="CL61" s="11">
        <f t="shared" si="24"/>
        <v>0</v>
      </c>
      <c r="CM61" s="11">
        <f t="shared" si="25"/>
        <v>31278.960960760796</v>
      </c>
      <c r="CN61" s="11">
        <f>IF(AB61&lt;&gt;"",CM61-SUM($CL$28:CL61),"")</f>
        <v>3102.2009607608015</v>
      </c>
    </row>
    <row r="62" spans="1:92" x14ac:dyDescent="0.45">
      <c r="A62" s="68">
        <f t="shared" si="47"/>
        <v>45778</v>
      </c>
      <c r="B62" s="8">
        <f t="shared" si="4"/>
        <v>35</v>
      </c>
      <c r="C62" s="11">
        <f t="shared" si="5"/>
        <v>3522.09</v>
      </c>
      <c r="D62" s="11">
        <f t="shared" si="6"/>
        <v>795.28220440591258</v>
      </c>
      <c r="E62" s="11">
        <f t="shared" si="7"/>
        <v>2726.8077955940876</v>
      </c>
      <c r="F62" s="9">
        <f t="shared" si="26"/>
        <v>375316.13787753717</v>
      </c>
      <c r="G62" s="10">
        <f t="shared" si="8"/>
        <v>7.0000000000000007E-2</v>
      </c>
      <c r="H62" s="10">
        <f t="shared" si="9"/>
        <v>1.7000000000000001E-2</v>
      </c>
      <c r="I62" s="48">
        <f t="shared" si="27"/>
        <v>8.7000000000000008E-2</v>
      </c>
      <c r="J62" s="11">
        <f t="shared" si="10"/>
        <v>20</v>
      </c>
      <c r="K62" s="11">
        <f>IF(B62&lt;&gt;"",IF($B$16=listy!$K$8,'RZĄDOWY PROGRAM'!$F$3*'RZĄDOWY PROGRAM'!$F$15,F61*$F$15),"")</f>
        <v>50</v>
      </c>
      <c r="L62" s="11">
        <f t="shared" si="28"/>
        <v>70</v>
      </c>
      <c r="N62" s="54">
        <f t="shared" si="48"/>
        <v>45778</v>
      </c>
      <c r="O62" s="8">
        <f t="shared" si="29"/>
        <v>35</v>
      </c>
      <c r="P62" s="8"/>
      <c r="Q62" s="11">
        <f>IF(O62&lt;&gt;"",ROUND(IF($F$11="raty równe",-PMT(W62/12,$F$4-O61+SUM($P$28:P62),T61,2),R62+S62),2),"")</f>
        <v>3522.09</v>
      </c>
      <c r="R62" s="11">
        <f>IF(O62&lt;&gt;"",IF($F$11="raty malejące",T61/($F$4-O61+SUM($P$28:P62)),IF(Q62-S62&gt;T61,T61,Q62-S62)),"")</f>
        <v>750.62477445576997</v>
      </c>
      <c r="S62" s="11">
        <f t="shared" si="68"/>
        <v>2771.4652255442302</v>
      </c>
      <c r="T62" s="9">
        <f t="shared" si="30"/>
        <v>381520.44081785175</v>
      </c>
      <c r="U62" s="10">
        <f t="shared" si="11"/>
        <v>7.0000000000000007E-2</v>
      </c>
      <c r="V62" s="10">
        <f t="shared" si="12"/>
        <v>1.7000000000000001E-2</v>
      </c>
      <c r="W62" s="48">
        <f t="shared" si="31"/>
        <v>8.7000000000000008E-2</v>
      </c>
      <c r="X62" s="11">
        <f t="shared" si="13"/>
        <v>20</v>
      </c>
      <c r="Y62" s="11">
        <f>IF(O62&lt;&gt;"",IF($B$16=listy!$K$8,'RZĄDOWY PROGRAM'!$F$3*'RZĄDOWY PROGRAM'!$F$15,T61*$F$15),"")</f>
        <v>50</v>
      </c>
      <c r="Z62" s="11">
        <f t="shared" si="32"/>
        <v>70</v>
      </c>
      <c r="AB62" s="8">
        <f t="shared" si="33"/>
        <v>35</v>
      </c>
      <c r="AC62" s="8"/>
      <c r="AD62" s="11">
        <f>IF(AB62&lt;&gt;"",ROUND(IF($F$11="raty równe",-PMT(W62/12,$F$4-AB61+SUM($AC$28:AC62),AG61,2),AE62+AF62),2),"")</f>
        <v>3280.39</v>
      </c>
      <c r="AE62" s="11">
        <f>IF(AB62&lt;&gt;"",IF($F$11="raty malejące",AG61/($F$4-AB61+SUM($AC$28:AC61)),MIN(AD62-AF62,AG61)),"")</f>
        <v>699.11650093638855</v>
      </c>
      <c r="AF62" s="11">
        <f t="shared" si="69"/>
        <v>2581.2734990636113</v>
      </c>
      <c r="AG62" s="9">
        <f t="shared" si="52"/>
        <v>355338.60750783759</v>
      </c>
      <c r="AH62" s="11"/>
      <c r="AI62" s="33">
        <f>IF(AB62&lt;&gt;"",ROUND(IF($F$11="raty równe",-PMT(W62/12,($F$4-AB61+SUM($AC$27:AC61)),AG61,2),AG61/($F$4-AB61+SUM($AC$27:AC61))+AG61*W62/12),2),"")</f>
        <v>3280.39</v>
      </c>
      <c r="AJ62" s="33">
        <f t="shared" si="34"/>
        <v>241.70000000000027</v>
      </c>
      <c r="AK62" s="33">
        <f t="shared" si="15"/>
        <v>7037.6738671131807</v>
      </c>
      <c r="AL62" s="33">
        <f>IF(AB62&lt;&gt;"",AK62-SUM($AJ$28:AJ62),"")</f>
        <v>372.84386711317893</v>
      </c>
      <c r="AM62" s="11">
        <f t="shared" si="35"/>
        <v>20</v>
      </c>
      <c r="AN62" s="11">
        <f>IF(AB62&lt;&gt;"",IF($B$16=listy!$K$8,'RZĄDOWY PROGRAM'!$F$3*'RZĄDOWY PROGRAM'!$F$15,AG61*$F$15),"")</f>
        <v>50</v>
      </c>
      <c r="AO62" s="11">
        <f t="shared" si="36"/>
        <v>70</v>
      </c>
      <c r="AQ62" s="8">
        <f t="shared" si="37"/>
        <v>35</v>
      </c>
      <c r="AR62" s="8"/>
      <c r="AS62" s="78">
        <f>IF(AQ62&lt;&gt;"",ROUND(IF($F$11="raty równe",-PMT(W62/12,$F$4-AQ61+SUM($AR$28:AR62),AV61,2),AT62+AU62),2),"")</f>
        <v>3263.82</v>
      </c>
      <c r="AT62" s="78">
        <f>IF(AQ62&lt;&gt;"",IF($F$11="raty malejące",AV61/($F$4-AQ61+SUM($AR$28:AR61)),MIN(AS62-AU62,AV61)),"")</f>
        <v>695.58243741577508</v>
      </c>
      <c r="AU62" s="78">
        <f t="shared" si="53"/>
        <v>2568.2375625842251</v>
      </c>
      <c r="AV62" s="79">
        <f t="shared" si="38"/>
        <v>353544.0813673049</v>
      </c>
      <c r="AW62" s="11"/>
      <c r="AX62" s="33">
        <f>IF(AQ62&lt;&gt;"",ROUND(IF($F$11="raty równe",-PMT(W62/12,($F$4-AQ61+SUM($AR$27:AR61)),AV61,2),AV61/($F$4-AQ61+SUM($AR$27:AR61))+AV61*W62/12),2),"")</f>
        <v>3263.82</v>
      </c>
      <c r="AY62" s="33">
        <f t="shared" si="39"/>
        <v>258.27</v>
      </c>
      <c r="AZ62" s="33">
        <f t="shared" si="72"/>
        <v>5085.1984808777197</v>
      </c>
      <c r="BA62" s="33">
        <f>IF(AQ62&lt;&gt;"",AZ62-SUM($AY$44:AY62),"")</f>
        <v>178.0784808777189</v>
      </c>
      <c r="BB62" s="11">
        <f t="shared" si="40"/>
        <v>20</v>
      </c>
      <c r="BC62" s="11">
        <f>IF(AQ62&lt;&gt;"",IF($B$16=listy!$K$8,'RZĄDOWY PROGRAM'!$F$3*'RZĄDOWY PROGRAM'!$F$15,AV61*$F$15),"")</f>
        <v>50</v>
      </c>
      <c r="BD62" s="11">
        <f t="shared" si="41"/>
        <v>70</v>
      </c>
      <c r="BF62" s="8">
        <f t="shared" si="42"/>
        <v>35</v>
      </c>
      <c r="BG62" s="8"/>
      <c r="BH62" s="78">
        <f>IF(BF62&lt;&gt;"",ROUND(IF($F$11="raty równe",-PMT(W62/12,$F$4-BF61+SUM(BV$28:$BV62)-SUM($BM$29:BM62),BK61,2),BI62+BJ62),2),"")</f>
        <v>3522.1</v>
      </c>
      <c r="BI62" s="78">
        <f>IF(BF62&lt;&gt;"",IF($F$11="raty malejące",MIN(BK61/($F$4-BF61+SUM($BG$27:BG62)-SUM($BM$27:BM62)),BK61),MIN(BH62-BJ62,BK61)),"")</f>
        <v>991.88138836347116</v>
      </c>
      <c r="BJ62" s="78">
        <f t="shared" si="54"/>
        <v>2530.2186116365287</v>
      </c>
      <c r="BK62" s="79">
        <f t="shared" si="55"/>
        <v>348003.78918219218</v>
      </c>
      <c r="BL62" s="11"/>
      <c r="BM62" s="33"/>
      <c r="BN62" s="33">
        <f t="shared" si="73"/>
        <v>-9.9999999997635314E-3</v>
      </c>
      <c r="BO62" s="33">
        <f t="shared" si="74"/>
        <v>-9.3591968629377048E-2</v>
      </c>
      <c r="BP62" s="33">
        <f>IF(O62&lt;&gt;"",BO62-SUM($BN$44:BN62),"")</f>
        <v>-3.5919686315052657E-3</v>
      </c>
      <c r="BQ62" s="11">
        <f t="shared" si="17"/>
        <v>20</v>
      </c>
      <c r="BR62" s="11">
        <f>IF(BF62&lt;&gt;"",IF($B$16=listy!$K$8,'RZĄDOWY PROGRAM'!$F$3*'RZĄDOWY PROGRAM'!$F$15,BK61*$F$15),"")</f>
        <v>50</v>
      </c>
      <c r="BS62" s="11">
        <f t="shared" si="18"/>
        <v>70</v>
      </c>
      <c r="BU62" s="8">
        <f t="shared" si="44"/>
        <v>35</v>
      </c>
      <c r="BV62" s="8"/>
      <c r="BW62" s="78">
        <f>IF(BU62&lt;&gt;"",ROUND(IF($F$11="raty równe",-PMT(W62/12,$F$4-BU61+SUM($BV$28:BV62)-$CB$43,BZ61,2),BX62+BY62),2),"")</f>
        <v>3522.09</v>
      </c>
      <c r="BX62" s="78">
        <f>IF(BU62&lt;&gt;"",IF($F$11="raty malejące",MIN(BZ61/($F$4-BU61+SUM($BV$28:BV61)-SUM($CB$28:CB61)),BZ61),MIN(BW62-BY62,BZ61)),"")</f>
        <v>989.71546219903985</v>
      </c>
      <c r="BY62" s="78">
        <f t="shared" si="70"/>
        <v>2532.3745378009603</v>
      </c>
      <c r="BZ62" s="79">
        <f t="shared" si="71"/>
        <v>348303.32423448504</v>
      </c>
      <c r="CA62" s="11"/>
      <c r="CB62" s="33"/>
      <c r="CC62" s="33">
        <f t="shared" si="46"/>
        <v>0</v>
      </c>
      <c r="CD62" s="33">
        <f t="shared" si="75"/>
        <v>9.3263683575427414E-2</v>
      </c>
      <c r="CE62" s="33">
        <f>IF(O62&lt;&gt;"",CD62-SUM($CC$44:CC62),"")</f>
        <v>3.2636835775556317E-3</v>
      </c>
      <c r="CF62" s="11">
        <f t="shared" si="20"/>
        <v>20</v>
      </c>
      <c r="CG62" s="11">
        <f>IF(BU62&lt;&gt;"",IF($B$16=listy!$K$8,'RZĄDOWY PROGRAM'!$F$3*'RZĄDOWY PROGRAM'!$F$15,BZ61*$F$15),"")</f>
        <v>50</v>
      </c>
      <c r="CH62" s="11">
        <f t="shared" si="21"/>
        <v>70</v>
      </c>
      <c r="CJ62" s="48">
        <f t="shared" si="22"/>
        <v>0.06</v>
      </c>
      <c r="CK62" s="18">
        <f t="shared" si="23"/>
        <v>4.8675505653430484E-3</v>
      </c>
      <c r="CL62" s="11">
        <f t="shared" si="24"/>
        <v>0</v>
      </c>
      <c r="CM62" s="11">
        <f t="shared" si="25"/>
        <v>31402.285019288192</v>
      </c>
      <c r="CN62" s="11">
        <f>IF(AB62&lt;&gt;"",CM62-SUM($CL$28:CL62),"")</f>
        <v>3225.5250192881977</v>
      </c>
    </row>
    <row r="63" spans="1:92" x14ac:dyDescent="0.45">
      <c r="A63" s="68">
        <f t="shared" si="47"/>
        <v>45809</v>
      </c>
      <c r="B63" s="8">
        <f t="shared" si="4"/>
        <v>36</v>
      </c>
      <c r="C63" s="11">
        <f t="shared" si="5"/>
        <v>3522.1</v>
      </c>
      <c r="D63" s="11">
        <f t="shared" si="6"/>
        <v>801.05800038785492</v>
      </c>
      <c r="E63" s="11">
        <f t="shared" si="7"/>
        <v>2721.041999612145</v>
      </c>
      <c r="F63" s="9">
        <f t="shared" si="26"/>
        <v>374515.07987714931</v>
      </c>
      <c r="G63" s="10">
        <f t="shared" si="8"/>
        <v>7.0000000000000007E-2</v>
      </c>
      <c r="H63" s="10">
        <f t="shared" si="9"/>
        <v>1.7000000000000001E-2</v>
      </c>
      <c r="I63" s="48">
        <f t="shared" si="27"/>
        <v>8.7000000000000008E-2</v>
      </c>
      <c r="J63" s="11">
        <f t="shared" si="10"/>
        <v>20</v>
      </c>
      <c r="K63" s="11">
        <f>IF(B63&lt;&gt;"",IF($B$16=listy!$K$8,'RZĄDOWY PROGRAM'!$F$3*'RZĄDOWY PROGRAM'!$F$15,F62*$F$15),"")</f>
        <v>50</v>
      </c>
      <c r="L63" s="11">
        <f t="shared" si="28"/>
        <v>70</v>
      </c>
      <c r="N63" s="54">
        <f t="shared" si="48"/>
        <v>45809</v>
      </c>
      <c r="O63" s="8">
        <f t="shared" si="29"/>
        <v>36</v>
      </c>
      <c r="P63" s="8"/>
      <c r="Q63" s="11">
        <f>IF(O63&lt;&gt;"",ROUND(IF($F$11="raty równe",-PMT(W63/12,$F$4-O62+SUM($P$28:P63),T62,2),R63+S63),2),"")</f>
        <v>3522.1</v>
      </c>
      <c r="R63" s="11">
        <f>IF(O63&lt;&gt;"",IF($F$11="raty malejące",T62/($F$4-O62+SUM($P$28:P63)),IF(Q63-S63&gt;T62,T62,Q63-S63)),"")</f>
        <v>756.07680407057478</v>
      </c>
      <c r="S63" s="11">
        <f t="shared" si="68"/>
        <v>2766.0231959294251</v>
      </c>
      <c r="T63" s="9">
        <f t="shared" si="30"/>
        <v>380764.36401378119</v>
      </c>
      <c r="U63" s="10">
        <f t="shared" si="11"/>
        <v>7.0000000000000007E-2</v>
      </c>
      <c r="V63" s="10">
        <f t="shared" si="12"/>
        <v>1.7000000000000001E-2</v>
      </c>
      <c r="W63" s="48">
        <f t="shared" si="31"/>
        <v>8.7000000000000008E-2</v>
      </c>
      <c r="X63" s="11">
        <f t="shared" si="13"/>
        <v>20</v>
      </c>
      <c r="Y63" s="11">
        <f>IF(O63&lt;&gt;"",IF($B$16=listy!$K$8,'RZĄDOWY PROGRAM'!$F$3*'RZĄDOWY PROGRAM'!$F$15,T62*$F$15),"")</f>
        <v>50</v>
      </c>
      <c r="Z63" s="11">
        <f t="shared" si="32"/>
        <v>70</v>
      </c>
      <c r="AB63" s="8">
        <f t="shared" si="33"/>
        <v>36</v>
      </c>
      <c r="AC63" s="8"/>
      <c r="AD63" s="11">
        <f>IF(AB63&lt;&gt;"",ROUND(IF($F$11="raty równe",-PMT(W63/12,$F$4-AB62+SUM($AC$28:AC63),AG62,2),AE63+AF63),2),"")</f>
        <v>3280.39</v>
      </c>
      <c r="AE63" s="11">
        <f>IF(AB63&lt;&gt;"",IF($F$11="raty malejące",AG62/($F$4-AB62+SUM($AC$28:AC62)),MIN(AD63-AF63,AG62)),"")</f>
        <v>704.18509556817708</v>
      </c>
      <c r="AF63" s="11">
        <f t="shared" si="69"/>
        <v>2576.2049044318228</v>
      </c>
      <c r="AG63" s="9">
        <f t="shared" si="52"/>
        <v>354634.4224122694</v>
      </c>
      <c r="AH63" s="11"/>
      <c r="AI63" s="33">
        <f>IF(AB63&lt;&gt;"",ROUND(IF($F$11="raty równe",-PMT(W63/12,($F$4-AB62+SUM($AC$27:AC62)),AG62,2),AG62/($F$4-AB62+SUM($AC$27:AC62))+AG62*W63/12),2),"")</f>
        <v>3280.39</v>
      </c>
      <c r="AJ63" s="33">
        <f t="shared" si="34"/>
        <v>241.71000000000004</v>
      </c>
      <c r="AK63" s="33">
        <f t="shared" si="15"/>
        <v>7307.13141617574</v>
      </c>
      <c r="AL63" s="33">
        <f>IF(AB63&lt;&gt;"",AK63-SUM($AJ$28:AJ63),"")</f>
        <v>400.59141617573823</v>
      </c>
      <c r="AM63" s="11">
        <f t="shared" si="35"/>
        <v>20</v>
      </c>
      <c r="AN63" s="11">
        <f>IF(AB63&lt;&gt;"",IF($B$16=listy!$K$8,'RZĄDOWY PROGRAM'!$F$3*'RZĄDOWY PROGRAM'!$F$15,AG62*$F$15),"")</f>
        <v>50</v>
      </c>
      <c r="AO63" s="11">
        <f t="shared" si="36"/>
        <v>70</v>
      </c>
      <c r="AQ63" s="8">
        <f t="shared" si="37"/>
        <v>36</v>
      </c>
      <c r="AR63" s="8"/>
      <c r="AS63" s="78">
        <f>IF(AQ63&lt;&gt;"",ROUND(IF($F$11="raty równe",-PMT(W63/12,$F$4-AQ62+SUM($AR$28:AR63),AV62,2),AT63+AU63),2),"")</f>
        <v>3263.83</v>
      </c>
      <c r="AT63" s="78">
        <f>IF(AQ63&lt;&gt;"",IF($F$11="raty malejące",AV62/($F$4-AQ62+SUM($AR$28:AR62)),MIN(AS63-AU63,AV62)),"")</f>
        <v>700.63541008703896</v>
      </c>
      <c r="AU63" s="78">
        <f t="shared" si="53"/>
        <v>2563.194589912961</v>
      </c>
      <c r="AV63" s="79">
        <f t="shared" si="38"/>
        <v>352843.44595721783</v>
      </c>
      <c r="AW63" s="11"/>
      <c r="AX63" s="33">
        <f>IF(AQ63&lt;&gt;"",ROUND(IF($F$11="raty równe",-PMT(W63/12,($F$4-AQ62+SUM($AR$27:AR62)),AV62,2),AV62/($F$4-AQ62+SUM($AR$27:AR62))+AV62*W63/12),2),"")</f>
        <v>3263.83</v>
      </c>
      <c r="AY63" s="33">
        <f t="shared" si="39"/>
        <v>258.27</v>
      </c>
      <c r="AZ63" s="33">
        <f t="shared" si="72"/>
        <v>5363.5179740775075</v>
      </c>
      <c r="BA63" s="33">
        <f>IF(AQ63&lt;&gt;"",AZ63-SUM($AY$44:AY63),"")</f>
        <v>198.12797407750622</v>
      </c>
      <c r="BB63" s="11">
        <f t="shared" si="40"/>
        <v>20</v>
      </c>
      <c r="BC63" s="11">
        <f>IF(AQ63&lt;&gt;"",IF($B$16=listy!$K$8,'RZĄDOWY PROGRAM'!$F$3*'RZĄDOWY PROGRAM'!$F$15,AV62*$F$15),"")</f>
        <v>50</v>
      </c>
      <c r="BD63" s="11">
        <f t="shared" si="41"/>
        <v>70</v>
      </c>
      <c r="BF63" s="8">
        <f t="shared" si="42"/>
        <v>36</v>
      </c>
      <c r="BG63" s="8"/>
      <c r="BH63" s="78">
        <f>IF(BF63&lt;&gt;"",ROUND(IF($F$11="raty równe",-PMT(W63/12,$F$4-BF62+SUM(BV$28:$BV63)-SUM($BM$29:BM63),BK62,2),BI63+BJ63),2),"")</f>
        <v>3522.09</v>
      </c>
      <c r="BI63" s="78">
        <f>IF(BF63&lt;&gt;"",IF($F$11="raty malejące",MIN(BK62/($F$4-BF62+SUM($BG$27:BG63)-SUM($BM$27:BM63)),BK62),MIN(BH63-BJ63,BK62)),"")</f>
        <v>999.06252842910681</v>
      </c>
      <c r="BJ63" s="78">
        <f t="shared" si="54"/>
        <v>2523.0274715708933</v>
      </c>
      <c r="BK63" s="79">
        <f t="shared" si="55"/>
        <v>347004.72665376309</v>
      </c>
      <c r="BL63" s="11"/>
      <c r="BM63" s="33"/>
      <c r="BN63" s="33">
        <f t="shared" si="73"/>
        <v>9.9999999997635314E-3</v>
      </c>
      <c r="BO63" s="33">
        <f t="shared" si="74"/>
        <v>-8.3960975177862454E-2</v>
      </c>
      <c r="BP63" s="33">
        <f>IF(O63&lt;&gt;"",BO63-SUM($BN$44:BN63),"")</f>
        <v>-3.9609751797542031E-3</v>
      </c>
      <c r="BQ63" s="11">
        <f t="shared" si="17"/>
        <v>20</v>
      </c>
      <c r="BR63" s="11">
        <f>IF(BF63&lt;&gt;"",IF($B$16=listy!$K$8,'RZĄDOWY PROGRAM'!$F$3*'RZĄDOWY PROGRAM'!$F$15,BK62*$F$15),"")</f>
        <v>50</v>
      </c>
      <c r="BS63" s="11">
        <f t="shared" si="18"/>
        <v>70</v>
      </c>
      <c r="BU63" s="8">
        <f t="shared" si="44"/>
        <v>36</v>
      </c>
      <c r="BV63" s="8"/>
      <c r="BW63" s="78">
        <f>IF(BU63&lt;&gt;"",ROUND(IF($F$11="raty równe",-PMT(W63/12,$F$4-BU62+SUM($BV$28:BV63)-$CB$43,BZ62,2),BX63+BY63),2),"")</f>
        <v>3522.09</v>
      </c>
      <c r="BX63" s="78">
        <f>IF(BU63&lt;&gt;"",IF($F$11="raty malejące",MIN(BZ62/($F$4-BU62+SUM($BV$28:BV62)-SUM($CB$28:CB62)),BZ62),MIN(BW63-BY63,BZ62)),"")</f>
        <v>996.89089929998363</v>
      </c>
      <c r="BY63" s="78">
        <f t="shared" si="70"/>
        <v>2525.1991007000165</v>
      </c>
      <c r="BZ63" s="79">
        <f t="shared" si="71"/>
        <v>347306.43333518505</v>
      </c>
      <c r="CA63" s="11"/>
      <c r="CB63" s="33"/>
      <c r="CC63" s="33">
        <f t="shared" si="46"/>
        <v>9.9999999997635314E-3</v>
      </c>
      <c r="CD63" s="33">
        <f t="shared" si="75"/>
        <v>0.10363139578871892</v>
      </c>
      <c r="CE63" s="33">
        <f>IF(O63&lt;&gt;"",CD63-SUM($CC$44:CC63),"")</f>
        <v>3.6313957910836109E-3</v>
      </c>
      <c r="CF63" s="11">
        <f t="shared" si="20"/>
        <v>20</v>
      </c>
      <c r="CG63" s="11">
        <f>IF(BU63&lt;&gt;"",IF($B$16=listy!$K$8,'RZĄDOWY PROGRAM'!$F$3*'RZĄDOWY PROGRAM'!$F$15,BZ62*$F$15),"")</f>
        <v>50</v>
      </c>
      <c r="CH63" s="11">
        <f t="shared" si="21"/>
        <v>70</v>
      </c>
      <c r="CJ63" s="48">
        <f t="shared" si="22"/>
        <v>0.06</v>
      </c>
      <c r="CK63" s="18">
        <f t="shared" si="23"/>
        <v>4.8675505653430484E-3</v>
      </c>
      <c r="CL63" s="11">
        <f t="shared" si="24"/>
        <v>0</v>
      </c>
      <c r="CM63" s="11">
        <f t="shared" si="25"/>
        <v>31526.095309549142</v>
      </c>
      <c r="CN63" s="11">
        <f>IF(AB63&lt;&gt;"",CM63-SUM($CL$28:CL63),"")</f>
        <v>3349.3353095491475</v>
      </c>
    </row>
    <row r="64" spans="1:92" x14ac:dyDescent="0.45">
      <c r="A64" s="68">
        <f t="shared" si="47"/>
        <v>45839</v>
      </c>
      <c r="B64" s="8">
        <f t="shared" si="4"/>
        <v>37</v>
      </c>
      <c r="C64" s="11">
        <f t="shared" si="5"/>
        <v>3522.09</v>
      </c>
      <c r="D64" s="11">
        <f t="shared" si="6"/>
        <v>806.85567089066762</v>
      </c>
      <c r="E64" s="11">
        <f t="shared" si="7"/>
        <v>2715.2343291093325</v>
      </c>
      <c r="F64" s="9">
        <f t="shared" si="26"/>
        <v>373708.22420625866</v>
      </c>
      <c r="G64" s="10">
        <f t="shared" si="8"/>
        <v>7.0000000000000007E-2</v>
      </c>
      <c r="H64" s="10">
        <f t="shared" si="9"/>
        <v>1.7000000000000001E-2</v>
      </c>
      <c r="I64" s="48">
        <f t="shared" si="27"/>
        <v>8.7000000000000008E-2</v>
      </c>
      <c r="J64" s="11">
        <f t="shared" si="10"/>
        <v>20</v>
      </c>
      <c r="K64" s="11">
        <f>IF(B64&lt;&gt;"",IF($B$16=listy!$K$8,'RZĄDOWY PROGRAM'!$F$3*'RZĄDOWY PROGRAM'!$F$15,F63*$F$15),"")</f>
        <v>50</v>
      </c>
      <c r="L64" s="11">
        <f t="shared" si="28"/>
        <v>70</v>
      </c>
      <c r="N64" s="54">
        <f t="shared" si="48"/>
        <v>45839</v>
      </c>
      <c r="O64" s="8">
        <f t="shared" si="29"/>
        <v>37</v>
      </c>
      <c r="P64" s="8"/>
      <c r="Q64" s="11">
        <f>IF(O64&lt;&gt;"",ROUND(IF($F$11="raty równe",-PMT(W64/12,$F$4-O63+SUM($P$28:P64),T63,2),R64+S64),2),"")</f>
        <v>3522.09</v>
      </c>
      <c r="R64" s="11">
        <f>IF(O64&lt;&gt;"",IF($F$11="raty malejące",T63/($F$4-O63+SUM($P$28:P64)),IF(Q64-S64&gt;T63,T63,Q64-S64)),"")</f>
        <v>761.54836090008621</v>
      </c>
      <c r="S64" s="11">
        <f t="shared" si="68"/>
        <v>2760.5416390999139</v>
      </c>
      <c r="T64" s="9">
        <f t="shared" si="30"/>
        <v>380002.81565288111</v>
      </c>
      <c r="U64" s="10">
        <f t="shared" si="11"/>
        <v>7.0000000000000007E-2</v>
      </c>
      <c r="V64" s="10">
        <f t="shared" si="12"/>
        <v>1.7000000000000001E-2</v>
      </c>
      <c r="W64" s="48">
        <f t="shared" si="31"/>
        <v>8.7000000000000008E-2</v>
      </c>
      <c r="X64" s="11">
        <f t="shared" si="13"/>
        <v>20</v>
      </c>
      <c r="Y64" s="11">
        <f>IF(O64&lt;&gt;"",IF($B$16=listy!$K$8,'RZĄDOWY PROGRAM'!$F$3*'RZĄDOWY PROGRAM'!$F$15,T63*$F$15),"")</f>
        <v>50</v>
      </c>
      <c r="Z64" s="11">
        <f t="shared" si="32"/>
        <v>70</v>
      </c>
      <c r="AB64" s="8">
        <f t="shared" si="33"/>
        <v>37</v>
      </c>
      <c r="AC64" s="8"/>
      <c r="AD64" s="11">
        <f>IF(AB64&lt;&gt;"",ROUND(IF($F$11="raty równe",-PMT(W64/12,$F$4-AB63+SUM($AC$28:AC64),AG63,2),AE64+AF64),2),"")</f>
        <v>3280.39</v>
      </c>
      <c r="AE64" s="11">
        <f>IF(AB64&lt;&gt;"",IF($F$11="raty malejące",AG63/($F$4-AB63+SUM($AC$28:AC63)),MIN(AD64-AF64,AG63)),"")</f>
        <v>709.29043751104655</v>
      </c>
      <c r="AF64" s="11">
        <f t="shared" si="69"/>
        <v>2571.0995624889533</v>
      </c>
      <c r="AG64" s="9">
        <f t="shared" si="52"/>
        <v>353925.13197475835</v>
      </c>
      <c r="AH64" s="11"/>
      <c r="AI64" s="33">
        <f>IF(AB64&lt;&gt;"",ROUND(IF($F$11="raty równe",-PMT(W64/12,($F$4-AB63+SUM($AC$27:AC63)),AG63,2),AG63/($F$4-AB63+SUM($AC$27:AC63))+AG63*W64/12),2),"")</f>
        <v>3280.39</v>
      </c>
      <c r="AJ64" s="33">
        <f t="shared" si="34"/>
        <v>241.70000000000027</v>
      </c>
      <c r="AK64" s="33">
        <f t="shared" si="15"/>
        <v>7577.6413598169729</v>
      </c>
      <c r="AL64" s="33">
        <f>IF(AB64&lt;&gt;"",AK64-SUM($AJ$28:AJ64),"")</f>
        <v>429.40135981697131</v>
      </c>
      <c r="AM64" s="11">
        <f t="shared" si="35"/>
        <v>20</v>
      </c>
      <c r="AN64" s="11">
        <f>IF(AB64&lt;&gt;"",IF($B$16=listy!$K$8,'RZĄDOWY PROGRAM'!$F$3*'RZĄDOWY PROGRAM'!$F$15,AG63*$F$15),"")</f>
        <v>50</v>
      </c>
      <c r="AO64" s="11">
        <f t="shared" si="36"/>
        <v>70</v>
      </c>
      <c r="AQ64" s="8">
        <f t="shared" si="37"/>
        <v>37</v>
      </c>
      <c r="AR64" s="8"/>
      <c r="AS64" s="78">
        <f>IF(AQ64&lt;&gt;"",ROUND(IF($F$11="raty równe",-PMT(W64/12,$F$4-AQ63+SUM($AR$28:AR64),AV63,2),AT64+AU64),2),"")</f>
        <v>3263.82</v>
      </c>
      <c r="AT64" s="78">
        <f>IF(AQ64&lt;&gt;"",IF($F$11="raty malejące",AV63/($F$4-AQ63+SUM($AR$28:AR63)),MIN(AS64-AU64,AV63)),"")</f>
        <v>705.70501681017049</v>
      </c>
      <c r="AU64" s="78">
        <f t="shared" si="53"/>
        <v>2558.1149831898297</v>
      </c>
      <c r="AV64" s="79">
        <f t="shared" si="38"/>
        <v>352137.74094040768</v>
      </c>
      <c r="AW64" s="11"/>
      <c r="AX64" s="33">
        <f>IF(AQ64&lt;&gt;"",ROUND(IF($F$11="raty równe",-PMT(W64/12,($F$4-AQ63+SUM($AR$27:AR63)),AV63,2),AV63/($F$4-AQ63+SUM($AR$27:AR63))+AV63*W64/12),2),"")</f>
        <v>3263.82</v>
      </c>
      <c r="AY64" s="33">
        <f t="shared" si="39"/>
        <v>258.27</v>
      </c>
      <c r="AZ64" s="33">
        <f t="shared" si="72"/>
        <v>5642.9348019845365</v>
      </c>
      <c r="BA64" s="33">
        <f>IF(AQ64&lt;&gt;"",AZ64-SUM($AY$44:AY64),"")</f>
        <v>219.27480198453486</v>
      </c>
      <c r="BB64" s="11">
        <f t="shared" si="40"/>
        <v>20</v>
      </c>
      <c r="BC64" s="11">
        <f>IF(AQ64&lt;&gt;"",IF($B$16=listy!$K$8,'RZĄDOWY PROGRAM'!$F$3*'RZĄDOWY PROGRAM'!$F$15,AV63*$F$15),"")</f>
        <v>50</v>
      </c>
      <c r="BD64" s="11">
        <f t="shared" si="41"/>
        <v>70</v>
      </c>
      <c r="BF64" s="8">
        <f t="shared" si="42"/>
        <v>37</v>
      </c>
      <c r="BG64" s="8"/>
      <c r="BH64" s="78">
        <f>IF(BF64&lt;&gt;"",ROUND(IF($F$11="raty równe",-PMT(W64/12,$F$4-BF63+SUM(BV$28:$BV64)-SUM($BM$29:BM64),BK63,2),BI64+BJ64),2),"")</f>
        <v>3522.1</v>
      </c>
      <c r="BI64" s="78">
        <f>IF(BF64&lt;&gt;"",IF($F$11="raty malejące",MIN(BK63/($F$4-BF63+SUM($BG$27:BG64)-SUM($BM$27:BM64)),BK63),MIN(BH64-BJ64,BK63)),"")</f>
        <v>1006.3157317602172</v>
      </c>
      <c r="BJ64" s="78">
        <f t="shared" si="54"/>
        <v>2515.7842682397827</v>
      </c>
      <c r="BK64" s="79">
        <f t="shared" si="55"/>
        <v>345998.41092200286</v>
      </c>
      <c r="BL64" s="11"/>
      <c r="BM64" s="33"/>
      <c r="BN64" s="33">
        <f t="shared" si="73"/>
        <v>-9.9999999997635314E-3</v>
      </c>
      <c r="BO64" s="33">
        <f t="shared" si="74"/>
        <v>-9.4292009454302939E-2</v>
      </c>
      <c r="BP64" s="33">
        <f>IF(O64&lt;&gt;"",BO64-SUM($BN$44:BN64),"")</f>
        <v>-4.2920094564311562E-3</v>
      </c>
      <c r="BQ64" s="11">
        <f t="shared" si="17"/>
        <v>20</v>
      </c>
      <c r="BR64" s="11">
        <f>IF(BF64&lt;&gt;"",IF($B$16=listy!$K$8,'RZĄDOWY PROGRAM'!$F$3*'RZĄDOWY PROGRAM'!$F$15,BK63*$F$15),"")</f>
        <v>50</v>
      </c>
      <c r="BS64" s="11">
        <f t="shared" si="18"/>
        <v>70</v>
      </c>
      <c r="BU64" s="8">
        <f t="shared" si="44"/>
        <v>37</v>
      </c>
      <c r="BV64" s="8"/>
      <c r="BW64" s="78">
        <f>IF(BU64&lt;&gt;"",ROUND(IF($F$11="raty równe",-PMT(W64/12,$F$4-BU63+SUM($BV$28:BV64)-$CB$43,BZ63,2),BX64+BY64),2),"")</f>
        <v>3522.09</v>
      </c>
      <c r="BX64" s="78">
        <f>IF(BU64&lt;&gt;"",IF($F$11="raty malejące",MIN(BZ63/($F$4-BU63+SUM($BV$28:BV63)-SUM($CB$28:CB63)),BZ63),MIN(BW64-BY64,BZ63)),"")</f>
        <v>1004.1183583199086</v>
      </c>
      <c r="BY64" s="78">
        <f t="shared" si="70"/>
        <v>2517.9716416800916</v>
      </c>
      <c r="BZ64" s="79">
        <f t="shared" si="71"/>
        <v>346302.31497686513</v>
      </c>
      <c r="CA64" s="11"/>
      <c r="CB64" s="33"/>
      <c r="CC64" s="33">
        <f t="shared" si="46"/>
        <v>0</v>
      </c>
      <c r="CD64" s="33">
        <f t="shared" si="75"/>
        <v>0.10403998494663745</v>
      </c>
      <c r="CE64" s="33">
        <f>IF(O64&lt;&gt;"",CD64-SUM($CC$44:CC64),"")</f>
        <v>4.0399849490021372E-3</v>
      </c>
      <c r="CF64" s="11">
        <f t="shared" si="20"/>
        <v>20</v>
      </c>
      <c r="CG64" s="11">
        <f>IF(BU64&lt;&gt;"",IF($B$16=listy!$K$8,'RZĄDOWY PROGRAM'!$F$3*'RZĄDOWY PROGRAM'!$F$15,BZ63*$F$15),"")</f>
        <v>50</v>
      </c>
      <c r="CH64" s="11">
        <f t="shared" si="21"/>
        <v>70</v>
      </c>
      <c r="CJ64" s="48">
        <f t="shared" si="22"/>
        <v>0.06</v>
      </c>
      <c r="CK64" s="18">
        <f t="shared" si="23"/>
        <v>4.8675505653430484E-3</v>
      </c>
      <c r="CL64" s="11">
        <f t="shared" si="24"/>
        <v>0</v>
      </c>
      <c r="CM64" s="11">
        <f t="shared" si="25"/>
        <v>31650.393748617258</v>
      </c>
      <c r="CN64" s="11">
        <f>IF(AB64&lt;&gt;"",CM64-SUM($CL$28:CL64),"")</f>
        <v>3473.6337486172633</v>
      </c>
    </row>
    <row r="65" spans="1:92" x14ac:dyDescent="0.45">
      <c r="A65" s="68">
        <f t="shared" si="47"/>
        <v>45870</v>
      </c>
      <c r="B65" s="8">
        <f t="shared" si="4"/>
        <v>38</v>
      </c>
      <c r="C65" s="11">
        <f t="shared" si="5"/>
        <v>3522.1</v>
      </c>
      <c r="D65" s="11">
        <f t="shared" si="6"/>
        <v>812.71537450462438</v>
      </c>
      <c r="E65" s="11">
        <f t="shared" si="7"/>
        <v>2709.3846254953755</v>
      </c>
      <c r="F65" s="9">
        <f t="shared" si="26"/>
        <v>372895.50883175404</v>
      </c>
      <c r="G65" s="10">
        <f t="shared" si="8"/>
        <v>7.0000000000000007E-2</v>
      </c>
      <c r="H65" s="10">
        <f t="shared" si="9"/>
        <v>1.7000000000000001E-2</v>
      </c>
      <c r="I65" s="48">
        <f t="shared" si="27"/>
        <v>8.7000000000000008E-2</v>
      </c>
      <c r="J65" s="11">
        <f t="shared" si="10"/>
        <v>20</v>
      </c>
      <c r="K65" s="11">
        <f>IF(B65&lt;&gt;"",IF($B$16=listy!$K$8,'RZĄDOWY PROGRAM'!$F$3*'RZĄDOWY PROGRAM'!$F$15,F64*$F$15),"")</f>
        <v>50</v>
      </c>
      <c r="L65" s="11">
        <f t="shared" si="28"/>
        <v>70</v>
      </c>
      <c r="N65" s="54">
        <f t="shared" si="48"/>
        <v>45870</v>
      </c>
      <c r="O65" s="8">
        <f t="shared" si="29"/>
        <v>38</v>
      </c>
      <c r="P65" s="8"/>
      <c r="Q65" s="11">
        <f>IF(O65&lt;&gt;"",ROUND(IF($F$11="raty równe",-PMT(W65/12,$F$4-O64+SUM($P$28:P65),T64,2),R65+S65),2),"")</f>
        <v>3522.1</v>
      </c>
      <c r="R65" s="11">
        <f>IF(O65&lt;&gt;"",IF($F$11="raty malejące",T64/($F$4-O64+SUM($P$28:P65)),IF(Q65-S65&gt;T64,T64,Q65-S65)),"")</f>
        <v>767.07958651661193</v>
      </c>
      <c r="S65" s="11">
        <f t="shared" si="68"/>
        <v>2755.020413483388</v>
      </c>
      <c r="T65" s="9">
        <f t="shared" si="30"/>
        <v>379235.73606636451</v>
      </c>
      <c r="U65" s="10">
        <f t="shared" si="11"/>
        <v>7.0000000000000007E-2</v>
      </c>
      <c r="V65" s="10">
        <f t="shared" si="12"/>
        <v>1.7000000000000001E-2</v>
      </c>
      <c r="W65" s="48">
        <f t="shared" si="31"/>
        <v>8.7000000000000008E-2</v>
      </c>
      <c r="X65" s="11">
        <f t="shared" si="13"/>
        <v>20</v>
      </c>
      <c r="Y65" s="11">
        <f>IF(O65&lt;&gt;"",IF($B$16=listy!$K$8,'RZĄDOWY PROGRAM'!$F$3*'RZĄDOWY PROGRAM'!$F$15,T64*$F$15),"")</f>
        <v>50</v>
      </c>
      <c r="Z65" s="11">
        <f t="shared" si="32"/>
        <v>70</v>
      </c>
      <c r="AB65" s="8">
        <f t="shared" si="33"/>
        <v>38</v>
      </c>
      <c r="AC65" s="8"/>
      <c r="AD65" s="11">
        <f>IF(AB65&lt;&gt;"",ROUND(IF($F$11="raty równe",-PMT(W65/12,$F$4-AB64+SUM($AC$28:AC65),AG64,2),AE65+AF65),2),"")</f>
        <v>3280.39</v>
      </c>
      <c r="AE65" s="11">
        <f>IF(AB65&lt;&gt;"",IF($F$11="raty malejące",AG64/($F$4-AB64+SUM($AC$28:AC64)),MIN(AD65-AF65,AG64)),"")</f>
        <v>714.43279318300165</v>
      </c>
      <c r="AF65" s="11">
        <f t="shared" si="69"/>
        <v>2565.9572068169982</v>
      </c>
      <c r="AG65" s="9">
        <f t="shared" si="52"/>
        <v>353210.69918157533</v>
      </c>
      <c r="AH65" s="11"/>
      <c r="AI65" s="33">
        <f>IF(AB65&lt;&gt;"",ROUND(IF($F$11="raty równe",-PMT(W65/12,($F$4-AB64+SUM($AC$27:AC64)),AG64,2),AG64/($F$4-AB64+SUM($AC$27:AC64))+AG64*W65/12),2),"")</f>
        <v>3280.39</v>
      </c>
      <c r="AJ65" s="33">
        <f t="shared" si="34"/>
        <v>241.71000000000004</v>
      </c>
      <c r="AK65" s="33">
        <f t="shared" si="15"/>
        <v>7849.2278473297783</v>
      </c>
      <c r="AL65" s="33">
        <f>IF(AB65&lt;&gt;"",AK65-SUM($AJ$28:AJ65),"")</f>
        <v>459.27784732977671</v>
      </c>
      <c r="AM65" s="11">
        <f t="shared" si="35"/>
        <v>20</v>
      </c>
      <c r="AN65" s="11">
        <f>IF(AB65&lt;&gt;"",IF($B$16=listy!$K$8,'RZĄDOWY PROGRAM'!$F$3*'RZĄDOWY PROGRAM'!$F$15,AG64*$F$15),"")</f>
        <v>50</v>
      </c>
      <c r="AO65" s="11">
        <f t="shared" si="36"/>
        <v>70</v>
      </c>
      <c r="AQ65" s="8">
        <f t="shared" si="37"/>
        <v>38</v>
      </c>
      <c r="AR65" s="8"/>
      <c r="AS65" s="78">
        <f>IF(AQ65&lt;&gt;"",ROUND(IF($F$11="raty równe",-PMT(W65/12,$F$4-AQ64+SUM($AR$28:AR65),AV64,2),AT65+AU65),2),"")</f>
        <v>3263.83</v>
      </c>
      <c r="AT65" s="78">
        <f>IF(AQ65&lt;&gt;"",IF($F$11="raty malejące",AV64/($F$4-AQ64+SUM($AR$28:AR64)),MIN(AS65-AU65,AV64)),"")</f>
        <v>710.83137818204386</v>
      </c>
      <c r="AU65" s="78">
        <f t="shared" si="53"/>
        <v>2552.9986218179561</v>
      </c>
      <c r="AV65" s="79">
        <f t="shared" si="38"/>
        <v>351426.90956222563</v>
      </c>
      <c r="AW65" s="11"/>
      <c r="AX65" s="33">
        <f>IF(AQ65&lt;&gt;"",ROUND(IF($F$11="raty równe",-PMT(W65/12,($F$4-AQ64+SUM($AR$27:AR64)),AV64,2),AV64/($F$4-AQ64+SUM($AR$27:AR64))+AV64*W65/12),2),"")</f>
        <v>3263.83</v>
      </c>
      <c r="AY65" s="33">
        <f t="shared" si="39"/>
        <v>258.27</v>
      </c>
      <c r="AZ65" s="33">
        <f t="shared" si="72"/>
        <v>5923.4532910778671</v>
      </c>
      <c r="BA65" s="33">
        <f>IF(AQ65&lt;&gt;"",AZ65-SUM($AY$44:AY65),"")</f>
        <v>241.523291077865</v>
      </c>
      <c r="BB65" s="11">
        <f t="shared" si="40"/>
        <v>20</v>
      </c>
      <c r="BC65" s="11">
        <f>IF(AQ65&lt;&gt;"",IF($B$16=listy!$K$8,'RZĄDOWY PROGRAM'!$F$3*'RZĄDOWY PROGRAM'!$F$15,AV64*$F$15),"")</f>
        <v>50</v>
      </c>
      <c r="BD65" s="11">
        <f t="shared" si="41"/>
        <v>70</v>
      </c>
      <c r="BF65" s="8">
        <f t="shared" si="42"/>
        <v>38</v>
      </c>
      <c r="BG65" s="8"/>
      <c r="BH65" s="78">
        <f>IF(BF65&lt;&gt;"",ROUND(IF($F$11="raty równe",-PMT(W65/12,$F$4-BF64+SUM(BV$28:$BV65)-SUM($BM$29:BM65),BK64,2),BI65+BJ65),2),"")</f>
        <v>3522.09</v>
      </c>
      <c r="BI65" s="78">
        <f>IF(BF65&lt;&gt;"",IF($F$11="raty malejące",MIN(BK64/($F$4-BF64+SUM($BG$27:BG65)-SUM($BM$27:BM65)),BK64),MIN(BH65-BJ65,BK64)),"")</f>
        <v>1013.601520815479</v>
      </c>
      <c r="BJ65" s="78">
        <f t="shared" si="54"/>
        <v>2508.4884791845211</v>
      </c>
      <c r="BK65" s="79">
        <f t="shared" si="55"/>
        <v>344984.80940118741</v>
      </c>
      <c r="BL65" s="11"/>
      <c r="BM65" s="33"/>
      <c r="BN65" s="33">
        <f t="shared" si="73"/>
        <v>9.9999999997635314E-3</v>
      </c>
      <c r="BO65" s="33">
        <f t="shared" si="74"/>
        <v>-8.4663776064919982E-2</v>
      </c>
      <c r="BP65" s="33">
        <f>IF(O65&lt;&gt;"",BO65-SUM($BN$44:BN65),"")</f>
        <v>-4.6637760668117312E-3</v>
      </c>
      <c r="BQ65" s="11">
        <f t="shared" si="17"/>
        <v>20</v>
      </c>
      <c r="BR65" s="11">
        <f>IF(BF65&lt;&gt;"",IF($B$16=listy!$K$8,'RZĄDOWY PROGRAM'!$F$3*'RZĄDOWY PROGRAM'!$F$15,BK64*$F$15),"")</f>
        <v>50</v>
      </c>
      <c r="BS65" s="11">
        <f t="shared" si="18"/>
        <v>70</v>
      </c>
      <c r="BU65" s="8">
        <f t="shared" si="44"/>
        <v>38</v>
      </c>
      <c r="BV65" s="8"/>
      <c r="BW65" s="78">
        <f>IF(BU65&lt;&gt;"",ROUND(IF($F$11="raty równe",-PMT(W65/12,$F$4-BU64+SUM($BV$28:BV65)-$CB$43,BZ64,2),BX65+BY65),2),"")</f>
        <v>3522.09</v>
      </c>
      <c r="BX65" s="78">
        <f>IF(BU65&lt;&gt;"",IF($F$11="raty malejące",MIN(BZ64/($F$4-BU64+SUM($BV$28:BV64)-SUM($CB$28:CB64)),BZ64),MIN(BW65-BY65,BZ64)),"")</f>
        <v>1011.3982164177278</v>
      </c>
      <c r="BY65" s="78">
        <f t="shared" si="70"/>
        <v>2510.6917835822724</v>
      </c>
      <c r="BZ65" s="79">
        <f t="shared" si="71"/>
        <v>345290.91676044744</v>
      </c>
      <c r="CA65" s="11"/>
      <c r="CB65" s="33"/>
      <c r="CC65" s="33">
        <f t="shared" si="46"/>
        <v>9.9999999997635314E-3</v>
      </c>
      <c r="CD65" s="33">
        <f t="shared" si="75"/>
        <v>0.11445018505531267</v>
      </c>
      <c r="CE65" s="33">
        <f>IF(O65&lt;&gt;"",CD65-SUM($CC$44:CC65),"")</f>
        <v>4.4501850579138219E-3</v>
      </c>
      <c r="CF65" s="11">
        <f t="shared" si="20"/>
        <v>20</v>
      </c>
      <c r="CG65" s="11">
        <f>IF(BU65&lt;&gt;"",IF($B$16=listy!$K$8,'RZĄDOWY PROGRAM'!$F$3*'RZĄDOWY PROGRAM'!$F$15,BZ64*$F$15),"")</f>
        <v>50</v>
      </c>
      <c r="CH65" s="11">
        <f t="shared" si="21"/>
        <v>70</v>
      </c>
      <c r="CJ65" s="48">
        <f t="shared" si="22"/>
        <v>0.06</v>
      </c>
      <c r="CK65" s="18">
        <f t="shared" si="23"/>
        <v>4.8675505653430484E-3</v>
      </c>
      <c r="CL65" s="11">
        <f t="shared" ref="CL65:CL107" si="76">IF(N65&lt;&gt;"",IF(ISNUMBER(C65),C65,0)-Q65,"")</f>
        <v>0</v>
      </c>
      <c r="CM65" s="11">
        <f t="shared" si="25"/>
        <v>31775.182261124635</v>
      </c>
      <c r="CN65" s="11">
        <f>IF(AB65&lt;&gt;"",CM65-SUM($CL$28:CL65),"")</f>
        <v>3598.4222611246405</v>
      </c>
    </row>
    <row r="66" spans="1:92" x14ac:dyDescent="0.45">
      <c r="A66" s="68">
        <f t="shared" si="47"/>
        <v>45901</v>
      </c>
      <c r="B66" s="8">
        <f t="shared" si="4"/>
        <v>39</v>
      </c>
      <c r="C66" s="11">
        <f t="shared" si="5"/>
        <v>3522.09</v>
      </c>
      <c r="D66" s="11">
        <f t="shared" si="6"/>
        <v>818.59756096978299</v>
      </c>
      <c r="E66" s="11">
        <f t="shared" si="7"/>
        <v>2703.4924390302172</v>
      </c>
      <c r="F66" s="9">
        <f t="shared" si="26"/>
        <v>372076.91127078427</v>
      </c>
      <c r="G66" s="10">
        <f t="shared" si="8"/>
        <v>7.0000000000000007E-2</v>
      </c>
      <c r="H66" s="10">
        <f t="shared" si="9"/>
        <v>1.7000000000000001E-2</v>
      </c>
      <c r="I66" s="48">
        <f t="shared" si="27"/>
        <v>8.7000000000000008E-2</v>
      </c>
      <c r="J66" s="11">
        <f t="shared" si="10"/>
        <v>20</v>
      </c>
      <c r="K66" s="11">
        <f>IF(B66&lt;&gt;"",IF($B$16=listy!$K$8,'RZĄDOWY PROGRAM'!$F$3*'RZĄDOWY PROGRAM'!$F$15,F65*$F$15),"")</f>
        <v>50</v>
      </c>
      <c r="L66" s="11">
        <f t="shared" si="28"/>
        <v>70</v>
      </c>
      <c r="N66" s="54">
        <f t="shared" si="48"/>
        <v>45901</v>
      </c>
      <c r="O66" s="8">
        <f t="shared" si="29"/>
        <v>39</v>
      </c>
      <c r="P66" s="8"/>
      <c r="Q66" s="11">
        <f>IF(O66&lt;&gt;"",ROUND(IF($F$11="raty równe",-PMT(W66/12,$F$4-O65+SUM($P$28:P66),T65,2),R66+S66),2),"")</f>
        <v>3522.09</v>
      </c>
      <c r="R66" s="11">
        <f>IF(O66&lt;&gt;"",IF($F$11="raty malejące",T65/($F$4-O65+SUM($P$28:P66)),IF(Q66-S66&gt;T65,T65,Q66-S66)),"")</f>
        <v>772.63091351885714</v>
      </c>
      <c r="S66" s="11">
        <f t="shared" si="68"/>
        <v>2749.459086481143</v>
      </c>
      <c r="T66" s="9">
        <f t="shared" si="30"/>
        <v>378463.10515284567</v>
      </c>
      <c r="U66" s="10">
        <f t="shared" si="11"/>
        <v>7.0000000000000007E-2</v>
      </c>
      <c r="V66" s="10">
        <f t="shared" si="12"/>
        <v>1.7000000000000001E-2</v>
      </c>
      <c r="W66" s="48">
        <f t="shared" si="31"/>
        <v>8.7000000000000008E-2</v>
      </c>
      <c r="X66" s="11">
        <f t="shared" si="13"/>
        <v>20</v>
      </c>
      <c r="Y66" s="11">
        <f>IF(O66&lt;&gt;"",IF($B$16=listy!$K$8,'RZĄDOWY PROGRAM'!$F$3*'RZĄDOWY PROGRAM'!$F$15,T65*$F$15),"")</f>
        <v>50</v>
      </c>
      <c r="Z66" s="11">
        <f t="shared" si="32"/>
        <v>70</v>
      </c>
      <c r="AB66" s="8">
        <f t="shared" si="33"/>
        <v>39</v>
      </c>
      <c r="AC66" s="8"/>
      <c r="AD66" s="11">
        <f>IF(AB66&lt;&gt;"",ROUND(IF($F$11="raty równe",-PMT(W66/12,$F$4-AB65+SUM($AC$28:AC66),AG65,2),AE66+AF66),2),"")</f>
        <v>3280.39</v>
      </c>
      <c r="AE66" s="11">
        <f>IF(AB66&lt;&gt;"",IF($F$11="raty malejące",AG65/($F$4-AB65+SUM($AC$28:AC65)),MIN(AD66-AF66,AG65)),"")</f>
        <v>719.61243093357825</v>
      </c>
      <c r="AF66" s="11">
        <f t="shared" si="69"/>
        <v>2560.7775690664216</v>
      </c>
      <c r="AG66" s="9">
        <f t="shared" si="52"/>
        <v>352491.08675064176</v>
      </c>
      <c r="AH66" s="11"/>
      <c r="AI66" s="33">
        <f>IF(AB66&lt;&gt;"",ROUND(IF($F$11="raty równe",-PMT(W66/12,($F$4-AB65+SUM($AC$27:AC65)),AG65,2),AG65/($F$4-AB65+SUM($AC$27:AC65))+AG65*W66/12),2),"")</f>
        <v>3280.39</v>
      </c>
      <c r="AJ66" s="33">
        <f t="shared" si="34"/>
        <v>241.70000000000027</v>
      </c>
      <c r="AK66" s="33">
        <f t="shared" si="15"/>
        <v>8121.8751232208579</v>
      </c>
      <c r="AL66" s="33">
        <f>IF(AB66&lt;&gt;"",AK66-SUM($AJ$28:AJ66),"")</f>
        <v>490.2251232208564</v>
      </c>
      <c r="AM66" s="11">
        <f t="shared" si="35"/>
        <v>20</v>
      </c>
      <c r="AN66" s="11">
        <f>IF(AB66&lt;&gt;"",IF($B$16=listy!$K$8,'RZĄDOWY PROGRAM'!$F$3*'RZĄDOWY PROGRAM'!$F$15,AG65*$F$15),"")</f>
        <v>50</v>
      </c>
      <c r="AO66" s="11">
        <f t="shared" si="36"/>
        <v>70</v>
      </c>
      <c r="AQ66" s="8">
        <f t="shared" si="37"/>
        <v>39</v>
      </c>
      <c r="AR66" s="8"/>
      <c r="AS66" s="78">
        <f>IF(AQ66&lt;&gt;"",ROUND(IF($F$11="raty równe",-PMT(W66/12,$F$4-AQ65+SUM($AR$28:AR66),AV65,2),AT66+AU66),2),"")</f>
        <v>3263.82</v>
      </c>
      <c r="AT66" s="78">
        <f>IF(AQ66&lt;&gt;"",IF($F$11="raty malejące",AV65/($F$4-AQ65+SUM($AR$28:AR65)),MIN(AS66-AU66,AV65)),"")</f>
        <v>715.97490567386421</v>
      </c>
      <c r="AU66" s="78">
        <f t="shared" si="53"/>
        <v>2547.8450943261359</v>
      </c>
      <c r="AV66" s="79">
        <f t="shared" si="38"/>
        <v>350710.93465655175</v>
      </c>
      <c r="AW66" s="11"/>
      <c r="AX66" s="33">
        <f>IF(AQ66&lt;&gt;"",ROUND(IF($F$11="raty równe",-PMT(W66/12,($F$4-AQ65+SUM($AR$27:AR65)),AV65,2),AV65/($F$4-AQ65+SUM($AR$27:AR65))+AV65*W66/12),2),"")</f>
        <v>3263.82</v>
      </c>
      <c r="AY66" s="33">
        <f t="shared" si="39"/>
        <v>258.27</v>
      </c>
      <c r="AZ66" s="33">
        <f t="shared" si="72"/>
        <v>6205.07778489464</v>
      </c>
      <c r="BA66" s="33">
        <f>IF(AQ66&lt;&gt;"",AZ66-SUM($AY$44:AY66),"")</f>
        <v>264.87778489463744</v>
      </c>
      <c r="BB66" s="11">
        <f t="shared" si="40"/>
        <v>20</v>
      </c>
      <c r="BC66" s="11">
        <f>IF(AQ66&lt;&gt;"",IF($B$16=listy!$K$8,'RZĄDOWY PROGRAM'!$F$3*'RZĄDOWY PROGRAM'!$F$15,AV65*$F$15),"")</f>
        <v>50</v>
      </c>
      <c r="BD66" s="11">
        <f t="shared" si="41"/>
        <v>70</v>
      </c>
      <c r="BF66" s="8">
        <f t="shared" si="42"/>
        <v>39</v>
      </c>
      <c r="BG66" s="8"/>
      <c r="BH66" s="78">
        <f>IF(BF66&lt;&gt;"",ROUND(IF($F$11="raty równe",-PMT(W66/12,$F$4-BF65+SUM(BV$28:$BV66)-SUM($BM$29:BM66),BK65,2),BI66+BJ66),2),"")</f>
        <v>3522.1</v>
      </c>
      <c r="BI66" s="78">
        <f>IF(BF66&lt;&gt;"",IF($F$11="raty malejące",MIN(BK65/($F$4-BF65+SUM($BG$27:BG66)-SUM($BM$27:BM66)),BK65),MIN(BH66-BJ66,BK65)),"")</f>
        <v>1020.9601318413911</v>
      </c>
      <c r="BJ66" s="78">
        <f t="shared" si="54"/>
        <v>2501.1398681586088</v>
      </c>
      <c r="BK66" s="79">
        <f t="shared" si="55"/>
        <v>343963.84926934604</v>
      </c>
      <c r="BL66" s="11"/>
      <c r="BM66" s="33"/>
      <c r="BN66" s="33">
        <f t="shared" si="73"/>
        <v>-9.9999999997635314E-3</v>
      </c>
      <c r="BO66" s="33">
        <f t="shared" si="74"/>
        <v>-9.4997581285633112E-2</v>
      </c>
      <c r="BP66" s="33">
        <f>IF(O66&lt;&gt;"",BO66-SUM($BN$44:BN66),"")</f>
        <v>-4.9975812877613296E-3</v>
      </c>
      <c r="BQ66" s="11">
        <f t="shared" si="17"/>
        <v>20</v>
      </c>
      <c r="BR66" s="11">
        <f>IF(BF66&lt;&gt;"",IF($B$16=listy!$K$8,'RZĄDOWY PROGRAM'!$F$3*'RZĄDOWY PROGRAM'!$F$15,BK65*$F$15),"")</f>
        <v>50</v>
      </c>
      <c r="BS66" s="11">
        <f t="shared" si="18"/>
        <v>70</v>
      </c>
      <c r="BU66" s="8">
        <f t="shared" si="44"/>
        <v>39</v>
      </c>
      <c r="BV66" s="8"/>
      <c r="BW66" s="78">
        <f>IF(BU66&lt;&gt;"",ROUND(IF($F$11="raty równe",-PMT(W66/12,$F$4-BU65+SUM($BV$28:BV66)-$CB$43,BZ65,2),BX66+BY66),2),"")</f>
        <v>3522.09</v>
      </c>
      <c r="BX66" s="78">
        <f>IF(BU66&lt;&gt;"",IF($F$11="raty malejące",MIN(BZ65/($F$4-BU65+SUM($BV$28:BV65)-SUM($CB$28:CB65)),BZ65),MIN(BW66-BY66,BZ65)),"")</f>
        <v>1018.7308534867561</v>
      </c>
      <c r="BY66" s="78">
        <f t="shared" si="70"/>
        <v>2503.359146513244</v>
      </c>
      <c r="BZ66" s="79">
        <f t="shared" si="71"/>
        <v>344272.18590696069</v>
      </c>
      <c r="CA66" s="11"/>
      <c r="CB66" s="33"/>
      <c r="CC66" s="33">
        <f t="shared" si="46"/>
        <v>0</v>
      </c>
      <c r="CD66" s="33">
        <f t="shared" si="75"/>
        <v>0.11490142962631805</v>
      </c>
      <c r="CE66" s="33">
        <f>IF(O66&lt;&gt;"",CD66-SUM($CC$44:CC66),"")</f>
        <v>4.9014296289192072E-3</v>
      </c>
      <c r="CF66" s="11">
        <f t="shared" si="20"/>
        <v>20</v>
      </c>
      <c r="CG66" s="11">
        <f>IF(BU66&lt;&gt;"",IF($B$16=listy!$K$8,'RZĄDOWY PROGRAM'!$F$3*'RZĄDOWY PROGRAM'!$F$15,BZ65*$F$15),"")</f>
        <v>50</v>
      </c>
      <c r="CH66" s="11">
        <f t="shared" si="21"/>
        <v>70</v>
      </c>
      <c r="CJ66" s="48">
        <f t="shared" si="22"/>
        <v>0.06</v>
      </c>
      <c r="CK66" s="18">
        <f t="shared" si="23"/>
        <v>4.8675505653430484E-3</v>
      </c>
      <c r="CL66" s="11">
        <f t="shared" si="76"/>
        <v>0</v>
      </c>
      <c r="CM66" s="11">
        <f t="shared" si="25"/>
        <v>31900.46277929164</v>
      </c>
      <c r="CN66" s="11">
        <f>IF(AB66&lt;&gt;"",CM66-SUM($CL$28:CL66),"")</f>
        <v>3723.7027792916451</v>
      </c>
    </row>
    <row r="67" spans="1:92" x14ac:dyDescent="0.45">
      <c r="A67" s="68">
        <f t="shared" si="47"/>
        <v>45931</v>
      </c>
      <c r="B67" s="8">
        <f t="shared" si="4"/>
        <v>40</v>
      </c>
      <c r="C67" s="11">
        <f t="shared" si="5"/>
        <v>3522.1</v>
      </c>
      <c r="D67" s="11">
        <f t="shared" si="6"/>
        <v>824.54239328681342</v>
      </c>
      <c r="E67" s="11">
        <f t="shared" si="7"/>
        <v>2697.5576067131865</v>
      </c>
      <c r="F67" s="9">
        <f t="shared" si="26"/>
        <v>371252.36887749744</v>
      </c>
      <c r="G67" s="10">
        <f t="shared" si="8"/>
        <v>7.0000000000000007E-2</v>
      </c>
      <c r="H67" s="10">
        <f t="shared" si="9"/>
        <v>1.7000000000000001E-2</v>
      </c>
      <c r="I67" s="48">
        <f t="shared" si="27"/>
        <v>8.7000000000000008E-2</v>
      </c>
      <c r="J67" s="11">
        <f t="shared" si="10"/>
        <v>20</v>
      </c>
      <c r="K67" s="11">
        <f>IF(B67&lt;&gt;"",IF($B$16=listy!$K$8,'RZĄDOWY PROGRAM'!$F$3*'RZĄDOWY PROGRAM'!$F$15,F66*$F$15),"")</f>
        <v>50</v>
      </c>
      <c r="L67" s="11">
        <f t="shared" si="28"/>
        <v>70</v>
      </c>
      <c r="N67" s="54">
        <f t="shared" si="48"/>
        <v>45931</v>
      </c>
      <c r="O67" s="8">
        <f t="shared" si="29"/>
        <v>40</v>
      </c>
      <c r="P67" s="8"/>
      <c r="Q67" s="11">
        <f>IF(O67&lt;&gt;"",ROUND(IF($F$11="raty równe",-PMT(W67/12,$F$4-O66+SUM($P$28:P67),T66,2),R67+S67),2),"")</f>
        <v>3522.1</v>
      </c>
      <c r="R67" s="11">
        <f>IF(O67&lt;&gt;"",IF($F$11="raty malejące",T66/($F$4-O66+SUM($P$28:P67)),IF(Q67-S67&gt;T66,T66,Q67-S67)),"")</f>
        <v>778.24248764186814</v>
      </c>
      <c r="S67" s="11">
        <f t="shared" si="68"/>
        <v>2743.8575123581318</v>
      </c>
      <c r="T67" s="9">
        <f t="shared" si="30"/>
        <v>377684.86266520381</v>
      </c>
      <c r="U67" s="10">
        <f t="shared" si="11"/>
        <v>7.0000000000000007E-2</v>
      </c>
      <c r="V67" s="10">
        <f t="shared" si="12"/>
        <v>1.7000000000000001E-2</v>
      </c>
      <c r="W67" s="48">
        <f t="shared" si="31"/>
        <v>8.7000000000000008E-2</v>
      </c>
      <c r="X67" s="11">
        <f t="shared" si="13"/>
        <v>20</v>
      </c>
      <c r="Y67" s="11">
        <f>IF(O67&lt;&gt;"",IF($B$16=listy!$K$8,'RZĄDOWY PROGRAM'!$F$3*'RZĄDOWY PROGRAM'!$F$15,T66*$F$15),"")</f>
        <v>50</v>
      </c>
      <c r="Z67" s="11">
        <f t="shared" si="32"/>
        <v>70</v>
      </c>
      <c r="AB67" s="8">
        <f t="shared" si="33"/>
        <v>40</v>
      </c>
      <c r="AC67" s="8"/>
      <c r="AD67" s="11">
        <f>IF(AB67&lt;&gt;"",ROUND(IF($F$11="raty równe",-PMT(W67/12,$F$4-AB66+SUM($AC$28:AC67),AG66,2),AE67+AF67),2),"")</f>
        <v>3280.39</v>
      </c>
      <c r="AE67" s="11">
        <f>IF(AB67&lt;&gt;"",IF($F$11="raty malejące",AG66/($F$4-AB66+SUM($AC$28:AC66)),MIN(AD67-AF67,AG66)),"")</f>
        <v>724.82962105784691</v>
      </c>
      <c r="AF67" s="11">
        <f t="shared" si="69"/>
        <v>2555.560378942153</v>
      </c>
      <c r="AG67" s="9">
        <f t="shared" si="52"/>
        <v>351766.25712958392</v>
      </c>
      <c r="AH67" s="11"/>
      <c r="AI67" s="33">
        <f>IF(AB67&lt;&gt;"",ROUND(IF($F$11="raty równe",-PMT(W67/12,($F$4-AB66+SUM($AC$27:AC66)),AG66,2),AG66/($F$4-AB66+SUM($AC$27:AC66))+AG66*W67/12),2),"")</f>
        <v>3280.39</v>
      </c>
      <c r="AJ67" s="33">
        <f t="shared" si="34"/>
        <v>241.71000000000004</v>
      </c>
      <c r="AK67" s="33">
        <f t="shared" si="15"/>
        <v>8395.607369877478</v>
      </c>
      <c r="AL67" s="33">
        <f>IF(AB67&lt;&gt;"",AK67-SUM($AJ$28:AJ67),"")</f>
        <v>522.24736987747656</v>
      </c>
      <c r="AM67" s="11">
        <f t="shared" si="35"/>
        <v>20</v>
      </c>
      <c r="AN67" s="11">
        <f>IF(AB67&lt;&gt;"",IF($B$16=listy!$K$8,'RZĄDOWY PROGRAM'!$F$3*'RZĄDOWY PROGRAM'!$F$15,AG66*$F$15),"")</f>
        <v>50</v>
      </c>
      <c r="AO67" s="11">
        <f t="shared" si="36"/>
        <v>70</v>
      </c>
      <c r="AQ67" s="8">
        <f t="shared" si="37"/>
        <v>40</v>
      </c>
      <c r="AR67" s="8"/>
      <c r="AS67" s="78">
        <f>IF(AQ67&lt;&gt;"",ROUND(IF($F$11="raty równe",-PMT(W67/12,$F$4-AQ66+SUM($AR$28:AR67),AV66,2),AT67+AU67),2),"")</f>
        <v>3263.83</v>
      </c>
      <c r="AT67" s="78">
        <f>IF(AQ67&lt;&gt;"",IF($F$11="raty malejące",AV66/($F$4-AQ66+SUM($AR$28:AR66)),MIN(AS67-AU67,AV66)),"")</f>
        <v>721.17572373999928</v>
      </c>
      <c r="AU67" s="78">
        <f t="shared" si="53"/>
        <v>2542.6542762600006</v>
      </c>
      <c r="AV67" s="79">
        <f t="shared" si="38"/>
        <v>349989.75893281173</v>
      </c>
      <c r="AW67" s="11"/>
      <c r="AX67" s="33">
        <f>IF(AQ67&lt;&gt;"",ROUND(IF($F$11="raty równe",-PMT(W67/12,($F$4-AQ66+SUM($AR$27:AR66)),AV66,2),AV66/($F$4-AQ66+SUM($AR$27:AR66))+AV66*W67/12),2),"")</f>
        <v>3263.83</v>
      </c>
      <c r="AY67" s="33">
        <f t="shared" si="39"/>
        <v>258.27</v>
      </c>
      <c r="AZ67" s="33">
        <f t="shared" si="72"/>
        <v>6487.8126440973283</v>
      </c>
      <c r="BA67" s="33">
        <f>IF(AQ67&lt;&gt;"",AZ67-SUM($AY$44:AY67),"")</f>
        <v>289.34264409732532</v>
      </c>
      <c r="BB67" s="11">
        <f t="shared" si="40"/>
        <v>20</v>
      </c>
      <c r="BC67" s="11">
        <f>IF(AQ67&lt;&gt;"",IF($B$16=listy!$K$8,'RZĄDOWY PROGRAM'!$F$3*'RZĄDOWY PROGRAM'!$F$15,AV66*$F$15),"")</f>
        <v>50</v>
      </c>
      <c r="BD67" s="11">
        <f t="shared" si="41"/>
        <v>70</v>
      </c>
      <c r="BF67" s="8">
        <f t="shared" si="42"/>
        <v>40</v>
      </c>
      <c r="BG67" s="8"/>
      <c r="BH67" s="78">
        <f>IF(BF67&lt;&gt;"",ROUND(IF($F$11="raty równe",-PMT(W67/12,$F$4-BF66+SUM(BV$28:$BV67)-SUM($BM$29:BM67),BK66,2),BI67+BJ67),2),"")</f>
        <v>3522.09</v>
      </c>
      <c r="BI67" s="78">
        <f>IF(BF67&lt;&gt;"",IF($F$11="raty malejące",MIN(BK66/($F$4-BF66+SUM($BG$27:BG67)-SUM($BM$27:BM67)),BK66),MIN(BH67-BJ67,BK66)),"")</f>
        <v>1028.3520927972409</v>
      </c>
      <c r="BJ67" s="78">
        <f t="shared" si="54"/>
        <v>2493.7379072027593</v>
      </c>
      <c r="BK67" s="79">
        <f t="shared" si="55"/>
        <v>342935.49717654882</v>
      </c>
      <c r="BL67" s="11"/>
      <c r="BM67" s="33"/>
      <c r="BN67" s="33">
        <f t="shared" si="73"/>
        <v>9.9999999997635314E-3</v>
      </c>
      <c r="BO67" s="33">
        <f t="shared" si="74"/>
        <v>-8.5372129765569002E-2</v>
      </c>
      <c r="BP67" s="33">
        <f>IF(O67&lt;&gt;"",BO67-SUM($BN$44:BN67),"")</f>
        <v>-5.372129767460751E-3</v>
      </c>
      <c r="BQ67" s="11">
        <f t="shared" si="17"/>
        <v>20</v>
      </c>
      <c r="BR67" s="11">
        <f>IF(BF67&lt;&gt;"",IF($B$16=listy!$K$8,'RZĄDOWY PROGRAM'!$F$3*'RZĄDOWY PROGRAM'!$F$15,BK66*$F$15),"")</f>
        <v>50</v>
      </c>
      <c r="BS67" s="11">
        <f t="shared" si="18"/>
        <v>70</v>
      </c>
      <c r="BU67" s="8">
        <f t="shared" si="44"/>
        <v>40</v>
      </c>
      <c r="BV67" s="8"/>
      <c r="BW67" s="78">
        <f>IF(BU67&lt;&gt;"",ROUND(IF($F$11="raty równe",-PMT(W67/12,$F$4-BU66+SUM($BV$28:BV67)-$CB$43,BZ66,2),BX67+BY67),2),"")</f>
        <v>3522.09</v>
      </c>
      <c r="BX67" s="78">
        <f>IF(BU67&lt;&gt;"",IF($F$11="raty malejące",MIN(BZ66/($F$4-BU66+SUM($BV$28:BV66)-SUM($CB$28:CB66)),BZ66),MIN(BW67-BY67,BZ66)),"")</f>
        <v>1026.1166521745349</v>
      </c>
      <c r="BY67" s="78">
        <f t="shared" si="70"/>
        <v>2495.9733478254652</v>
      </c>
      <c r="BZ67" s="79">
        <f t="shared" si="71"/>
        <v>343246.06925478613</v>
      </c>
      <c r="CA67" s="11"/>
      <c r="CB67" s="33"/>
      <c r="CC67" s="33">
        <f t="shared" si="46"/>
        <v>9.9999999997635314E-3</v>
      </c>
      <c r="CD67" s="33">
        <f t="shared" si="75"/>
        <v>0.125354453326258</v>
      </c>
      <c r="CE67" s="33">
        <f>IF(O67&lt;&gt;"",CD67-SUM($CC$44:CC67),"")</f>
        <v>5.3544533290956209E-3</v>
      </c>
      <c r="CF67" s="11">
        <f t="shared" si="20"/>
        <v>20</v>
      </c>
      <c r="CG67" s="11">
        <f>IF(BU67&lt;&gt;"",IF($B$16=listy!$K$8,'RZĄDOWY PROGRAM'!$F$3*'RZĄDOWY PROGRAM'!$F$15,BZ66*$F$15),"")</f>
        <v>50</v>
      </c>
      <c r="CH67" s="11">
        <f t="shared" si="21"/>
        <v>70</v>
      </c>
      <c r="CJ67" s="48">
        <f t="shared" si="22"/>
        <v>0.06</v>
      </c>
      <c r="CK67" s="18">
        <f t="shared" si="23"/>
        <v>4.8675505653430484E-3</v>
      </c>
      <c r="CL67" s="11">
        <f t="shared" si="76"/>
        <v>0</v>
      </c>
      <c r="CM67" s="11">
        <f t="shared" si="25"/>
        <v>32026.237242956839</v>
      </c>
      <c r="CN67" s="11">
        <f>IF(AB67&lt;&gt;"",CM67-SUM($CL$28:CL67),"")</f>
        <v>3849.4772429568438</v>
      </c>
    </row>
    <row r="68" spans="1:92" x14ac:dyDescent="0.45">
      <c r="A68" s="68">
        <f t="shared" si="47"/>
        <v>45962</v>
      </c>
      <c r="B68" s="8">
        <f t="shared" si="4"/>
        <v>41</v>
      </c>
      <c r="C68" s="11">
        <f t="shared" si="5"/>
        <v>3522.09</v>
      </c>
      <c r="D68" s="11">
        <f t="shared" si="6"/>
        <v>830.51032563814351</v>
      </c>
      <c r="E68" s="11">
        <f t="shared" si="7"/>
        <v>2691.5796743618566</v>
      </c>
      <c r="F68" s="9">
        <f t="shared" si="26"/>
        <v>370421.85855185927</v>
      </c>
      <c r="G68" s="10">
        <f t="shared" si="8"/>
        <v>7.0000000000000007E-2</v>
      </c>
      <c r="H68" s="10">
        <f t="shared" si="9"/>
        <v>1.7000000000000001E-2</v>
      </c>
      <c r="I68" s="48">
        <f t="shared" si="27"/>
        <v>8.7000000000000008E-2</v>
      </c>
      <c r="J68" s="11">
        <f t="shared" si="10"/>
        <v>20</v>
      </c>
      <c r="K68" s="11">
        <f>IF(B68&lt;&gt;"",IF($B$16=listy!$K$8,'RZĄDOWY PROGRAM'!$F$3*'RZĄDOWY PROGRAM'!$F$15,F67*$F$15),"")</f>
        <v>50</v>
      </c>
      <c r="L68" s="11">
        <f t="shared" si="28"/>
        <v>70</v>
      </c>
      <c r="N68" s="54">
        <f t="shared" si="48"/>
        <v>45962</v>
      </c>
      <c r="O68" s="8">
        <f t="shared" si="29"/>
        <v>41</v>
      </c>
      <c r="P68" s="8"/>
      <c r="Q68" s="11">
        <f>IF(O68&lt;&gt;"",ROUND(IF($F$11="raty równe",-PMT(W68/12,$F$4-O67+SUM($P$28:P68),T67,2),R68+S68),2),"")</f>
        <v>3522.09</v>
      </c>
      <c r="R68" s="11">
        <f>IF(O68&lt;&gt;"",IF($F$11="raty malejące",T67/($F$4-O67+SUM($P$28:P68)),IF(Q68-S68&gt;T67,T67,Q68-S68)),"")</f>
        <v>783.87474567727259</v>
      </c>
      <c r="S68" s="11">
        <f t="shared" si="68"/>
        <v>2738.2152543227276</v>
      </c>
      <c r="T68" s="9">
        <f t="shared" si="30"/>
        <v>376900.98791952652</v>
      </c>
      <c r="U68" s="10">
        <f t="shared" si="11"/>
        <v>7.0000000000000007E-2</v>
      </c>
      <c r="V68" s="10">
        <f t="shared" si="12"/>
        <v>1.7000000000000001E-2</v>
      </c>
      <c r="W68" s="48">
        <f t="shared" si="31"/>
        <v>8.7000000000000008E-2</v>
      </c>
      <c r="X68" s="11">
        <f t="shared" si="13"/>
        <v>20</v>
      </c>
      <c r="Y68" s="11">
        <f>IF(O68&lt;&gt;"",IF($B$16=listy!$K$8,'RZĄDOWY PROGRAM'!$F$3*'RZĄDOWY PROGRAM'!$F$15,T67*$F$15),"")</f>
        <v>50</v>
      </c>
      <c r="Z68" s="11">
        <f t="shared" si="32"/>
        <v>70</v>
      </c>
      <c r="AB68" s="8">
        <f t="shared" si="33"/>
        <v>41</v>
      </c>
      <c r="AC68" s="8"/>
      <c r="AD68" s="11">
        <f>IF(AB68&lt;&gt;"",ROUND(IF($F$11="raty równe",-PMT(W68/12,$F$4-AB67+SUM($AC$28:AC68),AG67,2),AE68+AF68),2),"")</f>
        <v>3280.39</v>
      </c>
      <c r="AE68" s="11">
        <f>IF(AB68&lt;&gt;"",IF($F$11="raty malejące",AG67/($F$4-AB67+SUM($AC$28:AC67)),MIN(AD68-AF68,AG67)),"")</f>
        <v>730.08463581051637</v>
      </c>
      <c r="AF68" s="11">
        <f t="shared" si="69"/>
        <v>2550.3053641894835</v>
      </c>
      <c r="AG68" s="9">
        <f t="shared" si="52"/>
        <v>351036.1724937734</v>
      </c>
      <c r="AH68" s="11"/>
      <c r="AI68" s="33">
        <f>IF(AB68&lt;&gt;"",ROUND(IF($F$11="raty równe",-PMT(W68/12,($F$4-AB67+SUM($AC$27:AC67)),AG67,2),AG67/($F$4-AB67+SUM($AC$27:AC67))+AG67*W68/12),2),"")</f>
        <v>3280.39</v>
      </c>
      <c r="AJ68" s="33">
        <f t="shared" si="34"/>
        <v>241.70000000000027</v>
      </c>
      <c r="AK68" s="33">
        <f t="shared" si="15"/>
        <v>8670.4088650311915</v>
      </c>
      <c r="AL68" s="33">
        <f>IF(AB68&lt;&gt;"",AK68-SUM($AJ$28:AJ68),"")</f>
        <v>555.34886503119014</v>
      </c>
      <c r="AM68" s="11">
        <f t="shared" si="35"/>
        <v>20</v>
      </c>
      <c r="AN68" s="11">
        <f>IF(AB68&lt;&gt;"",IF($B$16=listy!$K$8,'RZĄDOWY PROGRAM'!$F$3*'RZĄDOWY PROGRAM'!$F$15,AG67*$F$15),"")</f>
        <v>50</v>
      </c>
      <c r="AO68" s="11">
        <f t="shared" si="36"/>
        <v>70</v>
      </c>
      <c r="AQ68" s="8">
        <f t="shared" si="37"/>
        <v>41</v>
      </c>
      <c r="AR68" s="8"/>
      <c r="AS68" s="78">
        <f>IF(AQ68&lt;&gt;"",ROUND(IF($F$11="raty równe",-PMT(W68/12,$F$4-AQ67+SUM($AR$28:AR68),AV67,2),AT68+AU68),2),"")</f>
        <v>3263.82</v>
      </c>
      <c r="AT68" s="78">
        <f>IF(AQ68&lt;&gt;"",IF($F$11="raty malejące",AV67/($F$4-AQ67+SUM($AR$28:AR67)),MIN(AS68-AU68,AV67)),"")</f>
        <v>726.39424773711471</v>
      </c>
      <c r="AU68" s="78">
        <f t="shared" si="53"/>
        <v>2537.4257522628855</v>
      </c>
      <c r="AV68" s="79">
        <f t="shared" si="38"/>
        <v>349263.3646850746</v>
      </c>
      <c r="AW68" s="11"/>
      <c r="AX68" s="33">
        <f>IF(AQ68&lt;&gt;"",ROUND(IF($F$11="raty równe",-PMT(W68/12,($F$4-AQ67+SUM($AR$27:AR67)),AV67,2),AV67/($F$4-AQ67+SUM($AR$27:AR67))+AV67*W68/12),2),"")</f>
        <v>3263.82</v>
      </c>
      <c r="AY68" s="33">
        <f t="shared" si="39"/>
        <v>258.27</v>
      </c>
      <c r="AZ68" s="33">
        <f t="shared" si="72"/>
        <v>6771.6622465412584</v>
      </c>
      <c r="BA68" s="33">
        <f>IF(AQ68&lt;&gt;"",AZ68-SUM($AY$44:AY68),"")</f>
        <v>314.92224654125494</v>
      </c>
      <c r="BB68" s="11">
        <f t="shared" si="40"/>
        <v>20</v>
      </c>
      <c r="BC68" s="11">
        <f>IF(AQ68&lt;&gt;"",IF($B$16=listy!$K$8,'RZĄDOWY PROGRAM'!$F$3*'RZĄDOWY PROGRAM'!$F$15,AV67*$F$15),"")</f>
        <v>50</v>
      </c>
      <c r="BD68" s="11">
        <f t="shared" si="41"/>
        <v>70</v>
      </c>
      <c r="BF68" s="8">
        <f t="shared" si="42"/>
        <v>41</v>
      </c>
      <c r="BG68" s="8"/>
      <c r="BH68" s="78">
        <f>IF(BF68&lt;&gt;"",ROUND(IF($F$11="raty równe",-PMT(W68/12,$F$4-BF67+SUM(BV$28:$BV68)-SUM($BM$29:BM68),BK67,2),BI68+BJ68),2),"")</f>
        <v>3522.1</v>
      </c>
      <c r="BI68" s="78">
        <f>IF(BF68&lt;&gt;"",IF($F$11="raty malejące",MIN(BK67/($F$4-BF67+SUM($BG$27:BG68)-SUM($BM$27:BM68)),BK67),MIN(BH68-BJ68,BK67)),"")</f>
        <v>1035.8176454700206</v>
      </c>
      <c r="BJ68" s="78">
        <f t="shared" si="54"/>
        <v>2486.2823545299793</v>
      </c>
      <c r="BK68" s="79">
        <f t="shared" si="55"/>
        <v>341899.67953107879</v>
      </c>
      <c r="BL68" s="11"/>
      <c r="BM68" s="33"/>
      <c r="BN68" s="33">
        <f t="shared" si="73"/>
        <v>-9.9999999997635314E-3</v>
      </c>
      <c r="BO68" s="33">
        <f t="shared" si="74"/>
        <v>-9.5708727823721543E-2</v>
      </c>
      <c r="BP68" s="33">
        <f>IF(O68&lt;&gt;"",BO68-SUM($BN$44:BN68),"")</f>
        <v>-5.7087278258497604E-3</v>
      </c>
      <c r="BQ68" s="11">
        <f t="shared" si="17"/>
        <v>20</v>
      </c>
      <c r="BR68" s="11">
        <f>IF(BF68&lt;&gt;"",IF($B$16=listy!$K$8,'RZĄDOWY PROGRAM'!$F$3*'RZĄDOWY PROGRAM'!$F$15,BK67*$F$15),"")</f>
        <v>50</v>
      </c>
      <c r="BS68" s="11">
        <f t="shared" si="18"/>
        <v>70</v>
      </c>
      <c r="BU68" s="8">
        <f t="shared" si="44"/>
        <v>41</v>
      </c>
      <c r="BV68" s="8"/>
      <c r="BW68" s="78">
        <f>IF(BU68&lt;&gt;"",ROUND(IF($F$11="raty równe",-PMT(W68/12,$F$4-BU67+SUM($BV$28:BV68)-$CB$43,BZ67,2),BX68+BY68),2),"")</f>
        <v>3522.09</v>
      </c>
      <c r="BX68" s="78">
        <f>IF(BU68&lt;&gt;"",IF($F$11="raty malejące",MIN(BZ67/($F$4-BU67+SUM($BV$28:BV67)-SUM($CB$28:CB67)),BZ67),MIN(BW68-BY68,BZ67)),"")</f>
        <v>1033.5559979028008</v>
      </c>
      <c r="BY68" s="78">
        <f t="shared" si="70"/>
        <v>2488.5340020971994</v>
      </c>
      <c r="BZ68" s="79">
        <f t="shared" si="71"/>
        <v>342212.51325688331</v>
      </c>
      <c r="CA68" s="11"/>
      <c r="CB68" s="33"/>
      <c r="CC68" s="33">
        <f t="shared" si="46"/>
        <v>0</v>
      </c>
      <c r="CD68" s="33">
        <f t="shared" si="75"/>
        <v>0.12584869032978477</v>
      </c>
      <c r="CE68" s="33">
        <f>IF(O68&lt;&gt;"",CD68-SUM($CC$44:CC68),"")</f>
        <v>5.8486903326223916E-3</v>
      </c>
      <c r="CF68" s="11">
        <f t="shared" si="20"/>
        <v>20</v>
      </c>
      <c r="CG68" s="11">
        <f>IF(BU68&lt;&gt;"",IF($B$16=listy!$K$8,'RZĄDOWY PROGRAM'!$F$3*'RZĄDOWY PROGRAM'!$F$15,BZ67*$F$15),"")</f>
        <v>50</v>
      </c>
      <c r="CH68" s="11">
        <f t="shared" si="21"/>
        <v>70</v>
      </c>
      <c r="CJ68" s="48">
        <f t="shared" si="22"/>
        <v>0.06</v>
      </c>
      <c r="CK68" s="18">
        <f t="shared" si="23"/>
        <v>4.8675505653430484E-3</v>
      </c>
      <c r="CL68" s="11">
        <f t="shared" si="76"/>
        <v>0</v>
      </c>
      <c r="CM68" s="11">
        <f t="shared" si="25"/>
        <v>32152.50759960703</v>
      </c>
      <c r="CN68" s="11">
        <f>IF(AB68&lt;&gt;"",CM68-SUM($CL$28:CL68),"")</f>
        <v>3975.7475996070352</v>
      </c>
    </row>
    <row r="69" spans="1:92" x14ac:dyDescent="0.45">
      <c r="A69" s="68">
        <f t="shared" si="47"/>
        <v>45992</v>
      </c>
      <c r="B69" s="8">
        <f t="shared" si="4"/>
        <v>42</v>
      </c>
      <c r="C69" s="11">
        <f t="shared" si="5"/>
        <v>3522.1</v>
      </c>
      <c r="D69" s="11">
        <f t="shared" si="6"/>
        <v>836.54152549901983</v>
      </c>
      <c r="E69" s="11">
        <f t="shared" si="7"/>
        <v>2685.5584745009801</v>
      </c>
      <c r="F69" s="9">
        <f t="shared" si="26"/>
        <v>369585.31702636025</v>
      </c>
      <c r="G69" s="10">
        <f t="shared" si="8"/>
        <v>7.0000000000000007E-2</v>
      </c>
      <c r="H69" s="10">
        <f t="shared" si="9"/>
        <v>1.7000000000000001E-2</v>
      </c>
      <c r="I69" s="48">
        <f t="shared" si="27"/>
        <v>8.7000000000000008E-2</v>
      </c>
      <c r="J69" s="11">
        <f t="shared" si="10"/>
        <v>20</v>
      </c>
      <c r="K69" s="11">
        <f>IF(B69&lt;&gt;"",IF($B$16=listy!$K$8,'RZĄDOWY PROGRAM'!$F$3*'RZĄDOWY PROGRAM'!$F$15,F68*$F$15),"")</f>
        <v>50</v>
      </c>
      <c r="L69" s="11">
        <f t="shared" si="28"/>
        <v>70</v>
      </c>
      <c r="N69" s="54">
        <f t="shared" si="48"/>
        <v>45992</v>
      </c>
      <c r="O69" s="8">
        <f t="shared" si="29"/>
        <v>42</v>
      </c>
      <c r="P69" s="8"/>
      <c r="Q69" s="11">
        <f>IF(O69&lt;&gt;"",ROUND(IF($F$11="raty równe",-PMT(W69/12,$F$4-O68+SUM($P$28:P69),T68,2),R69+S69),2),"")</f>
        <v>3522.1</v>
      </c>
      <c r="R69" s="11">
        <f>IF(O69&lt;&gt;"",IF($F$11="raty malejące",T68/($F$4-O68+SUM($P$28:P69)),IF(Q69-S69&gt;T68,T68,Q69-S69)),"")</f>
        <v>789.56783758343227</v>
      </c>
      <c r="S69" s="11">
        <f t="shared" si="68"/>
        <v>2732.5321624165676</v>
      </c>
      <c r="T69" s="9">
        <f t="shared" si="30"/>
        <v>376111.4200819431</v>
      </c>
      <c r="U69" s="10">
        <f t="shared" si="11"/>
        <v>7.0000000000000007E-2</v>
      </c>
      <c r="V69" s="10">
        <f t="shared" si="12"/>
        <v>1.7000000000000001E-2</v>
      </c>
      <c r="W69" s="48">
        <f t="shared" si="31"/>
        <v>8.7000000000000008E-2</v>
      </c>
      <c r="X69" s="11">
        <f t="shared" si="13"/>
        <v>20</v>
      </c>
      <c r="Y69" s="11">
        <f>IF(O69&lt;&gt;"",IF($B$16=listy!$K$8,'RZĄDOWY PROGRAM'!$F$3*'RZĄDOWY PROGRAM'!$F$15,T68*$F$15),"")</f>
        <v>50</v>
      </c>
      <c r="Z69" s="11">
        <f t="shared" si="32"/>
        <v>70</v>
      </c>
      <c r="AB69" s="8">
        <f t="shared" si="33"/>
        <v>42</v>
      </c>
      <c r="AC69" s="8"/>
      <c r="AD69" s="11">
        <f>IF(AB69&lt;&gt;"",ROUND(IF($F$11="raty równe",-PMT(W69/12,$F$4-AB68+SUM($AC$28:AC69),AG68,2),AE69+AF69),2),"")</f>
        <v>3280.39</v>
      </c>
      <c r="AE69" s="11">
        <f>IF(AB69&lt;&gt;"",IF($F$11="raty malejące",AG68/($F$4-AB68+SUM($AC$28:AC68)),MIN(AD69-AF69,AG68)),"")</f>
        <v>735.37774942014266</v>
      </c>
      <c r="AF69" s="11">
        <f t="shared" si="69"/>
        <v>2545.0122505798572</v>
      </c>
      <c r="AG69" s="9">
        <f t="shared" si="52"/>
        <v>350300.79474435328</v>
      </c>
      <c r="AH69" s="11"/>
      <c r="AI69" s="33">
        <f>IF(AB69&lt;&gt;"",ROUND(IF($F$11="raty równe",-PMT(W69/12,($F$4-AB68+SUM($AC$27:AC68)),AG68,2),AG68/($F$4-AB68+SUM($AC$27:AC68))+AG68*W69/12),2),"")</f>
        <v>3280.39</v>
      </c>
      <c r="AJ69" s="33">
        <f t="shared" si="34"/>
        <v>241.71000000000004</v>
      </c>
      <c r="AK69" s="33">
        <f t="shared" si="15"/>
        <v>8946.3038244251111</v>
      </c>
      <c r="AL69" s="33">
        <f>IF(AB69&lt;&gt;"",AK69-SUM($AJ$28:AJ69),"")</f>
        <v>589.53382442511065</v>
      </c>
      <c r="AM69" s="11">
        <f t="shared" si="35"/>
        <v>20</v>
      </c>
      <c r="AN69" s="11">
        <f>IF(AB69&lt;&gt;"",IF($B$16=listy!$K$8,'RZĄDOWY PROGRAM'!$F$3*'RZĄDOWY PROGRAM'!$F$15,AG68*$F$15),"")</f>
        <v>50</v>
      </c>
      <c r="AO69" s="11">
        <f t="shared" si="36"/>
        <v>70</v>
      </c>
      <c r="AQ69" s="8">
        <f t="shared" si="37"/>
        <v>42</v>
      </c>
      <c r="AR69" s="8"/>
      <c r="AS69" s="78">
        <f>IF(AQ69&lt;&gt;"",ROUND(IF($F$11="raty równe",-PMT(W69/12,$F$4-AQ68+SUM($AR$28:AR69),AV68,2),AT69+AU69),2),"")</f>
        <v>3263.83</v>
      </c>
      <c r="AT69" s="78">
        <f>IF(AQ69&lt;&gt;"",IF($F$11="raty malejące",AV68/($F$4-AQ68+SUM($AR$28:AR68)),MIN(AS69-AU69,AV68)),"")</f>
        <v>731.67060603320897</v>
      </c>
      <c r="AU69" s="78">
        <f t="shared" si="53"/>
        <v>2532.159393966791</v>
      </c>
      <c r="AV69" s="79">
        <f t="shared" si="38"/>
        <v>348531.69407904136</v>
      </c>
      <c r="AW69" s="11"/>
      <c r="AX69" s="33">
        <f>IF(AQ69&lt;&gt;"",ROUND(IF($F$11="raty równe",-PMT(W69/12,($F$4-AQ68+SUM($AR$27:AR68)),AV68,2),AV68/($F$4-AQ68+SUM($AR$27:AR68))+AV68*W69/12),2),"")</f>
        <v>3263.83</v>
      </c>
      <c r="AY69" s="33">
        <f t="shared" si="39"/>
        <v>258.27</v>
      </c>
      <c r="AZ69" s="33">
        <f t="shared" si="72"/>
        <v>7056.6309873423943</v>
      </c>
      <c r="BA69" s="33">
        <f>IF(AQ69&lt;&gt;"",AZ69-SUM($AY$44:AY69),"")</f>
        <v>341.62098734239044</v>
      </c>
      <c r="BB69" s="11">
        <f t="shared" si="40"/>
        <v>20</v>
      </c>
      <c r="BC69" s="11">
        <f>IF(AQ69&lt;&gt;"",IF($B$16=listy!$K$8,'RZĄDOWY PROGRAM'!$F$3*'RZĄDOWY PROGRAM'!$F$15,AV68*$F$15),"")</f>
        <v>50</v>
      </c>
      <c r="BD69" s="11">
        <f t="shared" si="41"/>
        <v>70</v>
      </c>
      <c r="BF69" s="8">
        <f t="shared" si="42"/>
        <v>42</v>
      </c>
      <c r="BG69" s="8"/>
      <c r="BH69" s="78">
        <f>IF(BF69&lt;&gt;"",ROUND(IF($F$11="raty równe",-PMT(W69/12,$F$4-BF68+SUM(BV$28:$BV69)-SUM($BM$29:BM69),BK68,2),BI69+BJ69),2),"")</f>
        <v>3522.09</v>
      </c>
      <c r="BI69" s="78">
        <f>IF(BF69&lt;&gt;"",IF($F$11="raty malejące",MIN(BK68/($F$4-BF68+SUM($BG$27:BG69)-SUM($BM$27:BM69)),BK68),MIN(BH69-BJ69,BK68)),"")</f>
        <v>1043.317323399679</v>
      </c>
      <c r="BJ69" s="78">
        <f t="shared" si="54"/>
        <v>2478.7726766003211</v>
      </c>
      <c r="BK69" s="79">
        <f t="shared" si="55"/>
        <v>340856.36220767908</v>
      </c>
      <c r="BL69" s="11"/>
      <c r="BM69" s="33"/>
      <c r="BN69" s="33">
        <f t="shared" si="73"/>
        <v>9.9999999997635314E-3</v>
      </c>
      <c r="BO69" s="33">
        <f t="shared" si="74"/>
        <v>-8.608608015246158E-2</v>
      </c>
      <c r="BP69" s="33">
        <f>IF(O69&lt;&gt;"",BO69-SUM($BN$44:BN69),"")</f>
        <v>-6.0860801543533294E-3</v>
      </c>
      <c r="BQ69" s="11">
        <f t="shared" si="17"/>
        <v>20</v>
      </c>
      <c r="BR69" s="11">
        <f>IF(BF69&lt;&gt;"",IF($B$16=listy!$K$8,'RZĄDOWY PROGRAM'!$F$3*'RZĄDOWY PROGRAM'!$F$15,BK68*$F$15),"")</f>
        <v>50</v>
      </c>
      <c r="BS69" s="11">
        <f t="shared" si="18"/>
        <v>70</v>
      </c>
      <c r="BU69" s="8">
        <f t="shared" si="44"/>
        <v>42</v>
      </c>
      <c r="BV69" s="8"/>
      <c r="BW69" s="78">
        <f>IF(BU69&lt;&gt;"",ROUND(IF($F$11="raty równe",-PMT(W69/12,$F$4-BU68+SUM($BV$28:BV69)-$CB$43,BZ68,2),BX69+BY69),2),"")</f>
        <v>3522.09</v>
      </c>
      <c r="BX69" s="78">
        <f>IF(BU69&lt;&gt;"",IF($F$11="raty malejące",MIN(BZ68/($F$4-BU68+SUM($BV$28:BV68)-SUM($CB$28:CB68)),BZ68),MIN(BW69-BY69,BZ68)),"")</f>
        <v>1041.0492788875958</v>
      </c>
      <c r="BY69" s="78">
        <f t="shared" si="70"/>
        <v>2481.0407211124043</v>
      </c>
      <c r="BZ69" s="79">
        <f t="shared" si="71"/>
        <v>341171.46397799574</v>
      </c>
      <c r="CA69" s="11"/>
      <c r="CB69" s="33"/>
      <c r="CC69" s="33">
        <f t="shared" si="46"/>
        <v>9.9999999997635314E-3</v>
      </c>
      <c r="CD69" s="33">
        <f t="shared" si="75"/>
        <v>0.13634487596919587</v>
      </c>
      <c r="CE69" s="33">
        <f>IF(O69&lt;&gt;"",CD69-SUM($CC$44:CC69),"")</f>
        <v>6.3448759722699588E-3</v>
      </c>
      <c r="CF69" s="11">
        <f t="shared" si="20"/>
        <v>20</v>
      </c>
      <c r="CG69" s="11">
        <f>IF(BU69&lt;&gt;"",IF($B$16=listy!$K$8,'RZĄDOWY PROGRAM'!$F$3*'RZĄDOWY PROGRAM'!$F$15,BZ68*$F$15),"")</f>
        <v>50</v>
      </c>
      <c r="CH69" s="11">
        <f t="shared" si="21"/>
        <v>70</v>
      </c>
      <c r="CJ69" s="48">
        <f t="shared" si="22"/>
        <v>0.06</v>
      </c>
      <c r="CK69" s="18">
        <f t="shared" si="23"/>
        <v>4.8675505653430484E-3</v>
      </c>
      <c r="CL69" s="11">
        <f t="shared" si="76"/>
        <v>0</v>
      </c>
      <c r="CM69" s="11">
        <f t="shared" si="25"/>
        <v>32279.2758044074</v>
      </c>
      <c r="CN69" s="11">
        <f>IF(AB69&lt;&gt;"",CM69-SUM($CL$28:CL69),"")</f>
        <v>4102.5158044074051</v>
      </c>
    </row>
    <row r="70" spans="1:92" x14ac:dyDescent="0.45">
      <c r="A70" s="68">
        <f t="shared" si="47"/>
        <v>46023</v>
      </c>
      <c r="B70" s="8">
        <f t="shared" si="4"/>
        <v>43</v>
      </c>
      <c r="C70" s="11">
        <f t="shared" si="5"/>
        <v>3522.09</v>
      </c>
      <c r="D70" s="11">
        <f t="shared" si="6"/>
        <v>842.59645155888802</v>
      </c>
      <c r="E70" s="11">
        <f t="shared" si="7"/>
        <v>2679.4935484411121</v>
      </c>
      <c r="F70" s="9">
        <f t="shared" si="26"/>
        <v>368742.72057480138</v>
      </c>
      <c r="G70" s="10">
        <f t="shared" si="8"/>
        <v>7.0000000000000007E-2</v>
      </c>
      <c r="H70" s="10">
        <f t="shared" si="9"/>
        <v>1.7000000000000001E-2</v>
      </c>
      <c r="I70" s="48">
        <f t="shared" si="27"/>
        <v>8.7000000000000008E-2</v>
      </c>
      <c r="J70" s="11">
        <f t="shared" si="10"/>
        <v>20</v>
      </c>
      <c r="K70" s="11">
        <f>IF(B70&lt;&gt;"",IF($B$16=listy!$K$8,'RZĄDOWY PROGRAM'!$F$3*'RZĄDOWY PROGRAM'!$F$15,F69*$F$15),"")</f>
        <v>50</v>
      </c>
      <c r="L70" s="11">
        <f t="shared" si="28"/>
        <v>70</v>
      </c>
      <c r="N70" s="54">
        <f t="shared" si="48"/>
        <v>46023</v>
      </c>
      <c r="O70" s="8">
        <f t="shared" si="29"/>
        <v>43</v>
      </c>
      <c r="P70" s="8"/>
      <c r="Q70" s="11">
        <f>IF(O70&lt;&gt;"",ROUND(IF($F$11="raty równe",-PMT(W70/12,$F$4-O69+SUM($P$28:P70),T69,2),R70+S70),2),"")</f>
        <v>3522.09</v>
      </c>
      <c r="R70" s="11">
        <f>IF(O70&lt;&gt;"",IF($F$11="raty malejące",T69/($F$4-O69+SUM($P$28:P70)),IF(Q70-S70&gt;T69,T69,Q70-S70)),"")</f>
        <v>795.28220440591258</v>
      </c>
      <c r="S70" s="11">
        <f t="shared" si="68"/>
        <v>2726.8077955940876</v>
      </c>
      <c r="T70" s="9">
        <f t="shared" si="30"/>
        <v>375316.13787753717</v>
      </c>
      <c r="U70" s="10">
        <f t="shared" si="11"/>
        <v>7.0000000000000007E-2</v>
      </c>
      <c r="V70" s="10">
        <f t="shared" si="12"/>
        <v>1.7000000000000001E-2</v>
      </c>
      <c r="W70" s="48">
        <f t="shared" si="31"/>
        <v>8.7000000000000008E-2</v>
      </c>
      <c r="X70" s="11">
        <f t="shared" si="13"/>
        <v>20</v>
      </c>
      <c r="Y70" s="11">
        <f>IF(O70&lt;&gt;"",IF($B$16=listy!$K$8,'RZĄDOWY PROGRAM'!$F$3*'RZĄDOWY PROGRAM'!$F$15,T69*$F$15),"")</f>
        <v>50</v>
      </c>
      <c r="Z70" s="11">
        <f t="shared" si="32"/>
        <v>70</v>
      </c>
      <c r="AB70" s="8">
        <f t="shared" si="33"/>
        <v>43</v>
      </c>
      <c r="AC70" s="8"/>
      <c r="AD70" s="11">
        <f>IF(AB70&lt;&gt;"",ROUND(IF($F$11="raty równe",-PMT(W70/12,$F$4-AB69+SUM($AC$28:AC70),AG69,2),AE70+AF70),2),"")</f>
        <v>3280.39</v>
      </c>
      <c r="AE70" s="11">
        <f>IF(AB70&lt;&gt;"",IF($F$11="raty malejące",AG69/($F$4-AB69+SUM($AC$28:AC69)),MIN(AD70-AF70,AG69)),"")</f>
        <v>740.70923810343811</v>
      </c>
      <c r="AF70" s="11">
        <f t="shared" si="69"/>
        <v>2539.6807618965618</v>
      </c>
      <c r="AG70" s="9">
        <f t="shared" si="52"/>
        <v>349560.08550624986</v>
      </c>
      <c r="AH70" s="11"/>
      <c r="AI70" s="33">
        <f>IF(AB70&lt;&gt;"",ROUND(IF($F$11="raty równe",-PMT(W70/12,($F$4-AB69+SUM($AC$27:AC69)),AG69,2),AG69/($F$4-AB69+SUM($AC$27:AC69))+AG69*W70/12),2),"")</f>
        <v>3280.39</v>
      </c>
      <c r="AJ70" s="33">
        <f t="shared" si="34"/>
        <v>241.70000000000027</v>
      </c>
      <c r="AK70" s="33">
        <f t="shared" si="15"/>
        <v>9223.2765592781452</v>
      </c>
      <c r="AL70" s="33">
        <f>IF(AB70&lt;&gt;"",AK70-SUM($AJ$28:AJ70),"")</f>
        <v>624.80655927814405</v>
      </c>
      <c r="AM70" s="11">
        <f t="shared" si="35"/>
        <v>20</v>
      </c>
      <c r="AN70" s="11">
        <f>IF(AB70&lt;&gt;"",IF($B$16=listy!$K$8,'RZĄDOWY PROGRAM'!$F$3*'RZĄDOWY PROGRAM'!$F$15,AG69*$F$15),"")</f>
        <v>50</v>
      </c>
      <c r="AO70" s="11">
        <f t="shared" si="36"/>
        <v>70</v>
      </c>
      <c r="AQ70" s="8">
        <f t="shared" si="37"/>
        <v>43</v>
      </c>
      <c r="AR70" s="8"/>
      <c r="AS70" s="78">
        <f>IF(AQ70&lt;&gt;"",ROUND(IF($F$11="raty równe",-PMT(W70/12,$F$4-AQ69+SUM($AR$28:AR70),AV69,2),AT70+AU70),2),"")</f>
        <v>3263.82</v>
      </c>
      <c r="AT70" s="78">
        <f>IF(AQ70&lt;&gt;"",IF($F$11="raty malejące",AV69/($F$4-AQ69+SUM($AR$28:AR69)),MIN(AS70-AU70,AV69)),"")</f>
        <v>736.96521792695012</v>
      </c>
      <c r="AU70" s="78">
        <f t="shared" si="53"/>
        <v>2526.85478207305</v>
      </c>
      <c r="AV70" s="79">
        <f t="shared" si="38"/>
        <v>347794.72886111442</v>
      </c>
      <c r="AW70" s="11"/>
      <c r="AX70" s="33">
        <f>IF(AQ70&lt;&gt;"",ROUND(IF($F$11="raty równe",-PMT(W70/12,($F$4-AQ69+SUM($AR$27:AR69)),AV69,2),AV69/($F$4-AQ69+SUM($AR$27:AR69))+AV69*W70/12),2),"")</f>
        <v>3263.82</v>
      </c>
      <c r="AY70" s="33">
        <f t="shared" si="39"/>
        <v>258.27</v>
      </c>
      <c r="AZ70" s="33">
        <f t="shared" si="72"/>
        <v>7342.7232789453974</v>
      </c>
      <c r="BA70" s="33">
        <f>IF(AQ70&lt;&gt;"",AZ70-SUM($AY$44:AY70),"")</f>
        <v>369.4432789453931</v>
      </c>
      <c r="BB70" s="11">
        <f t="shared" si="40"/>
        <v>20</v>
      </c>
      <c r="BC70" s="11">
        <f>IF(AQ70&lt;&gt;"",IF($B$16=listy!$K$8,'RZĄDOWY PROGRAM'!$F$3*'RZĄDOWY PROGRAM'!$F$15,AV69*$F$15),"")</f>
        <v>50</v>
      </c>
      <c r="BD70" s="11">
        <f t="shared" si="41"/>
        <v>70</v>
      </c>
      <c r="BF70" s="8">
        <f t="shared" si="42"/>
        <v>43</v>
      </c>
      <c r="BG70" s="8"/>
      <c r="BH70" s="78">
        <f>IF(BF70&lt;&gt;"",ROUND(IF($F$11="raty równe",-PMT(W70/12,$F$4-BF69+SUM(BV$28:$BV70)-SUM($BM$29:BM70),BK69,2),BI70+BJ70),2),"")</f>
        <v>3522.1</v>
      </c>
      <c r="BI70" s="78">
        <f>IF(BF70&lt;&gt;"",IF($F$11="raty malejące",MIN(BK69/($F$4-BF69+SUM($BG$27:BG70)-SUM($BM$27:BM70)),BK69),MIN(BH70-BJ70,BK69)),"")</f>
        <v>1050.8913739943264</v>
      </c>
      <c r="BJ70" s="78">
        <f t="shared" si="54"/>
        <v>2471.2086260056735</v>
      </c>
      <c r="BK70" s="79">
        <f t="shared" si="55"/>
        <v>339805.47083368473</v>
      </c>
      <c r="BL70" s="11"/>
      <c r="BM70" s="33"/>
      <c r="BN70" s="33">
        <f t="shared" si="73"/>
        <v>-9.9999999997635314E-3</v>
      </c>
      <c r="BO70" s="33">
        <f t="shared" si="74"/>
        <v>-9.642549311419768E-2</v>
      </c>
      <c r="BP70" s="33">
        <f>IF(O70&lt;&gt;"",BO70-SUM($BN$44:BN70),"")</f>
        <v>-6.4254931163258977E-3</v>
      </c>
      <c r="BQ70" s="11">
        <f t="shared" si="17"/>
        <v>20</v>
      </c>
      <c r="BR70" s="11">
        <f>IF(BF70&lt;&gt;"",IF($B$16=listy!$K$8,'RZĄDOWY PROGRAM'!$F$3*'RZĄDOWY PROGRAM'!$F$15,BK69*$F$15),"")</f>
        <v>50</v>
      </c>
      <c r="BS70" s="11">
        <f t="shared" si="18"/>
        <v>70</v>
      </c>
      <c r="BU70" s="8">
        <f t="shared" si="44"/>
        <v>43</v>
      </c>
      <c r="BV70" s="8"/>
      <c r="BW70" s="78">
        <f>IF(BU70&lt;&gt;"",ROUND(IF($F$11="raty równe",-PMT(W70/12,$F$4-BU69+SUM($BV$28:BV70)-$CB$43,BZ69,2),BX70+BY70),2),"")</f>
        <v>3522.09</v>
      </c>
      <c r="BX70" s="78">
        <f>IF(BU70&lt;&gt;"",IF($F$11="raty malejące",MIN(BZ69/($F$4-BU69+SUM($BV$28:BV69)-SUM($CB$28:CB69)),BZ69),MIN(BW70-BY70,BZ69)),"")</f>
        <v>1048.5968861595306</v>
      </c>
      <c r="BY70" s="78">
        <f t="shared" si="70"/>
        <v>2473.4931138404695</v>
      </c>
      <c r="BZ70" s="79">
        <f t="shared" si="71"/>
        <v>340122.86709183623</v>
      </c>
      <c r="CA70" s="11"/>
      <c r="CB70" s="33"/>
      <c r="CC70" s="33">
        <f t="shared" si="46"/>
        <v>0</v>
      </c>
      <c r="CD70" s="33">
        <f t="shared" si="75"/>
        <v>0.13688244508746134</v>
      </c>
      <c r="CE70" s="33">
        <f>IF(O70&lt;&gt;"",CD70-SUM($CC$44:CC70),"")</f>
        <v>6.8824450905354273E-3</v>
      </c>
      <c r="CF70" s="11">
        <f t="shared" si="20"/>
        <v>20</v>
      </c>
      <c r="CG70" s="11">
        <f>IF(BU70&lt;&gt;"",IF($B$16=listy!$K$8,'RZĄDOWY PROGRAM'!$F$3*'RZĄDOWY PROGRAM'!$F$15,BZ69*$F$15),"")</f>
        <v>50</v>
      </c>
      <c r="CH70" s="11">
        <f t="shared" si="21"/>
        <v>70</v>
      </c>
      <c r="CJ70" s="48">
        <f t="shared" si="22"/>
        <v>0.06</v>
      </c>
      <c r="CK70" s="18">
        <f t="shared" si="23"/>
        <v>4.8675505653430484E-3</v>
      </c>
      <c r="CL70" s="11">
        <f t="shared" si="76"/>
        <v>0</v>
      </c>
      <c r="CM70" s="11">
        <f t="shared" si="25"/>
        <v>32406.543820231793</v>
      </c>
      <c r="CN70" s="11">
        <f>IF(AB70&lt;&gt;"",CM70-SUM($CL$28:CL70),"")</f>
        <v>4229.783820231798</v>
      </c>
    </row>
    <row r="71" spans="1:92" x14ac:dyDescent="0.45">
      <c r="A71" s="68">
        <f t="shared" si="47"/>
        <v>46054</v>
      </c>
      <c r="B71" s="8">
        <f t="shared" si="4"/>
        <v>44</v>
      </c>
      <c r="C71" s="11">
        <f t="shared" si="5"/>
        <v>3522.1</v>
      </c>
      <c r="D71" s="11">
        <f t="shared" si="6"/>
        <v>848.71527583268971</v>
      </c>
      <c r="E71" s="11">
        <f t="shared" si="7"/>
        <v>2673.3847241673102</v>
      </c>
      <c r="F71" s="9">
        <f t="shared" si="26"/>
        <v>367894.0052989687</v>
      </c>
      <c r="G71" s="10">
        <f t="shared" si="8"/>
        <v>7.0000000000000007E-2</v>
      </c>
      <c r="H71" s="10">
        <f t="shared" si="9"/>
        <v>1.7000000000000001E-2</v>
      </c>
      <c r="I71" s="48">
        <f t="shared" si="27"/>
        <v>8.7000000000000008E-2</v>
      </c>
      <c r="J71" s="11">
        <f t="shared" si="10"/>
        <v>20</v>
      </c>
      <c r="K71" s="11">
        <f>IF(B71&lt;&gt;"",IF($B$16=listy!$K$8,'RZĄDOWY PROGRAM'!$F$3*'RZĄDOWY PROGRAM'!$F$15,F70*$F$15),"")</f>
        <v>50</v>
      </c>
      <c r="L71" s="11">
        <f t="shared" si="28"/>
        <v>70</v>
      </c>
      <c r="N71" s="54">
        <f t="shared" si="48"/>
        <v>46054</v>
      </c>
      <c r="O71" s="8">
        <f t="shared" si="29"/>
        <v>44</v>
      </c>
      <c r="P71" s="8"/>
      <c r="Q71" s="11">
        <f>IF(O71&lt;&gt;"",ROUND(IF($F$11="raty równe",-PMT(W71/12,$F$4-O70+SUM($P$28:P71),T70,2),R71+S71),2),"")</f>
        <v>3522.1</v>
      </c>
      <c r="R71" s="11">
        <f>IF(O71&lt;&gt;"",IF($F$11="raty malejące",T70/($F$4-O70+SUM($P$28:P71)),IF(Q71-S71&gt;T70,T70,Q71-S71)),"")</f>
        <v>801.05800038785492</v>
      </c>
      <c r="S71" s="11">
        <f t="shared" si="68"/>
        <v>2721.041999612145</v>
      </c>
      <c r="T71" s="9">
        <f t="shared" si="30"/>
        <v>374515.07987714931</v>
      </c>
      <c r="U71" s="10">
        <f t="shared" si="11"/>
        <v>7.0000000000000007E-2</v>
      </c>
      <c r="V71" s="10">
        <f t="shared" si="12"/>
        <v>1.7000000000000001E-2</v>
      </c>
      <c r="W71" s="48">
        <f t="shared" si="31"/>
        <v>8.7000000000000008E-2</v>
      </c>
      <c r="X71" s="11">
        <f t="shared" si="13"/>
        <v>20</v>
      </c>
      <c r="Y71" s="11">
        <f>IF(O71&lt;&gt;"",IF($B$16=listy!$K$8,'RZĄDOWY PROGRAM'!$F$3*'RZĄDOWY PROGRAM'!$F$15,T70*$F$15),"")</f>
        <v>50</v>
      </c>
      <c r="Z71" s="11">
        <f t="shared" si="32"/>
        <v>70</v>
      </c>
      <c r="AB71" s="8">
        <f t="shared" si="33"/>
        <v>44</v>
      </c>
      <c r="AC71" s="8"/>
      <c r="AD71" s="11">
        <f>IF(AB71&lt;&gt;"",ROUND(IF($F$11="raty równe",-PMT(W71/12,$F$4-AB70+SUM($AC$28:AC71),AG70,2),AE71+AF71),2),"")</f>
        <v>3280.39</v>
      </c>
      <c r="AE71" s="11">
        <f>IF(AB71&lt;&gt;"",IF($F$11="raty malejące",AG70/($F$4-AB70+SUM($AC$28:AC70)),MIN(AD71-AF71,AG70)),"")</f>
        <v>746.07938007968824</v>
      </c>
      <c r="AF71" s="11">
        <f t="shared" si="69"/>
        <v>2534.3106199203116</v>
      </c>
      <c r="AG71" s="9">
        <f t="shared" si="52"/>
        <v>348814.00612617016</v>
      </c>
      <c r="AH71" s="11"/>
      <c r="AI71" s="33">
        <f>IF(AB71&lt;&gt;"",ROUND(IF($F$11="raty równe",-PMT(W71/12,($F$4-AB70+SUM($AC$27:AC70)),AG70,2),AG70/($F$4-AB70+SUM($AC$27:AC70))+AG70*W71/12),2),"")</f>
        <v>3280.39</v>
      </c>
      <c r="AJ71" s="33">
        <f t="shared" si="34"/>
        <v>241.71000000000004</v>
      </c>
      <c r="AK71" s="33">
        <f t="shared" si="15"/>
        <v>9501.3513189527948</v>
      </c>
      <c r="AL71" s="33">
        <f>IF(AB71&lt;&gt;"",AK71-SUM($AJ$28:AJ71),"")</f>
        <v>661.17131895279454</v>
      </c>
      <c r="AM71" s="11">
        <f t="shared" si="35"/>
        <v>20</v>
      </c>
      <c r="AN71" s="11">
        <f>IF(AB71&lt;&gt;"",IF($B$16=listy!$K$8,'RZĄDOWY PROGRAM'!$F$3*'RZĄDOWY PROGRAM'!$F$15,AG70*$F$15),"")</f>
        <v>50</v>
      </c>
      <c r="AO71" s="11">
        <f t="shared" si="36"/>
        <v>70</v>
      </c>
      <c r="AQ71" s="8">
        <f t="shared" si="37"/>
        <v>44</v>
      </c>
      <c r="AR71" s="8"/>
      <c r="AS71" s="78">
        <f>IF(AQ71&lt;&gt;"",ROUND(IF($F$11="raty równe",-PMT(W71/12,$F$4-AQ70+SUM($AR$28:AR71),AV70,2),AT71+AU71),2),"")</f>
        <v>3263.83</v>
      </c>
      <c r="AT71" s="78">
        <f>IF(AQ71&lt;&gt;"",IF($F$11="raty malejące",AV70/($F$4-AQ70+SUM($AR$28:AR70)),MIN(AS71-AU71,AV70)),"")</f>
        <v>742.31821575692038</v>
      </c>
      <c r="AU71" s="78">
        <f t="shared" si="53"/>
        <v>2521.5117842430795</v>
      </c>
      <c r="AV71" s="79">
        <f t="shared" si="38"/>
        <v>347052.41064535751</v>
      </c>
      <c r="AW71" s="11"/>
      <c r="AX71" s="33">
        <f>IF(AQ71&lt;&gt;"",ROUND(IF($F$11="raty równe",-PMT(W71/12,($F$4-AQ70+SUM($AR$27:AR70)),AV70,2),AV70/($F$4-AQ70+SUM($AR$27:AR70))+AV70*W71/12),2),"")</f>
        <v>3263.83</v>
      </c>
      <c r="AY71" s="33">
        <f t="shared" si="39"/>
        <v>258.27</v>
      </c>
      <c r="AZ71" s="33">
        <f t="shared" si="72"/>
        <v>7629.9435511919437</v>
      </c>
      <c r="BA71" s="33">
        <f>IF(AQ71&lt;&gt;"",AZ71-SUM($AY$44:AY71),"")</f>
        <v>398.39355119193897</v>
      </c>
      <c r="BB71" s="11">
        <f t="shared" si="40"/>
        <v>20</v>
      </c>
      <c r="BC71" s="11">
        <f>IF(AQ71&lt;&gt;"",IF($B$16=listy!$K$8,'RZĄDOWY PROGRAM'!$F$3*'RZĄDOWY PROGRAM'!$F$15,AV70*$F$15),"")</f>
        <v>50</v>
      </c>
      <c r="BD71" s="11">
        <f t="shared" si="41"/>
        <v>70</v>
      </c>
      <c r="BF71" s="8">
        <f t="shared" si="42"/>
        <v>44</v>
      </c>
      <c r="BG71" s="8"/>
      <c r="BH71" s="78">
        <f>IF(BF71&lt;&gt;"",ROUND(IF($F$11="raty równe",-PMT(W71/12,$F$4-BF70+SUM(BV$28:$BV71)-SUM($BM$29:BM71),BK70,2),BI71+BJ71),2),"")</f>
        <v>3522.09</v>
      </c>
      <c r="BI71" s="78">
        <f>IF(BF71&lt;&gt;"",IF($F$11="raty malejące",MIN(BK70/($F$4-BF70+SUM($BG$27:BG71)-SUM($BM$27:BM71)),BK70),MIN(BH71-BJ71,BK70)),"")</f>
        <v>1058.5003364557856</v>
      </c>
      <c r="BJ71" s="78">
        <f t="shared" si="54"/>
        <v>2463.5896635442145</v>
      </c>
      <c r="BK71" s="79">
        <f t="shared" si="55"/>
        <v>338746.97049722896</v>
      </c>
      <c r="BL71" s="11"/>
      <c r="BM71" s="33"/>
      <c r="BN71" s="33">
        <f t="shared" si="73"/>
        <v>9.9999999997635314E-3</v>
      </c>
      <c r="BO71" s="33">
        <f t="shared" si="74"/>
        <v>-8.6805671444886573E-2</v>
      </c>
      <c r="BP71" s="33">
        <f>IF(O71&lt;&gt;"",BO71-SUM($BN$44:BN71),"")</f>
        <v>-6.8056714467783219E-3</v>
      </c>
      <c r="BQ71" s="11">
        <f t="shared" si="17"/>
        <v>20</v>
      </c>
      <c r="BR71" s="11">
        <f>IF(BF71&lt;&gt;"",IF($B$16=listy!$K$8,'RZĄDOWY PROGRAM'!$F$3*'RZĄDOWY PROGRAM'!$F$15,BK70*$F$15),"")</f>
        <v>50</v>
      </c>
      <c r="BS71" s="11">
        <f t="shared" si="18"/>
        <v>70</v>
      </c>
      <c r="BU71" s="8">
        <f t="shared" si="44"/>
        <v>44</v>
      </c>
      <c r="BV71" s="8"/>
      <c r="BW71" s="78">
        <f>IF(BU71&lt;&gt;"",ROUND(IF($F$11="raty równe",-PMT(W71/12,$F$4-BU70+SUM($BV$28:BV71)-$CB$43,BZ70,2),BX71+BY71),2),"")</f>
        <v>3522.09</v>
      </c>
      <c r="BX71" s="78">
        <f>IF(BU71&lt;&gt;"",IF($F$11="raty malejące",MIN(BZ70/($F$4-BU70+SUM($BV$28:BV70)-SUM($CB$28:CB70)),BZ70),MIN(BW71-BY71,BZ70)),"")</f>
        <v>1056.199213584187</v>
      </c>
      <c r="BY71" s="78">
        <f t="shared" si="70"/>
        <v>2465.8907864158132</v>
      </c>
      <c r="BZ71" s="79">
        <f t="shared" si="71"/>
        <v>339066.66787825205</v>
      </c>
      <c r="CA71" s="11"/>
      <c r="CB71" s="33"/>
      <c r="CC71" s="33">
        <f t="shared" si="46"/>
        <v>9.9999999997635314E-3</v>
      </c>
      <c r="CD71" s="33">
        <f t="shared" si="75"/>
        <v>0.14742213368783139</v>
      </c>
      <c r="CE71" s="33">
        <f>IF(O71&lt;&gt;"",CD71-SUM($CC$44:CC71),"")</f>
        <v>7.4221336911419467E-3</v>
      </c>
      <c r="CF71" s="11">
        <f t="shared" si="20"/>
        <v>20</v>
      </c>
      <c r="CG71" s="11">
        <f>IF(BU71&lt;&gt;"",IF($B$16=listy!$K$8,'RZĄDOWY PROGRAM'!$F$3*'RZĄDOWY PROGRAM'!$F$15,BZ70*$F$15),"")</f>
        <v>50</v>
      </c>
      <c r="CH71" s="11">
        <f t="shared" si="21"/>
        <v>70</v>
      </c>
      <c r="CJ71" s="48">
        <f t="shared" si="22"/>
        <v>0.06</v>
      </c>
      <c r="CK71" s="18">
        <f t="shared" si="23"/>
        <v>4.8675505653430484E-3</v>
      </c>
      <c r="CL71" s="11">
        <f t="shared" si="76"/>
        <v>0</v>
      </c>
      <c r="CM71" s="11">
        <f t="shared" si="25"/>
        <v>32534.313617693111</v>
      </c>
      <c r="CN71" s="11">
        <f>IF(AB71&lt;&gt;"",CM71-SUM($CL$28:CL71),"")</f>
        <v>4357.5536176931164</v>
      </c>
    </row>
    <row r="72" spans="1:92" x14ac:dyDescent="0.45">
      <c r="A72" s="68">
        <f t="shared" si="47"/>
        <v>46082</v>
      </c>
      <c r="B72" s="8">
        <f t="shared" si="4"/>
        <v>45</v>
      </c>
      <c r="C72" s="11">
        <f t="shared" si="5"/>
        <v>3522.09</v>
      </c>
      <c r="D72" s="11">
        <f t="shared" si="6"/>
        <v>854.85846158247705</v>
      </c>
      <c r="E72" s="11">
        <f t="shared" si="7"/>
        <v>2667.2315384175231</v>
      </c>
      <c r="F72" s="9">
        <f t="shared" si="26"/>
        <v>367039.14683738624</v>
      </c>
      <c r="G72" s="10">
        <f t="shared" si="8"/>
        <v>7.0000000000000007E-2</v>
      </c>
      <c r="H72" s="10">
        <f t="shared" si="9"/>
        <v>1.7000000000000001E-2</v>
      </c>
      <c r="I72" s="48">
        <f t="shared" si="27"/>
        <v>8.7000000000000008E-2</v>
      </c>
      <c r="J72" s="11">
        <f t="shared" si="10"/>
        <v>20</v>
      </c>
      <c r="K72" s="11">
        <f>IF(B72&lt;&gt;"",IF($B$16=listy!$K$8,'RZĄDOWY PROGRAM'!$F$3*'RZĄDOWY PROGRAM'!$F$15,F71*$F$15),"")</f>
        <v>50</v>
      </c>
      <c r="L72" s="11">
        <f t="shared" si="28"/>
        <v>70</v>
      </c>
      <c r="N72" s="54">
        <f t="shared" si="48"/>
        <v>46082</v>
      </c>
      <c r="O72" s="8">
        <f t="shared" si="29"/>
        <v>45</v>
      </c>
      <c r="P72" s="8"/>
      <c r="Q72" s="11">
        <f>IF(O72&lt;&gt;"",ROUND(IF($F$11="raty równe",-PMT(W72/12,$F$4-O71+SUM($P$28:P72),T71,2),R72+S72),2),"")</f>
        <v>3522.09</v>
      </c>
      <c r="R72" s="11">
        <f>IF(O72&lt;&gt;"",IF($F$11="raty malejące",T71/($F$4-O71+SUM($P$28:P72)),IF(Q72-S72&gt;T71,T71,Q72-S72)),"")</f>
        <v>806.85567089066762</v>
      </c>
      <c r="S72" s="11">
        <f t="shared" si="68"/>
        <v>2715.2343291093325</v>
      </c>
      <c r="T72" s="9">
        <f t="shared" si="30"/>
        <v>373708.22420625866</v>
      </c>
      <c r="U72" s="10">
        <f t="shared" si="11"/>
        <v>7.0000000000000007E-2</v>
      </c>
      <c r="V72" s="10">
        <f t="shared" si="12"/>
        <v>1.7000000000000001E-2</v>
      </c>
      <c r="W72" s="48">
        <f t="shared" si="31"/>
        <v>8.7000000000000008E-2</v>
      </c>
      <c r="X72" s="11">
        <f t="shared" si="13"/>
        <v>20</v>
      </c>
      <c r="Y72" s="11">
        <f>IF(O72&lt;&gt;"",IF($B$16=listy!$K$8,'RZĄDOWY PROGRAM'!$F$3*'RZĄDOWY PROGRAM'!$F$15,T71*$F$15),"")</f>
        <v>50</v>
      </c>
      <c r="Z72" s="11">
        <f t="shared" si="32"/>
        <v>70</v>
      </c>
      <c r="AB72" s="8">
        <f t="shared" si="33"/>
        <v>45</v>
      </c>
      <c r="AC72" s="8"/>
      <c r="AD72" s="11">
        <f>IF(AB72&lt;&gt;"",ROUND(IF($F$11="raty równe",-PMT(W72/12,$F$4-AB71+SUM($AC$28:AC72),AG71,2),AE72+AF72),2),"")</f>
        <v>3280.39</v>
      </c>
      <c r="AE72" s="11">
        <f>IF(AB72&lt;&gt;"",IF($F$11="raty malejące",AG71/($F$4-AB71+SUM($AC$28:AC71)),MIN(AD72-AF72,AG71)),"")</f>
        <v>751.48845558526591</v>
      </c>
      <c r="AF72" s="11">
        <f t="shared" si="69"/>
        <v>2528.901544414734</v>
      </c>
      <c r="AG72" s="9">
        <f t="shared" si="52"/>
        <v>348062.5176705849</v>
      </c>
      <c r="AH72" s="11"/>
      <c r="AI72" s="33">
        <f>IF(AB72&lt;&gt;"",ROUND(IF($F$11="raty równe",-PMT(W72/12,($F$4-AB71+SUM($AC$27:AC71)),AG71,2),AG71/($F$4-AB71+SUM($AC$27:AC71))+AG71*W72/12),2),"")</f>
        <v>3280.39</v>
      </c>
      <c r="AJ72" s="33">
        <f t="shared" si="34"/>
        <v>241.70000000000027</v>
      </c>
      <c r="AK72" s="33">
        <f t="shared" si="15"/>
        <v>9780.5124484199096</v>
      </c>
      <c r="AL72" s="33">
        <f>IF(AB72&lt;&gt;"",AK72-SUM($AJ$28:AJ72),"")</f>
        <v>698.63244841990854</v>
      </c>
      <c r="AM72" s="11">
        <f t="shared" si="35"/>
        <v>20</v>
      </c>
      <c r="AN72" s="11">
        <f>IF(AB72&lt;&gt;"",IF($B$16=listy!$K$8,'RZĄDOWY PROGRAM'!$F$3*'RZĄDOWY PROGRAM'!$F$15,AG71*$F$15),"")</f>
        <v>50</v>
      </c>
      <c r="AO72" s="11">
        <f t="shared" si="36"/>
        <v>70</v>
      </c>
      <c r="AQ72" s="8">
        <f t="shared" si="37"/>
        <v>45</v>
      </c>
      <c r="AR72" s="8"/>
      <c r="AS72" s="78">
        <f>IF(AQ72&lt;&gt;"",ROUND(IF($F$11="raty równe",-PMT(W72/12,$F$4-AQ71+SUM($AR$28:AR72),AV71,2),AT72+AU72),2),"")</f>
        <v>3263.82</v>
      </c>
      <c r="AT72" s="78">
        <f>IF(AQ72&lt;&gt;"",IF($F$11="raty malejące",AV71/($F$4-AQ71+SUM($AR$28:AR71)),MIN(AS72-AU72,AV71)),"")</f>
        <v>747.69002282115798</v>
      </c>
      <c r="AU72" s="78">
        <f t="shared" si="53"/>
        <v>2516.1299771788422</v>
      </c>
      <c r="AV72" s="79">
        <f t="shared" si="38"/>
        <v>346304.72062253638</v>
      </c>
      <c r="AW72" s="11"/>
      <c r="AX72" s="33">
        <f>IF(AQ72&lt;&gt;"",ROUND(IF($F$11="raty równe",-PMT(W72/12,($F$4-AQ71+SUM($AR$27:AR71)),AV71,2),AV71/($F$4-AQ71+SUM($AR$27:AR71))+AV71*W72/12),2),"")</f>
        <v>3263.82</v>
      </c>
      <c r="AY72" s="33">
        <f t="shared" si="39"/>
        <v>258.27</v>
      </c>
      <c r="AZ72" s="33">
        <f t="shared" si="72"/>
        <v>7918.2962513893181</v>
      </c>
      <c r="BA72" s="33">
        <f>IF(AQ72&lt;&gt;"",AZ72-SUM($AY$44:AY72),"")</f>
        <v>428.47625138931289</v>
      </c>
      <c r="BB72" s="11">
        <f t="shared" si="40"/>
        <v>20</v>
      </c>
      <c r="BC72" s="11">
        <f>IF(AQ72&lt;&gt;"",IF($B$16=listy!$K$8,'RZĄDOWY PROGRAM'!$F$3*'RZĄDOWY PROGRAM'!$F$15,AV71*$F$15),"")</f>
        <v>50</v>
      </c>
      <c r="BD72" s="11">
        <f t="shared" si="41"/>
        <v>70</v>
      </c>
      <c r="BF72" s="8">
        <f t="shared" si="42"/>
        <v>45</v>
      </c>
      <c r="BG72" s="8"/>
      <c r="BH72" s="78">
        <f>IF(BF72&lt;&gt;"",ROUND(IF($F$11="raty równe",-PMT(W72/12,$F$4-BF71+SUM(BV$28:$BV72)-SUM($BM$29:BM72),BK71,2),BI72+BJ72),2),"")</f>
        <v>3522.1</v>
      </c>
      <c r="BI72" s="78">
        <f>IF(BF72&lt;&gt;"",IF($F$11="raty malejące",MIN(BK71/($F$4-BF71+SUM($BG$27:BG72)-SUM($BM$27:BM72)),BK71),MIN(BH72-BJ72,BK71)),"")</f>
        <v>1066.1844638950897</v>
      </c>
      <c r="BJ72" s="78">
        <f t="shared" si="54"/>
        <v>2455.9155361049102</v>
      </c>
      <c r="BK72" s="79">
        <f t="shared" si="55"/>
        <v>337680.78603333386</v>
      </c>
      <c r="BL72" s="11"/>
      <c r="BM72" s="33"/>
      <c r="BN72" s="33">
        <f t="shared" si="73"/>
        <v>-9.9999999997635314E-3</v>
      </c>
      <c r="BO72" s="33">
        <f t="shared" si="74"/>
        <v>-9.7147921550694502E-2</v>
      </c>
      <c r="BP72" s="33">
        <f>IF(O72&lt;&gt;"",BO72-SUM($BN$44:BN72),"")</f>
        <v>-7.1479215528227197E-3</v>
      </c>
      <c r="BQ72" s="11">
        <f t="shared" si="17"/>
        <v>20</v>
      </c>
      <c r="BR72" s="11">
        <f>IF(BF72&lt;&gt;"",IF($B$16=listy!$K$8,'RZĄDOWY PROGRAM'!$F$3*'RZĄDOWY PROGRAM'!$F$15,BK71*$F$15),"")</f>
        <v>50</v>
      </c>
      <c r="BS72" s="11">
        <f t="shared" si="18"/>
        <v>70</v>
      </c>
      <c r="BU72" s="8">
        <f t="shared" si="44"/>
        <v>45</v>
      </c>
      <c r="BV72" s="8"/>
      <c r="BW72" s="78">
        <f>IF(BU72&lt;&gt;"",ROUND(IF($F$11="raty równe",-PMT(W72/12,$F$4-BU71+SUM($BV$28:BV72)-$CB$43,BZ71,2),BX72+BY72),2),"")</f>
        <v>3522.09</v>
      </c>
      <c r="BX72" s="78">
        <f>IF(BU72&lt;&gt;"",IF($F$11="raty malejące",MIN(BZ71/($F$4-BU71+SUM($BV$28:BV71)-SUM($CB$28:CB71)),BZ71),MIN(BW72-BY72,BZ71)),"")</f>
        <v>1063.8566578826726</v>
      </c>
      <c r="BY72" s="78">
        <f t="shared" si="70"/>
        <v>2458.2333421173275</v>
      </c>
      <c r="BZ72" s="79">
        <f t="shared" si="71"/>
        <v>338002.81122036936</v>
      </c>
      <c r="CA72" s="11"/>
      <c r="CB72" s="33"/>
      <c r="CC72" s="33">
        <f t="shared" si="46"/>
        <v>0</v>
      </c>
      <c r="CD72" s="33">
        <f t="shared" si="75"/>
        <v>0.14800337728687418</v>
      </c>
      <c r="CE72" s="33">
        <f>IF(O72&lt;&gt;"",CD72-SUM($CC$44:CC72),"")</f>
        <v>8.0033772901847433E-3</v>
      </c>
      <c r="CF72" s="11">
        <f t="shared" si="20"/>
        <v>20</v>
      </c>
      <c r="CG72" s="11">
        <f>IF(BU72&lt;&gt;"",IF($B$16=listy!$K$8,'RZĄDOWY PROGRAM'!$F$3*'RZĄDOWY PROGRAM'!$F$15,BZ71*$F$15),"")</f>
        <v>50</v>
      </c>
      <c r="CH72" s="11">
        <f t="shared" si="21"/>
        <v>70</v>
      </c>
      <c r="CJ72" s="48">
        <f t="shared" si="22"/>
        <v>0.06</v>
      </c>
      <c r="CK72" s="18">
        <f t="shared" si="23"/>
        <v>4.8675505653430484E-3</v>
      </c>
      <c r="CL72" s="11">
        <f t="shared" si="76"/>
        <v>0</v>
      </c>
      <c r="CM72" s="11">
        <f t="shared" si="25"/>
        <v>32662.587175173823</v>
      </c>
      <c r="CN72" s="11">
        <f>IF(AB72&lt;&gt;"",CM72-SUM($CL$28:CL72),"")</f>
        <v>4485.8271751738284</v>
      </c>
    </row>
    <row r="73" spans="1:92" x14ac:dyDescent="0.45">
      <c r="A73" s="68">
        <f t="shared" si="47"/>
        <v>46113</v>
      </c>
      <c r="B73" s="8">
        <f t="shared" si="4"/>
        <v>46</v>
      </c>
      <c r="C73" s="11">
        <f t="shared" si="5"/>
        <v>3522.1</v>
      </c>
      <c r="D73" s="11">
        <f t="shared" si="6"/>
        <v>861.06618542894921</v>
      </c>
      <c r="E73" s="11">
        <f t="shared" si="7"/>
        <v>2661.0338145710507</v>
      </c>
      <c r="F73" s="9">
        <f t="shared" si="26"/>
        <v>366178.08065195731</v>
      </c>
      <c r="G73" s="10">
        <f t="shared" si="8"/>
        <v>7.0000000000000007E-2</v>
      </c>
      <c r="H73" s="10">
        <f t="shared" si="9"/>
        <v>1.7000000000000001E-2</v>
      </c>
      <c r="I73" s="48">
        <f t="shared" si="27"/>
        <v>8.7000000000000008E-2</v>
      </c>
      <c r="J73" s="11">
        <f t="shared" si="10"/>
        <v>20</v>
      </c>
      <c r="K73" s="11">
        <f>IF(B73&lt;&gt;"",IF($B$16=listy!$K$8,'RZĄDOWY PROGRAM'!$F$3*'RZĄDOWY PROGRAM'!$F$15,F72*$F$15),"")</f>
        <v>50</v>
      </c>
      <c r="L73" s="11">
        <f t="shared" si="28"/>
        <v>70</v>
      </c>
      <c r="N73" s="54">
        <f t="shared" si="48"/>
        <v>46113</v>
      </c>
      <c r="O73" s="8">
        <f t="shared" si="29"/>
        <v>46</v>
      </c>
      <c r="P73" s="8"/>
      <c r="Q73" s="11">
        <f>IF(O73&lt;&gt;"",ROUND(IF($F$11="raty równe",-PMT(W73/12,$F$4-O72+SUM($P$28:P73),T72,2),R73+S73),2),"")</f>
        <v>3522.1</v>
      </c>
      <c r="R73" s="11">
        <f>IF(O73&lt;&gt;"",IF($F$11="raty malejące",T72/($F$4-O72+SUM($P$28:P73)),IF(Q73-S73&gt;T72,T72,Q73-S73)),"")</f>
        <v>812.71537450462438</v>
      </c>
      <c r="S73" s="11">
        <f t="shared" si="68"/>
        <v>2709.3846254953755</v>
      </c>
      <c r="T73" s="9">
        <f t="shared" si="30"/>
        <v>372895.50883175404</v>
      </c>
      <c r="U73" s="10">
        <f t="shared" si="11"/>
        <v>7.0000000000000007E-2</v>
      </c>
      <c r="V73" s="10">
        <f t="shared" si="12"/>
        <v>1.7000000000000001E-2</v>
      </c>
      <c r="W73" s="48">
        <f t="shared" si="31"/>
        <v>8.7000000000000008E-2</v>
      </c>
      <c r="X73" s="11">
        <f t="shared" si="13"/>
        <v>20</v>
      </c>
      <c r="Y73" s="11">
        <f>IF(O73&lt;&gt;"",IF($B$16=listy!$K$8,'RZĄDOWY PROGRAM'!$F$3*'RZĄDOWY PROGRAM'!$F$15,T72*$F$15),"")</f>
        <v>50</v>
      </c>
      <c r="Z73" s="11">
        <f t="shared" si="32"/>
        <v>70</v>
      </c>
      <c r="AB73" s="8">
        <f t="shared" si="33"/>
        <v>46</v>
      </c>
      <c r="AC73" s="8"/>
      <c r="AD73" s="11">
        <f>IF(AB73&lt;&gt;"",ROUND(IF($F$11="raty równe",-PMT(W73/12,$F$4-AB72+SUM($AC$28:AC73),AG72,2),AE73+AF73),2),"")</f>
        <v>3280.39</v>
      </c>
      <c r="AE73" s="11">
        <f>IF(AB73&lt;&gt;"",IF($F$11="raty malejące",AG72/($F$4-AB72+SUM($AC$28:AC72)),MIN(AD73-AF73,AG72)),"")</f>
        <v>756.93674688825922</v>
      </c>
      <c r="AF73" s="11">
        <f t="shared" si="69"/>
        <v>2523.4532531117407</v>
      </c>
      <c r="AG73" s="9">
        <f t="shared" si="52"/>
        <v>347305.58092369663</v>
      </c>
      <c r="AH73" s="11"/>
      <c r="AI73" s="33">
        <f>IF(AB73&lt;&gt;"",ROUND(IF($F$11="raty równe",-PMT(W73/12,($F$4-AB72+SUM($AC$27:AC72)),AG72,2),AG72/($F$4-AB72+SUM($AC$27:AC72))+AG72*W73/12),2),"")</f>
        <v>3280.39</v>
      </c>
      <c r="AJ73" s="33">
        <f t="shared" si="34"/>
        <v>241.71000000000004</v>
      </c>
      <c r="AK73" s="33">
        <f t="shared" si="15"/>
        <v>10060.784230927009</v>
      </c>
      <c r="AL73" s="33">
        <f>IF(AB73&lt;&gt;"",AK73-SUM($AJ$28:AJ73),"")</f>
        <v>737.1942309270089</v>
      </c>
      <c r="AM73" s="11">
        <f t="shared" si="35"/>
        <v>20</v>
      </c>
      <c r="AN73" s="11">
        <f>IF(AB73&lt;&gt;"",IF($B$16=listy!$K$8,'RZĄDOWY PROGRAM'!$F$3*'RZĄDOWY PROGRAM'!$F$15,AG72*$F$15),"")</f>
        <v>50</v>
      </c>
      <c r="AO73" s="11">
        <f t="shared" si="36"/>
        <v>70</v>
      </c>
      <c r="AQ73" s="8">
        <f t="shared" si="37"/>
        <v>46</v>
      </c>
      <c r="AR73" s="8"/>
      <c r="AS73" s="78">
        <f>IF(AQ73&lt;&gt;"",ROUND(IF($F$11="raty równe",-PMT(W73/12,$F$4-AQ72+SUM($AR$28:AR73),AV72,2),AT73+AU73),2),"")</f>
        <v>3263.83</v>
      </c>
      <c r="AT73" s="78">
        <f>IF(AQ73&lt;&gt;"",IF($F$11="raty malejące",AV72/($F$4-AQ72+SUM($AR$28:AR72)),MIN(AS73-AU73,AV72)),"")</f>
        <v>753.12077548661091</v>
      </c>
      <c r="AU73" s="78">
        <f t="shared" si="53"/>
        <v>2510.709224513389</v>
      </c>
      <c r="AV73" s="79">
        <f t="shared" si="38"/>
        <v>345551.59984704974</v>
      </c>
      <c r="AW73" s="11"/>
      <c r="AX73" s="33">
        <f>IF(AQ73&lt;&gt;"",ROUND(IF($F$11="raty równe",-PMT(W73/12,($F$4-AQ72+SUM($AR$27:AR72)),AV72,2),AV72/($F$4-AQ72+SUM($AR$27:AR72))+AV72*W73/12),2),"")</f>
        <v>3263.83</v>
      </c>
      <c r="AY73" s="33">
        <f t="shared" si="39"/>
        <v>258.27</v>
      </c>
      <c r="AZ73" s="33">
        <f t="shared" si="72"/>
        <v>8207.785844379272</v>
      </c>
      <c r="BA73" s="33">
        <f>IF(AQ73&lt;&gt;"",AZ73-SUM($AY$44:AY73),"")</f>
        <v>459.69584437926642</v>
      </c>
      <c r="BB73" s="11">
        <f t="shared" si="40"/>
        <v>20</v>
      </c>
      <c r="BC73" s="11">
        <f>IF(AQ73&lt;&gt;"",IF($B$16=listy!$K$8,'RZĄDOWY PROGRAM'!$F$3*'RZĄDOWY PROGRAM'!$F$15,AV72*$F$15),"")</f>
        <v>50</v>
      </c>
      <c r="BD73" s="11">
        <f t="shared" si="41"/>
        <v>70</v>
      </c>
      <c r="BF73" s="8">
        <f t="shared" si="42"/>
        <v>46</v>
      </c>
      <c r="BG73" s="8"/>
      <c r="BH73" s="78">
        <f>IF(BF73&lt;&gt;"",ROUND(IF($F$11="raty równe",-PMT(W73/12,$F$4-BF72+SUM(BV$28:$BV73)-SUM($BM$29:BM73),BK72,2),BI73+BJ73),2),"")</f>
        <v>3522.09</v>
      </c>
      <c r="BI73" s="78">
        <f>IF(BF73&lt;&gt;"",IF($F$11="raty malejące",MIN(BK72/($F$4-BF72+SUM($BG$27:BG73)-SUM($BM$27:BM73)),BK72),MIN(BH73-BJ73,BK72)),"")</f>
        <v>1073.9043012583293</v>
      </c>
      <c r="BJ73" s="78">
        <f t="shared" si="54"/>
        <v>2448.1856987416709</v>
      </c>
      <c r="BK73" s="79">
        <f t="shared" si="55"/>
        <v>336606.88173207553</v>
      </c>
      <c r="BL73" s="11"/>
      <c r="BM73" s="33"/>
      <c r="BN73" s="33">
        <f t="shared" si="73"/>
        <v>9.9999999997635314E-3</v>
      </c>
      <c r="BO73" s="33">
        <f t="shared" si="74"/>
        <v>-8.7530948211508419E-2</v>
      </c>
      <c r="BP73" s="33">
        <f>IF(O73&lt;&gt;"",BO73-SUM($BN$44:BN73),"")</f>
        <v>-7.5309482134001682E-3</v>
      </c>
      <c r="BQ73" s="11">
        <f t="shared" si="17"/>
        <v>20</v>
      </c>
      <c r="BR73" s="11">
        <f>IF(BF73&lt;&gt;"",IF($B$16=listy!$K$8,'RZĄDOWY PROGRAM'!$F$3*'RZĄDOWY PROGRAM'!$F$15,BK72*$F$15),"")</f>
        <v>50</v>
      </c>
      <c r="BS73" s="11">
        <f t="shared" si="18"/>
        <v>70</v>
      </c>
      <c r="BU73" s="8">
        <f t="shared" si="44"/>
        <v>46</v>
      </c>
      <c r="BV73" s="8"/>
      <c r="BW73" s="78">
        <f>IF(BU73&lt;&gt;"",ROUND(IF($F$11="raty równe",-PMT(W73/12,$F$4-BU72+SUM($BV$28:BV73)-$CB$43,BZ72,2),BX73+BY73),2),"")</f>
        <v>3522.09</v>
      </c>
      <c r="BX73" s="78">
        <f>IF(BU73&lt;&gt;"",IF($F$11="raty malejące",MIN(BZ72/($F$4-BU72+SUM($BV$28:BV72)-SUM($CB$28:CB72)),BZ72),MIN(BW73-BY73,BZ72)),"")</f>
        <v>1071.5696186523223</v>
      </c>
      <c r="BY73" s="78">
        <f t="shared" si="70"/>
        <v>2450.5203813476778</v>
      </c>
      <c r="BZ73" s="79">
        <f t="shared" si="71"/>
        <v>336931.24160171702</v>
      </c>
      <c r="CA73" s="11"/>
      <c r="CB73" s="33"/>
      <c r="CC73" s="33">
        <f t="shared" si="46"/>
        <v>9.9999999997635314E-3</v>
      </c>
      <c r="CD73" s="33">
        <f t="shared" si="75"/>
        <v>0.15858691256409391</v>
      </c>
      <c r="CE73" s="33">
        <f>IF(O73&lt;&gt;"",CD73-SUM($CC$44:CC73),"")</f>
        <v>8.5869125676409364E-3</v>
      </c>
      <c r="CF73" s="11">
        <f t="shared" si="20"/>
        <v>20</v>
      </c>
      <c r="CG73" s="11">
        <f>IF(BU73&lt;&gt;"",IF($B$16=listy!$K$8,'RZĄDOWY PROGRAM'!$F$3*'RZĄDOWY PROGRAM'!$F$15,BZ72*$F$15),"")</f>
        <v>50</v>
      </c>
      <c r="CH73" s="11">
        <f t="shared" si="21"/>
        <v>70</v>
      </c>
      <c r="CJ73" s="48">
        <f t="shared" si="22"/>
        <v>0.06</v>
      </c>
      <c r="CK73" s="18">
        <f t="shared" si="23"/>
        <v>4.8675505653430484E-3</v>
      </c>
      <c r="CL73" s="11">
        <f t="shared" si="76"/>
        <v>0</v>
      </c>
      <c r="CM73" s="11">
        <f t="shared" si="25"/>
        <v>32791.366478856595</v>
      </c>
      <c r="CN73" s="11">
        <f>IF(AB73&lt;&gt;"",CM73-SUM($CL$28:CL73),"")</f>
        <v>4614.6064788566</v>
      </c>
    </row>
    <row r="74" spans="1:92" x14ac:dyDescent="0.45">
      <c r="A74" s="68">
        <f t="shared" si="47"/>
        <v>46143</v>
      </c>
      <c r="B74" s="8">
        <f t="shared" si="4"/>
        <v>47</v>
      </c>
      <c r="C74" s="11">
        <f t="shared" si="5"/>
        <v>3522.09</v>
      </c>
      <c r="D74" s="11">
        <f t="shared" si="6"/>
        <v>867.29891527330938</v>
      </c>
      <c r="E74" s="11">
        <f t="shared" si="7"/>
        <v>2654.7910847266908</v>
      </c>
      <c r="F74" s="9">
        <f t="shared" si="26"/>
        <v>365310.78173668397</v>
      </c>
      <c r="G74" s="10">
        <f t="shared" si="8"/>
        <v>7.0000000000000007E-2</v>
      </c>
      <c r="H74" s="10">
        <f t="shared" si="9"/>
        <v>1.7000000000000001E-2</v>
      </c>
      <c r="I74" s="48">
        <f t="shared" si="27"/>
        <v>8.7000000000000008E-2</v>
      </c>
      <c r="J74" s="11">
        <f t="shared" si="10"/>
        <v>20</v>
      </c>
      <c r="K74" s="11">
        <f>IF(B74&lt;&gt;"",IF($B$16=listy!$K$8,'RZĄDOWY PROGRAM'!$F$3*'RZĄDOWY PROGRAM'!$F$15,F73*$F$15),"")</f>
        <v>50</v>
      </c>
      <c r="L74" s="11">
        <f t="shared" si="28"/>
        <v>70</v>
      </c>
      <c r="N74" s="54">
        <f t="shared" si="48"/>
        <v>46143</v>
      </c>
      <c r="O74" s="8">
        <f t="shared" si="29"/>
        <v>47</v>
      </c>
      <c r="P74" s="8"/>
      <c r="Q74" s="11">
        <f>IF(O74&lt;&gt;"",ROUND(IF($F$11="raty równe",-PMT(W74/12,$F$4-O73+SUM($P$28:P74),T73,2),R74+S74),2),"")</f>
        <v>3522.09</v>
      </c>
      <c r="R74" s="11">
        <f>IF(O74&lt;&gt;"",IF($F$11="raty malejące",T73/($F$4-O73+SUM($P$28:P74)),IF(Q74-S74&gt;T73,T73,Q74-S74)),"")</f>
        <v>818.59756096978299</v>
      </c>
      <c r="S74" s="11">
        <f t="shared" si="68"/>
        <v>2703.4924390302172</v>
      </c>
      <c r="T74" s="9">
        <f t="shared" si="30"/>
        <v>372076.91127078427</v>
      </c>
      <c r="U74" s="10">
        <f t="shared" si="11"/>
        <v>7.0000000000000007E-2</v>
      </c>
      <c r="V74" s="10">
        <f t="shared" si="12"/>
        <v>1.7000000000000001E-2</v>
      </c>
      <c r="W74" s="48">
        <f t="shared" si="31"/>
        <v>8.7000000000000008E-2</v>
      </c>
      <c r="X74" s="11">
        <f t="shared" si="13"/>
        <v>20</v>
      </c>
      <c r="Y74" s="11">
        <f>IF(O74&lt;&gt;"",IF($B$16=listy!$K$8,'RZĄDOWY PROGRAM'!$F$3*'RZĄDOWY PROGRAM'!$F$15,T73*$F$15),"")</f>
        <v>50</v>
      </c>
      <c r="Z74" s="11">
        <f t="shared" si="32"/>
        <v>70</v>
      </c>
      <c r="AB74" s="8">
        <f t="shared" si="33"/>
        <v>47</v>
      </c>
      <c r="AC74" s="8"/>
      <c r="AD74" s="11">
        <f>IF(AB74&lt;&gt;"",ROUND(IF($F$11="raty równe",-PMT(W74/12,$F$4-AB73+SUM($AC$28:AC74),AG73,2),AE74+AF74),2),"")</f>
        <v>3280.39</v>
      </c>
      <c r="AE74" s="11">
        <f>IF(AB74&lt;&gt;"",IF($F$11="raty malejące",AG73/($F$4-AB73+SUM($AC$28:AC73)),MIN(AD74-AF74,AG73)),"")</f>
        <v>762.42453830319937</v>
      </c>
      <c r="AF74" s="11">
        <f t="shared" si="69"/>
        <v>2517.9654616968005</v>
      </c>
      <c r="AG74" s="9">
        <f t="shared" si="52"/>
        <v>346543.15638539341</v>
      </c>
      <c r="AH74" s="11"/>
      <c r="AI74" s="33">
        <f>IF(AB74&lt;&gt;"",ROUND(IF($F$11="raty równe",-PMT(W74/12,($F$4-AB73+SUM($AC$27:AC73)),AG73,2),AG73/($F$4-AB73+SUM($AC$27:AC73))+AG73*W74/12),2),"")</f>
        <v>3280.39</v>
      </c>
      <c r="AJ74" s="33">
        <f t="shared" si="34"/>
        <v>241.70000000000027</v>
      </c>
      <c r="AK74" s="33">
        <f t="shared" si="15"/>
        <v>10342.151045463555</v>
      </c>
      <c r="AL74" s="33">
        <f>IF(AB74&lt;&gt;"",AK74-SUM($AJ$28:AJ74),"")</f>
        <v>776.86104546355455</v>
      </c>
      <c r="AM74" s="11">
        <f t="shared" si="35"/>
        <v>20</v>
      </c>
      <c r="AN74" s="11">
        <f>IF(AB74&lt;&gt;"",IF($B$16=listy!$K$8,'RZĄDOWY PROGRAM'!$F$3*'RZĄDOWY PROGRAM'!$F$15,AG73*$F$15),"")</f>
        <v>50</v>
      </c>
      <c r="AO74" s="11">
        <f t="shared" si="36"/>
        <v>70</v>
      </c>
      <c r="AQ74" s="8">
        <f t="shared" si="37"/>
        <v>47</v>
      </c>
      <c r="AR74" s="8"/>
      <c r="AS74" s="78">
        <f>IF(AQ74&lt;&gt;"",ROUND(IF($F$11="raty równe",-PMT(W74/12,$F$4-AQ73+SUM($AR$28:AR74),AV73,2),AT74+AU74),2),"")</f>
        <v>3263.82</v>
      </c>
      <c r="AT74" s="78">
        <f>IF(AQ74&lt;&gt;"",IF($F$11="raty malejące",AV73/($F$4-AQ73+SUM($AR$28:AR73)),MIN(AS74-AU74,AV73)),"")</f>
        <v>758.5709011088893</v>
      </c>
      <c r="AU74" s="78">
        <f t="shared" si="53"/>
        <v>2505.2490988911109</v>
      </c>
      <c r="AV74" s="79">
        <f t="shared" si="38"/>
        <v>344793.02894594084</v>
      </c>
      <c r="AW74" s="11"/>
      <c r="AX74" s="33">
        <f>IF(AQ74&lt;&gt;"",ROUND(IF($F$11="raty równe",-PMT(W74/12,($F$4-AQ73+SUM($AR$27:AR73)),AV73,2),AV73/($F$4-AQ73+SUM($AR$27:AR73))+AV73*W74/12),2),"")</f>
        <v>3263.82</v>
      </c>
      <c r="AY74" s="33">
        <f t="shared" si="39"/>
        <v>258.27</v>
      </c>
      <c r="AZ74" s="33">
        <f t="shared" si="72"/>
        <v>8498.4168126071618</v>
      </c>
      <c r="BA74" s="33">
        <f>IF(AQ74&lt;&gt;"",AZ74-SUM($AY$44:AY74),"")</f>
        <v>492.05681260715573</v>
      </c>
      <c r="BB74" s="11">
        <f t="shared" si="40"/>
        <v>20</v>
      </c>
      <c r="BC74" s="11">
        <f>IF(AQ74&lt;&gt;"",IF($B$16=listy!$K$8,'RZĄDOWY PROGRAM'!$F$3*'RZĄDOWY PROGRAM'!$F$15,AV73*$F$15),"")</f>
        <v>50</v>
      </c>
      <c r="BD74" s="11">
        <f t="shared" si="41"/>
        <v>70</v>
      </c>
      <c r="BF74" s="8">
        <f t="shared" si="42"/>
        <v>47</v>
      </c>
      <c r="BG74" s="8"/>
      <c r="BH74" s="78">
        <f>IF(BF74&lt;&gt;"",ROUND(IF($F$11="raty równe",-PMT(W74/12,$F$4-BF73+SUM(BV$28:$BV74)-SUM($BM$29:BM74),BK73,2),BI74+BJ74),2),"")</f>
        <v>3522.1</v>
      </c>
      <c r="BI74" s="78">
        <f>IF(BF74&lt;&gt;"",IF($F$11="raty malejące",MIN(BK73/($F$4-BF73+SUM($BG$27:BG74)-SUM($BM$27:BM74)),BK73),MIN(BH74-BJ74,BK73)),"")</f>
        <v>1081.700107442452</v>
      </c>
      <c r="BJ74" s="78">
        <f t="shared" si="54"/>
        <v>2440.3998925575479</v>
      </c>
      <c r="BK74" s="79">
        <f t="shared" si="55"/>
        <v>335525.18162463309</v>
      </c>
      <c r="BL74" s="11"/>
      <c r="BM74" s="33"/>
      <c r="BN74" s="33">
        <f t="shared" si="73"/>
        <v>-9.9999999997635314E-3</v>
      </c>
      <c r="BO74" s="33">
        <f t="shared" si="74"/>
        <v>-9.7876057877598024E-2</v>
      </c>
      <c r="BP74" s="33">
        <f>IF(O74&lt;&gt;"",BO74-SUM($BN$44:BN74),"")</f>
        <v>-7.8760578797262421E-3</v>
      </c>
      <c r="BQ74" s="11">
        <f t="shared" si="17"/>
        <v>20</v>
      </c>
      <c r="BR74" s="11">
        <f>IF(BF74&lt;&gt;"",IF($B$16=listy!$K$8,'RZĄDOWY PROGRAM'!$F$3*'RZĄDOWY PROGRAM'!$F$15,BK73*$F$15),"")</f>
        <v>50</v>
      </c>
      <c r="BS74" s="11">
        <f t="shared" si="18"/>
        <v>70</v>
      </c>
      <c r="BU74" s="8">
        <f t="shared" si="44"/>
        <v>47</v>
      </c>
      <c r="BV74" s="8"/>
      <c r="BW74" s="78">
        <f>IF(BU74&lt;&gt;"",ROUND(IF($F$11="raty równe",-PMT(W74/12,$F$4-BU73+SUM($BV$28:BV74)-$CB$43,BZ73,2),BX74+BY74),2),"")</f>
        <v>3522.09</v>
      </c>
      <c r="BX74" s="78">
        <f>IF(BU74&lt;&gt;"",IF($F$11="raty malejące",MIN(BZ73/($F$4-BU73+SUM($BV$28:BV73)-SUM($CB$28:CB73)),BZ73),MIN(BW74-BY74,BZ73)),"")</f>
        <v>1079.3384983875517</v>
      </c>
      <c r="BY74" s="78">
        <f t="shared" si="70"/>
        <v>2442.7515016124485</v>
      </c>
      <c r="BZ74" s="79">
        <f t="shared" si="71"/>
        <v>335851.90310332947</v>
      </c>
      <c r="CA74" s="11"/>
      <c r="CB74" s="33"/>
      <c r="CC74" s="33">
        <f t="shared" si="46"/>
        <v>0</v>
      </c>
      <c r="CD74" s="33">
        <f t="shared" si="75"/>
        <v>0.15921217571497889</v>
      </c>
      <c r="CE74" s="33">
        <f>IF(O74&lt;&gt;"",CD74-SUM($CC$44:CC74),"")</f>
        <v>9.2121757185259223E-3</v>
      </c>
      <c r="CF74" s="11">
        <f t="shared" si="20"/>
        <v>20</v>
      </c>
      <c r="CG74" s="11">
        <f>IF(BU74&lt;&gt;"",IF($B$16=listy!$K$8,'RZĄDOWY PROGRAM'!$F$3*'RZĄDOWY PROGRAM'!$F$15,BZ73*$F$15),"")</f>
        <v>50</v>
      </c>
      <c r="CH74" s="11">
        <f t="shared" si="21"/>
        <v>70</v>
      </c>
      <c r="CJ74" s="48">
        <f t="shared" si="22"/>
        <v>0.06</v>
      </c>
      <c r="CK74" s="18">
        <f t="shared" si="23"/>
        <v>4.8675505653430484E-3</v>
      </c>
      <c r="CL74" s="11">
        <f t="shared" si="76"/>
        <v>0</v>
      </c>
      <c r="CM74" s="11">
        <f t="shared" si="25"/>
        <v>32920.653522755048</v>
      </c>
      <c r="CN74" s="11">
        <f>IF(AB74&lt;&gt;"",CM74-SUM($CL$28:CL74),"")</f>
        <v>4743.8935227550537</v>
      </c>
    </row>
    <row r="75" spans="1:92" x14ac:dyDescent="0.45">
      <c r="A75" s="68">
        <f t="shared" si="47"/>
        <v>46174</v>
      </c>
      <c r="B75" s="8">
        <f t="shared" si="4"/>
        <v>48</v>
      </c>
      <c r="C75" s="11">
        <f t="shared" si="5"/>
        <v>3522.1</v>
      </c>
      <c r="D75" s="11">
        <f t="shared" si="6"/>
        <v>873.59683240904087</v>
      </c>
      <c r="E75" s="11">
        <f t="shared" si="7"/>
        <v>2648.503167590959</v>
      </c>
      <c r="F75" s="9">
        <f t="shared" si="26"/>
        <v>364437.18490427494</v>
      </c>
      <c r="G75" s="10">
        <f t="shared" si="8"/>
        <v>7.0000000000000007E-2</v>
      </c>
      <c r="H75" s="10">
        <f t="shared" si="9"/>
        <v>1.7000000000000001E-2</v>
      </c>
      <c r="I75" s="48">
        <f t="shared" si="27"/>
        <v>8.7000000000000008E-2</v>
      </c>
      <c r="J75" s="11">
        <f t="shared" si="10"/>
        <v>20</v>
      </c>
      <c r="K75" s="11">
        <f>IF(B75&lt;&gt;"",IF($B$16=listy!$K$8,'RZĄDOWY PROGRAM'!$F$3*'RZĄDOWY PROGRAM'!$F$15,F74*$F$15),"")</f>
        <v>50</v>
      </c>
      <c r="L75" s="11">
        <f t="shared" si="28"/>
        <v>70</v>
      </c>
      <c r="N75" s="54">
        <f t="shared" si="48"/>
        <v>46174</v>
      </c>
      <c r="O75" s="8">
        <f t="shared" si="29"/>
        <v>48</v>
      </c>
      <c r="P75" s="8"/>
      <c r="Q75" s="11">
        <f>IF(O75&lt;&gt;"",ROUND(IF($F$11="raty równe",-PMT(W75/12,$F$4-O74+SUM($P$28:P75),T74,2),R75+S75),2),"")</f>
        <v>3522.1</v>
      </c>
      <c r="R75" s="11">
        <f>IF(O75&lt;&gt;"",IF($F$11="raty malejące",T74/($F$4-O74+SUM($P$28:P75)),IF(Q75-S75&gt;T74,T74,Q75-S75)),"")</f>
        <v>824.54239328681342</v>
      </c>
      <c r="S75" s="11">
        <f t="shared" si="68"/>
        <v>2697.5576067131865</v>
      </c>
      <c r="T75" s="9">
        <f t="shared" si="30"/>
        <v>371252.36887749744</v>
      </c>
      <c r="U75" s="10">
        <f t="shared" si="11"/>
        <v>7.0000000000000007E-2</v>
      </c>
      <c r="V75" s="10">
        <f t="shared" si="12"/>
        <v>1.7000000000000001E-2</v>
      </c>
      <c r="W75" s="48">
        <f t="shared" si="31"/>
        <v>8.7000000000000008E-2</v>
      </c>
      <c r="X75" s="11">
        <f t="shared" si="13"/>
        <v>20</v>
      </c>
      <c r="Y75" s="11">
        <f>IF(O75&lt;&gt;"",IF($B$16=listy!$K$8,'RZĄDOWY PROGRAM'!$F$3*'RZĄDOWY PROGRAM'!$F$15,T74*$F$15),"")</f>
        <v>50</v>
      </c>
      <c r="Z75" s="11">
        <f t="shared" si="32"/>
        <v>70</v>
      </c>
      <c r="AB75" s="8">
        <f t="shared" si="33"/>
        <v>48</v>
      </c>
      <c r="AC75" s="8"/>
      <c r="AD75" s="11">
        <f>IF(AB75&lt;&gt;"",ROUND(IF($F$11="raty równe",-PMT(W75/12,$F$4-AB74+SUM($AC$28:AC75),AG74,2),AE75+AF75),2),"")</f>
        <v>3280.39</v>
      </c>
      <c r="AE75" s="11">
        <f>IF(AB75&lt;&gt;"",IF($F$11="raty malejące",AG74/($F$4-AB74+SUM($AC$28:AC74)),MIN(AD75-AF75,AG74)),"")</f>
        <v>767.95211620589725</v>
      </c>
      <c r="AF75" s="11">
        <f t="shared" si="69"/>
        <v>2512.4378837941026</v>
      </c>
      <c r="AG75" s="9">
        <f t="shared" si="52"/>
        <v>345775.20426918752</v>
      </c>
      <c r="AH75" s="11"/>
      <c r="AI75" s="33">
        <f>IF(AB75&lt;&gt;"",ROUND(IF($F$11="raty równe",-PMT(W75/12,($F$4-AB74+SUM($AC$27:AC74)),AG74,2),AG74/($F$4-AB74+SUM($AC$27:AC74))+AG74*W75/12),2),"")</f>
        <v>3280.39</v>
      </c>
      <c r="AJ75" s="33">
        <f t="shared" si="34"/>
        <v>241.71000000000004</v>
      </c>
      <c r="AK75" s="33">
        <f t="shared" si="15"/>
        <v>10624.637209429806</v>
      </c>
      <c r="AL75" s="33">
        <f>IF(AB75&lt;&gt;"",AK75-SUM($AJ$28:AJ75),"")</f>
        <v>817.63720942980581</v>
      </c>
      <c r="AM75" s="11">
        <f t="shared" si="35"/>
        <v>20</v>
      </c>
      <c r="AN75" s="11">
        <f>IF(AB75&lt;&gt;"",IF($B$16=listy!$K$8,'RZĄDOWY PROGRAM'!$F$3*'RZĄDOWY PROGRAM'!$F$15,AG74*$F$15),"")</f>
        <v>50</v>
      </c>
      <c r="AO75" s="11">
        <f t="shared" si="36"/>
        <v>70</v>
      </c>
      <c r="AQ75" s="8">
        <f t="shared" si="37"/>
        <v>48</v>
      </c>
      <c r="AR75" s="8"/>
      <c r="AS75" s="78">
        <f>IF(AQ75&lt;&gt;"",ROUND(IF($F$11="raty równe",-PMT(W75/12,$F$4-AQ74+SUM($AR$28:AR75),AV74,2),AT75+AU75),2),"")</f>
        <v>3263.83</v>
      </c>
      <c r="AT75" s="78">
        <f>IF(AQ75&lt;&gt;"",IF($F$11="raty malejące",AV74/($F$4-AQ74+SUM($AR$28:AR74)),MIN(AS75-AU75,AV74)),"")</f>
        <v>764.08054014192885</v>
      </c>
      <c r="AU75" s="78">
        <f t="shared" si="53"/>
        <v>2499.7494598580711</v>
      </c>
      <c r="AV75" s="79">
        <f t="shared" si="38"/>
        <v>344028.94840579893</v>
      </c>
      <c r="AW75" s="11"/>
      <c r="AX75" s="33">
        <f>IF(AQ75&lt;&gt;"",ROUND(IF($F$11="raty równe",-PMT(W75/12,($F$4-AQ74+SUM($AR$27:AR74)),AV74,2),AV74/($F$4-AQ74+SUM($AR$27:AR74))+AV74*W75/12),2),"")</f>
        <v>3263.83</v>
      </c>
      <c r="AY75" s="33">
        <f t="shared" si="39"/>
        <v>258.27</v>
      </c>
      <c r="AZ75" s="33">
        <f t="shared" si="72"/>
        <v>8790.1936561913517</v>
      </c>
      <c r="BA75" s="33">
        <f>IF(AQ75&lt;&gt;"",AZ75-SUM($AY$44:AY75),"")</f>
        <v>525.56365619134522</v>
      </c>
      <c r="BB75" s="11">
        <f t="shared" si="40"/>
        <v>20</v>
      </c>
      <c r="BC75" s="11">
        <f>IF(AQ75&lt;&gt;"",IF($B$16=listy!$K$8,'RZĄDOWY PROGRAM'!$F$3*'RZĄDOWY PROGRAM'!$F$15,AV74*$F$15),"")</f>
        <v>50</v>
      </c>
      <c r="BD75" s="11">
        <f t="shared" si="41"/>
        <v>70</v>
      </c>
      <c r="BF75" s="8">
        <f t="shared" si="42"/>
        <v>48</v>
      </c>
      <c r="BG75" s="8"/>
      <c r="BH75" s="78">
        <f>IF(BF75&lt;&gt;"",ROUND(IF($F$11="raty równe",-PMT(W75/12,$F$4-BF74+SUM(BV$28:$BV75)-SUM($BM$29:BM75),BK74,2),BI75+BJ75),2),"")</f>
        <v>3522.09</v>
      </c>
      <c r="BI75" s="78">
        <f>IF(BF75&lt;&gt;"",IF($F$11="raty malejące",MIN(BK74/($F$4-BF74+SUM($BG$27:BG75)-SUM($BM$27:BM75)),BK74),MIN(BH75-BJ75,BK74)),"")</f>
        <v>1089.53243322141</v>
      </c>
      <c r="BJ75" s="78">
        <f t="shared" si="54"/>
        <v>2432.5575667785902</v>
      </c>
      <c r="BK75" s="79">
        <f t="shared" si="55"/>
        <v>334435.64919141168</v>
      </c>
      <c r="BL75" s="11"/>
      <c r="BM75" s="33"/>
      <c r="BN75" s="33">
        <f t="shared" si="73"/>
        <v>9.9999999997635314E-3</v>
      </c>
      <c r="BO75" s="33">
        <f t="shared" si="74"/>
        <v>-8.8261955373127574E-2</v>
      </c>
      <c r="BP75" s="33">
        <f>IF(O75&lt;&gt;"",BO75-SUM($BN$44:BN75),"")</f>
        <v>-8.2619553750193225E-3</v>
      </c>
      <c r="BQ75" s="11">
        <f t="shared" si="17"/>
        <v>20</v>
      </c>
      <c r="BR75" s="11">
        <f>IF(BF75&lt;&gt;"",IF($B$16=listy!$K$8,'RZĄDOWY PROGRAM'!$F$3*'RZĄDOWY PROGRAM'!$F$15,BK74*$F$15),"")</f>
        <v>50</v>
      </c>
      <c r="BS75" s="11">
        <f t="shared" si="18"/>
        <v>70</v>
      </c>
      <c r="BU75" s="8">
        <f t="shared" si="44"/>
        <v>48</v>
      </c>
      <c r="BV75" s="8"/>
      <c r="BW75" s="78">
        <f>IF(BU75&lt;&gt;"",ROUND(IF($F$11="raty równe",-PMT(W75/12,$F$4-BU74+SUM($BV$28:BV75)-$CB$43,BZ74,2),BX75+BY75),2),"")</f>
        <v>3522.09</v>
      </c>
      <c r="BX75" s="78">
        <f>IF(BU75&lt;&gt;"",IF($F$11="raty malejące",MIN(BZ74/($F$4-BU74+SUM($BV$28:BV74)-SUM($CB$28:CB74)),BZ74),MIN(BW75-BY75,BZ74)),"")</f>
        <v>1087.1637025008613</v>
      </c>
      <c r="BY75" s="78">
        <f t="shared" si="70"/>
        <v>2434.9262974991389</v>
      </c>
      <c r="BZ75" s="79">
        <f t="shared" si="71"/>
        <v>334764.73940082861</v>
      </c>
      <c r="CA75" s="11"/>
      <c r="CB75" s="33"/>
      <c r="CC75" s="33">
        <f t="shared" si="46"/>
        <v>9.9999999997635314E-3</v>
      </c>
      <c r="CD75" s="33">
        <f t="shared" si="75"/>
        <v>0.1698399041006303</v>
      </c>
      <c r="CE75" s="33">
        <f>IF(O75&lt;&gt;"",CD75-SUM($CC$44:CC75),"")</f>
        <v>9.8399041044137936E-3</v>
      </c>
      <c r="CF75" s="11">
        <f t="shared" si="20"/>
        <v>20</v>
      </c>
      <c r="CG75" s="11">
        <f>IF(BU75&lt;&gt;"",IF($B$16=listy!$K$8,'RZĄDOWY PROGRAM'!$F$3*'RZĄDOWY PROGRAM'!$F$15,BZ74*$F$15),"")</f>
        <v>50</v>
      </c>
      <c r="CH75" s="11">
        <f t="shared" si="21"/>
        <v>70</v>
      </c>
      <c r="CJ75" s="48">
        <f t="shared" si="22"/>
        <v>0.06</v>
      </c>
      <c r="CK75" s="18">
        <f t="shared" si="23"/>
        <v>4.8675505653430484E-3</v>
      </c>
      <c r="CL75" s="11">
        <f t="shared" si="76"/>
        <v>0</v>
      </c>
      <c r="CM75" s="11">
        <f t="shared" si="25"/>
        <v>33050.450308744628</v>
      </c>
      <c r="CN75" s="11">
        <f>IF(AB75&lt;&gt;"",CM75-SUM($CL$28:CL75),"")</f>
        <v>4873.6903087446335</v>
      </c>
    </row>
    <row r="76" spans="1:92" x14ac:dyDescent="0.45">
      <c r="A76" s="68">
        <f t="shared" si="47"/>
        <v>46204</v>
      </c>
      <c r="B76" s="8">
        <f t="shared" si="4"/>
        <v>49</v>
      </c>
      <c r="C76" s="11">
        <f t="shared" si="5"/>
        <v>3522.09</v>
      </c>
      <c r="D76" s="11">
        <f t="shared" si="6"/>
        <v>879.92040944400651</v>
      </c>
      <c r="E76" s="11">
        <f t="shared" si="7"/>
        <v>2642.1695905559936</v>
      </c>
      <c r="F76" s="9">
        <f t="shared" si="26"/>
        <v>363557.26449483092</v>
      </c>
      <c r="G76" s="10">
        <f t="shared" si="8"/>
        <v>7.0000000000000007E-2</v>
      </c>
      <c r="H76" s="10">
        <f t="shared" si="9"/>
        <v>1.7000000000000001E-2</v>
      </c>
      <c r="I76" s="48">
        <f t="shared" si="27"/>
        <v>8.7000000000000008E-2</v>
      </c>
      <c r="J76" s="11">
        <f t="shared" si="10"/>
        <v>20</v>
      </c>
      <c r="K76" s="11">
        <f>IF(B76&lt;&gt;"",IF($B$16=listy!$K$8,'RZĄDOWY PROGRAM'!$F$3*'RZĄDOWY PROGRAM'!$F$15,F75*$F$15),"")</f>
        <v>50</v>
      </c>
      <c r="L76" s="11">
        <f t="shared" si="28"/>
        <v>70</v>
      </c>
      <c r="N76" s="54">
        <f t="shared" si="48"/>
        <v>46204</v>
      </c>
      <c r="O76" s="8">
        <f t="shared" si="29"/>
        <v>49</v>
      </c>
      <c r="P76" s="8"/>
      <c r="Q76" s="11">
        <f>IF(O76&lt;&gt;"",ROUND(IF($F$11="raty równe",-PMT(W76/12,$F$4-O75+SUM($P$28:P76),T75,2),R76+S76),2),"")</f>
        <v>3522.09</v>
      </c>
      <c r="R76" s="11">
        <f>IF(O76&lt;&gt;"",IF($F$11="raty malejące",T75/($F$4-O75+SUM($P$28:P76)),IF(Q76-S76&gt;T75,T75,Q76-S76)),"")</f>
        <v>830.51032563814351</v>
      </c>
      <c r="S76" s="11">
        <f t="shared" si="68"/>
        <v>2691.5796743618566</v>
      </c>
      <c r="T76" s="9">
        <f t="shared" si="30"/>
        <v>370421.85855185927</v>
      </c>
      <c r="U76" s="10">
        <f t="shared" si="11"/>
        <v>7.0000000000000007E-2</v>
      </c>
      <c r="V76" s="10">
        <f t="shared" si="12"/>
        <v>1.7000000000000001E-2</v>
      </c>
      <c r="W76" s="48">
        <f t="shared" si="31"/>
        <v>8.7000000000000008E-2</v>
      </c>
      <c r="X76" s="11">
        <f t="shared" si="13"/>
        <v>20</v>
      </c>
      <c r="Y76" s="11">
        <f>IF(O76&lt;&gt;"",IF($B$16=listy!$K$8,'RZĄDOWY PROGRAM'!$F$3*'RZĄDOWY PROGRAM'!$F$15,T75*$F$15),"")</f>
        <v>50</v>
      </c>
      <c r="Z76" s="11">
        <f t="shared" si="32"/>
        <v>70</v>
      </c>
      <c r="AB76" s="8">
        <f t="shared" si="33"/>
        <v>49</v>
      </c>
      <c r="AC76" s="8"/>
      <c r="AD76" s="11">
        <f>IF(AB76&lt;&gt;"",ROUND(IF($F$11="raty równe",-PMT(W76/12,$F$4-AB75+SUM($AC$28:AC76),AG75,2),AE76+AF76),2),"")</f>
        <v>3280.39</v>
      </c>
      <c r="AE76" s="11">
        <f>IF(AB76&lt;&gt;"",IF($F$11="raty malejące",AG75/($F$4-AB75+SUM($AC$28:AC75)),MIN(AD76-AF76,AG75)),"")</f>
        <v>773.51976904839012</v>
      </c>
      <c r="AF76" s="11">
        <f t="shared" si="69"/>
        <v>2506.8702309516098</v>
      </c>
      <c r="AG76" s="9">
        <f t="shared" si="52"/>
        <v>345001.68450013915</v>
      </c>
      <c r="AH76" s="11"/>
      <c r="AI76" s="33">
        <f>IF(AB76&lt;&gt;"",ROUND(IF($F$11="raty równe",-PMT(W76/12,($F$4-AB75+SUM($AC$27:AC75)),AG75,2),AG75/($F$4-AB75+SUM($AC$27:AC75))+AG75*W76/12),2),"")</f>
        <v>3280.39</v>
      </c>
      <c r="AJ76" s="33">
        <f t="shared" si="34"/>
        <v>241.70000000000027</v>
      </c>
      <c r="AK76" s="33">
        <f t="shared" si="15"/>
        <v>10908.22713610262</v>
      </c>
      <c r="AL76" s="33">
        <f>IF(AB76&lt;&gt;"",AK76-SUM($AJ$28:AJ76),"")</f>
        <v>859.5271361026189</v>
      </c>
      <c r="AM76" s="11">
        <f t="shared" si="35"/>
        <v>20</v>
      </c>
      <c r="AN76" s="11">
        <f>IF(AB76&lt;&gt;"",IF($B$16=listy!$K$8,'RZĄDOWY PROGRAM'!$F$3*'RZĄDOWY PROGRAM'!$F$15,AG75*$F$15),"")</f>
        <v>50</v>
      </c>
      <c r="AO76" s="11">
        <f t="shared" si="36"/>
        <v>70</v>
      </c>
      <c r="AQ76" s="8">
        <f t="shared" si="37"/>
        <v>49</v>
      </c>
      <c r="AR76" s="8"/>
      <c r="AS76" s="78">
        <f>IF(AQ76&lt;&gt;"",ROUND(IF($F$11="raty równe",-PMT(W76/12,$F$4-AQ75+SUM($AR$28:AR76),AV75,2),AT76+AU76),2),"")</f>
        <v>3263.82</v>
      </c>
      <c r="AT76" s="78">
        <f>IF(AQ76&lt;&gt;"",IF($F$11="raty malejące",AV75/($F$4-AQ75+SUM($AR$28:AR75)),MIN(AS76-AU76,AV75)),"")</f>
        <v>769.61012405795782</v>
      </c>
      <c r="AU76" s="78">
        <f t="shared" si="53"/>
        <v>2494.2098759420423</v>
      </c>
      <c r="AV76" s="79">
        <f t="shared" si="38"/>
        <v>343259.33828174096</v>
      </c>
      <c r="AW76" s="11"/>
      <c r="AX76" s="33">
        <f>IF(AQ76&lt;&gt;"",ROUND(IF($F$11="raty równe",-PMT(W76/12,($F$4-AQ75+SUM($AR$27:AR75)),AV75,2),AV75/($F$4-AQ75+SUM($AR$27:AR75))+AV75*W76/12),2),"")</f>
        <v>3263.82</v>
      </c>
      <c r="AY76" s="33">
        <f t="shared" si="39"/>
        <v>258.27</v>
      </c>
      <c r="AZ76" s="33">
        <f t="shared" si="72"/>
        <v>9083.1208929928944</v>
      </c>
      <c r="BA76" s="33">
        <f>IF(AQ76&lt;&gt;"",AZ76-SUM($AY$44:AY76),"")</f>
        <v>560.22089299288746</v>
      </c>
      <c r="BB76" s="11">
        <f t="shared" si="40"/>
        <v>20</v>
      </c>
      <c r="BC76" s="11">
        <f>IF(AQ76&lt;&gt;"",IF($B$16=listy!$K$8,'RZĄDOWY PROGRAM'!$F$3*'RZĄDOWY PROGRAM'!$F$15,AV75*$F$15),"")</f>
        <v>50</v>
      </c>
      <c r="BD76" s="11">
        <f t="shared" si="41"/>
        <v>70</v>
      </c>
      <c r="BF76" s="8">
        <f t="shared" si="42"/>
        <v>49</v>
      </c>
      <c r="BG76" s="8"/>
      <c r="BH76" s="78">
        <f>IF(BF76&lt;&gt;"",ROUND(IF($F$11="raty równe",-PMT(W76/12,$F$4-BF75+SUM(BV$28:$BV76)-SUM($BM$29:BM76),BK75,2),BI76+BJ76),2),"")</f>
        <v>3522.1</v>
      </c>
      <c r="BI76" s="78">
        <f>IF(BF76&lt;&gt;"",IF($F$11="raty malejące",MIN(BK75/($F$4-BF75+SUM($BG$27:BG76)-SUM($BM$27:BM76)),BK75),MIN(BH76-BJ76,BK75)),"")</f>
        <v>1097.4415433622653</v>
      </c>
      <c r="BJ76" s="78">
        <f t="shared" si="54"/>
        <v>2424.6584566377346</v>
      </c>
      <c r="BK76" s="79">
        <f t="shared" si="55"/>
        <v>333338.2076480494</v>
      </c>
      <c r="BL76" s="11"/>
      <c r="BM76" s="33"/>
      <c r="BN76" s="33">
        <f t="shared" si="73"/>
        <v>-9.9999999997635314E-3</v>
      </c>
      <c r="BO76" s="33">
        <f t="shared" si="74"/>
        <v>-9.8609947192818653E-2</v>
      </c>
      <c r="BP76" s="33">
        <f>IF(O76&lt;&gt;"",BO76-SUM($BN$44:BN76),"")</f>
        <v>-8.6099471949468709E-3</v>
      </c>
      <c r="BQ76" s="11">
        <f t="shared" si="17"/>
        <v>20</v>
      </c>
      <c r="BR76" s="11">
        <f>IF(BF76&lt;&gt;"",IF($B$16=listy!$K$8,'RZĄDOWY PROGRAM'!$F$3*'RZĄDOWY PROGRAM'!$F$15,BK75*$F$15),"")</f>
        <v>50</v>
      </c>
      <c r="BS76" s="11">
        <f t="shared" si="18"/>
        <v>70</v>
      </c>
      <c r="BU76" s="8">
        <f t="shared" si="44"/>
        <v>49</v>
      </c>
      <c r="BV76" s="8"/>
      <c r="BW76" s="78">
        <f>IF(BU76&lt;&gt;"",ROUND(IF($F$11="raty równe",-PMT(W76/12,$F$4-BU75+SUM($BV$28:BV76)-$CB$43,BZ75,2),BX76+BY76),2),"")</f>
        <v>3522.09</v>
      </c>
      <c r="BX76" s="78">
        <f>IF(BU76&lt;&gt;"",IF($F$11="raty malejące",MIN(BZ75/($F$4-BU75+SUM($BV$28:BV75)-SUM($CB$28:CB75)),BZ75),MIN(BW76-BY76,BZ75)),"")</f>
        <v>1095.0456393439927</v>
      </c>
      <c r="BY76" s="78">
        <f t="shared" ref="BY76:BY107" si="77">IF(BU76&lt;&gt;"",BZ75*W76/12,"")</f>
        <v>2427.0443606560075</v>
      </c>
      <c r="BZ76" s="79">
        <f t="shared" si="71"/>
        <v>333669.69376148464</v>
      </c>
      <c r="CA76" s="11"/>
      <c r="CB76" s="33"/>
      <c r="CC76" s="33">
        <f t="shared" si="46"/>
        <v>0</v>
      </c>
      <c r="CD76" s="33">
        <f t="shared" si="75"/>
        <v>0.1705095346008208</v>
      </c>
      <c r="CE76" s="33">
        <f>IF(O76&lt;&gt;"",CD76-SUM($CC$44:CC76),"")</f>
        <v>1.0509534604604298E-2</v>
      </c>
      <c r="CF76" s="11">
        <f t="shared" si="20"/>
        <v>20</v>
      </c>
      <c r="CG76" s="11">
        <f>IF(BU76&lt;&gt;"",IF($B$16=listy!$K$8,'RZĄDOWY PROGRAM'!$F$3*'RZĄDOWY PROGRAM'!$F$15,BZ75*$F$15),"")</f>
        <v>50</v>
      </c>
      <c r="CH76" s="11">
        <f t="shared" si="21"/>
        <v>70</v>
      </c>
      <c r="CJ76" s="48">
        <f t="shared" si="22"/>
        <v>0.06</v>
      </c>
      <c r="CK76" s="18">
        <f t="shared" si="23"/>
        <v>4.8675505653430484E-3</v>
      </c>
      <c r="CL76" s="11">
        <f t="shared" si="76"/>
        <v>0</v>
      </c>
      <c r="CM76" s="11">
        <f t="shared" si="25"/>
        <v>33180.758846593621</v>
      </c>
      <c r="CN76" s="11">
        <f>IF(AB76&lt;&gt;"",CM76-SUM($CL$28:CL76),"")</f>
        <v>5003.9988465936258</v>
      </c>
    </row>
    <row r="77" spans="1:92" x14ac:dyDescent="0.45">
      <c r="A77" s="68">
        <f t="shared" si="47"/>
        <v>46235</v>
      </c>
      <c r="B77" s="8">
        <f t="shared" si="4"/>
        <v>50</v>
      </c>
      <c r="C77" s="11">
        <f t="shared" si="5"/>
        <v>3522.1</v>
      </c>
      <c r="D77" s="11">
        <f t="shared" si="6"/>
        <v>886.30983241247577</v>
      </c>
      <c r="E77" s="11">
        <f t="shared" si="7"/>
        <v>2635.7901675875241</v>
      </c>
      <c r="F77" s="9">
        <f t="shared" si="26"/>
        <v>362670.95466241846</v>
      </c>
      <c r="G77" s="10">
        <f t="shared" si="8"/>
        <v>7.0000000000000007E-2</v>
      </c>
      <c r="H77" s="10">
        <f t="shared" si="9"/>
        <v>1.7000000000000001E-2</v>
      </c>
      <c r="I77" s="48">
        <f t="shared" si="27"/>
        <v>8.7000000000000008E-2</v>
      </c>
      <c r="J77" s="11">
        <f t="shared" si="10"/>
        <v>20</v>
      </c>
      <c r="K77" s="11">
        <f>IF(B77&lt;&gt;"",IF($B$16=listy!$K$8,'RZĄDOWY PROGRAM'!$F$3*'RZĄDOWY PROGRAM'!$F$15,F76*$F$15),"")</f>
        <v>50</v>
      </c>
      <c r="L77" s="11">
        <f t="shared" si="28"/>
        <v>70</v>
      </c>
      <c r="N77" s="54">
        <f t="shared" si="48"/>
        <v>46235</v>
      </c>
      <c r="O77" s="8">
        <f t="shared" si="29"/>
        <v>50</v>
      </c>
      <c r="P77" s="8"/>
      <c r="Q77" s="11">
        <f>IF(O77&lt;&gt;"",ROUND(IF($F$11="raty równe",-PMT(W77/12,$F$4-O76+SUM($P$28:P77),T76,2),R77+S77),2),"")</f>
        <v>3522.1</v>
      </c>
      <c r="R77" s="11">
        <f>IF(O77&lt;&gt;"",IF($F$11="raty malejące",T76/($F$4-O76+SUM($P$28:P77)),IF(Q77-S77&gt;T76,T76,Q77-S77)),"")</f>
        <v>836.54152549901983</v>
      </c>
      <c r="S77" s="11">
        <f t="shared" si="68"/>
        <v>2685.5584745009801</v>
      </c>
      <c r="T77" s="9">
        <f t="shared" si="30"/>
        <v>369585.31702636025</v>
      </c>
      <c r="U77" s="10">
        <f t="shared" si="11"/>
        <v>7.0000000000000007E-2</v>
      </c>
      <c r="V77" s="10">
        <f t="shared" si="12"/>
        <v>1.7000000000000001E-2</v>
      </c>
      <c r="W77" s="48">
        <f t="shared" si="31"/>
        <v>8.7000000000000008E-2</v>
      </c>
      <c r="X77" s="11">
        <f t="shared" si="13"/>
        <v>20</v>
      </c>
      <c r="Y77" s="11">
        <f>IF(O77&lt;&gt;"",IF($B$16=listy!$K$8,'RZĄDOWY PROGRAM'!$F$3*'RZĄDOWY PROGRAM'!$F$15,T76*$F$15),"")</f>
        <v>50</v>
      </c>
      <c r="Z77" s="11">
        <f t="shared" si="32"/>
        <v>70</v>
      </c>
      <c r="AB77" s="8">
        <f t="shared" si="33"/>
        <v>50</v>
      </c>
      <c r="AC77" s="8"/>
      <c r="AD77" s="11">
        <f>IF(AB77&lt;&gt;"",ROUND(IF($F$11="raty równe",-PMT(W77/12,$F$4-AB76+SUM($AC$28:AC77),AG76,2),AE77+AF77),2),"")</f>
        <v>3280.39</v>
      </c>
      <c r="AE77" s="11">
        <f>IF(AB77&lt;&gt;"",IF($F$11="raty malejące",AG76/($F$4-AB76+SUM($AC$28:AC76)),MIN(AD77-AF77,AG76)),"")</f>
        <v>779.12778737399094</v>
      </c>
      <c r="AF77" s="11">
        <f t="shared" si="69"/>
        <v>2501.2622126260089</v>
      </c>
      <c r="AG77" s="9">
        <f t="shared" si="52"/>
        <v>344222.55671276513</v>
      </c>
      <c r="AH77" s="11"/>
      <c r="AI77" s="33">
        <f>IF(AB77&lt;&gt;"",ROUND(IF($F$11="raty równe",-PMT(W77/12,($F$4-AB76+SUM($AC$27:AC76)),AG76,2),AG76/($F$4-AB76+SUM($AC$27:AC76))+AG76*W77/12),2),"")</f>
        <v>3280.39</v>
      </c>
      <c r="AJ77" s="33">
        <f t="shared" si="34"/>
        <v>241.71000000000004</v>
      </c>
      <c r="AK77" s="33">
        <f t="shared" si="15"/>
        <v>11192.945177304835</v>
      </c>
      <c r="AL77" s="33">
        <f>IF(AB77&lt;&gt;"",AK77-SUM($AJ$28:AJ77),"")</f>
        <v>902.53517730483509</v>
      </c>
      <c r="AM77" s="11">
        <f t="shared" si="35"/>
        <v>20</v>
      </c>
      <c r="AN77" s="11">
        <f>IF(AB77&lt;&gt;"",IF($B$16=listy!$K$8,'RZĄDOWY PROGRAM'!$F$3*'RZĄDOWY PROGRAM'!$F$15,AG76*$F$15),"")</f>
        <v>50</v>
      </c>
      <c r="AO77" s="11">
        <f t="shared" si="36"/>
        <v>70</v>
      </c>
      <c r="AQ77" s="8">
        <f t="shared" si="37"/>
        <v>50</v>
      </c>
      <c r="AR77" s="8"/>
      <c r="AS77" s="78">
        <f>IF(AQ77&lt;&gt;"",ROUND(IF($F$11="raty równe",-PMT(W77/12,$F$4-AQ76+SUM($AR$28:AR77),AV76,2),AT77+AU77),2),"")</f>
        <v>3263.83</v>
      </c>
      <c r="AT77" s="78">
        <f>IF(AQ77&lt;&gt;"",IF($F$11="raty malejące",AV76/($F$4-AQ76+SUM($AR$28:AR76)),MIN(AS77-AU77,AV76)),"")</f>
        <v>775.19979745737783</v>
      </c>
      <c r="AU77" s="78">
        <f t="shared" si="53"/>
        <v>2488.6302025426221</v>
      </c>
      <c r="AV77" s="79">
        <f t="shared" si="38"/>
        <v>342484.13848428358</v>
      </c>
      <c r="AW77" s="11"/>
      <c r="AX77" s="33">
        <f>IF(AQ77&lt;&gt;"",ROUND(IF($F$11="raty równe",-PMT(W77/12,($F$4-AQ76+SUM($AR$27:AR76)),AV76,2),AV76/($F$4-AQ76+SUM($AR$27:AR76))+AV76*W77/12),2),"")</f>
        <v>3263.83</v>
      </c>
      <c r="AY77" s="33">
        <f t="shared" si="39"/>
        <v>258.27</v>
      </c>
      <c r="AZ77" s="33">
        <f t="shared" si="72"/>
        <v>9377.2030586854871</v>
      </c>
      <c r="BA77" s="33">
        <f>IF(AQ77&lt;&gt;"",AZ77-SUM($AY$44:AY77),"")</f>
        <v>596.03305868547977</v>
      </c>
      <c r="BB77" s="11">
        <f t="shared" si="40"/>
        <v>20</v>
      </c>
      <c r="BC77" s="11">
        <f>IF(AQ77&lt;&gt;"",IF($B$16=listy!$K$8,'RZĄDOWY PROGRAM'!$F$3*'RZĄDOWY PROGRAM'!$F$15,AV76*$F$15),"")</f>
        <v>50</v>
      </c>
      <c r="BD77" s="11">
        <f t="shared" si="41"/>
        <v>70</v>
      </c>
      <c r="BF77" s="8">
        <f t="shared" si="42"/>
        <v>50</v>
      </c>
      <c r="BG77" s="8"/>
      <c r="BH77" s="78">
        <f>IF(BF77&lt;&gt;"",ROUND(IF($F$11="raty równe",-PMT(W77/12,$F$4-BF76+SUM(BV$28:$BV77)-SUM($BM$29:BM77),BK76,2),BI77+BJ77),2),"")</f>
        <v>3522.09</v>
      </c>
      <c r="BI77" s="78">
        <f>IF(BF77&lt;&gt;"",IF($F$11="raty malejące",MIN(BK76/($F$4-BF76+SUM($BG$27:BG77)-SUM($BM$27:BM77)),BK76),MIN(BH77-BJ77,BK76)),"")</f>
        <v>1105.3879945516419</v>
      </c>
      <c r="BJ77" s="78">
        <f t="shared" si="54"/>
        <v>2416.7020054483582</v>
      </c>
      <c r="BK77" s="79">
        <f t="shared" si="55"/>
        <v>332232.81965349778</v>
      </c>
      <c r="BL77" s="11"/>
      <c r="BM77" s="33"/>
      <c r="BN77" s="33">
        <f t="shared" si="73"/>
        <v>9.9999999997635314E-3</v>
      </c>
      <c r="BO77" s="33">
        <f t="shared" si="74"/>
        <v>-8.8998738205462682E-2</v>
      </c>
      <c r="BP77" s="33">
        <f>IF(O77&lt;&gt;"",BO77-SUM($BN$44:BN77),"")</f>
        <v>-8.9987382073544314E-3</v>
      </c>
      <c r="BQ77" s="11">
        <f t="shared" si="17"/>
        <v>20</v>
      </c>
      <c r="BR77" s="11">
        <f>IF(BF77&lt;&gt;"",IF($B$16=listy!$K$8,'RZĄDOWY PROGRAM'!$F$3*'RZĄDOWY PROGRAM'!$F$15,BK76*$F$15),"")</f>
        <v>50</v>
      </c>
      <c r="BS77" s="11">
        <f t="shared" si="18"/>
        <v>70</v>
      </c>
      <c r="BU77" s="8">
        <f t="shared" si="44"/>
        <v>50</v>
      </c>
      <c r="BV77" s="8"/>
      <c r="BW77" s="78">
        <f>IF(BU77&lt;&gt;"",ROUND(IF($F$11="raty równe",-PMT(W77/12,$F$4-BU76+SUM($BV$28:BV77)-$CB$43,BZ76,2),BX77+BY77),2),"")</f>
        <v>3522.09</v>
      </c>
      <c r="BX77" s="78">
        <f>IF(BU77&lt;&gt;"",IF($F$11="raty malejące",MIN(BZ76/($F$4-BU76+SUM($BV$28:BV76)-SUM($CB$28:CB76)),BZ76),MIN(BW77-BY77,BZ76)),"")</f>
        <v>1102.9847202292362</v>
      </c>
      <c r="BY77" s="78">
        <f t="shared" si="77"/>
        <v>2419.1052797707639</v>
      </c>
      <c r="BZ77" s="79">
        <f t="shared" si="71"/>
        <v>332566.70904125541</v>
      </c>
      <c r="CA77" s="11"/>
      <c r="CB77" s="33"/>
      <c r="CC77" s="33">
        <f t="shared" si="46"/>
        <v>9.9999999997635314E-3</v>
      </c>
      <c r="CD77" s="33">
        <f t="shared" si="75"/>
        <v>0.18118180526363387</v>
      </c>
      <c r="CE77" s="33">
        <f>IF(O77&lt;&gt;"",CD77-SUM($CC$44:CC77),"")</f>
        <v>1.1181805267653833E-2</v>
      </c>
      <c r="CF77" s="11">
        <f t="shared" si="20"/>
        <v>20</v>
      </c>
      <c r="CG77" s="11">
        <f>IF(BU77&lt;&gt;"",IF($B$16=listy!$K$8,'RZĄDOWY PROGRAM'!$F$3*'RZĄDOWY PROGRAM'!$F$15,BZ76*$F$15),"")</f>
        <v>50</v>
      </c>
      <c r="CH77" s="11">
        <f t="shared" si="21"/>
        <v>70</v>
      </c>
      <c r="CJ77" s="48">
        <f t="shared" si="22"/>
        <v>0.06</v>
      </c>
      <c r="CK77" s="18">
        <f t="shared" si="23"/>
        <v>4.8675505653430484E-3</v>
      </c>
      <c r="CL77" s="11">
        <f t="shared" si="76"/>
        <v>0</v>
      </c>
      <c r="CM77" s="11">
        <f t="shared" si="25"/>
        <v>33311.581153994244</v>
      </c>
      <c r="CN77" s="11">
        <f>IF(AB77&lt;&gt;"",CM77-SUM($CL$28:CL77),"")</f>
        <v>5134.8211539942495</v>
      </c>
    </row>
    <row r="78" spans="1:92" x14ac:dyDescent="0.45">
      <c r="A78" s="68">
        <f t="shared" si="47"/>
        <v>46266</v>
      </c>
      <c r="B78" s="8">
        <f t="shared" si="4"/>
        <v>51</v>
      </c>
      <c r="C78" s="11">
        <f t="shared" si="5"/>
        <v>3522.09</v>
      </c>
      <c r="D78" s="11">
        <f t="shared" si="6"/>
        <v>892.72557869746606</v>
      </c>
      <c r="E78" s="11">
        <f t="shared" si="7"/>
        <v>2629.3644213025341</v>
      </c>
      <c r="F78" s="9">
        <f t="shared" si="26"/>
        <v>361778.229083721</v>
      </c>
      <c r="G78" s="10">
        <f t="shared" si="8"/>
        <v>7.0000000000000007E-2</v>
      </c>
      <c r="H78" s="10">
        <f t="shared" si="9"/>
        <v>1.7000000000000001E-2</v>
      </c>
      <c r="I78" s="48">
        <f t="shared" si="27"/>
        <v>8.7000000000000008E-2</v>
      </c>
      <c r="J78" s="11">
        <f t="shared" si="10"/>
        <v>20</v>
      </c>
      <c r="K78" s="11">
        <f>IF(B78&lt;&gt;"",IF($B$16=listy!$K$8,'RZĄDOWY PROGRAM'!$F$3*'RZĄDOWY PROGRAM'!$F$15,F77*$F$15),"")</f>
        <v>50</v>
      </c>
      <c r="L78" s="11">
        <f t="shared" si="28"/>
        <v>70</v>
      </c>
      <c r="N78" s="54">
        <f t="shared" si="48"/>
        <v>46266</v>
      </c>
      <c r="O78" s="8">
        <f t="shared" si="29"/>
        <v>51</v>
      </c>
      <c r="P78" s="8"/>
      <c r="Q78" s="11">
        <f>IF(O78&lt;&gt;"",ROUND(IF($F$11="raty równe",-PMT(W78/12,$F$4-O77+SUM($P$28:P78),T77,2),R78+S78),2),"")</f>
        <v>3522.09</v>
      </c>
      <c r="R78" s="11">
        <f>IF(O78&lt;&gt;"",IF($F$11="raty malejące",T77/($F$4-O77+SUM($P$28:P78)),IF(Q78-S78&gt;T77,T77,Q78-S78)),"")</f>
        <v>842.59645155888802</v>
      </c>
      <c r="S78" s="11">
        <f t="shared" si="68"/>
        <v>2679.4935484411121</v>
      </c>
      <c r="T78" s="9">
        <f t="shared" si="30"/>
        <v>368742.72057480138</v>
      </c>
      <c r="U78" s="10">
        <f t="shared" si="11"/>
        <v>7.0000000000000007E-2</v>
      </c>
      <c r="V78" s="10">
        <f t="shared" si="12"/>
        <v>1.7000000000000001E-2</v>
      </c>
      <c r="W78" s="48">
        <f t="shared" si="31"/>
        <v>8.7000000000000008E-2</v>
      </c>
      <c r="X78" s="11">
        <f t="shared" si="13"/>
        <v>20</v>
      </c>
      <c r="Y78" s="11">
        <f>IF(O78&lt;&gt;"",IF($B$16=listy!$K$8,'RZĄDOWY PROGRAM'!$F$3*'RZĄDOWY PROGRAM'!$F$15,T77*$F$15),"")</f>
        <v>50</v>
      </c>
      <c r="Z78" s="11">
        <f t="shared" si="32"/>
        <v>70</v>
      </c>
      <c r="AB78" s="8">
        <f t="shared" si="33"/>
        <v>51</v>
      </c>
      <c r="AC78" s="8"/>
      <c r="AD78" s="11">
        <f>IF(AB78&lt;&gt;"",ROUND(IF($F$11="raty równe",-PMT(W78/12,$F$4-AB77+SUM($AC$28:AC78),AG77,2),AE78+AF78),2),"")</f>
        <v>3280.39</v>
      </c>
      <c r="AE78" s="11">
        <f>IF(AB78&lt;&gt;"",IF($F$11="raty malejące",AG77/($F$4-AB77+SUM($AC$28:AC77)),MIN(AD78-AF78,AG77)),"")</f>
        <v>784.77646383245246</v>
      </c>
      <c r="AF78" s="11">
        <f t="shared" si="69"/>
        <v>2495.6135361675474</v>
      </c>
      <c r="AG78" s="9">
        <f t="shared" si="52"/>
        <v>343437.78024893266</v>
      </c>
      <c r="AH78" s="11"/>
      <c r="AI78" s="33">
        <f>IF(AB78&lt;&gt;"",ROUND(IF($F$11="raty równe",-PMT(W78/12,($F$4-AB77+SUM($AC$27:AC77)),AG77,2),AG77/($F$4-AB77+SUM($AC$27:AC77))+AG77*W78/12),2),"")</f>
        <v>3280.39</v>
      </c>
      <c r="AJ78" s="33">
        <f t="shared" si="34"/>
        <v>241.70000000000027</v>
      </c>
      <c r="AK78" s="33">
        <f t="shared" si="15"/>
        <v>11478.775780871609</v>
      </c>
      <c r="AL78" s="33">
        <f>IF(AB78&lt;&gt;"",AK78-SUM($AJ$28:AJ78),"")</f>
        <v>946.66578087160815</v>
      </c>
      <c r="AM78" s="11">
        <f t="shared" si="35"/>
        <v>20</v>
      </c>
      <c r="AN78" s="11">
        <f>IF(AB78&lt;&gt;"",IF($B$16=listy!$K$8,'RZĄDOWY PROGRAM'!$F$3*'RZĄDOWY PROGRAM'!$F$15,AG77*$F$15),"")</f>
        <v>50</v>
      </c>
      <c r="AO78" s="11">
        <f t="shared" si="36"/>
        <v>70</v>
      </c>
      <c r="AQ78" s="8">
        <f t="shared" si="37"/>
        <v>51</v>
      </c>
      <c r="AR78" s="8"/>
      <c r="AS78" s="78">
        <f>IF(AQ78&lt;&gt;"",ROUND(IF($F$11="raty równe",-PMT(W78/12,$F$4-AQ77+SUM($AR$28:AR78),AV77,2),AT78+AU78),2),"")</f>
        <v>3263.82</v>
      </c>
      <c r="AT78" s="78">
        <f>IF(AQ78&lt;&gt;"",IF($F$11="raty malejące",AV77/($F$4-AQ77+SUM($AR$28:AR77)),MIN(AS78-AU78,AV77)),"")</f>
        <v>780.80999598894414</v>
      </c>
      <c r="AU78" s="78">
        <f t="shared" si="53"/>
        <v>2483.010004011056</v>
      </c>
      <c r="AV78" s="79">
        <f t="shared" si="38"/>
        <v>341703.32848829462</v>
      </c>
      <c r="AW78" s="11"/>
      <c r="AX78" s="33">
        <f>IF(AQ78&lt;&gt;"",ROUND(IF($F$11="raty równe",-PMT(W78/12,($F$4-AQ77+SUM($AR$27:AR77)),AV77,2),AV77/($F$4-AQ77+SUM($AR$27:AR77))+AV77*W78/12),2),"")</f>
        <v>3263.82</v>
      </c>
      <c r="AY78" s="33">
        <f t="shared" si="39"/>
        <v>258.27</v>
      </c>
      <c r="AZ78" s="33">
        <f t="shared" si="72"/>
        <v>9672.4447068256977</v>
      </c>
      <c r="BA78" s="33">
        <f>IF(AQ78&lt;&gt;"",AZ78-SUM($AY$44:AY78),"")</f>
        <v>633.00470682568994</v>
      </c>
      <c r="BB78" s="11">
        <f t="shared" si="40"/>
        <v>20</v>
      </c>
      <c r="BC78" s="11">
        <f>IF(AQ78&lt;&gt;"",IF($B$16=listy!$K$8,'RZĄDOWY PROGRAM'!$F$3*'RZĄDOWY PROGRAM'!$F$15,AV77*$F$15),"")</f>
        <v>50</v>
      </c>
      <c r="BD78" s="11">
        <f t="shared" si="41"/>
        <v>70</v>
      </c>
      <c r="BF78" s="8">
        <f t="shared" si="42"/>
        <v>51</v>
      </c>
      <c r="BG78" s="8"/>
      <c r="BH78" s="78">
        <f>IF(BF78&lt;&gt;"",ROUND(IF($F$11="raty równe",-PMT(W78/12,$F$4-BF77+SUM(BV$28:$BV78)-SUM($BM$29:BM78),BK77,2),BI78+BJ78),2),"")</f>
        <v>3522.1</v>
      </c>
      <c r="BI78" s="78">
        <f>IF(BF78&lt;&gt;"",IF($F$11="raty malejące",MIN(BK77/($F$4-BF77+SUM($BG$27:BG78)-SUM($BM$27:BM78)),BK77),MIN(BH78-BJ78,BK77)),"")</f>
        <v>1113.4120575121406</v>
      </c>
      <c r="BJ78" s="78">
        <f t="shared" si="54"/>
        <v>2408.6879424878593</v>
      </c>
      <c r="BK78" s="79">
        <f t="shared" si="55"/>
        <v>331119.40759598563</v>
      </c>
      <c r="BL78" s="11"/>
      <c r="BM78" s="33"/>
      <c r="BN78" s="33">
        <f t="shared" si="73"/>
        <v>-9.9999999997635314E-3</v>
      </c>
      <c r="BO78" s="33">
        <f t="shared" si="74"/>
        <v>-9.934963495058434E-2</v>
      </c>
      <c r="BP78" s="33">
        <f>IF(O78&lt;&gt;"",BO78-SUM($BN$44:BN78),"")</f>
        <v>-9.3496349527125572E-3</v>
      </c>
      <c r="BQ78" s="11">
        <f t="shared" si="17"/>
        <v>20</v>
      </c>
      <c r="BR78" s="11">
        <f>IF(BF78&lt;&gt;"",IF($B$16=listy!$K$8,'RZĄDOWY PROGRAM'!$F$3*'RZĄDOWY PROGRAM'!$F$15,BK77*$F$15),"")</f>
        <v>50</v>
      </c>
      <c r="BS78" s="11">
        <f t="shared" si="18"/>
        <v>70</v>
      </c>
      <c r="BU78" s="8">
        <f t="shared" si="44"/>
        <v>51</v>
      </c>
      <c r="BV78" s="8"/>
      <c r="BW78" s="78">
        <f>IF(BU78&lt;&gt;"",ROUND(IF($F$11="raty równe",-PMT(W78/12,$F$4-BU77+SUM($BV$28:BV78)-$CB$43,BZ77,2),BX78+BY78),2),"")</f>
        <v>3522.09</v>
      </c>
      <c r="BX78" s="78">
        <f>IF(BU78&lt;&gt;"",IF($F$11="raty malejące",MIN(BZ77/($F$4-BU77+SUM($BV$28:BV77)-SUM($CB$28:CB77)),BZ77),MIN(BW78-BY78,BZ77)),"")</f>
        <v>1110.9813594508983</v>
      </c>
      <c r="BY78" s="78">
        <f t="shared" si="77"/>
        <v>2411.1086405491019</v>
      </c>
      <c r="BZ78" s="79">
        <f t="shared" si="71"/>
        <v>331455.72768180451</v>
      </c>
      <c r="CA78" s="11"/>
      <c r="CB78" s="33"/>
      <c r="CC78" s="33">
        <f t="shared" si="46"/>
        <v>0</v>
      </c>
      <c r="CD78" s="33">
        <f t="shared" si="75"/>
        <v>0.18189615365853298</v>
      </c>
      <c r="CE78" s="33">
        <f>IF(O78&lt;&gt;"",CD78-SUM($CC$44:CC78),"")</f>
        <v>1.189615366255295E-2</v>
      </c>
      <c r="CF78" s="11">
        <f t="shared" si="20"/>
        <v>20</v>
      </c>
      <c r="CG78" s="11">
        <f>IF(BU78&lt;&gt;"",IF($B$16=listy!$K$8,'RZĄDOWY PROGRAM'!$F$3*'RZĄDOWY PROGRAM'!$F$15,BZ77*$F$15),"")</f>
        <v>50</v>
      </c>
      <c r="CH78" s="11">
        <f t="shared" si="21"/>
        <v>70</v>
      </c>
      <c r="CJ78" s="48">
        <f t="shared" si="22"/>
        <v>0.06</v>
      </c>
      <c r="CK78" s="18">
        <f t="shared" si="23"/>
        <v>4.8675505653430484E-3</v>
      </c>
      <c r="CL78" s="11">
        <f t="shared" si="76"/>
        <v>0</v>
      </c>
      <c r="CM78" s="11">
        <f t="shared" si="25"/>
        <v>33442.919256593908</v>
      </c>
      <c r="CN78" s="11">
        <f>IF(AB78&lt;&gt;"",CM78-SUM($CL$28:CL78),"")</f>
        <v>5266.1592565939136</v>
      </c>
    </row>
    <row r="79" spans="1:92" x14ac:dyDescent="0.45">
      <c r="A79" s="68">
        <f t="shared" si="47"/>
        <v>46296</v>
      </c>
      <c r="B79" s="8">
        <f t="shared" si="4"/>
        <v>52</v>
      </c>
      <c r="C79" s="11">
        <f t="shared" si="5"/>
        <v>3522.1</v>
      </c>
      <c r="D79" s="11">
        <f t="shared" si="6"/>
        <v>899.20783914302228</v>
      </c>
      <c r="E79" s="11">
        <f t="shared" si="7"/>
        <v>2622.8921608569776</v>
      </c>
      <c r="F79" s="9">
        <f t="shared" si="26"/>
        <v>360879.02124457801</v>
      </c>
      <c r="G79" s="10">
        <f t="shared" si="8"/>
        <v>7.0000000000000007E-2</v>
      </c>
      <c r="H79" s="10">
        <f t="shared" si="9"/>
        <v>1.7000000000000001E-2</v>
      </c>
      <c r="I79" s="48">
        <f t="shared" si="27"/>
        <v>8.7000000000000008E-2</v>
      </c>
      <c r="J79" s="11">
        <f t="shared" si="10"/>
        <v>20</v>
      </c>
      <c r="K79" s="11">
        <f>IF(B79&lt;&gt;"",IF($B$16=listy!$K$8,'RZĄDOWY PROGRAM'!$F$3*'RZĄDOWY PROGRAM'!$F$15,F78*$F$15),"")</f>
        <v>50</v>
      </c>
      <c r="L79" s="11">
        <f t="shared" si="28"/>
        <v>70</v>
      </c>
      <c r="N79" s="54">
        <f t="shared" si="48"/>
        <v>46296</v>
      </c>
      <c r="O79" s="8">
        <f t="shared" si="29"/>
        <v>52</v>
      </c>
      <c r="P79" s="8"/>
      <c r="Q79" s="11">
        <f>IF(O79&lt;&gt;"",ROUND(IF($F$11="raty równe",-PMT(W79/12,$F$4-O78+SUM($P$28:P79),T78,2),R79+S79),2),"")</f>
        <v>3522.1</v>
      </c>
      <c r="R79" s="11">
        <f>IF(O79&lt;&gt;"",IF($F$11="raty malejące",T78/($F$4-O78+SUM($P$28:P79)),IF(Q79-S79&gt;T78,T78,Q79-S79)),"")</f>
        <v>848.71527583268971</v>
      </c>
      <c r="S79" s="11">
        <f t="shared" si="68"/>
        <v>2673.3847241673102</v>
      </c>
      <c r="T79" s="9">
        <f t="shared" si="30"/>
        <v>367894.0052989687</v>
      </c>
      <c r="U79" s="10">
        <f t="shared" si="11"/>
        <v>7.0000000000000007E-2</v>
      </c>
      <c r="V79" s="10">
        <f t="shared" si="12"/>
        <v>1.7000000000000001E-2</v>
      </c>
      <c r="W79" s="48">
        <f t="shared" si="31"/>
        <v>8.7000000000000008E-2</v>
      </c>
      <c r="X79" s="11">
        <f t="shared" si="13"/>
        <v>20</v>
      </c>
      <c r="Y79" s="11">
        <f>IF(O79&lt;&gt;"",IF($B$16=listy!$K$8,'RZĄDOWY PROGRAM'!$F$3*'RZĄDOWY PROGRAM'!$F$15,T78*$F$15),"")</f>
        <v>50</v>
      </c>
      <c r="Z79" s="11">
        <f t="shared" si="32"/>
        <v>70</v>
      </c>
      <c r="AB79" s="8">
        <f t="shared" si="33"/>
        <v>52</v>
      </c>
      <c r="AC79" s="8"/>
      <c r="AD79" s="11">
        <f>IF(AB79&lt;&gt;"",ROUND(IF($F$11="raty równe",-PMT(W79/12,$F$4-AB78+SUM($AC$28:AC79),AG78,2),AE79+AF79),2),"")</f>
        <v>3280.39</v>
      </c>
      <c r="AE79" s="11">
        <f>IF(AB79&lt;&gt;"",IF($F$11="raty malejące",AG78/($F$4-AB78+SUM($AC$28:AC78)),MIN(AD79-AF79,AG78)),"")</f>
        <v>790.46609319523759</v>
      </c>
      <c r="AF79" s="11">
        <f t="shared" si="69"/>
        <v>2489.9239068047623</v>
      </c>
      <c r="AG79" s="9">
        <f t="shared" si="52"/>
        <v>342647.3141557374</v>
      </c>
      <c r="AH79" s="11"/>
      <c r="AI79" s="33">
        <f>IF(AB79&lt;&gt;"",ROUND(IF($F$11="raty równe",-PMT(W79/12,($F$4-AB78+SUM($AC$27:AC78)),AG78,2),AG78/($F$4-AB78+SUM($AC$27:AC78))+AG78*W79/12),2),"")</f>
        <v>3280.39</v>
      </c>
      <c r="AJ79" s="33">
        <f t="shared" si="34"/>
        <v>241.71000000000004</v>
      </c>
      <c r="AK79" s="33">
        <f t="shared" si="15"/>
        <v>11765.74333332033</v>
      </c>
      <c r="AL79" s="33">
        <f>IF(AB79&lt;&gt;"",AK79-SUM($AJ$28:AJ79),"")</f>
        <v>991.92333332033013</v>
      </c>
      <c r="AM79" s="11">
        <f t="shared" si="35"/>
        <v>20</v>
      </c>
      <c r="AN79" s="11">
        <f>IF(AB79&lt;&gt;"",IF($B$16=listy!$K$8,'RZĄDOWY PROGRAM'!$F$3*'RZĄDOWY PROGRAM'!$F$15,AG78*$F$15),"")</f>
        <v>50</v>
      </c>
      <c r="AO79" s="11">
        <f t="shared" si="36"/>
        <v>70</v>
      </c>
      <c r="AQ79" s="8">
        <f t="shared" si="37"/>
        <v>52</v>
      </c>
      <c r="AR79" s="8"/>
      <c r="AS79" s="78">
        <f>IF(AQ79&lt;&gt;"",ROUND(IF($F$11="raty równe",-PMT(W79/12,$F$4-AQ78+SUM($AR$28:AR79),AV78,2),AT79+AU79),2),"")</f>
        <v>3263.83</v>
      </c>
      <c r="AT79" s="78">
        <f>IF(AQ79&lt;&gt;"",IF($F$11="raty malejące",AV78/($F$4-AQ78+SUM($AR$28:AR78)),MIN(AS79-AU79,AV78)),"")</f>
        <v>786.48086845986381</v>
      </c>
      <c r="AU79" s="78">
        <f t="shared" si="53"/>
        <v>2477.3491315401361</v>
      </c>
      <c r="AV79" s="79">
        <f t="shared" si="38"/>
        <v>340916.84761983476</v>
      </c>
      <c r="AW79" s="11"/>
      <c r="AX79" s="33">
        <f>IF(AQ79&lt;&gt;"",ROUND(IF($F$11="raty równe",-PMT(W79/12,($F$4-AQ78+SUM($AR$27:AR78)),AV78,2),AV78/($F$4-AQ78+SUM($AR$27:AR78))+AV78*W79/12),2),"")</f>
        <v>3263.83</v>
      </c>
      <c r="AY79" s="33">
        <f t="shared" si="39"/>
        <v>258.27</v>
      </c>
      <c r="AZ79" s="33">
        <f t="shared" si="72"/>
        <v>9968.8504089234757</v>
      </c>
      <c r="BA79" s="33">
        <f>IF(AQ79&lt;&gt;"",AZ79-SUM($AY$44:AY79),"")</f>
        <v>671.14040892346748</v>
      </c>
      <c r="BB79" s="11">
        <f t="shared" si="40"/>
        <v>20</v>
      </c>
      <c r="BC79" s="11">
        <f>IF(AQ79&lt;&gt;"",IF($B$16=listy!$K$8,'RZĄDOWY PROGRAM'!$F$3*'RZĄDOWY PROGRAM'!$F$15,AV78*$F$15),"")</f>
        <v>50</v>
      </c>
      <c r="BD79" s="11">
        <f t="shared" si="41"/>
        <v>70</v>
      </c>
      <c r="BF79" s="8">
        <f t="shared" si="42"/>
        <v>52</v>
      </c>
      <c r="BG79" s="8"/>
      <c r="BH79" s="78">
        <f>IF(BF79&lt;&gt;"",ROUND(IF($F$11="raty równe",-PMT(W79/12,$F$4-BF78+SUM(BV$28:$BV79)-SUM($BM$29:BM79),BK78,2),BI79+BJ79),2),"")</f>
        <v>3522.09</v>
      </c>
      <c r="BI79" s="78">
        <f>IF(BF79&lt;&gt;"",IF($F$11="raty malejące",MIN(BK78/($F$4-BF78+SUM($BG$27:BG79)-SUM($BM$27:BM79)),BK78),MIN(BH79-BJ79,BK78)),"")</f>
        <v>1121.4742949291044</v>
      </c>
      <c r="BJ79" s="78">
        <f t="shared" si="54"/>
        <v>2400.6157050708957</v>
      </c>
      <c r="BK79" s="79">
        <f t="shared" si="55"/>
        <v>329997.9333010565</v>
      </c>
      <c r="BL79" s="11"/>
      <c r="BM79" s="33"/>
      <c r="BN79" s="33">
        <f t="shared" si="73"/>
        <v>9.9999999997635314E-3</v>
      </c>
      <c r="BO79" s="33">
        <f t="shared" si="74"/>
        <v>-8.97413423419548E-2</v>
      </c>
      <c r="BP79" s="33">
        <f>IF(O79&lt;&gt;"",BO79-SUM($BN$44:BN79),"")</f>
        <v>-9.7413423438465485E-3</v>
      </c>
      <c r="BQ79" s="11">
        <f t="shared" si="17"/>
        <v>20</v>
      </c>
      <c r="BR79" s="11">
        <f>IF(BF79&lt;&gt;"",IF($B$16=listy!$K$8,'RZĄDOWY PROGRAM'!$F$3*'RZĄDOWY PROGRAM'!$F$15,BK78*$F$15),"")</f>
        <v>50</v>
      </c>
      <c r="BS79" s="11">
        <f t="shared" si="18"/>
        <v>70</v>
      </c>
      <c r="BU79" s="8">
        <f t="shared" si="44"/>
        <v>52</v>
      </c>
      <c r="BV79" s="8"/>
      <c r="BW79" s="78">
        <f>IF(BU79&lt;&gt;"",ROUND(IF($F$11="raty równe",-PMT(W79/12,$F$4-BU78+SUM($BV$28:BV79)-$CB$43,BZ78,2),BX79+BY79),2),"")</f>
        <v>3522.09</v>
      </c>
      <c r="BX79" s="78">
        <f>IF(BU79&lt;&gt;"",IF($F$11="raty malejące",MIN(BZ78/($F$4-BU78+SUM($BV$28:BV78)-SUM($CB$28:CB78)),BZ78),MIN(BW79-BY79,BZ78)),"")</f>
        <v>1119.0359743069171</v>
      </c>
      <c r="BY79" s="78">
        <f t="shared" si="77"/>
        <v>2403.0540256930831</v>
      </c>
      <c r="BZ79" s="79">
        <f t="shared" si="71"/>
        <v>330336.69170749758</v>
      </c>
      <c r="CA79" s="11"/>
      <c r="CB79" s="33"/>
      <c r="CC79" s="33">
        <f t="shared" si="46"/>
        <v>9.9999999997635314E-3</v>
      </c>
      <c r="CD79" s="33">
        <f t="shared" si="75"/>
        <v>0.19261331852601174</v>
      </c>
      <c r="CE79" s="33">
        <f>IF(O79&lt;&gt;"",CD79-SUM($CC$44:CC79),"")</f>
        <v>1.2613318530268175E-2</v>
      </c>
      <c r="CF79" s="11">
        <f t="shared" si="20"/>
        <v>20</v>
      </c>
      <c r="CG79" s="11">
        <f>IF(BU79&lt;&gt;"",IF($B$16=listy!$K$8,'RZĄDOWY PROGRAM'!$F$3*'RZĄDOWY PROGRAM'!$F$15,BZ78*$F$15),"")</f>
        <v>50</v>
      </c>
      <c r="CH79" s="11">
        <f t="shared" si="21"/>
        <v>70</v>
      </c>
      <c r="CJ79" s="48">
        <f t="shared" si="22"/>
        <v>0.06</v>
      </c>
      <c r="CK79" s="18">
        <f t="shared" si="23"/>
        <v>4.8675505653430484E-3</v>
      </c>
      <c r="CL79" s="11">
        <f t="shared" si="76"/>
        <v>0</v>
      </c>
      <c r="CM79" s="11">
        <f t="shared" si="25"/>
        <v>33574.775188026579</v>
      </c>
      <c r="CN79" s="11">
        <f>IF(AB79&lt;&gt;"",CM79-SUM($CL$28:CL79),"")</f>
        <v>5398.0151880265839</v>
      </c>
    </row>
    <row r="80" spans="1:92" x14ac:dyDescent="0.45">
      <c r="A80" s="68">
        <f t="shared" si="47"/>
        <v>46327</v>
      </c>
      <c r="B80" s="8">
        <f t="shared" si="4"/>
        <v>53</v>
      </c>
      <c r="C80" s="11">
        <f t="shared" si="5"/>
        <v>3522.09</v>
      </c>
      <c r="D80" s="11">
        <f t="shared" si="6"/>
        <v>905.71709597680956</v>
      </c>
      <c r="E80" s="11">
        <f t="shared" si="7"/>
        <v>2616.3729040231906</v>
      </c>
      <c r="F80" s="9">
        <f t="shared" si="26"/>
        <v>359973.30414860119</v>
      </c>
      <c r="G80" s="10">
        <f t="shared" si="8"/>
        <v>7.0000000000000007E-2</v>
      </c>
      <c r="H80" s="10">
        <f t="shared" si="9"/>
        <v>1.7000000000000001E-2</v>
      </c>
      <c r="I80" s="48">
        <f t="shared" si="27"/>
        <v>8.7000000000000008E-2</v>
      </c>
      <c r="J80" s="11">
        <f t="shared" si="10"/>
        <v>20</v>
      </c>
      <c r="K80" s="11">
        <f>IF(B80&lt;&gt;"",IF($B$16=listy!$K$8,'RZĄDOWY PROGRAM'!$F$3*'RZĄDOWY PROGRAM'!$F$15,F79*$F$15),"")</f>
        <v>50</v>
      </c>
      <c r="L80" s="11">
        <f t="shared" si="28"/>
        <v>70</v>
      </c>
      <c r="N80" s="54">
        <f t="shared" si="48"/>
        <v>46327</v>
      </c>
      <c r="O80" s="8">
        <f t="shared" si="29"/>
        <v>53</v>
      </c>
      <c r="P80" s="8"/>
      <c r="Q80" s="11">
        <f>IF(O80&lt;&gt;"",ROUND(IF($F$11="raty równe",-PMT(W80/12,$F$4-O79+SUM($P$28:P80),T79,2),R80+S80),2),"")</f>
        <v>3522.09</v>
      </c>
      <c r="R80" s="11">
        <f>IF(O80&lt;&gt;"",IF($F$11="raty malejące",T79/($F$4-O79+SUM($P$28:P80)),IF(Q80-S80&gt;T79,T79,Q80-S80)),"")</f>
        <v>854.85846158247705</v>
      </c>
      <c r="S80" s="11">
        <f t="shared" si="68"/>
        <v>2667.2315384175231</v>
      </c>
      <c r="T80" s="9">
        <f t="shared" si="30"/>
        <v>367039.14683738624</v>
      </c>
      <c r="U80" s="10">
        <f t="shared" si="11"/>
        <v>7.0000000000000007E-2</v>
      </c>
      <c r="V80" s="10">
        <f t="shared" si="12"/>
        <v>1.7000000000000001E-2</v>
      </c>
      <c r="W80" s="48">
        <f t="shared" si="31"/>
        <v>8.7000000000000008E-2</v>
      </c>
      <c r="X80" s="11">
        <f t="shared" si="13"/>
        <v>20</v>
      </c>
      <c r="Y80" s="11">
        <f>IF(O80&lt;&gt;"",IF($B$16=listy!$K$8,'RZĄDOWY PROGRAM'!$F$3*'RZĄDOWY PROGRAM'!$F$15,T79*$F$15),"")</f>
        <v>50</v>
      </c>
      <c r="Z80" s="11">
        <f t="shared" si="32"/>
        <v>70</v>
      </c>
      <c r="AB80" s="8">
        <f t="shared" si="33"/>
        <v>53</v>
      </c>
      <c r="AC80" s="8"/>
      <c r="AD80" s="11">
        <f>IF(AB80&lt;&gt;"",ROUND(IF($F$11="raty równe",-PMT(W80/12,$F$4-AB79+SUM($AC$28:AC80),AG79,2),AE80+AF80),2),"")</f>
        <v>3280.39</v>
      </c>
      <c r="AE80" s="11">
        <f>IF(AB80&lt;&gt;"",IF($F$11="raty malejące",AG79/($F$4-AB79+SUM($AC$28:AC79)),MIN(AD80-AF80,AG79)),"")</f>
        <v>796.1969723709035</v>
      </c>
      <c r="AF80" s="11">
        <f t="shared" si="69"/>
        <v>2484.1930276290964</v>
      </c>
      <c r="AG80" s="9">
        <f t="shared" si="52"/>
        <v>341851.1171833665</v>
      </c>
      <c r="AH80" s="11"/>
      <c r="AI80" s="33">
        <f>IF(AB80&lt;&gt;"",ROUND(IF($F$11="raty równe",-PMT(W80/12,($F$4-AB79+SUM($AC$27:AC79)),AG79,2),AG79/($F$4-AB79+SUM($AC$27:AC79))+AG79*W80/12),2),"")</f>
        <v>3280.39</v>
      </c>
      <c r="AJ80" s="33">
        <f t="shared" si="34"/>
        <v>241.70000000000027</v>
      </c>
      <c r="AK80" s="33">
        <f t="shared" si="15"/>
        <v>12053.832317317498</v>
      </c>
      <c r="AL80" s="33">
        <f>IF(AB80&lt;&gt;"",AK80-SUM($AJ$28:AJ80),"")</f>
        <v>1038.3123173174972</v>
      </c>
      <c r="AM80" s="11">
        <f t="shared" si="35"/>
        <v>20</v>
      </c>
      <c r="AN80" s="11">
        <f>IF(AB80&lt;&gt;"",IF($B$16=listy!$K$8,'RZĄDOWY PROGRAM'!$F$3*'RZĄDOWY PROGRAM'!$F$15,AG79*$F$15),"")</f>
        <v>50</v>
      </c>
      <c r="AO80" s="11">
        <f t="shared" si="36"/>
        <v>70</v>
      </c>
      <c r="AQ80" s="8">
        <f t="shared" si="37"/>
        <v>53</v>
      </c>
      <c r="AR80" s="8"/>
      <c r="AS80" s="78">
        <f>IF(AQ80&lt;&gt;"",ROUND(IF($F$11="raty równe",-PMT(W80/12,$F$4-AQ79+SUM($AR$28:AR80),AV79,2),AT80+AU80),2),"")</f>
        <v>3263.82</v>
      </c>
      <c r="AT80" s="78">
        <f>IF(AQ80&lt;&gt;"",IF($F$11="raty malejące",AV79/($F$4-AQ79+SUM($AR$28:AR79)),MIN(AS80-AU80,AV79)),"")</f>
        <v>792.17285475619792</v>
      </c>
      <c r="AU80" s="78">
        <f t="shared" si="53"/>
        <v>2471.6471452438022</v>
      </c>
      <c r="AV80" s="79">
        <f t="shared" si="38"/>
        <v>340124.67476507858</v>
      </c>
      <c r="AW80" s="11"/>
      <c r="AX80" s="33">
        <f>IF(AQ80&lt;&gt;"",ROUND(IF($F$11="raty równe",-PMT(W80/12,($F$4-AQ79+SUM($AR$27:AR79)),AV79,2),AV79/($F$4-AQ79+SUM($AR$27:AR79))+AV79*W80/12),2),"")</f>
        <v>3263.82</v>
      </c>
      <c r="AY80" s="33">
        <f t="shared" si="39"/>
        <v>258.27</v>
      </c>
      <c r="AZ80" s="33">
        <f t="shared" si="72"/>
        <v>10266.424754512935</v>
      </c>
      <c r="BA80" s="33">
        <f>IF(AQ80&lt;&gt;"",AZ80-SUM($AY$44:AY80),"")</f>
        <v>710.44475451292601</v>
      </c>
      <c r="BB80" s="11">
        <f t="shared" si="40"/>
        <v>20</v>
      </c>
      <c r="BC80" s="11">
        <f>IF(AQ80&lt;&gt;"",IF($B$16=listy!$K$8,'RZĄDOWY PROGRAM'!$F$3*'RZĄDOWY PROGRAM'!$F$15,AV79*$F$15),"")</f>
        <v>50</v>
      </c>
      <c r="BD80" s="11">
        <f t="shared" si="41"/>
        <v>70</v>
      </c>
      <c r="BF80" s="8">
        <f t="shared" si="42"/>
        <v>53</v>
      </c>
      <c r="BG80" s="8"/>
      <c r="BH80" s="78">
        <f>IF(BF80&lt;&gt;"",ROUND(IF($F$11="raty równe",-PMT(W80/12,$F$4-BF79+SUM(BV$28:$BV80)-SUM($BM$29:BM80),BK79,2),BI80+BJ80),2),"")</f>
        <v>3522.1</v>
      </c>
      <c r="BI80" s="78">
        <f>IF(BF80&lt;&gt;"",IF($F$11="raty malejące",MIN(BK79/($F$4-BF79+SUM($BG$27:BG80)-SUM($BM$27:BM80)),BK79),MIN(BH80-BJ80,BK79)),"")</f>
        <v>1129.61498356734</v>
      </c>
      <c r="BJ80" s="78">
        <f t="shared" si="54"/>
        <v>2392.4850164326599</v>
      </c>
      <c r="BK80" s="79">
        <f t="shared" si="55"/>
        <v>328868.31831748917</v>
      </c>
      <c r="BL80" s="11"/>
      <c r="BM80" s="33"/>
      <c r="BN80" s="33">
        <f t="shared" si="73"/>
        <v>-9.9999999997635314E-3</v>
      </c>
      <c r="BO80" s="33">
        <f t="shared" si="74"/>
        <v>-0.10009516696425583</v>
      </c>
      <c r="BP80" s="33">
        <f>IF(O80&lt;&gt;"",BO80-SUM($BN$44:BN80),"")</f>
        <v>-1.0095166966384045E-2</v>
      </c>
      <c r="BQ80" s="11">
        <f t="shared" si="17"/>
        <v>20</v>
      </c>
      <c r="BR80" s="11">
        <f>IF(BF80&lt;&gt;"",IF($B$16=listy!$K$8,'RZĄDOWY PROGRAM'!$F$3*'RZĄDOWY PROGRAM'!$F$15,BK79*$F$15),"")</f>
        <v>50</v>
      </c>
      <c r="BS80" s="11">
        <f t="shared" si="18"/>
        <v>70</v>
      </c>
      <c r="BU80" s="8">
        <f t="shared" si="44"/>
        <v>53</v>
      </c>
      <c r="BV80" s="8"/>
      <c r="BW80" s="78">
        <f>IF(BU80&lt;&gt;"",ROUND(IF($F$11="raty równe",-PMT(W80/12,$F$4-BU79+SUM($BV$28:BV80)-$CB$43,BZ79,2),BX80+BY80),2),"")</f>
        <v>3522.09</v>
      </c>
      <c r="BX80" s="78">
        <f>IF(BU80&lt;&gt;"",IF($F$11="raty malejące",MIN(BZ79/($F$4-BU79+SUM($BV$28:BV79)-SUM($CB$28:CB79)),BZ79),MIN(BW80-BY80,BZ79)),"")</f>
        <v>1127.1489851206425</v>
      </c>
      <c r="BY80" s="78">
        <f t="shared" si="77"/>
        <v>2394.9410148793577</v>
      </c>
      <c r="BZ80" s="79">
        <f t="shared" si="71"/>
        <v>329209.54272237694</v>
      </c>
      <c r="CA80" s="11"/>
      <c r="CB80" s="33"/>
      <c r="CC80" s="33">
        <f t="shared" si="46"/>
        <v>0</v>
      </c>
      <c r="CD80" s="33">
        <f t="shared" si="75"/>
        <v>0.19337273813067371</v>
      </c>
      <c r="CE80" s="33">
        <f>IF(O80&lt;&gt;"",CD80-SUM($CC$44:CC80),"")</f>
        <v>1.3372738134930146E-2</v>
      </c>
      <c r="CF80" s="11">
        <f t="shared" si="20"/>
        <v>20</v>
      </c>
      <c r="CG80" s="11">
        <f>IF(BU80&lt;&gt;"",IF($B$16=listy!$K$8,'RZĄDOWY PROGRAM'!$F$3*'RZĄDOWY PROGRAM'!$F$15,BZ79*$F$15),"")</f>
        <v>50</v>
      </c>
      <c r="CH80" s="11">
        <f t="shared" si="21"/>
        <v>70</v>
      </c>
      <c r="CJ80" s="48">
        <f t="shared" si="22"/>
        <v>0.06</v>
      </c>
      <c r="CK80" s="18">
        <f t="shared" si="23"/>
        <v>4.8675505653430484E-3</v>
      </c>
      <c r="CL80" s="11">
        <f t="shared" si="76"/>
        <v>0</v>
      </c>
      <c r="CM80" s="11">
        <f t="shared" si="25"/>
        <v>33707.150989944254</v>
      </c>
      <c r="CN80" s="11">
        <f>IF(AB80&lt;&gt;"",CM80-SUM($CL$28:CL80),"")</f>
        <v>5530.3909899442588</v>
      </c>
    </row>
    <row r="81" spans="1:92" x14ac:dyDescent="0.45">
      <c r="A81" s="68">
        <f t="shared" si="47"/>
        <v>46357</v>
      </c>
      <c r="B81" s="8">
        <f t="shared" si="4"/>
        <v>54</v>
      </c>
      <c r="C81" s="11">
        <f t="shared" si="5"/>
        <v>3522.1</v>
      </c>
      <c r="D81" s="11">
        <f t="shared" si="6"/>
        <v>912.2935449226411</v>
      </c>
      <c r="E81" s="11">
        <f t="shared" si="7"/>
        <v>2609.8064550773588</v>
      </c>
      <c r="F81" s="9">
        <f t="shared" si="26"/>
        <v>359061.01060367853</v>
      </c>
      <c r="G81" s="10">
        <f t="shared" si="8"/>
        <v>7.0000000000000007E-2</v>
      </c>
      <c r="H81" s="10">
        <f t="shared" si="9"/>
        <v>1.7000000000000001E-2</v>
      </c>
      <c r="I81" s="48">
        <f t="shared" si="27"/>
        <v>8.7000000000000008E-2</v>
      </c>
      <c r="J81" s="11">
        <f t="shared" si="10"/>
        <v>20</v>
      </c>
      <c r="K81" s="11">
        <f>IF(B81&lt;&gt;"",IF($B$16=listy!$K$8,'RZĄDOWY PROGRAM'!$F$3*'RZĄDOWY PROGRAM'!$F$15,F80*$F$15),"")</f>
        <v>50</v>
      </c>
      <c r="L81" s="11">
        <f t="shared" si="28"/>
        <v>70</v>
      </c>
      <c r="N81" s="54">
        <f t="shared" si="48"/>
        <v>46357</v>
      </c>
      <c r="O81" s="8">
        <f t="shared" si="29"/>
        <v>54</v>
      </c>
      <c r="P81" s="8"/>
      <c r="Q81" s="11">
        <f>IF(O81&lt;&gt;"",ROUND(IF($F$11="raty równe",-PMT(W81/12,$F$4-O80+SUM($P$28:P81),T80,2),R81+S81),2),"")</f>
        <v>3522.1</v>
      </c>
      <c r="R81" s="11">
        <f>IF(O81&lt;&gt;"",IF($F$11="raty malejące",T80/($F$4-O80+SUM($P$28:P81)),IF(Q81-S81&gt;T80,T80,Q81-S81)),"")</f>
        <v>861.06618542894921</v>
      </c>
      <c r="S81" s="11">
        <f t="shared" si="68"/>
        <v>2661.0338145710507</v>
      </c>
      <c r="T81" s="9">
        <f t="shared" si="30"/>
        <v>366178.08065195731</v>
      </c>
      <c r="U81" s="10">
        <f t="shared" si="11"/>
        <v>7.0000000000000007E-2</v>
      </c>
      <c r="V81" s="10">
        <f t="shared" si="12"/>
        <v>1.7000000000000001E-2</v>
      </c>
      <c r="W81" s="48">
        <f t="shared" si="31"/>
        <v>8.7000000000000008E-2</v>
      </c>
      <c r="X81" s="11">
        <f t="shared" si="13"/>
        <v>20</v>
      </c>
      <c r="Y81" s="11">
        <f>IF(O81&lt;&gt;"",IF($B$16=listy!$K$8,'RZĄDOWY PROGRAM'!$F$3*'RZĄDOWY PROGRAM'!$F$15,T80*$F$15),"")</f>
        <v>50</v>
      </c>
      <c r="Z81" s="11">
        <f t="shared" si="32"/>
        <v>70</v>
      </c>
      <c r="AB81" s="8">
        <f t="shared" si="33"/>
        <v>54</v>
      </c>
      <c r="AC81" s="8"/>
      <c r="AD81" s="11">
        <f>IF(AB81&lt;&gt;"",ROUND(IF($F$11="raty równe",-PMT(W81/12,$F$4-AB80+SUM($AC$28:AC81),AG80,2),AE81+AF81),2),"")</f>
        <v>3280.39</v>
      </c>
      <c r="AE81" s="11">
        <f>IF(AB81&lt;&gt;"",IF($F$11="raty malejące",AG80/($F$4-AB80+SUM($AC$28:AC80)),MIN(AD81-AF81,AG80)),"")</f>
        <v>801.96940042059259</v>
      </c>
      <c r="AF81" s="11">
        <f t="shared" si="69"/>
        <v>2478.4205995794073</v>
      </c>
      <c r="AG81" s="9">
        <f t="shared" si="52"/>
        <v>341049.14778294589</v>
      </c>
      <c r="AH81" s="11"/>
      <c r="AI81" s="33">
        <f>IF(AB81&lt;&gt;"",ROUND(IF($F$11="raty równe",-PMT(W81/12,($F$4-AB80+SUM($AC$27:AC80)),AG80,2),AG80/($F$4-AB80+SUM($AC$27:AC80))+AG80*W81/12),2),"")</f>
        <v>3280.39</v>
      </c>
      <c r="AJ81" s="33">
        <f t="shared" si="34"/>
        <v>241.71000000000004</v>
      </c>
      <c r="AK81" s="33">
        <f t="shared" si="15"/>
        <v>12343.067154349174</v>
      </c>
      <c r="AL81" s="33">
        <f>IF(AB81&lt;&gt;"",AK81-SUM($AJ$28:AJ81),"")</f>
        <v>1085.8371543491739</v>
      </c>
      <c r="AM81" s="11">
        <f t="shared" si="35"/>
        <v>20</v>
      </c>
      <c r="AN81" s="11">
        <f>IF(AB81&lt;&gt;"",IF($B$16=listy!$K$8,'RZĄDOWY PROGRAM'!$F$3*'RZĄDOWY PROGRAM'!$F$15,AG80*$F$15),"")</f>
        <v>50</v>
      </c>
      <c r="AO81" s="11">
        <f t="shared" si="36"/>
        <v>70</v>
      </c>
      <c r="AQ81" s="8">
        <f t="shared" si="37"/>
        <v>54</v>
      </c>
      <c r="AR81" s="8"/>
      <c r="AS81" s="78">
        <f>IF(AQ81&lt;&gt;"",ROUND(IF($F$11="raty równe",-PMT(W81/12,$F$4-AQ80+SUM($AR$28:AR81),AV80,2),AT81+AU81),2),"")</f>
        <v>3263.83</v>
      </c>
      <c r="AT81" s="78">
        <f>IF(AQ81&lt;&gt;"",IF($F$11="raty malejące",AV80/($F$4-AQ80+SUM($AR$28:AR80)),MIN(AS81-AU81,AV80)),"")</f>
        <v>797.92610795318024</v>
      </c>
      <c r="AU81" s="78">
        <f t="shared" si="53"/>
        <v>2465.9038920468197</v>
      </c>
      <c r="AV81" s="79">
        <f t="shared" si="38"/>
        <v>339326.7486571254</v>
      </c>
      <c r="AW81" s="11"/>
      <c r="AX81" s="33">
        <f>IF(AQ81&lt;&gt;"",ROUND(IF($F$11="raty równe",-PMT(W81/12,($F$4-AQ80+SUM($AR$27:AR80)),AV80,2),AV80/($F$4-AQ80+SUM($AR$27:AR80))+AV80*W81/12),2),"")</f>
        <v>3263.83</v>
      </c>
      <c r="AY81" s="33">
        <f t="shared" si="39"/>
        <v>258.27</v>
      </c>
      <c r="AZ81" s="33">
        <f t="shared" si="72"/>
        <v>10565.17235122342</v>
      </c>
      <c r="BA81" s="33">
        <f>IF(AQ81&lt;&gt;"",AZ81-SUM($AY$44:AY81),"")</f>
        <v>750.92235122341117</v>
      </c>
      <c r="BB81" s="11">
        <f t="shared" si="40"/>
        <v>20</v>
      </c>
      <c r="BC81" s="11">
        <f>IF(AQ81&lt;&gt;"",IF($B$16=listy!$K$8,'RZĄDOWY PROGRAM'!$F$3*'RZĄDOWY PROGRAM'!$F$15,AV80*$F$15),"")</f>
        <v>50</v>
      </c>
      <c r="BD81" s="11">
        <f t="shared" si="41"/>
        <v>70</v>
      </c>
      <c r="BF81" s="8">
        <f t="shared" si="42"/>
        <v>54</v>
      </c>
      <c r="BG81" s="8"/>
      <c r="BH81" s="78">
        <f>IF(BF81&lt;&gt;"",ROUND(IF($F$11="raty równe",-PMT(W81/12,$F$4-BF80+SUM(BV$28:$BV81)-SUM($BM$29:BM81),BK80,2),BI81+BJ81),2),"")</f>
        <v>3522.09</v>
      </c>
      <c r="BI81" s="78">
        <f>IF(BF81&lt;&gt;"",IF($F$11="raty malejące",MIN(BK80/($F$4-BF80+SUM($BG$27:BG81)-SUM($BM$27:BM81)),BK80),MIN(BH81-BJ81,BK80)),"")</f>
        <v>1137.7946921982034</v>
      </c>
      <c r="BJ81" s="78">
        <f t="shared" si="54"/>
        <v>2384.2953078017968</v>
      </c>
      <c r="BK81" s="79">
        <f t="shared" si="55"/>
        <v>327730.52362529095</v>
      </c>
      <c r="BL81" s="11"/>
      <c r="BM81" s="33"/>
      <c r="BN81" s="33">
        <f t="shared" si="73"/>
        <v>9.9999999997635314E-3</v>
      </c>
      <c r="BO81" s="33">
        <f t="shared" si="74"/>
        <v>-9.0489813776593736E-2</v>
      </c>
      <c r="BP81" s="33">
        <f>IF(O81&lt;&gt;"",BO81-SUM($BN$44:BN81),"")</f>
        <v>-1.0489813778485485E-2</v>
      </c>
      <c r="BQ81" s="11">
        <f t="shared" si="17"/>
        <v>20</v>
      </c>
      <c r="BR81" s="11">
        <f>IF(BF81&lt;&gt;"",IF($B$16=listy!$K$8,'RZĄDOWY PROGRAM'!$F$3*'RZĄDOWY PROGRAM'!$F$15,BK80*$F$15),"")</f>
        <v>50</v>
      </c>
      <c r="BS81" s="11">
        <f t="shared" si="18"/>
        <v>70</v>
      </c>
      <c r="BU81" s="8">
        <f t="shared" si="44"/>
        <v>54</v>
      </c>
      <c r="BV81" s="8"/>
      <c r="BW81" s="78">
        <f>IF(BU81&lt;&gt;"",ROUND(IF($F$11="raty równe",-PMT(W81/12,$F$4-BU80+SUM($BV$28:BV81)-$CB$43,BZ80,2),BX81+BY81),2),"")</f>
        <v>3522.09</v>
      </c>
      <c r="BX81" s="78">
        <f>IF(BU81&lt;&gt;"",IF($F$11="raty malejące",MIN(BZ80/($F$4-BU80+SUM($BV$28:BV80)-SUM($CB$28:CB80)),BZ80),MIN(BW81-BY81,BZ80)),"")</f>
        <v>1135.3208152627672</v>
      </c>
      <c r="BY81" s="78">
        <f t="shared" si="77"/>
        <v>2386.769184737233</v>
      </c>
      <c r="BZ81" s="79">
        <f t="shared" si="71"/>
        <v>328074.22190711414</v>
      </c>
      <c r="CA81" s="11"/>
      <c r="CB81" s="33"/>
      <c r="CC81" s="33">
        <f t="shared" si="46"/>
        <v>9.9999999997635314E-3</v>
      </c>
      <c r="CD81" s="33">
        <f t="shared" si="75"/>
        <v>0.20413515191089326</v>
      </c>
      <c r="CE81" s="33">
        <f>IF(O81&lt;&gt;"",CD81-SUM($CC$44:CC81),"")</f>
        <v>1.4135151915386168E-2</v>
      </c>
      <c r="CF81" s="11">
        <f t="shared" si="20"/>
        <v>20</v>
      </c>
      <c r="CG81" s="11">
        <f>IF(BU81&lt;&gt;"",IF($B$16=listy!$K$8,'RZĄDOWY PROGRAM'!$F$3*'RZĄDOWY PROGRAM'!$F$15,BZ80*$F$15),"")</f>
        <v>50</v>
      </c>
      <c r="CH81" s="11">
        <f t="shared" si="21"/>
        <v>70</v>
      </c>
      <c r="CJ81" s="48">
        <f t="shared" si="22"/>
        <v>0.06</v>
      </c>
      <c r="CK81" s="18">
        <f t="shared" si="23"/>
        <v>4.8675505653430484E-3</v>
      </c>
      <c r="CL81" s="11">
        <f t="shared" si="76"/>
        <v>0</v>
      </c>
      <c r="CM81" s="11">
        <f t="shared" si="25"/>
        <v>33840.048712048592</v>
      </c>
      <c r="CN81" s="11">
        <f>IF(AB81&lt;&gt;"",CM81-SUM($CL$28:CL81),"")</f>
        <v>5663.2887120485975</v>
      </c>
    </row>
    <row r="82" spans="1:92" x14ac:dyDescent="0.45">
      <c r="A82" s="68">
        <f t="shared" si="47"/>
        <v>46388</v>
      </c>
      <c r="B82" s="8">
        <f t="shared" si="4"/>
        <v>55</v>
      </c>
      <c r="C82" s="11">
        <f t="shared" si="5"/>
        <v>3522.09</v>
      </c>
      <c r="D82" s="11">
        <f t="shared" si="6"/>
        <v>918.89767312333061</v>
      </c>
      <c r="E82" s="11">
        <f t="shared" si="7"/>
        <v>2603.1923268766695</v>
      </c>
      <c r="F82" s="9">
        <f t="shared" si="26"/>
        <v>358142.11293055519</v>
      </c>
      <c r="G82" s="10">
        <f t="shared" si="8"/>
        <v>7.0000000000000007E-2</v>
      </c>
      <c r="H82" s="10">
        <f t="shared" si="9"/>
        <v>1.7000000000000001E-2</v>
      </c>
      <c r="I82" s="48">
        <f t="shared" si="27"/>
        <v>8.7000000000000008E-2</v>
      </c>
      <c r="J82" s="11">
        <f t="shared" si="10"/>
        <v>20</v>
      </c>
      <c r="K82" s="11">
        <f>IF(B82&lt;&gt;"",IF($B$16=listy!$K$8,'RZĄDOWY PROGRAM'!$F$3*'RZĄDOWY PROGRAM'!$F$15,F81*$F$15),"")</f>
        <v>50</v>
      </c>
      <c r="L82" s="11">
        <f t="shared" si="28"/>
        <v>70</v>
      </c>
      <c r="N82" s="54">
        <f t="shared" si="48"/>
        <v>46388</v>
      </c>
      <c r="O82" s="8">
        <f t="shared" si="29"/>
        <v>55</v>
      </c>
      <c r="P82" s="8"/>
      <c r="Q82" s="11">
        <f>IF(O82&lt;&gt;"",ROUND(IF($F$11="raty równe",-PMT(W82/12,$F$4-O81+SUM($P$28:P82),T81,2),R82+S82),2),"")</f>
        <v>3522.09</v>
      </c>
      <c r="R82" s="11">
        <f>IF(O82&lt;&gt;"",IF($F$11="raty malejące",T81/($F$4-O81+SUM($P$28:P82)),IF(Q82-S82&gt;T81,T81,Q82-S82)),"")</f>
        <v>867.29891527330938</v>
      </c>
      <c r="S82" s="11">
        <f t="shared" si="68"/>
        <v>2654.7910847266908</v>
      </c>
      <c r="T82" s="9">
        <f t="shared" si="30"/>
        <v>365310.78173668397</v>
      </c>
      <c r="U82" s="10">
        <f t="shared" si="11"/>
        <v>7.0000000000000007E-2</v>
      </c>
      <c r="V82" s="10">
        <f t="shared" si="12"/>
        <v>1.7000000000000001E-2</v>
      </c>
      <c r="W82" s="48">
        <f t="shared" si="31"/>
        <v>8.7000000000000008E-2</v>
      </c>
      <c r="X82" s="11">
        <f t="shared" si="13"/>
        <v>20</v>
      </c>
      <c r="Y82" s="11">
        <f>IF(O82&lt;&gt;"",IF($B$16=listy!$K$8,'RZĄDOWY PROGRAM'!$F$3*'RZĄDOWY PROGRAM'!$F$15,T81*$F$15),"")</f>
        <v>50</v>
      </c>
      <c r="Z82" s="11">
        <f t="shared" si="32"/>
        <v>70</v>
      </c>
      <c r="AB82" s="8">
        <f t="shared" si="33"/>
        <v>55</v>
      </c>
      <c r="AC82" s="8"/>
      <c r="AD82" s="11">
        <f>IF(AB82&lt;&gt;"",ROUND(IF($F$11="raty równe",-PMT(W82/12,$F$4-AB81+SUM($AC$28:AC82),AG81,2),AE82+AF82),2),"")</f>
        <v>3280.39</v>
      </c>
      <c r="AE82" s="11">
        <f>IF(AB82&lt;&gt;"",IF($F$11="raty malejące",AG81/($F$4-AB81+SUM($AC$28:AC81)),MIN(AD82-AF82,AG81)),"")</f>
        <v>807.78367857364174</v>
      </c>
      <c r="AF82" s="11">
        <f t="shared" si="69"/>
        <v>2472.6063214263581</v>
      </c>
      <c r="AG82" s="9">
        <f t="shared" si="52"/>
        <v>340241.36410437227</v>
      </c>
      <c r="AH82" s="11"/>
      <c r="AI82" s="33">
        <f>IF(AB82&lt;&gt;"",ROUND(IF($F$11="raty równe",-PMT(W82/12,($F$4-AB81+SUM($AC$27:AC81)),AG81,2),AG81/($F$4-AB81+SUM($AC$27:AC81))+AG81*W82/12),2),"")</f>
        <v>3280.39</v>
      </c>
      <c r="AJ82" s="33">
        <f t="shared" si="34"/>
        <v>241.70000000000027</v>
      </c>
      <c r="AK82" s="33">
        <f t="shared" si="15"/>
        <v>12633.432362188403</v>
      </c>
      <c r="AL82" s="33">
        <f>IF(AB82&lt;&gt;"",AK82-SUM($AJ$28:AJ82),"")</f>
        <v>1134.5023621884029</v>
      </c>
      <c r="AM82" s="11">
        <f t="shared" si="35"/>
        <v>20</v>
      </c>
      <c r="AN82" s="11">
        <f>IF(AB82&lt;&gt;"",IF($B$16=listy!$K$8,'RZĄDOWY PROGRAM'!$F$3*'RZĄDOWY PROGRAM'!$F$15,AG81*$F$15),"")</f>
        <v>50</v>
      </c>
      <c r="AO82" s="11">
        <f t="shared" si="36"/>
        <v>70</v>
      </c>
      <c r="AQ82" s="8">
        <f t="shared" si="37"/>
        <v>55</v>
      </c>
      <c r="AR82" s="8"/>
      <c r="AS82" s="78">
        <f>IF(AQ82&lt;&gt;"",ROUND(IF($F$11="raty równe",-PMT(W82/12,$F$4-AQ81+SUM($AR$28:AR82),AV81,2),AT82+AU82),2),"")</f>
        <v>3263.82</v>
      </c>
      <c r="AT82" s="78">
        <f>IF(AQ82&lt;&gt;"",IF($F$11="raty malejące",AV81/($F$4-AQ81+SUM($AR$28:AR81)),MIN(AS82-AU82,AV81)),"")</f>
        <v>803.70107223584091</v>
      </c>
      <c r="AU82" s="78">
        <f t="shared" si="53"/>
        <v>2460.1189277641593</v>
      </c>
      <c r="AV82" s="79">
        <f t="shared" si="38"/>
        <v>338523.04758488957</v>
      </c>
      <c r="AW82" s="11"/>
      <c r="AX82" s="33">
        <f>IF(AQ82&lt;&gt;"",ROUND(IF($F$11="raty równe",-PMT(W82/12,($F$4-AQ81+SUM($AR$27:AR81)),AV81,2),AV81/($F$4-AQ81+SUM($AR$27:AR81))+AV81*W82/12),2),"")</f>
        <v>3263.82</v>
      </c>
      <c r="AY82" s="33">
        <f t="shared" si="39"/>
        <v>258.27</v>
      </c>
      <c r="AZ82" s="33">
        <f t="shared" si="72"/>
        <v>10865.097824850849</v>
      </c>
      <c r="BA82" s="33">
        <f>IF(AQ82&lt;&gt;"",AZ82-SUM($AY$44:AY82),"")</f>
        <v>792.57782485083953</v>
      </c>
      <c r="BB82" s="11">
        <f t="shared" si="40"/>
        <v>20</v>
      </c>
      <c r="BC82" s="11">
        <f>IF(AQ82&lt;&gt;"",IF($B$16=listy!$K$8,'RZĄDOWY PROGRAM'!$F$3*'RZĄDOWY PROGRAM'!$F$15,AV81*$F$15),"")</f>
        <v>50</v>
      </c>
      <c r="BD82" s="11">
        <f t="shared" si="41"/>
        <v>70</v>
      </c>
      <c r="BF82" s="8">
        <f t="shared" si="42"/>
        <v>55</v>
      </c>
      <c r="BG82" s="8"/>
      <c r="BH82" s="78">
        <f>IF(BF82&lt;&gt;"",ROUND(IF($F$11="raty równe",-PMT(W82/12,$F$4-BF81+SUM(BV$28:$BV82)-SUM($BM$29:BM82),BK81,2),BI82+BJ82),2),"")</f>
        <v>3522.1</v>
      </c>
      <c r="BI82" s="78">
        <f>IF(BF82&lt;&gt;"",IF($F$11="raty malejące",MIN(BK81/($F$4-BF81+SUM($BG$27:BG82)-SUM($BM$27:BM82)),BK81),MIN(BH82-BJ82,BK81)),"")</f>
        <v>1146.0537037166405</v>
      </c>
      <c r="BJ82" s="78">
        <f t="shared" si="54"/>
        <v>2376.0462962833594</v>
      </c>
      <c r="BK82" s="79">
        <f t="shared" si="55"/>
        <v>326584.46992157429</v>
      </c>
      <c r="BL82" s="11"/>
      <c r="BM82" s="33"/>
      <c r="BN82" s="33">
        <f t="shared" si="73"/>
        <v>-9.9999999997635314E-3</v>
      </c>
      <c r="BO82" s="33">
        <f t="shared" si="74"/>
        <v>-0.10084658940916418</v>
      </c>
      <c r="BP82" s="33">
        <f>IF(O82&lt;&gt;"",BO82-SUM($BN$44:BN82),"")</f>
        <v>-1.0846589411292393E-2</v>
      </c>
      <c r="BQ82" s="11">
        <f t="shared" si="17"/>
        <v>20</v>
      </c>
      <c r="BR82" s="11">
        <f>IF(BF82&lt;&gt;"",IF($B$16=listy!$K$8,'RZĄDOWY PROGRAM'!$F$3*'RZĄDOWY PROGRAM'!$F$15,BK81*$F$15),"")</f>
        <v>50</v>
      </c>
      <c r="BS82" s="11">
        <f t="shared" si="18"/>
        <v>70</v>
      </c>
      <c r="BU82" s="8">
        <f t="shared" si="44"/>
        <v>55</v>
      </c>
      <c r="BV82" s="8"/>
      <c r="BW82" s="78">
        <f>IF(BU82&lt;&gt;"",ROUND(IF($F$11="raty równe",-PMT(W82/12,$F$4-BU81+SUM($BV$28:BV82)-$CB$43,BZ81,2),BX82+BY82),2),"")</f>
        <v>3522.09</v>
      </c>
      <c r="BX82" s="78">
        <f>IF(BU82&lt;&gt;"",IF($F$11="raty malejące",MIN(BZ81/($F$4-BU81+SUM($BV$28:BV81)-SUM($CB$28:CB81)),BZ81),MIN(BW82-BY82,BZ81)),"")</f>
        <v>1143.5518911734225</v>
      </c>
      <c r="BY82" s="78">
        <f t="shared" si="77"/>
        <v>2378.5381088265776</v>
      </c>
      <c r="BZ82" s="79">
        <f t="shared" si="71"/>
        <v>326930.67001594073</v>
      </c>
      <c r="CA82" s="11"/>
      <c r="CB82" s="33"/>
      <c r="CC82" s="33">
        <f t="shared" si="46"/>
        <v>0</v>
      </c>
      <c r="CD82" s="33">
        <f t="shared" si="75"/>
        <v>0.20493999883190639</v>
      </c>
      <c r="CE82" s="33">
        <f>IF(O82&lt;&gt;"",CD82-SUM($CC$44:CC82),"")</f>
        <v>1.4939998836399293E-2</v>
      </c>
      <c r="CF82" s="11">
        <f t="shared" si="20"/>
        <v>20</v>
      </c>
      <c r="CG82" s="11">
        <f>IF(BU82&lt;&gt;"",IF($B$16=listy!$K$8,'RZĄDOWY PROGRAM'!$F$3*'RZĄDOWY PROGRAM'!$F$15,BZ81*$F$15),"")</f>
        <v>50</v>
      </c>
      <c r="CH82" s="11">
        <f t="shared" si="21"/>
        <v>70</v>
      </c>
      <c r="CJ82" s="48">
        <f t="shared" si="22"/>
        <v>0.06</v>
      </c>
      <c r="CK82" s="18">
        <f t="shared" si="23"/>
        <v>4.8675505653430484E-3</v>
      </c>
      <c r="CL82" s="11">
        <f t="shared" si="76"/>
        <v>0</v>
      </c>
      <c r="CM82" s="11">
        <f t="shared" si="25"/>
        <v>33973.470412122646</v>
      </c>
      <c r="CN82" s="11">
        <f>IF(AB82&lt;&gt;"",CM82-SUM($CL$28:CL82),"")</f>
        <v>5796.7104121226512</v>
      </c>
    </row>
    <row r="83" spans="1:92" x14ac:dyDescent="0.45">
      <c r="A83" s="68">
        <f t="shared" si="47"/>
        <v>46419</v>
      </c>
      <c r="B83" s="8">
        <f t="shared" si="4"/>
        <v>56</v>
      </c>
      <c r="C83" s="11">
        <f t="shared" si="5"/>
        <v>3522.1</v>
      </c>
      <c r="D83" s="11">
        <f t="shared" si="6"/>
        <v>925.5696812534743</v>
      </c>
      <c r="E83" s="11">
        <f t="shared" si="7"/>
        <v>2596.5303187465256</v>
      </c>
      <c r="F83" s="9">
        <f t="shared" si="26"/>
        <v>357216.54324930173</v>
      </c>
      <c r="G83" s="10">
        <f t="shared" si="8"/>
        <v>7.0000000000000007E-2</v>
      </c>
      <c r="H83" s="10">
        <f t="shared" si="9"/>
        <v>1.7000000000000001E-2</v>
      </c>
      <c r="I83" s="48">
        <f t="shared" si="27"/>
        <v>8.7000000000000008E-2</v>
      </c>
      <c r="J83" s="11">
        <f t="shared" si="10"/>
        <v>20</v>
      </c>
      <c r="K83" s="11">
        <f>IF(B83&lt;&gt;"",IF($B$16=listy!$K$8,'RZĄDOWY PROGRAM'!$F$3*'RZĄDOWY PROGRAM'!$F$15,F82*$F$15),"")</f>
        <v>50</v>
      </c>
      <c r="L83" s="11">
        <f t="shared" si="28"/>
        <v>70</v>
      </c>
      <c r="N83" s="54">
        <f t="shared" si="48"/>
        <v>46419</v>
      </c>
      <c r="O83" s="8">
        <f t="shared" si="29"/>
        <v>56</v>
      </c>
      <c r="P83" s="8"/>
      <c r="Q83" s="11">
        <f>IF(O83&lt;&gt;"",ROUND(IF($F$11="raty równe",-PMT(W83/12,$F$4-O82+SUM($P$28:P83),T82,2),R83+S83),2),"")</f>
        <v>3522.1</v>
      </c>
      <c r="R83" s="11">
        <f>IF(O83&lt;&gt;"",IF($F$11="raty malejące",T82/($F$4-O82+SUM($P$28:P83)),IF(Q83-S83&gt;T82,T82,Q83-S83)),"")</f>
        <v>873.59683240904087</v>
      </c>
      <c r="S83" s="11">
        <f t="shared" si="68"/>
        <v>2648.503167590959</v>
      </c>
      <c r="T83" s="9">
        <f t="shared" si="30"/>
        <v>364437.18490427494</v>
      </c>
      <c r="U83" s="10">
        <f t="shared" si="11"/>
        <v>7.0000000000000007E-2</v>
      </c>
      <c r="V83" s="10">
        <f t="shared" si="12"/>
        <v>1.7000000000000001E-2</v>
      </c>
      <c r="W83" s="48">
        <f t="shared" si="31"/>
        <v>8.7000000000000008E-2</v>
      </c>
      <c r="X83" s="11">
        <f t="shared" si="13"/>
        <v>20</v>
      </c>
      <c r="Y83" s="11">
        <f>IF(O83&lt;&gt;"",IF($B$16=listy!$K$8,'RZĄDOWY PROGRAM'!$F$3*'RZĄDOWY PROGRAM'!$F$15,T82*$F$15),"")</f>
        <v>50</v>
      </c>
      <c r="Z83" s="11">
        <f t="shared" si="32"/>
        <v>70</v>
      </c>
      <c r="AB83" s="8">
        <f t="shared" si="33"/>
        <v>56</v>
      </c>
      <c r="AC83" s="8"/>
      <c r="AD83" s="11">
        <f>IF(AB83&lt;&gt;"",ROUND(IF($F$11="raty równe",-PMT(W83/12,$F$4-AB82+SUM($AC$28:AC83),AG82,2),AE83+AF83),2),"")</f>
        <v>3280.39</v>
      </c>
      <c r="AE83" s="11">
        <f>IF(AB83&lt;&gt;"",IF($F$11="raty malejące",AG82/($F$4-AB82+SUM($AC$28:AC82)),MIN(AD83-AF83,AG82)),"")</f>
        <v>813.64011024330057</v>
      </c>
      <c r="AF83" s="11">
        <f t="shared" si="69"/>
        <v>2466.7498897566993</v>
      </c>
      <c r="AG83" s="9">
        <f t="shared" si="52"/>
        <v>339427.72399412899</v>
      </c>
      <c r="AH83" s="11"/>
      <c r="AI83" s="33">
        <f>IF(AB83&lt;&gt;"",ROUND(IF($F$11="raty równe",-PMT(W83/12,($F$4-AB82+SUM($AC$27:AC82)),AG82,2),AG82/($F$4-AB82+SUM($AC$27:AC82))+AG82*W83/12),2),"")</f>
        <v>3280.39</v>
      </c>
      <c r="AJ83" s="33">
        <f t="shared" si="34"/>
        <v>241.71000000000004</v>
      </c>
      <c r="AK83" s="33">
        <f t="shared" si="15"/>
        <v>12924.952397566205</v>
      </c>
      <c r="AL83" s="33">
        <f>IF(AB83&lt;&gt;"",AK83-SUM($AJ$28:AJ83),"")</f>
        <v>1184.3123975662056</v>
      </c>
      <c r="AM83" s="11">
        <f t="shared" si="35"/>
        <v>20</v>
      </c>
      <c r="AN83" s="11">
        <f>IF(AB83&lt;&gt;"",IF($B$16=listy!$K$8,'RZĄDOWY PROGRAM'!$F$3*'RZĄDOWY PROGRAM'!$F$15,AG82*$F$15),"")</f>
        <v>50</v>
      </c>
      <c r="AO83" s="11">
        <f t="shared" si="36"/>
        <v>70</v>
      </c>
      <c r="AQ83" s="8">
        <f t="shared" si="37"/>
        <v>56</v>
      </c>
      <c r="AR83" s="8"/>
      <c r="AS83" s="78">
        <f>IF(AQ83&lt;&gt;"",ROUND(IF($F$11="raty równe",-PMT(W83/12,$F$4-AQ82+SUM($AR$28:AR83),AV82,2),AT83+AU83),2),"")</f>
        <v>3263.83</v>
      </c>
      <c r="AT83" s="78">
        <f>IF(AQ83&lt;&gt;"",IF($F$11="raty malejące",AV82/($F$4-AQ82+SUM($AR$28:AR82)),MIN(AS83-AU83,AV82)),"")</f>
        <v>809.53790500955029</v>
      </c>
      <c r="AU83" s="78">
        <f t="shared" si="53"/>
        <v>2454.2920949904496</v>
      </c>
      <c r="AV83" s="79">
        <f t="shared" si="38"/>
        <v>337713.50967988005</v>
      </c>
      <c r="AW83" s="11"/>
      <c r="AX83" s="33">
        <f>IF(AQ83&lt;&gt;"",ROUND(IF($F$11="raty równe",-PMT(W83/12,($F$4-AQ82+SUM($AR$27:AR82)),AV82,2),AV82/($F$4-AQ82+SUM($AR$27:AR82))+AV82*W83/12),2),"")</f>
        <v>3263.83</v>
      </c>
      <c r="AY83" s="33">
        <f t="shared" si="39"/>
        <v>258.27</v>
      </c>
      <c r="AZ83" s="33">
        <f t="shared" si="72"/>
        <v>11166.205819429337</v>
      </c>
      <c r="BA83" s="33">
        <f>IF(AQ83&lt;&gt;"",AZ83-SUM($AY$44:AY83),"")</f>
        <v>835.4158194293268</v>
      </c>
      <c r="BB83" s="11">
        <f t="shared" si="40"/>
        <v>20</v>
      </c>
      <c r="BC83" s="11">
        <f>IF(AQ83&lt;&gt;"",IF($B$16=listy!$K$8,'RZĄDOWY PROGRAM'!$F$3*'RZĄDOWY PROGRAM'!$F$15,AV82*$F$15),"")</f>
        <v>50</v>
      </c>
      <c r="BD83" s="11">
        <f t="shared" si="41"/>
        <v>70</v>
      </c>
      <c r="BF83" s="8">
        <f t="shared" si="42"/>
        <v>56</v>
      </c>
      <c r="BG83" s="8"/>
      <c r="BH83" s="78">
        <f>IF(BF83&lt;&gt;"",ROUND(IF($F$11="raty równe",-PMT(W83/12,$F$4-BF82+SUM(BV$28:$BV83)-SUM($BM$29:BM83),BK82,2),BI83+BJ83),2),"")</f>
        <v>3522.09</v>
      </c>
      <c r="BI83" s="78">
        <f>IF(BF83&lt;&gt;"",IF($F$11="raty malejące",MIN(BK82/($F$4-BF82+SUM($BG$27:BG83)-SUM($BM$27:BM83)),BK82),MIN(BH83-BJ83,BK82)),"")</f>
        <v>1154.3525930685864</v>
      </c>
      <c r="BJ83" s="78">
        <f t="shared" si="54"/>
        <v>2367.7374069314137</v>
      </c>
      <c r="BK83" s="79">
        <f t="shared" si="55"/>
        <v>325430.11732850573</v>
      </c>
      <c r="BL83" s="11"/>
      <c r="BM83" s="33"/>
      <c r="BN83" s="33">
        <f t="shared" si="73"/>
        <v>9.9999999997635314E-3</v>
      </c>
      <c r="BO83" s="33">
        <f t="shared" si="74"/>
        <v>-9.1244198866766768E-2</v>
      </c>
      <c r="BP83" s="33">
        <f>IF(O83&lt;&gt;"",BO83-SUM($BN$44:BN83),"")</f>
        <v>-1.1244198868658517E-2</v>
      </c>
      <c r="BQ83" s="11">
        <f t="shared" si="17"/>
        <v>20</v>
      </c>
      <c r="BR83" s="11">
        <f>IF(BF83&lt;&gt;"",IF($B$16=listy!$K$8,'RZĄDOWY PROGRAM'!$F$3*'RZĄDOWY PROGRAM'!$F$15,BK82*$F$15),"")</f>
        <v>50</v>
      </c>
      <c r="BS83" s="11">
        <f t="shared" si="18"/>
        <v>70</v>
      </c>
      <c r="BU83" s="8">
        <f t="shared" si="44"/>
        <v>56</v>
      </c>
      <c r="BV83" s="8"/>
      <c r="BW83" s="78">
        <f>IF(BU83&lt;&gt;"",ROUND(IF($F$11="raty równe",-PMT(W83/12,$F$4-BU82+SUM($BV$28:BV83)-$CB$43,BZ82,2),BX83+BY83),2),"")</f>
        <v>3522.09</v>
      </c>
      <c r="BX83" s="78">
        <f>IF(BU83&lt;&gt;"",IF($F$11="raty malejące",MIN(BZ82/($F$4-BU82+SUM($BV$28:BV82)-SUM($CB$28:CB82)),BZ82),MIN(BW83-BY83,BZ82)),"")</f>
        <v>1151.8426423844298</v>
      </c>
      <c r="BY83" s="78">
        <f t="shared" si="77"/>
        <v>2370.2473576155703</v>
      </c>
      <c r="BZ83" s="79">
        <f t="shared" si="71"/>
        <v>325778.82737355633</v>
      </c>
      <c r="CA83" s="11"/>
      <c r="CB83" s="33"/>
      <c r="CC83" s="33">
        <f t="shared" si="46"/>
        <v>9.9999999997635314E-3</v>
      </c>
      <c r="CD83" s="33">
        <f t="shared" si="75"/>
        <v>0.21574801903548221</v>
      </c>
      <c r="CE83" s="33">
        <f>IF(O83&lt;&gt;"",CD83-SUM($CC$44:CC83),"")</f>
        <v>1.5748019040211586E-2</v>
      </c>
      <c r="CF83" s="11">
        <f t="shared" si="20"/>
        <v>20</v>
      </c>
      <c r="CG83" s="11">
        <f>IF(BU83&lt;&gt;"",IF($B$16=listy!$K$8,'RZĄDOWY PROGRAM'!$F$3*'RZĄDOWY PROGRAM'!$F$15,BZ82*$F$15),"")</f>
        <v>50</v>
      </c>
      <c r="CH83" s="11">
        <f t="shared" si="21"/>
        <v>70</v>
      </c>
      <c r="CJ83" s="48">
        <f t="shared" si="22"/>
        <v>0.06</v>
      </c>
      <c r="CK83" s="18">
        <f t="shared" si="23"/>
        <v>4.8675505653430484E-3</v>
      </c>
      <c r="CL83" s="11">
        <f t="shared" si="76"/>
        <v>0</v>
      </c>
      <c r="CM83" s="11">
        <f t="shared" si="25"/>
        <v>34107.418156062711</v>
      </c>
      <c r="CN83" s="11">
        <f>IF(AB83&lt;&gt;"",CM83-SUM($CL$28:CL83),"")</f>
        <v>5930.6581560627164</v>
      </c>
    </row>
    <row r="84" spans="1:92" x14ac:dyDescent="0.45">
      <c r="A84" s="68">
        <f t="shared" si="47"/>
        <v>46447</v>
      </c>
      <c r="B84" s="8">
        <f t="shared" si="4"/>
        <v>57</v>
      </c>
      <c r="C84" s="11">
        <f t="shared" si="5"/>
        <v>3522.09</v>
      </c>
      <c r="D84" s="11">
        <f t="shared" si="6"/>
        <v>932.27006144256256</v>
      </c>
      <c r="E84" s="11">
        <f t="shared" si="7"/>
        <v>2589.8199385574376</v>
      </c>
      <c r="F84" s="9">
        <f t="shared" si="26"/>
        <v>356284.27318785916</v>
      </c>
      <c r="G84" s="10">
        <f t="shared" si="8"/>
        <v>7.0000000000000007E-2</v>
      </c>
      <c r="H84" s="10">
        <f t="shared" si="9"/>
        <v>1.7000000000000001E-2</v>
      </c>
      <c r="I84" s="48">
        <f t="shared" si="27"/>
        <v>8.7000000000000008E-2</v>
      </c>
      <c r="J84" s="11">
        <f t="shared" si="10"/>
        <v>20</v>
      </c>
      <c r="K84" s="11">
        <f>IF(B84&lt;&gt;"",IF($B$16=listy!$K$8,'RZĄDOWY PROGRAM'!$F$3*'RZĄDOWY PROGRAM'!$F$15,F83*$F$15),"")</f>
        <v>50</v>
      </c>
      <c r="L84" s="11">
        <f t="shared" si="28"/>
        <v>70</v>
      </c>
      <c r="N84" s="54">
        <f t="shared" si="48"/>
        <v>46447</v>
      </c>
      <c r="O84" s="8">
        <f t="shared" si="29"/>
        <v>57</v>
      </c>
      <c r="P84" s="8"/>
      <c r="Q84" s="11">
        <f>IF(O84&lt;&gt;"",ROUND(IF($F$11="raty równe",-PMT(W84/12,$F$4-O83+SUM($P$28:P84),T83,2),R84+S84),2),"")</f>
        <v>3522.09</v>
      </c>
      <c r="R84" s="11">
        <f>IF(O84&lt;&gt;"",IF($F$11="raty malejące",T83/($F$4-O83+SUM($P$28:P84)),IF(Q84-S84&gt;T83,T83,Q84-S84)),"")</f>
        <v>879.92040944400651</v>
      </c>
      <c r="S84" s="11">
        <f t="shared" si="68"/>
        <v>2642.1695905559936</v>
      </c>
      <c r="T84" s="9">
        <f t="shared" si="30"/>
        <v>363557.26449483092</v>
      </c>
      <c r="U84" s="10">
        <f t="shared" si="11"/>
        <v>7.0000000000000007E-2</v>
      </c>
      <c r="V84" s="10">
        <f t="shared" si="12"/>
        <v>1.7000000000000001E-2</v>
      </c>
      <c r="W84" s="48">
        <f t="shared" si="31"/>
        <v>8.7000000000000008E-2</v>
      </c>
      <c r="X84" s="11">
        <f t="shared" si="13"/>
        <v>20</v>
      </c>
      <c r="Y84" s="11">
        <f>IF(O84&lt;&gt;"",IF($B$16=listy!$K$8,'RZĄDOWY PROGRAM'!$F$3*'RZĄDOWY PROGRAM'!$F$15,T83*$F$15),"")</f>
        <v>50</v>
      </c>
      <c r="Z84" s="11">
        <f t="shared" si="32"/>
        <v>70</v>
      </c>
      <c r="AB84" s="8">
        <f t="shared" si="33"/>
        <v>57</v>
      </c>
      <c r="AC84" s="8"/>
      <c r="AD84" s="11">
        <f>IF(AB84&lt;&gt;"",ROUND(IF($F$11="raty równe",-PMT(W84/12,$F$4-AB83+SUM($AC$28:AC84),AG83,2),AE84+AF84),2),"")</f>
        <v>3280.39</v>
      </c>
      <c r="AE84" s="11">
        <f>IF(AB84&lt;&gt;"",IF($F$11="raty malejące",AG83/($F$4-AB83+SUM($AC$28:AC83)),MIN(AD84-AF84,AG83)),"")</f>
        <v>819.53900104256445</v>
      </c>
      <c r="AF84" s="11">
        <f t="shared" si="69"/>
        <v>2460.8509989574354</v>
      </c>
      <c r="AG84" s="9">
        <f t="shared" si="52"/>
        <v>338608.18499308644</v>
      </c>
      <c r="AH84" s="11"/>
      <c r="AI84" s="33">
        <f>IF(AB84&lt;&gt;"",ROUND(IF($F$11="raty równe",-PMT(W84/12,($F$4-AB83+SUM($AC$27:AC83)),AG83,2),AG83/($F$4-AB83+SUM($AC$27:AC83))+AG83*W84/12),2),"")</f>
        <v>3280.39</v>
      </c>
      <c r="AJ84" s="33">
        <f t="shared" si="34"/>
        <v>241.70000000000027</v>
      </c>
      <c r="AK84" s="33">
        <f t="shared" si="15"/>
        <v>13217.611813639549</v>
      </c>
      <c r="AL84" s="33">
        <f>IF(AB84&lt;&gt;"",AK84-SUM($AJ$28:AJ84),"")</f>
        <v>1235.2718136395488</v>
      </c>
      <c r="AM84" s="11">
        <f t="shared" si="35"/>
        <v>20</v>
      </c>
      <c r="AN84" s="11">
        <f>IF(AB84&lt;&gt;"",IF($B$16=listy!$K$8,'RZĄDOWY PROGRAM'!$F$3*'RZĄDOWY PROGRAM'!$F$15,AG83*$F$15),"")</f>
        <v>50</v>
      </c>
      <c r="AO84" s="11">
        <f t="shared" si="36"/>
        <v>70</v>
      </c>
      <c r="AQ84" s="8">
        <f t="shared" si="37"/>
        <v>57</v>
      </c>
      <c r="AR84" s="8"/>
      <c r="AS84" s="78">
        <f>IF(AQ84&lt;&gt;"",ROUND(IF($F$11="raty równe",-PMT(W84/12,$F$4-AQ83+SUM($AR$28:AR84),AV83,2),AT84+AU84),2),"")</f>
        <v>3263.82</v>
      </c>
      <c r="AT84" s="78">
        <f>IF(AQ84&lt;&gt;"",IF($F$11="raty malejące",AV83/($F$4-AQ83+SUM($AR$28:AR83)),MIN(AS84-AU84,AV83)),"")</f>
        <v>815.39705482086947</v>
      </c>
      <c r="AU84" s="78">
        <f t="shared" si="53"/>
        <v>2448.4229451791307</v>
      </c>
      <c r="AV84" s="79">
        <f t="shared" si="38"/>
        <v>336898.11262505921</v>
      </c>
      <c r="AW84" s="11"/>
      <c r="AX84" s="33">
        <f>IF(AQ84&lt;&gt;"",ROUND(IF($F$11="raty równe",-PMT(W84/12,($F$4-AQ83+SUM($AR$27:AR83)),AV83,2),AV83/($F$4-AQ83+SUM($AR$27:AR83))+AV83*W84/12),2),"")</f>
        <v>3263.82</v>
      </c>
      <c r="AY84" s="33">
        <f t="shared" si="39"/>
        <v>258.27</v>
      </c>
      <c r="AZ84" s="33">
        <f t="shared" si="72"/>
        <v>11468.500997303108</v>
      </c>
      <c r="BA84" s="33">
        <f>IF(AQ84&lt;&gt;"",AZ84-SUM($AY$44:AY84),"")</f>
        <v>879.4409973030979</v>
      </c>
      <c r="BB84" s="11">
        <f t="shared" si="40"/>
        <v>20</v>
      </c>
      <c r="BC84" s="11">
        <f>IF(AQ84&lt;&gt;"",IF($B$16=listy!$K$8,'RZĄDOWY PROGRAM'!$F$3*'RZĄDOWY PROGRAM'!$F$15,AV83*$F$15),"")</f>
        <v>50</v>
      </c>
      <c r="BD84" s="11">
        <f t="shared" si="41"/>
        <v>70</v>
      </c>
      <c r="BF84" s="8">
        <f t="shared" si="42"/>
        <v>57</v>
      </c>
      <c r="BG84" s="8"/>
      <c r="BH84" s="78">
        <f>IF(BF84&lt;&gt;"",ROUND(IF($F$11="raty równe",-PMT(W84/12,$F$4-BF83+SUM(BV$28:$BV84)-SUM($BM$29:BM84),BK83,2),BI84+BJ84),2),"")</f>
        <v>3522.1</v>
      </c>
      <c r="BI84" s="78">
        <f>IF(BF84&lt;&gt;"",IF($F$11="raty malejące",MIN(BK83/($F$4-BF83+SUM($BG$27:BG84)-SUM($BM$27:BM84)),BK83),MIN(BH84-BJ84,BK83)),"")</f>
        <v>1162.7316493683329</v>
      </c>
      <c r="BJ84" s="78">
        <f t="shared" si="54"/>
        <v>2359.368350631667</v>
      </c>
      <c r="BK84" s="79">
        <f t="shared" si="55"/>
        <v>324267.38567913737</v>
      </c>
      <c r="BL84" s="11"/>
      <c r="BM84" s="33"/>
      <c r="BN84" s="33">
        <f t="shared" si="73"/>
        <v>-9.9999999997635314E-3</v>
      </c>
      <c r="BO84" s="33">
        <f t="shared" si="74"/>
        <v>-0.10160394882547065</v>
      </c>
      <c r="BP84" s="33">
        <f>IF(O84&lt;&gt;"",BO84-SUM($BN$44:BN84),"")</f>
        <v>-1.1603948827598867E-2</v>
      </c>
      <c r="BQ84" s="11">
        <f t="shared" si="17"/>
        <v>20</v>
      </c>
      <c r="BR84" s="11">
        <f>IF(BF84&lt;&gt;"",IF($B$16=listy!$K$8,'RZĄDOWY PROGRAM'!$F$3*'RZĄDOWY PROGRAM'!$F$15,BK83*$F$15),"")</f>
        <v>50</v>
      </c>
      <c r="BS84" s="11">
        <f t="shared" si="18"/>
        <v>70</v>
      </c>
      <c r="BU84" s="8">
        <f t="shared" si="44"/>
        <v>57</v>
      </c>
      <c r="BV84" s="8"/>
      <c r="BW84" s="78">
        <f>IF(BU84&lt;&gt;"",ROUND(IF($F$11="raty równe",-PMT(W84/12,$F$4-BU83+SUM($BV$28:BV84)-$CB$43,BZ83,2),BX84+BY84),2),"")</f>
        <v>3522.09</v>
      </c>
      <c r="BX84" s="78">
        <f>IF(BU84&lt;&gt;"",IF($F$11="raty malejące",MIN(BZ83/($F$4-BU83+SUM($BV$28:BV83)-SUM($CB$28:CB83)),BZ83),MIN(BW84-BY84,BZ83)),"")</f>
        <v>1160.1935015417166</v>
      </c>
      <c r="BY84" s="78">
        <f t="shared" si="77"/>
        <v>2361.8964984582835</v>
      </c>
      <c r="BZ84" s="79">
        <f t="shared" si="71"/>
        <v>324618.63387201459</v>
      </c>
      <c r="CA84" s="11"/>
      <c r="CB84" s="33"/>
      <c r="CC84" s="33">
        <f t="shared" si="46"/>
        <v>0</v>
      </c>
      <c r="CD84" s="33">
        <f t="shared" si="75"/>
        <v>0.21659865219302474</v>
      </c>
      <c r="CE84" s="33">
        <f>IF(O84&lt;&gt;"",CD84-SUM($CC$44:CC84),"")</f>
        <v>1.659865219775411E-2</v>
      </c>
      <c r="CF84" s="11">
        <f t="shared" si="20"/>
        <v>20</v>
      </c>
      <c r="CG84" s="11">
        <f>IF(BU84&lt;&gt;"",IF($B$16=listy!$K$8,'RZĄDOWY PROGRAM'!$F$3*'RZĄDOWY PROGRAM'!$F$15,BZ83*$F$15),"")</f>
        <v>50</v>
      </c>
      <c r="CH84" s="11">
        <f t="shared" si="21"/>
        <v>70</v>
      </c>
      <c r="CJ84" s="48">
        <f t="shared" si="22"/>
        <v>0.06</v>
      </c>
      <c r="CK84" s="18">
        <f t="shared" si="23"/>
        <v>4.8675505653430484E-3</v>
      </c>
      <c r="CL84" s="11">
        <f t="shared" si="76"/>
        <v>0</v>
      </c>
      <c r="CM84" s="11">
        <f t="shared" si="25"/>
        <v>34241.894017910337</v>
      </c>
      <c r="CN84" s="11">
        <f>IF(AB84&lt;&gt;"",CM84-SUM($CL$28:CL84),"")</f>
        <v>6065.1340179103427</v>
      </c>
    </row>
    <row r="85" spans="1:92" x14ac:dyDescent="0.45">
      <c r="A85" s="68">
        <f t="shared" si="47"/>
        <v>46478</v>
      </c>
      <c r="B85" s="8">
        <f t="shared" si="4"/>
        <v>58</v>
      </c>
      <c r="C85" s="11">
        <f t="shared" si="5"/>
        <v>3522.1</v>
      </c>
      <c r="D85" s="11">
        <f t="shared" si="6"/>
        <v>939.03901938802073</v>
      </c>
      <c r="E85" s="11">
        <f t="shared" si="7"/>
        <v>2583.0609806119792</v>
      </c>
      <c r="F85" s="9">
        <f t="shared" si="26"/>
        <v>355345.23416847113</v>
      </c>
      <c r="G85" s="10">
        <f t="shared" si="8"/>
        <v>7.0000000000000007E-2</v>
      </c>
      <c r="H85" s="10">
        <f t="shared" si="9"/>
        <v>1.7000000000000001E-2</v>
      </c>
      <c r="I85" s="48">
        <f t="shared" si="27"/>
        <v>8.7000000000000008E-2</v>
      </c>
      <c r="J85" s="11">
        <f t="shared" si="10"/>
        <v>20</v>
      </c>
      <c r="K85" s="11">
        <f>IF(B85&lt;&gt;"",IF($B$16=listy!$K$8,'RZĄDOWY PROGRAM'!$F$3*'RZĄDOWY PROGRAM'!$F$15,F84*$F$15),"")</f>
        <v>50</v>
      </c>
      <c r="L85" s="11">
        <f t="shared" si="28"/>
        <v>70</v>
      </c>
      <c r="N85" s="54">
        <f t="shared" si="48"/>
        <v>46478</v>
      </c>
      <c r="O85" s="8">
        <f t="shared" si="29"/>
        <v>58</v>
      </c>
      <c r="P85" s="8"/>
      <c r="Q85" s="11">
        <f>IF(O85&lt;&gt;"",ROUND(IF($F$11="raty równe",-PMT(W85/12,$F$4-O84+SUM($P$28:P85),T84,2),R85+S85),2),"")</f>
        <v>3522.1</v>
      </c>
      <c r="R85" s="11">
        <f>IF(O85&lt;&gt;"",IF($F$11="raty malejące",T84/($F$4-O84+SUM($P$28:P85)),IF(Q85-S85&gt;T84,T84,Q85-S85)),"")</f>
        <v>886.30983241247577</v>
      </c>
      <c r="S85" s="11">
        <f t="shared" si="68"/>
        <v>2635.7901675875241</v>
      </c>
      <c r="T85" s="9">
        <f t="shared" si="30"/>
        <v>362670.95466241846</v>
      </c>
      <c r="U85" s="10">
        <f t="shared" si="11"/>
        <v>7.0000000000000007E-2</v>
      </c>
      <c r="V85" s="10">
        <f t="shared" si="12"/>
        <v>1.7000000000000001E-2</v>
      </c>
      <c r="W85" s="48">
        <f t="shared" si="31"/>
        <v>8.7000000000000008E-2</v>
      </c>
      <c r="X85" s="11">
        <f t="shared" si="13"/>
        <v>20</v>
      </c>
      <c r="Y85" s="11">
        <f>IF(O85&lt;&gt;"",IF($B$16=listy!$K$8,'RZĄDOWY PROGRAM'!$F$3*'RZĄDOWY PROGRAM'!$F$15,T84*$F$15),"")</f>
        <v>50</v>
      </c>
      <c r="Z85" s="11">
        <f t="shared" si="32"/>
        <v>70</v>
      </c>
      <c r="AB85" s="8">
        <f t="shared" si="33"/>
        <v>58</v>
      </c>
      <c r="AC85" s="8"/>
      <c r="AD85" s="11">
        <f>IF(AB85&lt;&gt;"",ROUND(IF($F$11="raty równe",-PMT(W85/12,$F$4-AB84+SUM($AC$28:AC85),AG84,2),AE85+AF85),2),"")</f>
        <v>3280.39</v>
      </c>
      <c r="AE85" s="11">
        <f>IF(AB85&lt;&gt;"",IF($F$11="raty malejące",AG84/($F$4-AB84+SUM($AC$28:AC84)),MIN(AD85-AF85,AG84)),"")</f>
        <v>825.48065880012291</v>
      </c>
      <c r="AF85" s="11">
        <f t="shared" si="69"/>
        <v>2454.909341199877</v>
      </c>
      <c r="AG85" s="9">
        <f t="shared" si="52"/>
        <v>337782.70433428633</v>
      </c>
      <c r="AH85" s="11"/>
      <c r="AI85" s="33">
        <f>IF(AB85&lt;&gt;"",ROUND(IF($F$11="raty równe",-PMT(W85/12,($F$4-AB84+SUM($AC$27:AC84)),AG84,2),AG84/($F$4-AB84+SUM($AC$27:AC84))+AG84*W85/12),2),"")</f>
        <v>3280.39</v>
      </c>
      <c r="AJ85" s="33">
        <f t="shared" si="34"/>
        <v>241.71000000000004</v>
      </c>
      <c r="AK85" s="33">
        <f t="shared" si="15"/>
        <v>13511.435102662883</v>
      </c>
      <c r="AL85" s="33">
        <f>IF(AB85&lt;&gt;"",AK85-SUM($AJ$28:AJ85),"")</f>
        <v>1287.3851026628836</v>
      </c>
      <c r="AM85" s="11">
        <f t="shared" si="35"/>
        <v>20</v>
      </c>
      <c r="AN85" s="11">
        <f>IF(AB85&lt;&gt;"",IF($B$16=listy!$K$8,'RZĄDOWY PROGRAM'!$F$3*'RZĄDOWY PROGRAM'!$F$15,AG84*$F$15),"")</f>
        <v>50</v>
      </c>
      <c r="AO85" s="11">
        <f t="shared" si="36"/>
        <v>70</v>
      </c>
      <c r="AQ85" s="8">
        <f t="shared" si="37"/>
        <v>58</v>
      </c>
      <c r="AR85" s="8"/>
      <c r="AS85" s="78">
        <f>IF(AQ85&lt;&gt;"",ROUND(IF($F$11="raty równe",-PMT(W85/12,$F$4-AQ84+SUM($AR$28:AR85),AV84,2),AT85+AU85),2),"")</f>
        <v>3263.83</v>
      </c>
      <c r="AT85" s="78">
        <f>IF(AQ85&lt;&gt;"",IF($F$11="raty malejące",AV84/($F$4-AQ84+SUM($AR$28:AR84)),MIN(AS85-AU85,AV84)),"")</f>
        <v>821.31868346832061</v>
      </c>
      <c r="AU85" s="78">
        <f t="shared" si="53"/>
        <v>2442.5113165316793</v>
      </c>
      <c r="AV85" s="79">
        <f t="shared" si="38"/>
        <v>336076.79394159088</v>
      </c>
      <c r="AW85" s="11"/>
      <c r="AX85" s="33">
        <f>IF(AQ85&lt;&gt;"",ROUND(IF($F$11="raty równe",-PMT(W85/12,($F$4-AQ84+SUM($AR$27:AR84)),AV84,2),AV84/($F$4-AQ84+SUM($AR$27:AR84))+AV84*W85/12),2),"")</f>
        <v>3263.83</v>
      </c>
      <c r="AY85" s="33">
        <f t="shared" si="39"/>
        <v>258.27</v>
      </c>
      <c r="AZ85" s="33">
        <f t="shared" si="72"/>
        <v>11771.988039198688</v>
      </c>
      <c r="BA85" s="33">
        <f>IF(AQ85&lt;&gt;"",AZ85-SUM($AY$44:AY85),"")</f>
        <v>924.65803919867722</v>
      </c>
      <c r="BB85" s="11">
        <f t="shared" si="40"/>
        <v>20</v>
      </c>
      <c r="BC85" s="11">
        <f>IF(AQ85&lt;&gt;"",IF($B$16=listy!$K$8,'RZĄDOWY PROGRAM'!$F$3*'RZĄDOWY PROGRAM'!$F$15,AV84*$F$15),"")</f>
        <v>50</v>
      </c>
      <c r="BD85" s="11">
        <f t="shared" si="41"/>
        <v>70</v>
      </c>
      <c r="BF85" s="8">
        <f t="shared" si="42"/>
        <v>58</v>
      </c>
      <c r="BG85" s="8"/>
      <c r="BH85" s="78">
        <f>IF(BF85&lt;&gt;"",ROUND(IF($F$11="raty równe",-PMT(W85/12,$F$4-BF84+SUM(BV$28:$BV85)-SUM($BM$29:BM85),BK84,2),BI85+BJ85),2),"")</f>
        <v>3522.09</v>
      </c>
      <c r="BI85" s="78">
        <f>IF(BF85&lt;&gt;"",IF($F$11="raty malejące",MIN(BK84/($F$4-BF84+SUM($BG$27:BG85)-SUM($BM$27:BM85)),BK84),MIN(BH85-BJ85,BK84)),"")</f>
        <v>1171.1514538262541</v>
      </c>
      <c r="BJ85" s="78">
        <f t="shared" si="54"/>
        <v>2350.9385461737461</v>
      </c>
      <c r="BK85" s="79">
        <f t="shared" si="55"/>
        <v>323096.23422531114</v>
      </c>
      <c r="BL85" s="11"/>
      <c r="BM85" s="33"/>
      <c r="BN85" s="33">
        <f t="shared" si="73"/>
        <v>9.9999999997635314E-3</v>
      </c>
      <c r="BO85" s="33">
        <f t="shared" si="74"/>
        <v>-9.2004544336129798E-2</v>
      </c>
      <c r="BP85" s="33">
        <f>IF(O85&lt;&gt;"",BO85-SUM($BN$44:BN85),"")</f>
        <v>-1.2004544338021547E-2</v>
      </c>
      <c r="BQ85" s="11">
        <f t="shared" si="17"/>
        <v>20</v>
      </c>
      <c r="BR85" s="11">
        <f>IF(BF85&lt;&gt;"",IF($B$16=listy!$K$8,'RZĄDOWY PROGRAM'!$F$3*'RZĄDOWY PROGRAM'!$F$15,BK84*$F$15),"")</f>
        <v>50</v>
      </c>
      <c r="BS85" s="11">
        <f t="shared" si="18"/>
        <v>70</v>
      </c>
      <c r="BU85" s="8">
        <f t="shared" si="44"/>
        <v>58</v>
      </c>
      <c r="BV85" s="8"/>
      <c r="BW85" s="78">
        <f>IF(BU85&lt;&gt;"",ROUND(IF($F$11="raty równe",-PMT(W85/12,$F$4-BU84+SUM($BV$28:BV85)-$CB$43,BZ84,2),BX85+BY85),2),"")</f>
        <v>3522.09</v>
      </c>
      <c r="BX85" s="78">
        <f>IF(BU85&lt;&gt;"",IF($F$11="raty malejące",MIN(BZ84/($F$4-BU84+SUM($BV$28:BV84)-SUM($CB$28:CB84)),BZ84),MIN(BW85-BY85,BZ84)),"")</f>
        <v>1168.6049044278943</v>
      </c>
      <c r="BY85" s="78">
        <f t="shared" si="77"/>
        <v>2353.4850955721058</v>
      </c>
      <c r="BZ85" s="79">
        <f t="shared" si="71"/>
        <v>323450.0289675867</v>
      </c>
      <c r="CA85" s="11"/>
      <c r="CB85" s="33"/>
      <c r="CC85" s="33">
        <f t="shared" si="46"/>
        <v>9.9999999997635314E-3</v>
      </c>
      <c r="CD85" s="33">
        <f t="shared" si="75"/>
        <v>0.2274526391552554</v>
      </c>
      <c r="CE85" s="33">
        <f>IF(O85&lt;&gt;"",CD85-SUM($CC$44:CC85),"")</f>
        <v>1.7452639160221245E-2</v>
      </c>
      <c r="CF85" s="11">
        <f t="shared" si="20"/>
        <v>20</v>
      </c>
      <c r="CG85" s="11">
        <f>IF(BU85&lt;&gt;"",IF($B$16=listy!$K$8,'RZĄDOWY PROGRAM'!$F$3*'RZĄDOWY PROGRAM'!$F$15,BZ84*$F$15),"")</f>
        <v>50</v>
      </c>
      <c r="CH85" s="11">
        <f t="shared" si="21"/>
        <v>70</v>
      </c>
      <c r="CJ85" s="48">
        <f t="shared" si="22"/>
        <v>0.06</v>
      </c>
      <c r="CK85" s="18">
        <f t="shared" si="23"/>
        <v>4.8675505653430484E-3</v>
      </c>
      <c r="CL85" s="11">
        <f t="shared" si="76"/>
        <v>0</v>
      </c>
      <c r="CM85" s="11">
        <f t="shared" si="25"/>
        <v>34376.900079884428</v>
      </c>
      <c r="CN85" s="11">
        <f>IF(AB85&lt;&gt;"",CM85-SUM($CL$28:CL85),"")</f>
        <v>6200.1400798844334</v>
      </c>
    </row>
    <row r="86" spans="1:92" x14ac:dyDescent="0.45">
      <c r="A86" s="68">
        <f t="shared" si="47"/>
        <v>46508</v>
      </c>
      <c r="B86" s="8">
        <f t="shared" si="4"/>
        <v>59</v>
      </c>
      <c r="C86" s="11">
        <f t="shared" si="5"/>
        <v>3522.09</v>
      </c>
      <c r="D86" s="11">
        <f t="shared" si="6"/>
        <v>945.837052278584</v>
      </c>
      <c r="E86" s="11">
        <f t="shared" si="7"/>
        <v>2576.2529477214161</v>
      </c>
      <c r="F86" s="9">
        <f t="shared" si="26"/>
        <v>354399.39711619256</v>
      </c>
      <c r="G86" s="10">
        <f t="shared" si="8"/>
        <v>7.0000000000000007E-2</v>
      </c>
      <c r="H86" s="10">
        <f t="shared" si="9"/>
        <v>1.7000000000000001E-2</v>
      </c>
      <c r="I86" s="48">
        <f t="shared" si="27"/>
        <v>8.7000000000000008E-2</v>
      </c>
      <c r="J86" s="11">
        <f t="shared" si="10"/>
        <v>20</v>
      </c>
      <c r="K86" s="11">
        <f>IF(B86&lt;&gt;"",IF($B$16=listy!$K$8,'RZĄDOWY PROGRAM'!$F$3*'RZĄDOWY PROGRAM'!$F$15,F85*$F$15),"")</f>
        <v>50</v>
      </c>
      <c r="L86" s="11">
        <f t="shared" si="28"/>
        <v>70</v>
      </c>
      <c r="N86" s="54">
        <f t="shared" si="48"/>
        <v>46508</v>
      </c>
      <c r="O86" s="8">
        <f t="shared" si="29"/>
        <v>59</v>
      </c>
      <c r="P86" s="8"/>
      <c r="Q86" s="11">
        <f>IF(O86&lt;&gt;"",ROUND(IF($F$11="raty równe",-PMT(W86/12,$F$4-O85+SUM($P$28:P86),T85,2),R86+S86),2),"")</f>
        <v>3522.09</v>
      </c>
      <c r="R86" s="11">
        <f>IF(O86&lt;&gt;"",IF($F$11="raty malejące",T85/($F$4-O85+SUM($P$28:P86)),IF(Q86-S86&gt;T85,T85,Q86-S86)),"")</f>
        <v>892.72557869746606</v>
      </c>
      <c r="S86" s="11">
        <f t="shared" si="68"/>
        <v>2629.3644213025341</v>
      </c>
      <c r="T86" s="9">
        <f t="shared" si="30"/>
        <v>361778.229083721</v>
      </c>
      <c r="U86" s="10">
        <f t="shared" si="11"/>
        <v>7.0000000000000007E-2</v>
      </c>
      <c r="V86" s="10">
        <f t="shared" si="12"/>
        <v>1.7000000000000001E-2</v>
      </c>
      <c r="W86" s="48">
        <f t="shared" si="31"/>
        <v>8.7000000000000008E-2</v>
      </c>
      <c r="X86" s="11">
        <f t="shared" si="13"/>
        <v>20</v>
      </c>
      <c r="Y86" s="11">
        <f>IF(O86&lt;&gt;"",IF($B$16=listy!$K$8,'RZĄDOWY PROGRAM'!$F$3*'RZĄDOWY PROGRAM'!$F$15,T85*$F$15),"")</f>
        <v>50</v>
      </c>
      <c r="Z86" s="11">
        <f t="shared" si="32"/>
        <v>70</v>
      </c>
      <c r="AB86" s="8">
        <f t="shared" si="33"/>
        <v>59</v>
      </c>
      <c r="AC86" s="8"/>
      <c r="AD86" s="11">
        <f>IF(AB86&lt;&gt;"",ROUND(IF($F$11="raty równe",-PMT(W86/12,$F$4-AB85+SUM($AC$28:AC86),AG85,2),AE86+AF86),2),"")</f>
        <v>3280.39</v>
      </c>
      <c r="AE86" s="11">
        <f>IF(AB86&lt;&gt;"",IF($F$11="raty malejące",AG85/($F$4-AB85+SUM($AC$28:AC85)),MIN(AD86-AF86,AG85)),"")</f>
        <v>831.46539357642359</v>
      </c>
      <c r="AF86" s="11">
        <f t="shared" si="69"/>
        <v>2448.9246064235763</v>
      </c>
      <c r="AG86" s="9">
        <f t="shared" si="52"/>
        <v>336951.23894070991</v>
      </c>
      <c r="AH86" s="11"/>
      <c r="AI86" s="33">
        <f>IF(AB86&lt;&gt;"",ROUND(IF($F$11="raty równe",-PMT(W86/12,($F$4-AB85+SUM($AC$27:AC85)),AG85,2),AG85/($F$4-AB85+SUM($AC$27:AC85))+AG85*W86/12),2),"")</f>
        <v>3280.39</v>
      </c>
      <c r="AJ86" s="33">
        <f t="shared" si="34"/>
        <v>241.70000000000027</v>
      </c>
      <c r="AK86" s="33">
        <f t="shared" si="15"/>
        <v>13806.40685345666</v>
      </c>
      <c r="AL86" s="33">
        <f>IF(AB86&lt;&gt;"",AK86-SUM($AJ$28:AJ86),"")</f>
        <v>1340.6568534566595</v>
      </c>
      <c r="AM86" s="11">
        <f t="shared" si="35"/>
        <v>20</v>
      </c>
      <c r="AN86" s="11">
        <f>IF(AB86&lt;&gt;"",IF($B$16=listy!$K$8,'RZĄDOWY PROGRAM'!$F$3*'RZĄDOWY PROGRAM'!$F$15,AG85*$F$15),"")</f>
        <v>50</v>
      </c>
      <c r="AO86" s="11">
        <f t="shared" si="36"/>
        <v>70</v>
      </c>
      <c r="AQ86" s="8">
        <f t="shared" si="37"/>
        <v>59</v>
      </c>
      <c r="AR86" s="8"/>
      <c r="AS86" s="78">
        <f>IF(AQ86&lt;&gt;"",ROUND(IF($F$11="raty równe",-PMT(W86/12,$F$4-AQ85+SUM($AR$28:AR86),AV85,2),AT86+AU86),2),"")</f>
        <v>3263.82</v>
      </c>
      <c r="AT86" s="78">
        <f>IF(AQ86&lt;&gt;"",IF($F$11="raty malejące",AV85/($F$4-AQ85+SUM($AR$28:AR85)),MIN(AS86-AU86,AV85)),"")</f>
        <v>827.26324392346623</v>
      </c>
      <c r="AU86" s="78">
        <f t="shared" si="53"/>
        <v>2436.5567560765339</v>
      </c>
      <c r="AV86" s="79">
        <f t="shared" si="38"/>
        <v>335249.53069766739</v>
      </c>
      <c r="AW86" s="11"/>
      <c r="AX86" s="33">
        <f>IF(AQ86&lt;&gt;"",ROUND(IF($F$11="raty równe",-PMT(W86/12,($F$4-AQ85+SUM($AR$27:AR85)),AV85,2),AV85/($F$4-AQ85+SUM($AR$27:AR85))+AV85*W86/12),2),"")</f>
        <v>3263.82</v>
      </c>
      <c r="AY86" s="33">
        <f t="shared" si="39"/>
        <v>258.27</v>
      </c>
      <c r="AZ86" s="33">
        <f t="shared" si="72"/>
        <v>12076.671644297374</v>
      </c>
      <c r="BA86" s="33">
        <f>IF(AQ86&lt;&gt;"",AZ86-SUM($AY$44:AY86),"")</f>
        <v>971.07164429736258</v>
      </c>
      <c r="BB86" s="11">
        <f t="shared" si="40"/>
        <v>20</v>
      </c>
      <c r="BC86" s="11">
        <f>IF(AQ86&lt;&gt;"",IF($B$16=listy!$K$8,'RZĄDOWY PROGRAM'!$F$3*'RZĄDOWY PROGRAM'!$F$15,AV85*$F$15),"")</f>
        <v>50</v>
      </c>
      <c r="BD86" s="11">
        <f t="shared" si="41"/>
        <v>70</v>
      </c>
      <c r="BF86" s="8">
        <f t="shared" si="42"/>
        <v>59</v>
      </c>
      <c r="BG86" s="8"/>
      <c r="BH86" s="78">
        <f>IF(BF86&lt;&gt;"",ROUND(IF($F$11="raty równe",-PMT(W86/12,$F$4-BF85+SUM(BV$28:$BV86)-SUM($BM$29:BM86),BK85,2),BI86+BJ86),2),"")</f>
        <v>3522.1</v>
      </c>
      <c r="BI86" s="78">
        <f>IF(BF86&lt;&gt;"",IF($F$11="raty malejące",MIN(BK85/($F$4-BF85+SUM($BG$27:BG86)-SUM($BM$27:BM86)),BK85),MIN(BH86-BJ86,BK85)),"")</f>
        <v>1179.6523018664939</v>
      </c>
      <c r="BJ86" s="78">
        <f t="shared" si="54"/>
        <v>2342.447698133506</v>
      </c>
      <c r="BK86" s="79">
        <f t="shared" si="55"/>
        <v>321916.58192344464</v>
      </c>
      <c r="BL86" s="11"/>
      <c r="BM86" s="33"/>
      <c r="BN86" s="33">
        <f t="shared" si="73"/>
        <v>-9.9999999997635314E-3</v>
      </c>
      <c r="BO86" s="33">
        <f t="shared" si="74"/>
        <v>-0.10236729212104928</v>
      </c>
      <c r="BP86" s="33">
        <f>IF(O86&lt;&gt;"",BO86-SUM($BN$44:BN86),"")</f>
        <v>-1.2367292123177498E-2</v>
      </c>
      <c r="BQ86" s="11">
        <f t="shared" si="17"/>
        <v>20</v>
      </c>
      <c r="BR86" s="11">
        <f>IF(BF86&lt;&gt;"",IF($B$16=listy!$K$8,'RZĄDOWY PROGRAM'!$F$3*'RZĄDOWY PROGRAM'!$F$15,BK85*$F$15),"")</f>
        <v>50</v>
      </c>
      <c r="BS86" s="11">
        <f t="shared" si="18"/>
        <v>70</v>
      </c>
      <c r="BU86" s="8">
        <f t="shared" si="44"/>
        <v>59</v>
      </c>
      <c r="BV86" s="8"/>
      <c r="BW86" s="78">
        <f>IF(BU86&lt;&gt;"",ROUND(IF($F$11="raty równe",-PMT(W86/12,$F$4-BU85+SUM($BV$28:BV86)-$CB$43,BZ85,2),BX86+BY86),2),"")</f>
        <v>3522.09</v>
      </c>
      <c r="BX86" s="78">
        <f>IF(BU86&lt;&gt;"",IF($F$11="raty malejące",MIN(BZ85/($F$4-BU85+SUM($BV$28:BV85)-SUM($CB$28:CB85)),BZ85),MIN(BW86-BY86,BZ85)),"")</f>
        <v>1177.0772899849962</v>
      </c>
      <c r="BY86" s="78">
        <f t="shared" si="77"/>
        <v>2345.0127100150039</v>
      </c>
      <c r="BZ86" s="79">
        <f t="shared" si="71"/>
        <v>322272.95167760173</v>
      </c>
      <c r="CA86" s="11"/>
      <c r="CB86" s="33"/>
      <c r="CC86" s="33">
        <f t="shared" si="46"/>
        <v>0</v>
      </c>
      <c r="CD86" s="33">
        <f t="shared" si="75"/>
        <v>0.22834942030532565</v>
      </c>
      <c r="CE86" s="33">
        <f>IF(O86&lt;&gt;"",CD86-SUM($CC$44:CC86),"")</f>
        <v>1.8349420310291492E-2</v>
      </c>
      <c r="CF86" s="11">
        <f t="shared" si="20"/>
        <v>20</v>
      </c>
      <c r="CG86" s="11">
        <f>IF(BU86&lt;&gt;"",IF($B$16=listy!$K$8,'RZĄDOWY PROGRAM'!$F$3*'RZĄDOWY PROGRAM'!$F$15,BZ85*$F$15),"")</f>
        <v>50</v>
      </c>
      <c r="CH86" s="11">
        <f t="shared" si="21"/>
        <v>70</v>
      </c>
      <c r="CJ86" s="48">
        <f t="shared" si="22"/>
        <v>0.06</v>
      </c>
      <c r="CK86" s="18">
        <f t="shared" si="23"/>
        <v>4.8675505653430484E-3</v>
      </c>
      <c r="CL86" s="11">
        <f t="shared" si="76"/>
        <v>0</v>
      </c>
      <c r="CM86" s="11">
        <f t="shared" si="25"/>
        <v>34512.438432413481</v>
      </c>
      <c r="CN86" s="11">
        <f>IF(AB86&lt;&gt;"",CM86-SUM($CL$28:CL86),"")</f>
        <v>6335.678432413486</v>
      </c>
    </row>
    <row r="87" spans="1:92" x14ac:dyDescent="0.45">
      <c r="A87" s="68">
        <f t="shared" si="47"/>
        <v>46539</v>
      </c>
      <c r="B87" s="8">
        <f t="shared" si="4"/>
        <v>60</v>
      </c>
      <c r="C87" s="11">
        <f t="shared" si="5"/>
        <v>3522.1</v>
      </c>
      <c r="D87" s="11">
        <f t="shared" si="6"/>
        <v>952.70437090760333</v>
      </c>
      <c r="E87" s="11">
        <f t="shared" si="7"/>
        <v>2569.3956290923966</v>
      </c>
      <c r="F87" s="9">
        <f t="shared" si="26"/>
        <v>353446.69274528493</v>
      </c>
      <c r="G87" s="10">
        <f t="shared" si="8"/>
        <v>7.0000000000000007E-2</v>
      </c>
      <c r="H87" s="10">
        <f t="shared" si="9"/>
        <v>1.7000000000000001E-2</v>
      </c>
      <c r="I87" s="48">
        <f t="shared" si="27"/>
        <v>8.7000000000000008E-2</v>
      </c>
      <c r="J87" s="11">
        <f t="shared" si="10"/>
        <v>20</v>
      </c>
      <c r="K87" s="11">
        <f>IF(B87&lt;&gt;"",IF($B$16=listy!$K$8,'RZĄDOWY PROGRAM'!$F$3*'RZĄDOWY PROGRAM'!$F$15,F86*$F$15),"")</f>
        <v>50</v>
      </c>
      <c r="L87" s="11">
        <f t="shared" si="28"/>
        <v>70</v>
      </c>
      <c r="N87" s="54">
        <f t="shared" si="48"/>
        <v>46539</v>
      </c>
      <c r="O87" s="8">
        <f t="shared" si="29"/>
        <v>60</v>
      </c>
      <c r="P87" s="8"/>
      <c r="Q87" s="11">
        <f>IF(O87&lt;&gt;"",ROUND(IF($F$11="raty równe",-PMT(W87/12,$F$4-O86+SUM($P$28:P87),T86,2),R87+S87),2),"")</f>
        <v>3522.1</v>
      </c>
      <c r="R87" s="11">
        <f>IF(O87&lt;&gt;"",IF($F$11="raty malejące",T86/($F$4-O86+SUM($P$28:P87)),IF(Q87-S87&gt;T86,T86,Q87-S87)),"")</f>
        <v>899.20783914302228</v>
      </c>
      <c r="S87" s="11">
        <f t="shared" si="68"/>
        <v>2622.8921608569776</v>
      </c>
      <c r="T87" s="9">
        <f t="shared" si="30"/>
        <v>360879.02124457801</v>
      </c>
      <c r="U87" s="10">
        <f t="shared" si="11"/>
        <v>7.0000000000000007E-2</v>
      </c>
      <c r="V87" s="10">
        <f t="shared" si="12"/>
        <v>1.7000000000000001E-2</v>
      </c>
      <c r="W87" s="48">
        <f t="shared" si="31"/>
        <v>8.7000000000000008E-2</v>
      </c>
      <c r="X87" s="11">
        <f t="shared" si="13"/>
        <v>20</v>
      </c>
      <c r="Y87" s="11">
        <f>IF(O87&lt;&gt;"",IF($B$16=listy!$K$8,'RZĄDOWY PROGRAM'!$F$3*'RZĄDOWY PROGRAM'!$F$15,T86*$F$15),"")</f>
        <v>50</v>
      </c>
      <c r="Z87" s="11">
        <f t="shared" si="32"/>
        <v>70</v>
      </c>
      <c r="AB87" s="8">
        <f t="shared" si="33"/>
        <v>60</v>
      </c>
      <c r="AC87" s="8"/>
      <c r="AD87" s="11">
        <f>IF(AB87&lt;&gt;"",ROUND(IF($F$11="raty równe",-PMT(W87/12,$F$4-AB86+SUM($AC$28:AC87),AG86,2),AE87+AF87),2),"")</f>
        <v>3280.39</v>
      </c>
      <c r="AE87" s="11">
        <f>IF(AB87&lt;&gt;"",IF($F$11="raty malejące",AG86/($F$4-AB86+SUM($AC$28:AC86)),MIN(AD87-AF87,AG86)),"")</f>
        <v>837.49351767985263</v>
      </c>
      <c r="AF87" s="11">
        <f t="shared" si="69"/>
        <v>2442.8964823201472</v>
      </c>
      <c r="AG87" s="9">
        <f t="shared" si="52"/>
        <v>336113.74542303005</v>
      </c>
      <c r="AH87" s="11"/>
      <c r="AI87" s="33">
        <f>IF(AB87&lt;&gt;"",ROUND(IF($F$11="raty równe",-PMT(W87/12,($F$4-AB86+SUM($AC$27:AC86)),AG86,2),AG86/($F$4-AB86+SUM($AC$27:AC86))+AG86*W87/12),2),"")</f>
        <v>3280.39</v>
      </c>
      <c r="AJ87" s="33">
        <f t="shared" si="34"/>
        <v>241.71000000000004</v>
      </c>
      <c r="AK87" s="33">
        <f t="shared" si="15"/>
        <v>14102.551594079428</v>
      </c>
      <c r="AL87" s="33">
        <f>IF(AB87&lt;&gt;"",AK87-SUM($AJ$28:AJ87),"")</f>
        <v>1395.0915940794293</v>
      </c>
      <c r="AM87" s="11">
        <f t="shared" si="35"/>
        <v>20</v>
      </c>
      <c r="AN87" s="11">
        <f>IF(AB87&lt;&gt;"",IF($B$16=listy!$K$8,'RZĄDOWY PROGRAM'!$F$3*'RZĄDOWY PROGRAM'!$F$15,AG86*$F$15),"")</f>
        <v>50</v>
      </c>
      <c r="AO87" s="11">
        <f t="shared" si="36"/>
        <v>70</v>
      </c>
      <c r="AQ87" s="8">
        <f t="shared" si="37"/>
        <v>60</v>
      </c>
      <c r="AR87" s="8"/>
      <c r="AS87" s="78">
        <f>IF(AQ87&lt;&gt;"",ROUND(IF($F$11="raty równe",-PMT(W87/12,$F$4-AQ86+SUM($AR$28:AR87),AV86,2),AT87+AU87),2),"")</f>
        <v>3263.83</v>
      </c>
      <c r="AT87" s="78">
        <f>IF(AQ87&lt;&gt;"",IF($F$11="raty malejące",AV86/($F$4-AQ86+SUM($AR$28:AR86)),MIN(AS87-AU87,AV86)),"")</f>
        <v>833.2709024419114</v>
      </c>
      <c r="AU87" s="78">
        <f t="shared" si="53"/>
        <v>2430.5590975580885</v>
      </c>
      <c r="AV87" s="79">
        <f t="shared" si="38"/>
        <v>334416.25979522546</v>
      </c>
      <c r="AW87" s="11"/>
      <c r="AX87" s="33">
        <f>IF(AQ87&lt;&gt;"",ROUND(IF($F$11="raty równe",-PMT(W87/12,($F$4-AQ86+SUM($AR$27:AR86)),AV86,2),AV86/($F$4-AQ86+SUM($AR$27:AR86))+AV86*W87/12),2),"")</f>
        <v>3263.83</v>
      </c>
      <c r="AY87" s="33">
        <f t="shared" si="39"/>
        <v>258.27</v>
      </c>
      <c r="AZ87" s="33">
        <f t="shared" si="72"/>
        <v>12382.556530308002</v>
      </c>
      <c r="BA87" s="33">
        <f>IF(AQ87&lt;&gt;"",AZ87-SUM($AY$44:AY87),"")</f>
        <v>1018.6865303079903</v>
      </c>
      <c r="BB87" s="11">
        <f t="shared" si="40"/>
        <v>20</v>
      </c>
      <c r="BC87" s="11">
        <f>IF(AQ87&lt;&gt;"",IF($B$16=listy!$K$8,'RZĄDOWY PROGRAM'!$F$3*'RZĄDOWY PROGRAM'!$F$15,AV86*$F$15),"")</f>
        <v>50</v>
      </c>
      <c r="BD87" s="11">
        <f t="shared" si="41"/>
        <v>70</v>
      </c>
      <c r="BF87" s="8">
        <f t="shared" si="42"/>
        <v>60</v>
      </c>
      <c r="BG87" s="8"/>
      <c r="BH87" s="78">
        <f>IF(BF87&lt;&gt;"",ROUND(IF($F$11="raty równe",-PMT(W87/12,$F$4-BF86+SUM(BV$28:$BV87)-SUM($BM$29:BM87),BK86,2),BI87+BJ87),2),"")</f>
        <v>3522.09</v>
      </c>
      <c r="BI87" s="78">
        <f>IF(BF87&lt;&gt;"",IF($F$11="raty malejące",MIN(BK86/($F$4-BF86+SUM($BG$27:BG87)-SUM($BM$27:BM87)),BK86),MIN(BH87-BJ87,BK86)),"")</f>
        <v>1188.1947810550264</v>
      </c>
      <c r="BJ87" s="78">
        <f t="shared" si="54"/>
        <v>2333.8952189449737</v>
      </c>
      <c r="BK87" s="79">
        <f t="shared" si="55"/>
        <v>320728.38714238961</v>
      </c>
      <c r="BL87" s="11"/>
      <c r="BM87" s="33"/>
      <c r="BN87" s="33">
        <f t="shared" si="73"/>
        <v>9.9999999997635314E-3</v>
      </c>
      <c r="BO87" s="33">
        <f t="shared" si="74"/>
        <v>-9.2770897277501277E-2</v>
      </c>
      <c r="BP87" s="33">
        <f>IF(O87&lt;&gt;"",BO87-SUM($BN$44:BN87),"")</f>
        <v>-1.2770897279393026E-2</v>
      </c>
      <c r="BQ87" s="11">
        <f t="shared" si="17"/>
        <v>20</v>
      </c>
      <c r="BR87" s="11">
        <f>IF(BF87&lt;&gt;"",IF($B$16=listy!$K$8,'RZĄDOWY PROGRAM'!$F$3*'RZĄDOWY PROGRAM'!$F$15,BK86*$F$15),"")</f>
        <v>50</v>
      </c>
      <c r="BS87" s="11">
        <f t="shared" si="18"/>
        <v>70</v>
      </c>
      <c r="BU87" s="8">
        <f t="shared" si="44"/>
        <v>60</v>
      </c>
      <c r="BV87" s="8"/>
      <c r="BW87" s="78">
        <f>IF(BU87&lt;&gt;"",ROUND(IF($F$11="raty równe",-PMT(W87/12,$F$4-BU86+SUM($BV$28:BV87)-$CB$43,BZ86,2),BX87+BY87),2),"")</f>
        <v>3522.09</v>
      </c>
      <c r="BX87" s="78">
        <f>IF(BU87&lt;&gt;"",IF($F$11="raty malejące",MIN(BZ86/($F$4-BU86+SUM($BV$28:BV86)-SUM($CB$28:CB86)),BZ86),MIN(BW87-BY87,BZ86)),"")</f>
        <v>1185.6111003373876</v>
      </c>
      <c r="BY87" s="78">
        <f t="shared" si="77"/>
        <v>2336.4788996626125</v>
      </c>
      <c r="BZ87" s="79">
        <f t="shared" si="71"/>
        <v>321087.34057726432</v>
      </c>
      <c r="CA87" s="11"/>
      <c r="CB87" s="33"/>
      <c r="CC87" s="33">
        <f t="shared" si="46"/>
        <v>9.9999999997635314E-3</v>
      </c>
      <c r="CD87" s="33">
        <f t="shared" si="75"/>
        <v>0.23924973720851059</v>
      </c>
      <c r="CE87" s="33">
        <f>IF(O87&lt;&gt;"",CD87-SUM($CC$44:CC87),"")</f>
        <v>1.9249737213712897E-2</v>
      </c>
      <c r="CF87" s="11">
        <f t="shared" si="20"/>
        <v>20</v>
      </c>
      <c r="CG87" s="11">
        <f>IF(BU87&lt;&gt;"",IF($B$16=listy!$K$8,'RZĄDOWY PROGRAM'!$F$3*'RZĄDOWY PROGRAM'!$F$15,BZ86*$F$15),"")</f>
        <v>50</v>
      </c>
      <c r="CH87" s="11">
        <f t="shared" si="21"/>
        <v>70</v>
      </c>
      <c r="CJ87" s="48">
        <f t="shared" si="22"/>
        <v>0.06</v>
      </c>
      <c r="CK87" s="18">
        <f t="shared" si="23"/>
        <v>4.8675505653430484E-3</v>
      </c>
      <c r="CL87" s="11">
        <f t="shared" si="76"/>
        <v>0</v>
      </c>
      <c r="CM87" s="11">
        <f t="shared" si="25"/>
        <v>34648.511174167965</v>
      </c>
      <c r="CN87" s="11">
        <f>IF(AB87&lt;&gt;"",CM87-SUM($CL$28:CL87),"")</f>
        <v>6471.75117416797</v>
      </c>
    </row>
    <row r="88" spans="1:92" x14ac:dyDescent="0.45">
      <c r="A88" s="68">
        <f t="shared" si="47"/>
        <v>46569</v>
      </c>
      <c r="B88" s="8">
        <f t="shared" si="4"/>
        <v>61</v>
      </c>
      <c r="C88" s="11">
        <f t="shared" si="5"/>
        <v>3522.09</v>
      </c>
      <c r="D88" s="11">
        <f t="shared" si="6"/>
        <v>959.60147759668416</v>
      </c>
      <c r="E88" s="11">
        <f t="shared" si="7"/>
        <v>2562.488522403316</v>
      </c>
      <c r="F88" s="9">
        <f t="shared" si="26"/>
        <v>352487.09126768826</v>
      </c>
      <c r="G88" s="10">
        <f t="shared" si="8"/>
        <v>7.0000000000000007E-2</v>
      </c>
      <c r="H88" s="10">
        <f t="shared" si="9"/>
        <v>1.7000000000000001E-2</v>
      </c>
      <c r="I88" s="48">
        <f t="shared" si="27"/>
        <v>8.7000000000000008E-2</v>
      </c>
      <c r="J88" s="11">
        <f t="shared" si="10"/>
        <v>20</v>
      </c>
      <c r="K88" s="11">
        <f>IF(B88&lt;&gt;"",IF($B$16=listy!$K$8,'RZĄDOWY PROGRAM'!$F$3*'RZĄDOWY PROGRAM'!$F$15,F87*$F$15),"")</f>
        <v>50</v>
      </c>
      <c r="L88" s="11">
        <f t="shared" si="28"/>
        <v>70</v>
      </c>
      <c r="N88" s="54">
        <f t="shared" si="48"/>
        <v>46569</v>
      </c>
      <c r="O88" s="8">
        <f t="shared" si="29"/>
        <v>61</v>
      </c>
      <c r="P88" s="8"/>
      <c r="Q88" s="11">
        <f>IF(O88&lt;&gt;"",ROUND(IF($F$11="raty równe",-PMT(W88/12,$F$4-O87+SUM($P$28:P88),T87,2),R88+S88),2),"")</f>
        <v>3522.09</v>
      </c>
      <c r="R88" s="11">
        <f>IF(O88&lt;&gt;"",IF($F$11="raty malejące",T87/($F$4-O87+SUM($P$28:P88)),IF(Q88-S88&gt;T87,T87,Q88-S88)),"")</f>
        <v>905.71709597680956</v>
      </c>
      <c r="S88" s="11">
        <f t="shared" si="68"/>
        <v>2616.3729040231906</v>
      </c>
      <c r="T88" s="9">
        <f t="shared" si="30"/>
        <v>359973.30414860119</v>
      </c>
      <c r="U88" s="10">
        <f t="shared" si="11"/>
        <v>7.0000000000000007E-2</v>
      </c>
      <c r="V88" s="10">
        <f t="shared" si="12"/>
        <v>1.7000000000000001E-2</v>
      </c>
      <c r="W88" s="48">
        <f t="shared" si="31"/>
        <v>8.7000000000000008E-2</v>
      </c>
      <c r="X88" s="11">
        <f t="shared" si="13"/>
        <v>20</v>
      </c>
      <c r="Y88" s="11">
        <f>IF(O88&lt;&gt;"",IF($B$16=listy!$K$8,'RZĄDOWY PROGRAM'!$F$3*'RZĄDOWY PROGRAM'!$F$15,T87*$F$15),"")</f>
        <v>50</v>
      </c>
      <c r="Z88" s="11">
        <f t="shared" si="32"/>
        <v>70</v>
      </c>
      <c r="AB88" s="8">
        <f t="shared" si="33"/>
        <v>61</v>
      </c>
      <c r="AC88" s="8"/>
      <c r="AD88" s="11">
        <f>IF(AB88&lt;&gt;"",ROUND(IF($F$11="raty równe",-PMT(W88/12,$F$4-AB87+SUM($AC$28:AC88),AG87,2),AE88+AF88),2),"")</f>
        <v>3280.39</v>
      </c>
      <c r="AE88" s="11">
        <f>IF(AB88&lt;&gt;"",IF($F$11="raty malejące",AG87/($F$4-AB87+SUM($AC$28:AC87)),MIN(AD88-AF88,AG87)),"")</f>
        <v>843.56534568303186</v>
      </c>
      <c r="AF88" s="11">
        <f t="shared" si="69"/>
        <v>2436.824654316968</v>
      </c>
      <c r="AG88" s="9">
        <f t="shared" si="52"/>
        <v>335270.18007734703</v>
      </c>
      <c r="AH88" s="11"/>
      <c r="AI88" s="33">
        <f>IF(AB88&lt;&gt;"",ROUND(IF($F$11="raty równe",-PMT(W88/12,($F$4-AB87+SUM($AC$27:AC87)),AG87,2),AG87/($F$4-AB87+SUM($AC$27:AC87))+AG87*W88/12),2),"")</f>
        <v>3280.39</v>
      </c>
      <c r="AJ88" s="33">
        <f t="shared" si="34"/>
        <v>241.70000000000027</v>
      </c>
      <c r="AK88" s="33">
        <f t="shared" si="15"/>
        <v>14399.853949296908</v>
      </c>
      <c r="AL88" s="33">
        <f>IF(AB88&lt;&gt;"",AK88-SUM($AJ$28:AJ88),"")</f>
        <v>1450.6939492969086</v>
      </c>
      <c r="AM88" s="11">
        <f t="shared" si="35"/>
        <v>20</v>
      </c>
      <c r="AN88" s="11">
        <f>IF(AB88&lt;&gt;"",IF($B$16=listy!$K$8,'RZĄDOWY PROGRAM'!$F$3*'RZĄDOWY PROGRAM'!$F$15,AG87*$F$15),"")</f>
        <v>50</v>
      </c>
      <c r="AO88" s="11">
        <f t="shared" si="36"/>
        <v>70</v>
      </c>
      <c r="AQ88" s="8">
        <f t="shared" si="37"/>
        <v>61</v>
      </c>
      <c r="AR88" s="8"/>
      <c r="AS88" s="78">
        <f>IF(AQ88&lt;&gt;"",ROUND(IF($F$11="raty równe",-PMT(W88/12,$F$4-AQ87+SUM($AR$28:AR88),AV87,2),AT88+AU88),2),"")</f>
        <v>3263.82</v>
      </c>
      <c r="AT88" s="78">
        <f>IF(AQ88&lt;&gt;"",IF($F$11="raty malejące",AV87/($F$4-AQ87+SUM($AR$28:AR87)),MIN(AS88-AU88,AV87)),"")</f>
        <v>839.30211648461545</v>
      </c>
      <c r="AU88" s="78">
        <f t="shared" si="53"/>
        <v>2424.5178835153847</v>
      </c>
      <c r="AV88" s="79">
        <f t="shared" si="38"/>
        <v>333576.95767874084</v>
      </c>
      <c r="AW88" s="11"/>
      <c r="AX88" s="33">
        <f>IF(AQ88&lt;&gt;"",ROUND(IF($F$11="raty równe",-PMT(W88/12,($F$4-AQ87+SUM($AR$27:AR87)),AV87,2),AV87/($F$4-AQ87+SUM($AR$27:AR87))+AV87*W88/12),2),"")</f>
        <v>3263.82</v>
      </c>
      <c r="AY88" s="33">
        <f t="shared" si="39"/>
        <v>258.27</v>
      </c>
      <c r="AZ88" s="33">
        <f t="shared" si="72"/>
        <v>12689.647433539993</v>
      </c>
      <c r="BA88" s="33">
        <f>IF(AQ88&lt;&gt;"",AZ88-SUM($AY$44:AY88),"")</f>
        <v>1067.5074335399804</v>
      </c>
      <c r="BB88" s="11">
        <f t="shared" si="40"/>
        <v>20</v>
      </c>
      <c r="BC88" s="11">
        <f>IF(AQ88&lt;&gt;"",IF($B$16=listy!$K$8,'RZĄDOWY PROGRAM'!$F$3*'RZĄDOWY PROGRAM'!$F$15,AV87*$F$15),"")</f>
        <v>50</v>
      </c>
      <c r="BD88" s="11">
        <f t="shared" si="41"/>
        <v>70</v>
      </c>
      <c r="BF88" s="8">
        <f t="shared" si="42"/>
        <v>61</v>
      </c>
      <c r="BG88" s="8"/>
      <c r="BH88" s="78">
        <f>IF(BF88&lt;&gt;"",ROUND(IF($F$11="raty równe",-PMT(W88/12,$F$4-BF87+SUM(BV$28:$BV88)-SUM($BM$29:BM88),BK87,2),BI88+BJ88),2),"")</f>
        <v>3522.1</v>
      </c>
      <c r="BI88" s="78">
        <f>IF(BF88&lt;&gt;"",IF($F$11="raty malejące",MIN(BK87/($F$4-BF87+SUM($BG$27:BG88)-SUM($BM$27:BM88)),BK87),MIN(BH88-BJ88,BK87)),"")</f>
        <v>1196.8191932176751</v>
      </c>
      <c r="BJ88" s="78">
        <f t="shared" si="54"/>
        <v>2325.2808067823248</v>
      </c>
      <c r="BK88" s="79">
        <f t="shared" si="55"/>
        <v>319531.56794917193</v>
      </c>
      <c r="BL88" s="11"/>
      <c r="BM88" s="33"/>
      <c r="BN88" s="33">
        <f t="shared" si="73"/>
        <v>-9.9999999997635314E-3</v>
      </c>
      <c r="BO88" s="33">
        <f t="shared" si="74"/>
        <v>-0.10313666657439211</v>
      </c>
      <c r="BP88" s="33">
        <f>IF(O88&lt;&gt;"",BO88-SUM($BN$44:BN88),"")</f>
        <v>-1.3136666576520323E-2</v>
      </c>
      <c r="BQ88" s="11">
        <f t="shared" si="17"/>
        <v>20</v>
      </c>
      <c r="BR88" s="11">
        <f>IF(BF88&lt;&gt;"",IF($B$16=listy!$K$8,'RZĄDOWY PROGRAM'!$F$3*'RZĄDOWY PROGRAM'!$F$15,BK87*$F$15),"")</f>
        <v>50</v>
      </c>
      <c r="BS88" s="11">
        <f t="shared" si="18"/>
        <v>70</v>
      </c>
      <c r="BU88" s="8">
        <f t="shared" si="44"/>
        <v>61</v>
      </c>
      <c r="BV88" s="8"/>
      <c r="BW88" s="78">
        <f>IF(BU88&lt;&gt;"",ROUND(IF($F$11="raty równe",-PMT(W88/12,$F$4-BU87+SUM($BV$28:BV88)-$CB$43,BZ87,2),BX88+BY88),2),"")</f>
        <v>3522.09</v>
      </c>
      <c r="BX88" s="78">
        <f>IF(BU88&lt;&gt;"",IF($F$11="raty malejące",MIN(BZ87/($F$4-BU87+SUM($BV$28:BV87)-SUM($CB$28:CB87)),BZ87),MIN(BW88-BY88,BZ87)),"")</f>
        <v>1194.2067808148336</v>
      </c>
      <c r="BY88" s="78">
        <f t="shared" si="77"/>
        <v>2327.8832191851666</v>
      </c>
      <c r="BZ88" s="79">
        <f t="shared" si="71"/>
        <v>319893.13379644946</v>
      </c>
      <c r="CA88" s="11"/>
      <c r="CB88" s="33"/>
      <c r="CC88" s="33">
        <f t="shared" si="46"/>
        <v>0</v>
      </c>
      <c r="CD88" s="33">
        <f t="shared" si="75"/>
        <v>0.24019303096533265</v>
      </c>
      <c r="CE88" s="33">
        <f>IF(O88&lt;&gt;"",CD88-SUM($CC$44:CC88),"")</f>
        <v>2.0193030970534959E-2</v>
      </c>
      <c r="CF88" s="11">
        <f t="shared" si="20"/>
        <v>20</v>
      </c>
      <c r="CG88" s="11">
        <f>IF(BU88&lt;&gt;"",IF($B$16=listy!$K$8,'RZĄDOWY PROGRAM'!$F$3*'RZĄDOWY PROGRAM'!$F$15,BZ87*$F$15),"")</f>
        <v>50</v>
      </c>
      <c r="CH88" s="11">
        <f t="shared" si="21"/>
        <v>70</v>
      </c>
      <c r="CJ88" s="48">
        <f t="shared" si="22"/>
        <v>0.06</v>
      </c>
      <c r="CK88" s="18">
        <f t="shared" si="23"/>
        <v>4.8675505653430484E-3</v>
      </c>
      <c r="CL88" s="11">
        <f t="shared" si="76"/>
        <v>0</v>
      </c>
      <c r="CM88" s="11">
        <f t="shared" si="25"/>
        <v>34785.120412092801</v>
      </c>
      <c r="CN88" s="11">
        <f>IF(AB88&lt;&gt;"",CM88-SUM($CL$28:CL88),"")</f>
        <v>6608.3604120928067</v>
      </c>
    </row>
    <row r="89" spans="1:92" x14ac:dyDescent="0.45">
      <c r="A89" s="68">
        <f t="shared" si="47"/>
        <v>46600</v>
      </c>
      <c r="B89" s="8">
        <f t="shared" si="4"/>
        <v>62</v>
      </c>
      <c r="C89" s="11">
        <f t="shared" si="5"/>
        <v>3522.1</v>
      </c>
      <c r="D89" s="11">
        <f t="shared" si="6"/>
        <v>966.56858830925967</v>
      </c>
      <c r="E89" s="11">
        <f t="shared" si="7"/>
        <v>2555.5314116907402</v>
      </c>
      <c r="F89" s="9">
        <f t="shared" si="26"/>
        <v>351520.52267937898</v>
      </c>
      <c r="G89" s="10">
        <f t="shared" si="8"/>
        <v>7.0000000000000007E-2</v>
      </c>
      <c r="H89" s="10">
        <f t="shared" si="9"/>
        <v>1.7000000000000001E-2</v>
      </c>
      <c r="I89" s="48">
        <f t="shared" si="27"/>
        <v>8.7000000000000008E-2</v>
      </c>
      <c r="J89" s="11">
        <f t="shared" si="10"/>
        <v>20</v>
      </c>
      <c r="K89" s="11">
        <f>IF(B89&lt;&gt;"",IF($B$16=listy!$K$8,'RZĄDOWY PROGRAM'!$F$3*'RZĄDOWY PROGRAM'!$F$15,F88*$F$15),"")</f>
        <v>50</v>
      </c>
      <c r="L89" s="11">
        <f t="shared" si="28"/>
        <v>70</v>
      </c>
      <c r="N89" s="54">
        <f t="shared" si="48"/>
        <v>46600</v>
      </c>
      <c r="O89" s="8">
        <f t="shared" si="29"/>
        <v>62</v>
      </c>
      <c r="P89" s="8"/>
      <c r="Q89" s="11">
        <f>IF(O89&lt;&gt;"",ROUND(IF($F$11="raty równe",-PMT(W89/12,$F$4-O88+SUM($P$28:P89),T88,2),R89+S89),2),"")</f>
        <v>3522.1</v>
      </c>
      <c r="R89" s="11">
        <f>IF(O89&lt;&gt;"",IF($F$11="raty malejące",T88/($F$4-O88+SUM($P$28:P89)),IF(Q89-S89&gt;T88,T88,Q89-S89)),"")</f>
        <v>912.2935449226411</v>
      </c>
      <c r="S89" s="11">
        <f t="shared" si="68"/>
        <v>2609.8064550773588</v>
      </c>
      <c r="T89" s="9">
        <f t="shared" si="30"/>
        <v>359061.01060367853</v>
      </c>
      <c r="U89" s="10">
        <f t="shared" si="11"/>
        <v>7.0000000000000007E-2</v>
      </c>
      <c r="V89" s="10">
        <f t="shared" si="12"/>
        <v>1.7000000000000001E-2</v>
      </c>
      <c r="W89" s="48">
        <f t="shared" si="31"/>
        <v>8.7000000000000008E-2</v>
      </c>
      <c r="X89" s="11">
        <f t="shared" si="13"/>
        <v>20</v>
      </c>
      <c r="Y89" s="11">
        <f>IF(O89&lt;&gt;"",IF($B$16=listy!$K$8,'RZĄDOWY PROGRAM'!$F$3*'RZĄDOWY PROGRAM'!$F$15,T88*$F$15),"")</f>
        <v>50</v>
      </c>
      <c r="Z89" s="11">
        <f t="shared" si="32"/>
        <v>70</v>
      </c>
      <c r="AB89" s="8">
        <f t="shared" si="33"/>
        <v>62</v>
      </c>
      <c r="AC89" s="8"/>
      <c r="AD89" s="11">
        <f>IF(AB89&lt;&gt;"",ROUND(IF($F$11="raty równe",-PMT(W89/12,$F$4-AB88+SUM($AC$28:AC89),AG88,2),AE89+AF89),2),"")</f>
        <v>3280.39</v>
      </c>
      <c r="AE89" s="11">
        <f>IF(AB89&lt;&gt;"",IF($F$11="raty malejące",AG88/($F$4-AB88+SUM($AC$28:AC88)),MIN(AD89-AF89,AG88)),"")</f>
        <v>849.68119443923388</v>
      </c>
      <c r="AF89" s="11">
        <f t="shared" si="69"/>
        <v>2430.708805560766</v>
      </c>
      <c r="AG89" s="9">
        <f t="shared" si="52"/>
        <v>334420.49888290779</v>
      </c>
      <c r="AH89" s="11"/>
      <c r="AI89" s="33">
        <f>IF(AB89&lt;&gt;"",ROUND(IF($F$11="raty równe",-PMT(W89/12,($F$4-AB88+SUM($AC$27:AC88)),AG88,2),AG88/($F$4-AB88+SUM($AC$27:AC88))+AG88*W89/12),2),"")</f>
        <v>3280.39</v>
      </c>
      <c r="AJ89" s="33">
        <f t="shared" si="34"/>
        <v>241.71000000000004</v>
      </c>
      <c r="AK89" s="33">
        <f t="shared" si="15"/>
        <v>14698.338483254633</v>
      </c>
      <c r="AL89" s="33">
        <f>IF(AB89&lt;&gt;"",AK89-SUM($AJ$28:AJ89),"")</f>
        <v>1507.4684832546336</v>
      </c>
      <c r="AM89" s="11">
        <f t="shared" si="35"/>
        <v>20</v>
      </c>
      <c r="AN89" s="11">
        <f>IF(AB89&lt;&gt;"",IF($B$16=listy!$K$8,'RZĄDOWY PROGRAM'!$F$3*'RZĄDOWY PROGRAM'!$F$15,AG88*$F$15),"")</f>
        <v>50</v>
      </c>
      <c r="AO89" s="11">
        <f t="shared" si="36"/>
        <v>70</v>
      </c>
      <c r="AQ89" s="8">
        <f t="shared" si="37"/>
        <v>62</v>
      </c>
      <c r="AR89" s="8"/>
      <c r="AS89" s="78">
        <f>IF(AQ89&lt;&gt;"",ROUND(IF($F$11="raty równe",-PMT(W89/12,$F$4-AQ88+SUM($AR$28:AR89),AV88,2),AT89+AU89),2),"")</f>
        <v>3263.83</v>
      </c>
      <c r="AT89" s="78">
        <f>IF(AQ89&lt;&gt;"",IF($F$11="raty malejące",AV88/($F$4-AQ88+SUM($AR$28:AR88)),MIN(AS89-AU89,AV88)),"")</f>
        <v>845.39705682912836</v>
      </c>
      <c r="AU89" s="78">
        <f t="shared" si="53"/>
        <v>2418.4329431708716</v>
      </c>
      <c r="AV89" s="79">
        <f t="shared" si="38"/>
        <v>332731.56062191172</v>
      </c>
      <c r="AW89" s="11"/>
      <c r="AX89" s="33">
        <f>IF(AQ89&lt;&gt;"",ROUND(IF($F$11="raty równe",-PMT(W89/12,($F$4-AQ88+SUM($AR$27:AR88)),AV88,2),AV88/($F$4-AQ88+SUM($AR$27:AR88))+AV88*W89/12),2),"")</f>
        <v>3263.83</v>
      </c>
      <c r="AY89" s="33">
        <f t="shared" si="39"/>
        <v>258.27</v>
      </c>
      <c r="AZ89" s="33">
        <f t="shared" si="72"/>
        <v>12997.949108976691</v>
      </c>
      <c r="BA89" s="33">
        <f>IF(AQ89&lt;&gt;"",AZ89-SUM($AY$44:AY89),"")</f>
        <v>1117.5391089766781</v>
      </c>
      <c r="BB89" s="11">
        <f t="shared" si="40"/>
        <v>20</v>
      </c>
      <c r="BC89" s="11">
        <f>IF(AQ89&lt;&gt;"",IF($B$16=listy!$K$8,'RZĄDOWY PROGRAM'!$F$3*'RZĄDOWY PROGRAM'!$F$15,AV88*$F$15),"")</f>
        <v>50</v>
      </c>
      <c r="BD89" s="11">
        <f t="shared" si="41"/>
        <v>70</v>
      </c>
      <c r="BF89" s="8">
        <f t="shared" si="42"/>
        <v>62</v>
      </c>
      <c r="BG89" s="8"/>
      <c r="BH89" s="78">
        <f>IF(BF89&lt;&gt;"",ROUND(IF($F$11="raty równe",-PMT(W89/12,$F$4-BF88+SUM(BV$28:$BV89)-SUM($BM$29:BM89),BK88,2),BI89+BJ89),2),"")</f>
        <v>3522.09</v>
      </c>
      <c r="BI89" s="78">
        <f>IF(BF89&lt;&gt;"",IF($F$11="raty malejące",MIN(BK88/($F$4-BF88+SUM($BG$27:BG89)-SUM($BM$27:BM89)),BK88),MIN(BH89-BJ89,BK88)),"")</f>
        <v>1205.4861323685031</v>
      </c>
      <c r="BJ89" s="78">
        <f t="shared" si="54"/>
        <v>2316.603867631497</v>
      </c>
      <c r="BK89" s="79">
        <f t="shared" si="55"/>
        <v>318326.08181680343</v>
      </c>
      <c r="BL89" s="11"/>
      <c r="BM89" s="33"/>
      <c r="BN89" s="33">
        <f t="shared" si="73"/>
        <v>9.9999999997635314E-3</v>
      </c>
      <c r="BO89" s="33">
        <f t="shared" si="74"/>
        <v>-9.3543305155778925E-2</v>
      </c>
      <c r="BP89" s="33">
        <f>IF(O89&lt;&gt;"",BO89-SUM($BN$44:BN89),"")</f>
        <v>-1.3543305157670674E-2</v>
      </c>
      <c r="BQ89" s="11">
        <f t="shared" si="17"/>
        <v>20</v>
      </c>
      <c r="BR89" s="11">
        <f>IF(BF89&lt;&gt;"",IF($B$16=listy!$K$8,'RZĄDOWY PROGRAM'!$F$3*'RZĄDOWY PROGRAM'!$F$15,BK88*$F$15),"")</f>
        <v>50</v>
      </c>
      <c r="BS89" s="11">
        <f t="shared" si="18"/>
        <v>70</v>
      </c>
      <c r="BU89" s="8">
        <f t="shared" si="44"/>
        <v>62</v>
      </c>
      <c r="BV89" s="8"/>
      <c r="BW89" s="78">
        <f>IF(BU89&lt;&gt;"",ROUND(IF($F$11="raty równe",-PMT(W89/12,$F$4-BU88+SUM($BV$28:BV89)-$CB$43,BZ88,2),BX89+BY89),2),"")</f>
        <v>3522.09</v>
      </c>
      <c r="BX89" s="78">
        <f>IF(BU89&lt;&gt;"",IF($F$11="raty malejące",MIN(BZ88/($F$4-BU88+SUM($BV$28:BV88)-SUM($CB$28:CB88)),BZ88),MIN(BW89-BY89,BZ88)),"")</f>
        <v>1202.8647799757414</v>
      </c>
      <c r="BY89" s="78">
        <f t="shared" si="77"/>
        <v>2319.2252200242588</v>
      </c>
      <c r="BZ89" s="79">
        <f t="shared" si="71"/>
        <v>318690.26901647373</v>
      </c>
      <c r="CA89" s="11"/>
      <c r="CB89" s="33"/>
      <c r="CC89" s="33">
        <f t="shared" si="46"/>
        <v>9.9999999997635314E-3</v>
      </c>
      <c r="CD89" s="33">
        <f t="shared" si="75"/>
        <v>0.25114004386126632</v>
      </c>
      <c r="CE89" s="33">
        <f>IF(O89&lt;&gt;"",CD89-SUM($CC$44:CC89),"")</f>
        <v>2.1140043866705094E-2</v>
      </c>
      <c r="CF89" s="11">
        <f t="shared" si="20"/>
        <v>20</v>
      </c>
      <c r="CG89" s="11">
        <f>IF(BU89&lt;&gt;"",IF($B$16=listy!$K$8,'RZĄDOWY PROGRAM'!$F$3*'RZĄDOWY PROGRAM'!$F$15,BZ88*$F$15),"")</f>
        <v>50</v>
      </c>
      <c r="CH89" s="11">
        <f t="shared" si="21"/>
        <v>70</v>
      </c>
      <c r="CJ89" s="48">
        <f t="shared" si="22"/>
        <v>0.06</v>
      </c>
      <c r="CK89" s="18">
        <f t="shared" si="23"/>
        <v>4.8675505653430484E-3</v>
      </c>
      <c r="CL89" s="11">
        <f t="shared" si="76"/>
        <v>0</v>
      </c>
      <c r="CM89" s="11">
        <f t="shared" si="25"/>
        <v>34922.268261440004</v>
      </c>
      <c r="CN89" s="11">
        <f>IF(AB89&lt;&gt;"",CM89-SUM($CL$28:CL89),"")</f>
        <v>6745.5082614400089</v>
      </c>
    </row>
    <row r="90" spans="1:92" x14ac:dyDescent="0.45">
      <c r="A90" s="68">
        <f t="shared" si="47"/>
        <v>46631</v>
      </c>
      <c r="B90" s="8">
        <f t="shared" si="4"/>
        <v>63</v>
      </c>
      <c r="C90" s="11">
        <f t="shared" si="5"/>
        <v>3522.09</v>
      </c>
      <c r="D90" s="11">
        <f t="shared" si="6"/>
        <v>973.56621057450229</v>
      </c>
      <c r="E90" s="11">
        <f t="shared" si="7"/>
        <v>2548.5237894254979</v>
      </c>
      <c r="F90" s="9">
        <f t="shared" si="26"/>
        <v>350546.95646880445</v>
      </c>
      <c r="G90" s="10">
        <f t="shared" si="8"/>
        <v>7.0000000000000007E-2</v>
      </c>
      <c r="H90" s="10">
        <f t="shared" si="9"/>
        <v>1.7000000000000001E-2</v>
      </c>
      <c r="I90" s="48">
        <f t="shared" si="27"/>
        <v>8.7000000000000008E-2</v>
      </c>
      <c r="J90" s="11">
        <f t="shared" si="10"/>
        <v>20</v>
      </c>
      <c r="K90" s="11">
        <f>IF(B90&lt;&gt;"",IF($B$16=listy!$K$8,'RZĄDOWY PROGRAM'!$F$3*'RZĄDOWY PROGRAM'!$F$15,F89*$F$15),"")</f>
        <v>50</v>
      </c>
      <c r="L90" s="11">
        <f t="shared" si="28"/>
        <v>70</v>
      </c>
      <c r="N90" s="54">
        <f t="shared" si="48"/>
        <v>46631</v>
      </c>
      <c r="O90" s="8">
        <f t="shared" si="29"/>
        <v>63</v>
      </c>
      <c r="P90" s="8"/>
      <c r="Q90" s="11">
        <f>IF(O90&lt;&gt;"",ROUND(IF($F$11="raty równe",-PMT(W90/12,$F$4-O89+SUM($P$28:P90),T89,2),R90+S90),2),"")</f>
        <v>3522.09</v>
      </c>
      <c r="R90" s="11">
        <f>IF(O90&lt;&gt;"",IF($F$11="raty malejące",T89/($F$4-O89+SUM($P$28:P90)),IF(Q90-S90&gt;T89,T89,Q90-S90)),"")</f>
        <v>918.89767312333061</v>
      </c>
      <c r="S90" s="11">
        <f t="shared" si="68"/>
        <v>2603.1923268766695</v>
      </c>
      <c r="T90" s="9">
        <f t="shared" si="30"/>
        <v>358142.11293055519</v>
      </c>
      <c r="U90" s="10">
        <f t="shared" si="11"/>
        <v>7.0000000000000007E-2</v>
      </c>
      <c r="V90" s="10">
        <f t="shared" si="12"/>
        <v>1.7000000000000001E-2</v>
      </c>
      <c r="W90" s="48">
        <f t="shared" si="31"/>
        <v>8.7000000000000008E-2</v>
      </c>
      <c r="X90" s="11">
        <f t="shared" si="13"/>
        <v>20</v>
      </c>
      <c r="Y90" s="11">
        <f>IF(O90&lt;&gt;"",IF($B$16=listy!$K$8,'RZĄDOWY PROGRAM'!$F$3*'RZĄDOWY PROGRAM'!$F$15,T89*$F$15),"")</f>
        <v>50</v>
      </c>
      <c r="Z90" s="11">
        <f t="shared" si="32"/>
        <v>70</v>
      </c>
      <c r="AB90" s="8">
        <f t="shared" si="33"/>
        <v>63</v>
      </c>
      <c r="AC90" s="8"/>
      <c r="AD90" s="11">
        <f>IF(AB90&lt;&gt;"",ROUND(IF($F$11="raty równe",-PMT(W90/12,$F$4-AB89+SUM($AC$28:AC90),AG89,2),AE90+AF90),2),"")</f>
        <v>3280.39</v>
      </c>
      <c r="AE90" s="11">
        <f>IF(AB90&lt;&gt;"",IF($F$11="raty malejące",AG89/($F$4-AB89+SUM($AC$28:AC89)),MIN(AD90-AF90,AG89)),"")</f>
        <v>855.84138309891841</v>
      </c>
      <c r="AF90" s="11">
        <f t="shared" si="69"/>
        <v>2424.5486169010815</v>
      </c>
      <c r="AG90" s="9">
        <f t="shared" si="52"/>
        <v>333564.65749980888</v>
      </c>
      <c r="AH90" s="11"/>
      <c r="AI90" s="33">
        <f>IF(AB90&lt;&gt;"",ROUND(IF($F$11="raty równe",-PMT(W90/12,($F$4-AB89+SUM($AC$27:AC89)),AG89,2),AG89/($F$4-AB89+SUM($AC$27:AC89))+AG89*W90/12),2),"")</f>
        <v>3280.39</v>
      </c>
      <c r="AJ90" s="33">
        <f t="shared" si="34"/>
        <v>241.70000000000027</v>
      </c>
      <c r="AK90" s="33">
        <f t="shared" si="15"/>
        <v>14997.989856947588</v>
      </c>
      <c r="AL90" s="33">
        <f>IF(AB90&lt;&gt;"",AK90-SUM($AJ$28:AJ90),"")</f>
        <v>1565.4198569475884</v>
      </c>
      <c r="AM90" s="11">
        <f t="shared" si="35"/>
        <v>20</v>
      </c>
      <c r="AN90" s="11">
        <f>IF(AB90&lt;&gt;"",IF($B$16=listy!$K$8,'RZĄDOWY PROGRAM'!$F$3*'RZĄDOWY PROGRAM'!$F$15,AG89*$F$15),"")</f>
        <v>50</v>
      </c>
      <c r="AO90" s="11">
        <f t="shared" si="36"/>
        <v>70</v>
      </c>
      <c r="AQ90" s="8">
        <f t="shared" si="37"/>
        <v>63</v>
      </c>
      <c r="AR90" s="8"/>
      <c r="AS90" s="78">
        <f>IF(AQ90&lt;&gt;"",ROUND(IF($F$11="raty równe",-PMT(W90/12,$F$4-AQ89+SUM($AR$28:AR90),AV89,2),AT90+AU90),2),"")</f>
        <v>3263.82</v>
      </c>
      <c r="AT90" s="78">
        <f>IF(AQ90&lt;&gt;"",IF($F$11="raty malejące",AV89/($F$4-AQ89+SUM($AR$28:AR89)),MIN(AS90-AU90,AV89)),"")</f>
        <v>851.51618549114028</v>
      </c>
      <c r="AU90" s="78">
        <f t="shared" si="53"/>
        <v>2412.3038145088599</v>
      </c>
      <c r="AV90" s="79">
        <f t="shared" si="38"/>
        <v>331880.04443642061</v>
      </c>
      <c r="AW90" s="11"/>
      <c r="AX90" s="33">
        <f>IF(AQ90&lt;&gt;"",ROUND(IF($F$11="raty równe",-PMT(W90/12,($F$4-AQ89+SUM($AR$27:AR89)),AV89,2),AV89/($F$4-AQ89+SUM($AR$27:AR89))+AV89*W90/12),2),"")</f>
        <v>3263.82</v>
      </c>
      <c r="AY90" s="33">
        <f t="shared" si="39"/>
        <v>258.27</v>
      </c>
      <c r="AZ90" s="33">
        <f t="shared" si="72"/>
        <v>13307.466330348989</v>
      </c>
      <c r="BA90" s="33">
        <f>IF(AQ90&lt;&gt;"",AZ90-SUM($AY$44:AY90),"")</f>
        <v>1168.7863303489758</v>
      </c>
      <c r="BB90" s="11">
        <f t="shared" si="40"/>
        <v>20</v>
      </c>
      <c r="BC90" s="11">
        <f>IF(AQ90&lt;&gt;"",IF($B$16=listy!$K$8,'RZĄDOWY PROGRAM'!$F$3*'RZĄDOWY PROGRAM'!$F$15,AV89*$F$15),"")</f>
        <v>50</v>
      </c>
      <c r="BD90" s="11">
        <f t="shared" si="41"/>
        <v>70</v>
      </c>
      <c r="BF90" s="8">
        <f t="shared" si="42"/>
        <v>63</v>
      </c>
      <c r="BG90" s="8"/>
      <c r="BH90" s="78">
        <f>IF(BF90&lt;&gt;"",ROUND(IF($F$11="raty równe",-PMT(W90/12,$F$4-BF89+SUM(BV$28:$BV90)-SUM($BM$29:BM90),BK89,2),BI90+BJ90),2),"")</f>
        <v>3522.1</v>
      </c>
      <c r="BI90" s="78">
        <f>IF(BF90&lt;&gt;"",IF($F$11="raty malejące",MIN(BK89/($F$4-BF89+SUM($BG$27:BG90)-SUM($BM$27:BM90)),BK89),MIN(BH90-BJ90,BK89)),"")</f>
        <v>1214.2359068281748</v>
      </c>
      <c r="BJ90" s="78">
        <f t="shared" si="54"/>
        <v>2307.8640931718251</v>
      </c>
      <c r="BK90" s="79">
        <f t="shared" si="55"/>
        <v>317111.84590997524</v>
      </c>
      <c r="BL90" s="11"/>
      <c r="BM90" s="33"/>
      <c r="BN90" s="33">
        <f t="shared" si="73"/>
        <v>-9.9999999997635314E-3</v>
      </c>
      <c r="BO90" s="33">
        <f t="shared" si="74"/>
        <v>-0.10391211983753747</v>
      </c>
      <c r="BP90" s="33">
        <f>IF(O90&lt;&gt;"",BO90-SUM($BN$44:BN90),"")</f>
        <v>-1.3912119839665685E-2</v>
      </c>
      <c r="BQ90" s="11">
        <f t="shared" si="17"/>
        <v>20</v>
      </c>
      <c r="BR90" s="11">
        <f>IF(BF90&lt;&gt;"",IF($B$16=listy!$K$8,'RZĄDOWY PROGRAM'!$F$3*'RZĄDOWY PROGRAM'!$F$15,BK89*$F$15),"")</f>
        <v>50</v>
      </c>
      <c r="BS90" s="11">
        <f t="shared" si="18"/>
        <v>70</v>
      </c>
      <c r="BU90" s="8">
        <f t="shared" si="44"/>
        <v>63</v>
      </c>
      <c r="BV90" s="8"/>
      <c r="BW90" s="78">
        <f>IF(BU90&lt;&gt;"",ROUND(IF($F$11="raty równe",-PMT(W90/12,$F$4-BU89+SUM($BV$28:BV90)-$CB$43,BZ89,2),BX90+BY90),2),"")</f>
        <v>3522.09</v>
      </c>
      <c r="BX90" s="78">
        <f>IF(BU90&lt;&gt;"",IF($F$11="raty malejące",MIN(BZ89/($F$4-BU89+SUM($BV$28:BV89)-SUM($CB$28:CB89)),BZ89),MIN(BW90-BY90,BZ89)),"")</f>
        <v>1211.5855496305653</v>
      </c>
      <c r="BY90" s="78">
        <f t="shared" si="77"/>
        <v>2310.5044503694348</v>
      </c>
      <c r="BZ90" s="79">
        <f t="shared" si="71"/>
        <v>317478.68346684315</v>
      </c>
      <c r="CA90" s="11"/>
      <c r="CB90" s="33"/>
      <c r="CC90" s="33">
        <f t="shared" si="46"/>
        <v>0</v>
      </c>
      <c r="CD90" s="33">
        <f t="shared" si="75"/>
        <v>0.25213021771987287</v>
      </c>
      <c r="CE90" s="33">
        <f>IF(O90&lt;&gt;"",CD90-SUM($CC$44:CC90),"")</f>
        <v>2.2130217725311652E-2</v>
      </c>
      <c r="CF90" s="11">
        <f t="shared" si="20"/>
        <v>20</v>
      </c>
      <c r="CG90" s="11">
        <f>IF(BU90&lt;&gt;"",IF($B$16=listy!$K$8,'RZĄDOWY PROGRAM'!$F$3*'RZĄDOWY PROGRAM'!$F$15,BZ89*$F$15),"")</f>
        <v>50</v>
      </c>
      <c r="CH90" s="11">
        <f t="shared" si="21"/>
        <v>70</v>
      </c>
      <c r="CJ90" s="48">
        <f t="shared" si="22"/>
        <v>0.06</v>
      </c>
      <c r="CK90" s="18">
        <f t="shared" si="23"/>
        <v>4.8675505653430484E-3</v>
      </c>
      <c r="CL90" s="11">
        <f t="shared" si="76"/>
        <v>0</v>
      </c>
      <c r="CM90" s="11">
        <f t="shared" si="25"/>
        <v>35059.956845801426</v>
      </c>
      <c r="CN90" s="11">
        <f>IF(AB90&lt;&gt;"",CM90-SUM($CL$28:CL90),"")</f>
        <v>6883.1968458014308</v>
      </c>
    </row>
    <row r="91" spans="1:92" x14ac:dyDescent="0.45">
      <c r="A91" s="68">
        <f t="shared" si="47"/>
        <v>46661</v>
      </c>
      <c r="B91" s="8">
        <f t="shared" si="4"/>
        <v>64</v>
      </c>
      <c r="C91" s="11">
        <f t="shared" si="5"/>
        <v>3522.1</v>
      </c>
      <c r="D91" s="11">
        <f t="shared" si="6"/>
        <v>980.6345656011672</v>
      </c>
      <c r="E91" s="11">
        <f t="shared" si="7"/>
        <v>2541.4654343988327</v>
      </c>
      <c r="F91" s="9">
        <f t="shared" si="26"/>
        <v>349566.32190320326</v>
      </c>
      <c r="G91" s="10">
        <f t="shared" si="8"/>
        <v>7.0000000000000007E-2</v>
      </c>
      <c r="H91" s="10">
        <f t="shared" si="9"/>
        <v>1.7000000000000001E-2</v>
      </c>
      <c r="I91" s="48">
        <f t="shared" si="27"/>
        <v>8.7000000000000008E-2</v>
      </c>
      <c r="J91" s="11">
        <f t="shared" si="10"/>
        <v>20</v>
      </c>
      <c r="K91" s="11">
        <f>IF(B91&lt;&gt;"",IF($B$16=listy!$K$8,'RZĄDOWY PROGRAM'!$F$3*'RZĄDOWY PROGRAM'!$F$15,F90*$F$15),"")</f>
        <v>50</v>
      </c>
      <c r="L91" s="11">
        <f t="shared" si="28"/>
        <v>70</v>
      </c>
      <c r="N91" s="54">
        <f t="shared" si="48"/>
        <v>46661</v>
      </c>
      <c r="O91" s="8">
        <f t="shared" si="29"/>
        <v>64</v>
      </c>
      <c r="P91" s="8"/>
      <c r="Q91" s="11">
        <f>IF(O91&lt;&gt;"",ROUND(IF($F$11="raty równe",-PMT(W91/12,$F$4-O90+SUM($P$28:P91),T90,2),R91+S91),2),"")</f>
        <v>3522.1</v>
      </c>
      <c r="R91" s="11">
        <f>IF(O91&lt;&gt;"",IF($F$11="raty malejące",T90/($F$4-O90+SUM($P$28:P91)),IF(Q91-S91&gt;T90,T90,Q91-S91)),"")</f>
        <v>925.5696812534743</v>
      </c>
      <c r="S91" s="11">
        <f t="shared" si="68"/>
        <v>2596.5303187465256</v>
      </c>
      <c r="T91" s="9">
        <f t="shared" si="30"/>
        <v>357216.54324930173</v>
      </c>
      <c r="U91" s="10">
        <f t="shared" si="11"/>
        <v>7.0000000000000007E-2</v>
      </c>
      <c r="V91" s="10">
        <f t="shared" si="12"/>
        <v>1.7000000000000001E-2</v>
      </c>
      <c r="W91" s="48">
        <f t="shared" si="31"/>
        <v>8.7000000000000008E-2</v>
      </c>
      <c r="X91" s="11">
        <f t="shared" si="13"/>
        <v>20</v>
      </c>
      <c r="Y91" s="11">
        <f>IF(O91&lt;&gt;"",IF($B$16=listy!$K$8,'RZĄDOWY PROGRAM'!$F$3*'RZĄDOWY PROGRAM'!$F$15,T90*$F$15),"")</f>
        <v>50</v>
      </c>
      <c r="Z91" s="11">
        <f t="shared" si="32"/>
        <v>70</v>
      </c>
      <c r="AB91" s="8">
        <f t="shared" si="33"/>
        <v>64</v>
      </c>
      <c r="AC91" s="8"/>
      <c r="AD91" s="11">
        <f>IF(AB91&lt;&gt;"",ROUND(IF($F$11="raty równe",-PMT(W91/12,$F$4-AB90+SUM($AC$28:AC91),AG90,2),AE91+AF91),2),"")</f>
        <v>3280.39</v>
      </c>
      <c r="AE91" s="11">
        <f>IF(AB91&lt;&gt;"",IF($F$11="raty malejące",AG90/($F$4-AB90+SUM($AC$28:AC90)),MIN(AD91-AF91,AG90)),"")</f>
        <v>862.04623312638523</v>
      </c>
      <c r="AF91" s="11">
        <f t="shared" si="69"/>
        <v>2418.3437668736146</v>
      </c>
      <c r="AG91" s="9">
        <f t="shared" si="52"/>
        <v>332702.61126668251</v>
      </c>
      <c r="AH91" s="11"/>
      <c r="AI91" s="33">
        <f>IF(AB91&lt;&gt;"",ROUND(IF($F$11="raty równe",-PMT(W91/12,($F$4-AB90+SUM($AC$27:AC90)),AG90,2),AG90/($F$4-AB90+SUM($AC$27:AC90))+AG90*W91/12),2),"")</f>
        <v>3280.39</v>
      </c>
      <c r="AJ91" s="33">
        <f t="shared" si="34"/>
        <v>241.71000000000004</v>
      </c>
      <c r="AK91" s="33">
        <f t="shared" si="15"/>
        <v>15298.832670893418</v>
      </c>
      <c r="AL91" s="33">
        <f>IF(AB91&lt;&gt;"",AK91-SUM($AJ$28:AJ91),"")</f>
        <v>1624.5526708934194</v>
      </c>
      <c r="AM91" s="11">
        <f t="shared" si="35"/>
        <v>20</v>
      </c>
      <c r="AN91" s="11">
        <f>IF(AB91&lt;&gt;"",IF($B$16=listy!$K$8,'RZĄDOWY PROGRAM'!$F$3*'RZĄDOWY PROGRAM'!$F$15,AG90*$F$15),"")</f>
        <v>50</v>
      </c>
      <c r="AO91" s="11">
        <f t="shared" si="36"/>
        <v>70</v>
      </c>
      <c r="AQ91" s="8">
        <f t="shared" si="37"/>
        <v>64</v>
      </c>
      <c r="AR91" s="8"/>
      <c r="AS91" s="78">
        <f>IF(AQ91&lt;&gt;"",ROUND(IF($F$11="raty równe",-PMT(W91/12,$F$4-AQ90+SUM($AR$28:AR91),AV90,2),AT91+AU91),2),"")</f>
        <v>3263.83</v>
      </c>
      <c r="AT91" s="78">
        <f>IF(AQ91&lt;&gt;"",IF($F$11="raty malejące",AV90/($F$4-AQ90+SUM($AR$28:AR90)),MIN(AS91-AU91,AV90)),"")</f>
        <v>857.6996778359503</v>
      </c>
      <c r="AU91" s="78">
        <f t="shared" si="53"/>
        <v>2406.1303221640496</v>
      </c>
      <c r="AV91" s="79">
        <f t="shared" si="38"/>
        <v>331022.34475858463</v>
      </c>
      <c r="AW91" s="11"/>
      <c r="AX91" s="33">
        <f>IF(AQ91&lt;&gt;"",ROUND(IF($F$11="raty równe",-PMT(W91/12,($F$4-AQ90+SUM($AR$27:AR90)),AV90,2),AV90/($F$4-AQ90+SUM($AR$27:AR90))+AV90*W91/12),2),"")</f>
        <v>3263.83</v>
      </c>
      <c r="AY91" s="33">
        <f t="shared" si="39"/>
        <v>258.27</v>
      </c>
      <c r="AZ91" s="33">
        <f t="shared" si="72"/>
        <v>13618.203890209244</v>
      </c>
      <c r="BA91" s="33">
        <f>IF(AQ91&lt;&gt;"",AZ91-SUM($AY$44:AY91),"")</f>
        <v>1221.253890209231</v>
      </c>
      <c r="BB91" s="11">
        <f t="shared" si="40"/>
        <v>20</v>
      </c>
      <c r="BC91" s="11">
        <f>IF(AQ91&lt;&gt;"",IF($B$16=listy!$K$8,'RZĄDOWY PROGRAM'!$F$3*'RZĄDOWY PROGRAM'!$F$15,AV90*$F$15),"")</f>
        <v>50</v>
      </c>
      <c r="BD91" s="11">
        <f t="shared" si="41"/>
        <v>70</v>
      </c>
      <c r="BF91" s="8">
        <f t="shared" si="42"/>
        <v>64</v>
      </c>
      <c r="BG91" s="8"/>
      <c r="BH91" s="78">
        <f>IF(BF91&lt;&gt;"",ROUND(IF($F$11="raty równe",-PMT(W91/12,$F$4-BF90+SUM(BV$28:$BV91)-SUM($BM$29:BM91),BK90,2),BI91+BJ91),2),"")</f>
        <v>3522.09</v>
      </c>
      <c r="BI91" s="78">
        <f>IF(BF91&lt;&gt;"",IF($F$11="raty malejące",MIN(BK90/($F$4-BF90+SUM($BG$27:BG91)-SUM($BM$27:BM91)),BK90),MIN(BH91-BJ91,BK90)),"")</f>
        <v>1223.0291171526792</v>
      </c>
      <c r="BJ91" s="78">
        <f t="shared" si="54"/>
        <v>2299.060882847321</v>
      </c>
      <c r="BK91" s="79">
        <f t="shared" si="55"/>
        <v>315888.81679282256</v>
      </c>
      <c r="BL91" s="11"/>
      <c r="BM91" s="33"/>
      <c r="BN91" s="33">
        <f t="shared" si="73"/>
        <v>9.9999999997635314E-3</v>
      </c>
      <c r="BO91" s="33">
        <f t="shared" si="74"/>
        <v>-9.432181581087952E-2</v>
      </c>
      <c r="BP91" s="33">
        <f>IF(O91&lt;&gt;"",BO91-SUM($BN$44:BN91),"")</f>
        <v>-1.4321815812771269E-2</v>
      </c>
      <c r="BQ91" s="11">
        <f t="shared" si="17"/>
        <v>20</v>
      </c>
      <c r="BR91" s="11">
        <f>IF(BF91&lt;&gt;"",IF($B$16=listy!$K$8,'RZĄDOWY PROGRAM'!$F$3*'RZĄDOWY PROGRAM'!$F$15,BK90*$F$15),"")</f>
        <v>50</v>
      </c>
      <c r="BS91" s="11">
        <f t="shared" si="18"/>
        <v>70</v>
      </c>
      <c r="BU91" s="8">
        <f t="shared" si="44"/>
        <v>64</v>
      </c>
      <c r="BV91" s="8"/>
      <c r="BW91" s="78">
        <f>IF(BU91&lt;&gt;"",ROUND(IF($F$11="raty równe",-PMT(W91/12,$F$4-BU90+SUM($BV$28:BV91)-$CB$43,BZ90,2),BX91+BY91),2),"")</f>
        <v>3522.09</v>
      </c>
      <c r="BX91" s="78">
        <f>IF(BU91&lt;&gt;"",IF($F$11="raty malejące",MIN(BZ90/($F$4-BU90+SUM($BV$28:BV90)-SUM($CB$28:CB90)),BZ90),MIN(BW91-BY91,BZ90)),"")</f>
        <v>1220.3695448653871</v>
      </c>
      <c r="BY91" s="78">
        <f t="shared" si="77"/>
        <v>2301.7204551346131</v>
      </c>
      <c r="BZ91" s="79">
        <f t="shared" si="71"/>
        <v>316258.31392197777</v>
      </c>
      <c r="CA91" s="11"/>
      <c r="CB91" s="33"/>
      <c r="CC91" s="33">
        <f t="shared" si="46"/>
        <v>9.9999999997635314E-3</v>
      </c>
      <c r="CD91" s="33">
        <f t="shared" si="75"/>
        <v>0.26312429555251637</v>
      </c>
      <c r="CE91" s="33">
        <f>IF(O91&lt;&gt;"",CD91-SUM($CC$44:CC91),"")</f>
        <v>2.3124295558191621E-2</v>
      </c>
      <c r="CF91" s="11">
        <f t="shared" si="20"/>
        <v>20</v>
      </c>
      <c r="CG91" s="11">
        <f>IF(BU91&lt;&gt;"",IF($B$16=listy!$K$8,'RZĄDOWY PROGRAM'!$F$3*'RZĄDOWY PROGRAM'!$F$15,BZ90*$F$15),"")</f>
        <v>50</v>
      </c>
      <c r="CH91" s="11">
        <f t="shared" si="21"/>
        <v>70</v>
      </c>
      <c r="CJ91" s="48">
        <f t="shared" si="22"/>
        <v>0.06</v>
      </c>
      <c r="CK91" s="18">
        <f t="shared" si="23"/>
        <v>4.8675505653430484E-3</v>
      </c>
      <c r="CL91" s="11">
        <f t="shared" si="76"/>
        <v>0</v>
      </c>
      <c r="CM91" s="11">
        <f t="shared" si="25"/>
        <v>35198.188297141634</v>
      </c>
      <c r="CN91" s="11">
        <f>IF(AB91&lt;&gt;"",CM91-SUM($CL$28:CL91),"")</f>
        <v>7021.4282971416396</v>
      </c>
    </row>
    <row r="92" spans="1:92" x14ac:dyDescent="0.45">
      <c r="A92" s="68">
        <f t="shared" si="47"/>
        <v>46692</v>
      </c>
      <c r="B92" s="8">
        <f t="shared" ref="B92:B155" si="78">IFERROR(IF(B91+1&lt;=$F$4,B91+1,""),"")</f>
        <v>65</v>
      </c>
      <c r="C92" s="11">
        <f t="shared" ref="C92:C155" si="79">IF(B92&lt;&gt;"",ROUND(IF($F$11="raty równe",-PMT(I92/12,$F$4-B91,F91,2),D92+E92),2),"")</f>
        <v>3522.09</v>
      </c>
      <c r="D92" s="11">
        <f t="shared" ref="D92:D155" si="80">IF(B92&lt;&gt;"",IF($F$11="raty malejące",F91/($F$4-B91),IF(C92-E92&gt;F91,F91,C92-E92)),"")</f>
        <v>987.73416620177613</v>
      </c>
      <c r="E92" s="11">
        <f t="shared" ref="E92:E155" si="81">IF(B92&lt;&gt;"",F91*I92/12,"")</f>
        <v>2534.355833798224</v>
      </c>
      <c r="F92" s="9">
        <f t="shared" si="26"/>
        <v>348578.58773700148</v>
      </c>
      <c r="G92" s="10">
        <f t="shared" ref="G92:G155" si="82">IF(B92&lt;&gt;"",$F$5,"")</f>
        <v>7.0000000000000007E-2</v>
      </c>
      <c r="H92" s="10">
        <f t="shared" ref="H92:H155" si="83">IF(B92&lt;&gt;"",$F$6,"")</f>
        <v>1.7000000000000001E-2</v>
      </c>
      <c r="I92" s="48">
        <f t="shared" si="27"/>
        <v>8.7000000000000008E-2</v>
      </c>
      <c r="J92" s="11">
        <f t="shared" ref="J92:J155" si="84">IF(B92&lt;=$F$4,$F$14,"")</f>
        <v>20</v>
      </c>
      <c r="K92" s="11">
        <f>IF(B92&lt;&gt;"",IF($B$16=listy!$K$8,'RZĄDOWY PROGRAM'!$F$3*'RZĄDOWY PROGRAM'!$F$15,F91*$F$15),"")</f>
        <v>50</v>
      </c>
      <c r="L92" s="11">
        <f t="shared" si="28"/>
        <v>70</v>
      </c>
      <c r="N92" s="54">
        <f t="shared" si="48"/>
        <v>46692</v>
      </c>
      <c r="O92" s="8">
        <f t="shared" si="29"/>
        <v>65</v>
      </c>
      <c r="P92" s="8"/>
      <c r="Q92" s="11">
        <f>IF(O92&lt;&gt;"",ROUND(IF($F$11="raty równe",-PMT(W92/12,$F$4-O91+SUM($P$28:P92),T91,2),R92+S92),2),"")</f>
        <v>3522.09</v>
      </c>
      <c r="R92" s="11">
        <f>IF(O92&lt;&gt;"",IF($F$11="raty malejące",T91/($F$4-O91+SUM($P$28:P92)),IF(Q92-S92&gt;T91,T91,Q92-S92)),"")</f>
        <v>932.27006144256256</v>
      </c>
      <c r="S92" s="11">
        <f t="shared" si="68"/>
        <v>2589.8199385574376</v>
      </c>
      <c r="T92" s="9">
        <f t="shared" si="30"/>
        <v>356284.27318785916</v>
      </c>
      <c r="U92" s="10">
        <f t="shared" ref="U92:U155" si="85">IF(O92&lt;&gt;"",$F$5,"")</f>
        <v>7.0000000000000007E-2</v>
      </c>
      <c r="V92" s="10">
        <f t="shared" ref="V92:V155" si="86">IF(O92&lt;&gt;"",$F$6,"")</f>
        <v>1.7000000000000001E-2</v>
      </c>
      <c r="W92" s="48">
        <f t="shared" si="31"/>
        <v>8.7000000000000008E-2</v>
      </c>
      <c r="X92" s="11">
        <f t="shared" ref="X92:X155" si="87">IF(O92&lt;&gt;"",$F$14,"")</f>
        <v>20</v>
      </c>
      <c r="Y92" s="11">
        <f>IF(O92&lt;&gt;"",IF($B$16=listy!$K$8,'RZĄDOWY PROGRAM'!$F$3*'RZĄDOWY PROGRAM'!$F$15,T91*$F$15),"")</f>
        <v>50</v>
      </c>
      <c r="Z92" s="11">
        <f t="shared" si="32"/>
        <v>70</v>
      </c>
      <c r="AB92" s="8">
        <f t="shared" si="33"/>
        <v>65</v>
      </c>
      <c r="AC92" s="8"/>
      <c r="AD92" s="11">
        <f>IF(AB92&lt;&gt;"",ROUND(IF($F$11="raty równe",-PMT(W92/12,$F$4-AB91+SUM($AC$28:AC92),AG91,2),AE92+AF92),2),"")</f>
        <v>3280.39</v>
      </c>
      <c r="AE92" s="11">
        <f>IF(AB92&lt;&gt;"",IF($F$11="raty malejące",AG91/($F$4-AB91+SUM($AC$28:AC91)),MIN(AD92-AF92,AG91)),"")</f>
        <v>868.29606831655155</v>
      </c>
      <c r="AF92" s="11">
        <f t="shared" si="69"/>
        <v>2412.0939316834483</v>
      </c>
      <c r="AG92" s="9">
        <f t="shared" si="52"/>
        <v>331834.31519836595</v>
      </c>
      <c r="AH92" s="11"/>
      <c r="AI92" s="33">
        <f>IF(AB92&lt;&gt;"",ROUND(IF($F$11="raty równe",-PMT(W92/12,($F$4-AB91+SUM($AC$27:AC91)),AG91,2),AG91/($F$4-AB91+SUM($AC$27:AC91))+AG91*W92/12),2),"")</f>
        <v>3280.39</v>
      </c>
      <c r="AJ92" s="33">
        <f t="shared" si="34"/>
        <v>241.70000000000027</v>
      </c>
      <c r="AK92" s="33">
        <f t="shared" ref="AK92:AK155" si="88">IF(AB92&lt;&gt;"",IF($F$21="co miesiąc",AK91*(1+(1-$F$20)*CK92)+AJ92,(AK91*(1+CK92)+AJ92)),"")</f>
        <v>15600.85162260262</v>
      </c>
      <c r="AL92" s="33">
        <f>IF(AB92&lt;&gt;"",AK92-SUM($AJ$28:AJ92),"")</f>
        <v>1684.8716226026208</v>
      </c>
      <c r="AM92" s="11">
        <f t="shared" si="35"/>
        <v>20</v>
      </c>
      <c r="AN92" s="11">
        <f>IF(AB92&lt;&gt;"",IF($B$16=listy!$K$8,'RZĄDOWY PROGRAM'!$F$3*'RZĄDOWY PROGRAM'!$F$15,AG91*$F$15),"")</f>
        <v>50</v>
      </c>
      <c r="AO92" s="11">
        <f t="shared" si="36"/>
        <v>70</v>
      </c>
      <c r="AQ92" s="8">
        <f t="shared" si="37"/>
        <v>65</v>
      </c>
      <c r="AR92" s="8"/>
      <c r="AS92" s="78">
        <f>IF(AQ92&lt;&gt;"",ROUND(IF($F$11="raty równe",-PMT(W92/12,$F$4-AQ91+SUM($AR$28:AR92),AV91,2),AT92+AU92),2),"")</f>
        <v>3263.82</v>
      </c>
      <c r="AT92" s="78">
        <f>IF(AQ92&lt;&gt;"",IF($F$11="raty malejące",AV91/($F$4-AQ91+SUM($AR$28:AR91)),MIN(AS92-AU92,AV91)),"")</f>
        <v>863.90800050026155</v>
      </c>
      <c r="AU92" s="78">
        <f t="shared" si="53"/>
        <v>2399.9119994997386</v>
      </c>
      <c r="AV92" s="79">
        <f t="shared" si="38"/>
        <v>330158.43675808434</v>
      </c>
      <c r="AW92" s="11"/>
      <c r="AX92" s="33">
        <f>IF(AQ92&lt;&gt;"",ROUND(IF($F$11="raty równe",-PMT(W92/12,($F$4-AQ91+SUM($AR$27:AR91)),AV91,2),AV91/($F$4-AQ91+SUM($AR$27:AR91))+AV91*W92/12),2),"")</f>
        <v>3263.82</v>
      </c>
      <c r="AY92" s="33">
        <f t="shared" si="39"/>
        <v>258.27</v>
      </c>
      <c r="AZ92" s="33">
        <f t="shared" si="72"/>
        <v>13930.16660000549</v>
      </c>
      <c r="BA92" s="33">
        <f>IF(AQ92&lt;&gt;"",AZ92-SUM($AY$44:AY92),"")</f>
        <v>1274.9466000054763</v>
      </c>
      <c r="BB92" s="11">
        <f t="shared" si="40"/>
        <v>20</v>
      </c>
      <c r="BC92" s="11">
        <f>IF(AQ92&lt;&gt;"",IF($B$16=listy!$K$8,'RZĄDOWY PROGRAM'!$F$3*'RZĄDOWY PROGRAM'!$F$15,AV91*$F$15),"")</f>
        <v>50</v>
      </c>
      <c r="BD92" s="11">
        <f t="shared" si="41"/>
        <v>70</v>
      </c>
      <c r="BF92" s="8">
        <f t="shared" si="42"/>
        <v>65</v>
      </c>
      <c r="BG92" s="8"/>
      <c r="BH92" s="78">
        <f>IF(BF92&lt;&gt;"",ROUND(IF($F$11="raty równe",-PMT(W92/12,$F$4-BF91+SUM(BV$28:$BV92)-SUM($BM$29:BM92),BK91,2),BI92+BJ92),2),"")</f>
        <v>3522.1</v>
      </c>
      <c r="BI92" s="78">
        <f>IF(BF92&lt;&gt;"",IF($F$11="raty malejące",MIN(BK91/($F$4-BF91+SUM($BG$27:BG92)-SUM($BM$27:BM92)),BK91),MIN(BH92-BJ92,BK91)),"")</f>
        <v>1231.9060782520364</v>
      </c>
      <c r="BJ92" s="78">
        <f t="shared" si="54"/>
        <v>2290.1939217479635</v>
      </c>
      <c r="BK92" s="79">
        <f t="shared" si="55"/>
        <v>314656.91071457055</v>
      </c>
      <c r="BL92" s="11"/>
      <c r="BM92" s="33"/>
      <c r="BN92" s="33">
        <f t="shared" si="73"/>
        <v>-9.9999999997635314E-3</v>
      </c>
      <c r="BO92" s="33">
        <f t="shared" si="74"/>
        <v>-0.10469369993902135</v>
      </c>
      <c r="BP92" s="33">
        <f>IF(O92&lt;&gt;"",BO92-SUM($BN$44:BN92),"")</f>
        <v>-1.4693699941149566E-2</v>
      </c>
      <c r="BQ92" s="11">
        <f t="shared" ref="BQ92:BQ155" si="89">IF(BF92&lt;&gt;"",$F$14,"")</f>
        <v>20</v>
      </c>
      <c r="BR92" s="11">
        <f>IF(BF92&lt;&gt;"",IF($B$16=listy!$K$8,'RZĄDOWY PROGRAM'!$F$3*'RZĄDOWY PROGRAM'!$F$15,BK91*$F$15),"")</f>
        <v>50</v>
      </c>
      <c r="BS92" s="11">
        <f t="shared" ref="BS92:BS155" si="90">IF(BH92&lt;&gt;"",BQ92+BR92,"")</f>
        <v>70</v>
      </c>
      <c r="BU92" s="8">
        <f t="shared" si="44"/>
        <v>65</v>
      </c>
      <c r="BV92" s="8"/>
      <c r="BW92" s="78">
        <f>IF(BU92&lt;&gt;"",ROUND(IF($F$11="raty równe",-PMT(W92/12,$F$4-BU91+SUM($BV$28:BV92)-$CB$43,BZ91,2),BX92+BY92),2),"")</f>
        <v>3522.09</v>
      </c>
      <c r="BX92" s="78">
        <f>IF(BU92&lt;&gt;"",IF($F$11="raty malejące",MIN(BZ91/($F$4-BU91+SUM($BV$28:BV91)-SUM($CB$28:CB91)),BZ91),MIN(BW92-BY92,BZ91)),"")</f>
        <v>1229.2172240656614</v>
      </c>
      <c r="BY92" s="78">
        <f t="shared" si="77"/>
        <v>2292.8727759343387</v>
      </c>
      <c r="BZ92" s="79">
        <f t="shared" si="71"/>
        <v>315029.09669791209</v>
      </c>
      <c r="CA92" s="11"/>
      <c r="CB92" s="33"/>
      <c r="CC92" s="33">
        <f t="shared" si="46"/>
        <v>0</v>
      </c>
      <c r="CD92" s="33">
        <f t="shared" si="75"/>
        <v>0.26416171991150983</v>
      </c>
      <c r="CE92" s="33">
        <f>IF(O92&lt;&gt;"",CD92-SUM($CC$44:CC92),"")</f>
        <v>2.4161719917185076E-2</v>
      </c>
      <c r="CF92" s="11">
        <f t="shared" ref="CF92:CF155" si="91">IF(BU92&lt;&gt;"",$F$14,"")</f>
        <v>20</v>
      </c>
      <c r="CG92" s="11">
        <f>IF(BU92&lt;&gt;"",IF($B$16=listy!$K$8,'RZĄDOWY PROGRAM'!$F$3*'RZĄDOWY PROGRAM'!$F$15,BZ91*$F$15),"")</f>
        <v>50</v>
      </c>
      <c r="CH92" s="11">
        <f t="shared" ref="CH92:CH155" si="92">IF(BW92&lt;&gt;"",CF92+CG92,"")</f>
        <v>70</v>
      </c>
      <c r="CJ92" s="48">
        <f t="shared" ref="CJ92:CJ155" si="93">IF(AB92&lt;&gt;"",$F$19,"")</f>
        <v>0.06</v>
      </c>
      <c r="CK92" s="18">
        <f t="shared" ref="CK92:CK155" si="94">IF(AB92&lt;&gt;"",(1+CJ92)^(1/12)-1,"")</f>
        <v>4.8675505653430484E-3</v>
      </c>
      <c r="CL92" s="11">
        <f t="shared" si="76"/>
        <v>0</v>
      </c>
      <c r="CM92" s="11">
        <f t="shared" ref="CM92:CM155" si="95">IF(AB92&lt;&gt;"",IF($F$21="co miesiąc",CM91*(1+(1-$F$20)*CK92)+CL92,(CM91*(1+CK92)+CL92)),"")</f>
        <v>35336.96475583093</v>
      </c>
      <c r="CN92" s="11">
        <f>IF(AB92&lt;&gt;"",CM92-SUM($CL$28:CL92),"")</f>
        <v>7160.204755830935</v>
      </c>
    </row>
    <row r="93" spans="1:92" x14ac:dyDescent="0.45">
      <c r="A93" s="68">
        <f t="shared" si="47"/>
        <v>46722</v>
      </c>
      <c r="B93" s="8">
        <f t="shared" si="78"/>
        <v>66</v>
      </c>
      <c r="C93" s="11">
        <f t="shared" si="79"/>
        <v>3522.1</v>
      </c>
      <c r="D93" s="11">
        <f t="shared" si="80"/>
        <v>994.90523890673921</v>
      </c>
      <c r="E93" s="11">
        <f t="shared" si="81"/>
        <v>2527.1947610932607</v>
      </c>
      <c r="F93" s="9">
        <f t="shared" ref="F93:F156" si="96">IF(B93&lt;&gt;"",F92-D93,"")</f>
        <v>347583.68249809474</v>
      </c>
      <c r="G93" s="10">
        <f t="shared" si="82"/>
        <v>7.0000000000000007E-2</v>
      </c>
      <c r="H93" s="10">
        <f t="shared" si="83"/>
        <v>1.7000000000000001E-2</v>
      </c>
      <c r="I93" s="48">
        <f t="shared" ref="I93:I156" si="97">IF($B93&lt;&gt;"",IF(AND($F$8="TAK",$B93&lt;=$F$10),$F$9,G93+H93),"")</f>
        <v>8.7000000000000008E-2</v>
      </c>
      <c r="J93" s="11">
        <f t="shared" si="84"/>
        <v>20</v>
      </c>
      <c r="K93" s="11">
        <f>IF(B93&lt;&gt;"",IF($B$16=listy!$K$8,'RZĄDOWY PROGRAM'!$F$3*'RZĄDOWY PROGRAM'!$F$15,F92*$F$15),"")</f>
        <v>50</v>
      </c>
      <c r="L93" s="11">
        <f t="shared" ref="L93:L156" si="98">IF(B93&lt;&gt;"",J93+K93,"")</f>
        <v>70</v>
      </c>
      <c r="N93" s="54">
        <f t="shared" si="48"/>
        <v>46722</v>
      </c>
      <c r="O93" s="8">
        <f t="shared" ref="O93:O156" si="99">IFERROR(IF(O92+1&lt;=$F$4+8,O92+1,""),"")</f>
        <v>66</v>
      </c>
      <c r="P93" s="8"/>
      <c r="Q93" s="11">
        <f>IF(O93&lt;&gt;"",ROUND(IF($F$11="raty równe",-PMT(W93/12,$F$4-O92+SUM($P$28:P93),T92,2),R93+S93),2),"")</f>
        <v>3522.1</v>
      </c>
      <c r="R93" s="11">
        <f>IF(O93&lt;&gt;"",IF($F$11="raty malejące",T92/($F$4-O92+SUM($P$28:P93)),IF(Q93-S93&gt;T92,T92,Q93-S93)),"")</f>
        <v>939.03901938802073</v>
      </c>
      <c r="S93" s="11">
        <f t="shared" si="68"/>
        <v>2583.0609806119792</v>
      </c>
      <c r="T93" s="9">
        <f t="shared" ref="T93:T156" si="100">IF(O93&lt;&gt;"",T92-R93,"")</f>
        <v>355345.23416847113</v>
      </c>
      <c r="U93" s="10">
        <f t="shared" si="85"/>
        <v>7.0000000000000007E-2</v>
      </c>
      <c r="V93" s="10">
        <f t="shared" si="86"/>
        <v>1.7000000000000001E-2</v>
      </c>
      <c r="W93" s="48">
        <f t="shared" ref="W93:W156" si="101">IF(O93&lt;&gt;"",IF(AND($F$8="TAK",$B93&lt;=$F$10),$F$9,U93+V93),"")</f>
        <v>8.7000000000000008E-2</v>
      </c>
      <c r="X93" s="11">
        <f t="shared" si="87"/>
        <v>20</v>
      </c>
      <c r="Y93" s="11">
        <f>IF(O93&lt;&gt;"",IF($B$16=listy!$K$8,'RZĄDOWY PROGRAM'!$F$3*'RZĄDOWY PROGRAM'!$F$15,T92*$F$15),"")</f>
        <v>50</v>
      </c>
      <c r="Z93" s="11">
        <f t="shared" ref="Z93:Z156" si="102">IF(O93&lt;&gt;"",X93+Y93,"")</f>
        <v>70</v>
      </c>
      <c r="AB93" s="8">
        <f t="shared" ref="AB93:AB156" si="103">IFERROR(IF(AG92&gt;0,AB92+1,""),"")</f>
        <v>66</v>
      </c>
      <c r="AC93" s="8"/>
      <c r="AD93" s="11">
        <f>IF(AB93&lt;&gt;"",ROUND(IF($F$11="raty równe",-PMT(W93/12,$F$4-AB92+SUM($AC$28:AC93),AG92,2),AE93+AF93),2),"")</f>
        <v>3280.39</v>
      </c>
      <c r="AE93" s="11">
        <f>IF(AB93&lt;&gt;"",IF($F$11="raty malejące",AG92/($F$4-AB92+SUM($AC$28:AC92)),MIN(AD93-AF93,AG92)),"")</f>
        <v>874.59121481184638</v>
      </c>
      <c r="AF93" s="11">
        <f t="shared" si="69"/>
        <v>2405.7987851881535</v>
      </c>
      <c r="AG93" s="9">
        <f t="shared" si="52"/>
        <v>330959.72398355411</v>
      </c>
      <c r="AH93" s="11"/>
      <c r="AI93" s="33">
        <f>IF(AB93&lt;&gt;"",ROUND(IF($F$11="raty równe",-PMT(W93/12,($F$4-AB92+SUM($AC$27:AC92)),AG92,2),AG92/($F$4-AB92+SUM($AC$27:AC92))+AG92*W93/12),2),"")</f>
        <v>3280.39</v>
      </c>
      <c r="AJ93" s="33">
        <f t="shared" ref="AJ93:AJ156" si="104">IF(AB93&lt;&gt;"",IF(B93&lt;&gt;"",C93-AD93-AH93,-(AD93+AH93)),"")</f>
        <v>241.71000000000004</v>
      </c>
      <c r="AK93" s="33">
        <f t="shared" si="88"/>
        <v>15904.071349252321</v>
      </c>
      <c r="AL93" s="33">
        <f>IF(AB93&lt;&gt;"",AK93-SUM($AJ$28:AJ93),"")</f>
        <v>1746.3813492523223</v>
      </c>
      <c r="AM93" s="11">
        <f t="shared" ref="AM93:AM156" si="105">IF(AB93&lt;&gt;"",$F$14,"")</f>
        <v>20</v>
      </c>
      <c r="AN93" s="11">
        <f>IF(AB93&lt;&gt;"",IF($B$16=listy!$K$8,'RZĄDOWY PROGRAM'!$F$3*'RZĄDOWY PROGRAM'!$F$15,AG92*$F$15),"")</f>
        <v>50</v>
      </c>
      <c r="AO93" s="11">
        <f t="shared" ref="AO93:AO156" si="106">IF(AD93&lt;&gt;"",AM93+AN93,"")</f>
        <v>70</v>
      </c>
      <c r="AQ93" s="8">
        <f t="shared" ref="AQ93:AQ156" si="107">IFERROR(IF(AV92&lt;&gt;0,AQ92+1,""),"")</f>
        <v>66</v>
      </c>
      <c r="AR93" s="8"/>
      <c r="AS93" s="78">
        <f>IF(AQ93&lt;&gt;"",ROUND(IF($F$11="raty równe",-PMT(W93/12,$F$4-AQ92+SUM($AR$28:AR93),AV92,2),AT93+AU93),2),"")</f>
        <v>3263.83</v>
      </c>
      <c r="AT93" s="78">
        <f>IF(AQ93&lt;&gt;"",IF($F$11="raty malejące",AV92/($F$4-AQ92+SUM($AR$28:AR92)),MIN(AS93-AU93,AV92)),"")</f>
        <v>870.18133350388825</v>
      </c>
      <c r="AU93" s="78">
        <f t="shared" ref="AU93:AU156" si="108">IF(AQ93&lt;&gt;"",AV92*W93/12,"")</f>
        <v>2393.6486664961117</v>
      </c>
      <c r="AV93" s="79">
        <f t="shared" ref="AV93:AV156" si="109">IF(AQ93&lt;&gt;"",IF(AW93&lt;&gt;"",AV92-AT93-AW93,AV92-AT93),"")</f>
        <v>329288.25542458048</v>
      </c>
      <c r="AW93" s="11"/>
      <c r="AX93" s="33">
        <f>IF(AQ93&lt;&gt;"",ROUND(IF($F$11="raty równe",-PMT(W93/12,($F$4-AQ92+SUM($AR$27:AR92)),AV92,2),AV92/($F$4-AQ92+SUM($AR$27:AR92))+AV92*W93/12),2),"")</f>
        <v>3263.83</v>
      </c>
      <c r="AY93" s="33">
        <f t="shared" ref="AY93:AY156" si="110">IF(AQ93&lt;&gt;"",IF(B93&lt;&gt;"",C93-AS93,-AS93),"")</f>
        <v>258.27</v>
      </c>
      <c r="AZ93" s="33">
        <f t="shared" si="72"/>
        <v>14243.359290155928</v>
      </c>
      <c r="BA93" s="33">
        <f>IF(AQ93&lt;&gt;"",AZ93-SUM($AY$44:AY93),"")</f>
        <v>1329.8692901559134</v>
      </c>
      <c r="BB93" s="11">
        <f t="shared" ref="BB93:BB156" si="111">IF(AQ93&lt;&gt;"",$F$14,"")</f>
        <v>20</v>
      </c>
      <c r="BC93" s="11">
        <f>IF(AQ93&lt;&gt;"",IF($B$16=listy!$K$8,'RZĄDOWY PROGRAM'!$F$3*'RZĄDOWY PROGRAM'!$F$15,AV92*$F$15),"")</f>
        <v>50</v>
      </c>
      <c r="BD93" s="11">
        <f t="shared" ref="BD93:BD156" si="112">IF(AS93&lt;&gt;"",BB93+BC93,"")</f>
        <v>70</v>
      </c>
      <c r="BF93" s="8">
        <f t="shared" ref="BF93:BF156" si="113">IFERROR(IF(BK92&lt;&gt;0,BF92+1,""),"")</f>
        <v>66</v>
      </c>
      <c r="BG93" s="8"/>
      <c r="BH93" s="78">
        <f>IF(BF93&lt;&gt;"",ROUND(IF($F$11="raty równe",-PMT(W93/12,$F$4-BF92+SUM(BV$28:$BV93)-SUM($BM$29:BM93),BK92,2),BI93+BJ93),2),"")</f>
        <v>3522.09</v>
      </c>
      <c r="BI93" s="78">
        <f>IF(BF93&lt;&gt;"",IF($F$11="raty malejące",MIN(BK92/($F$4-BF92+SUM($BG$27:BG93)-SUM($BM$27:BM93)),BK92),MIN(BH93-BJ93,BK92)),"")</f>
        <v>1240.8273973193632</v>
      </c>
      <c r="BJ93" s="78">
        <f t="shared" ref="BJ93:BJ156" si="114">IF(BF93&lt;&gt;"",BK92*W93/12,"")</f>
        <v>2281.262602680637</v>
      </c>
      <c r="BK93" s="79">
        <f t="shared" ref="BK93:BK156" si="115">IF(BF93&lt;&gt;"",IF(B93&lt;&gt;"",BK92-BI93-BL93,BK92-BI93),"")</f>
        <v>313416.08331725118</v>
      </c>
      <c r="BL93" s="11"/>
      <c r="BM93" s="33"/>
      <c r="BN93" s="33">
        <f t="shared" si="73"/>
        <v>9.9999999997635314E-3</v>
      </c>
      <c r="BO93" s="33">
        <f t="shared" si="74"/>
        <v>-9.5106477460701916E-2</v>
      </c>
      <c r="BP93" s="33">
        <f>IF(O93&lt;&gt;"",BO93-SUM($BN$44:BN93),"")</f>
        <v>-1.5106477462593665E-2</v>
      </c>
      <c r="BQ93" s="11">
        <f t="shared" si="89"/>
        <v>20</v>
      </c>
      <c r="BR93" s="11">
        <f>IF(BF93&lt;&gt;"",IF($B$16=listy!$K$8,'RZĄDOWY PROGRAM'!$F$3*'RZĄDOWY PROGRAM'!$F$15,BK92*$F$15),"")</f>
        <v>50</v>
      </c>
      <c r="BS93" s="11">
        <f t="shared" si="90"/>
        <v>70</v>
      </c>
      <c r="BU93" s="8">
        <f t="shared" ref="BU93:BU156" si="116">IFERROR(IF(BZ92&lt;&gt;0,BU92+1,""),"")</f>
        <v>66</v>
      </c>
      <c r="BV93" s="8"/>
      <c r="BW93" s="78">
        <f>IF(BU93&lt;&gt;"",ROUND(IF($F$11="raty równe",-PMT(W93/12,$F$4-BU92+SUM($BV$28:BV93)-$CB$43,BZ92,2),BX93+BY93),2),"")</f>
        <v>3522.09</v>
      </c>
      <c r="BX93" s="78">
        <f>IF(BU93&lt;&gt;"",IF($F$11="raty malejące",MIN(BZ92/($F$4-BU92+SUM($BV$28:BV92)-SUM($CB$28:CB92)),BZ92),MIN(BW93-BY93,BZ92)),"")</f>
        <v>1238.1290489401372</v>
      </c>
      <c r="BY93" s="78">
        <f t="shared" si="77"/>
        <v>2283.960951059863</v>
      </c>
      <c r="BZ93" s="79">
        <f t="shared" si="71"/>
        <v>313790.96764897194</v>
      </c>
      <c r="CA93" s="11"/>
      <c r="CB93" s="33"/>
      <c r="CC93" s="33">
        <f t="shared" ref="CC93:CC156" si="117">IF(O93&lt;&gt;"",IF(ISNUMBER(C93),C93,0)-IF(ISNUMBER(BW93),BW93,0),"")</f>
        <v>9.9999999997635314E-3</v>
      </c>
      <c r="CD93" s="33">
        <f t="shared" si="75"/>
        <v>0.27520323453984219</v>
      </c>
      <c r="CE93" s="33">
        <f>IF(O93&lt;&gt;"",CD93-SUM($CC$44:CC93),"")</f>
        <v>2.5203234545753905E-2</v>
      </c>
      <c r="CF93" s="11">
        <f t="shared" si="91"/>
        <v>20</v>
      </c>
      <c r="CG93" s="11">
        <f>IF(BU93&lt;&gt;"",IF($B$16=listy!$K$8,'RZĄDOWY PROGRAM'!$F$3*'RZĄDOWY PROGRAM'!$F$15,BZ92*$F$15),"")</f>
        <v>50</v>
      </c>
      <c r="CH93" s="11">
        <f t="shared" si="92"/>
        <v>70</v>
      </c>
      <c r="CJ93" s="48">
        <f t="shared" si="93"/>
        <v>0.06</v>
      </c>
      <c r="CK93" s="18">
        <f t="shared" si="94"/>
        <v>4.8675505653430484E-3</v>
      </c>
      <c r="CL93" s="11">
        <f t="shared" si="76"/>
        <v>0</v>
      </c>
      <c r="CM93" s="11">
        <f t="shared" si="95"/>
        <v>35476.288370678485</v>
      </c>
      <c r="CN93" s="11">
        <f>IF(AB93&lt;&gt;"",CM93-SUM($CL$28:CL93),"")</f>
        <v>7299.5283706784903</v>
      </c>
    </row>
    <row r="94" spans="1:92" x14ac:dyDescent="0.45">
      <c r="A94" s="68">
        <f t="shared" ref="A94:A157" si="118">IF(B94&lt;&gt;"",EDATE(A93,1),"")</f>
        <v>46753</v>
      </c>
      <c r="B94" s="8">
        <f t="shared" si="78"/>
        <v>67</v>
      </c>
      <c r="C94" s="11">
        <f t="shared" si="79"/>
        <v>3522.09</v>
      </c>
      <c r="D94" s="11">
        <f t="shared" si="80"/>
        <v>1002.108301888813</v>
      </c>
      <c r="E94" s="11">
        <f t="shared" si="81"/>
        <v>2519.9816981111871</v>
      </c>
      <c r="F94" s="9">
        <f t="shared" si="96"/>
        <v>346581.57419620594</v>
      </c>
      <c r="G94" s="10">
        <f t="shared" si="82"/>
        <v>7.0000000000000007E-2</v>
      </c>
      <c r="H94" s="10">
        <f t="shared" si="83"/>
        <v>1.7000000000000001E-2</v>
      </c>
      <c r="I94" s="48">
        <f t="shared" si="97"/>
        <v>8.7000000000000008E-2</v>
      </c>
      <c r="J94" s="11">
        <f t="shared" si="84"/>
        <v>20</v>
      </c>
      <c r="K94" s="11">
        <f>IF(B94&lt;&gt;"",IF($B$16=listy!$K$8,'RZĄDOWY PROGRAM'!$F$3*'RZĄDOWY PROGRAM'!$F$15,F93*$F$15),"")</f>
        <v>50</v>
      </c>
      <c r="L94" s="11">
        <f t="shared" si="98"/>
        <v>70</v>
      </c>
      <c r="N94" s="54">
        <f t="shared" ref="N94:N157" si="119">IF(O94&lt;&gt;"",EDATE(N93,1),"")</f>
        <v>46753</v>
      </c>
      <c r="O94" s="8">
        <f t="shared" si="99"/>
        <v>67</v>
      </c>
      <c r="P94" s="8"/>
      <c r="Q94" s="11">
        <f>IF(O94&lt;&gt;"",ROUND(IF($F$11="raty równe",-PMT(W94/12,$F$4-O93+SUM($P$28:P94),T93,2),R94+S94),2),"")</f>
        <v>3522.09</v>
      </c>
      <c r="R94" s="11">
        <f>IF(O94&lt;&gt;"",IF($F$11="raty malejące",T93/($F$4-O93+SUM($P$28:P94)),IF(Q94-S94&gt;T93,T93,Q94-S94)),"")</f>
        <v>945.837052278584</v>
      </c>
      <c r="S94" s="11">
        <f t="shared" si="68"/>
        <v>2576.2529477214161</v>
      </c>
      <c r="T94" s="9">
        <f t="shared" si="100"/>
        <v>354399.39711619256</v>
      </c>
      <c r="U94" s="10">
        <f t="shared" si="85"/>
        <v>7.0000000000000007E-2</v>
      </c>
      <c r="V94" s="10">
        <f t="shared" si="86"/>
        <v>1.7000000000000001E-2</v>
      </c>
      <c r="W94" s="48">
        <f t="shared" si="101"/>
        <v>8.7000000000000008E-2</v>
      </c>
      <c r="X94" s="11">
        <f t="shared" si="87"/>
        <v>20</v>
      </c>
      <c r="Y94" s="11">
        <f>IF(O94&lt;&gt;"",IF($B$16=listy!$K$8,'RZĄDOWY PROGRAM'!$F$3*'RZĄDOWY PROGRAM'!$F$15,T93*$F$15),"")</f>
        <v>50</v>
      </c>
      <c r="Z94" s="11">
        <f t="shared" si="102"/>
        <v>70</v>
      </c>
      <c r="AB94" s="8">
        <f t="shared" si="103"/>
        <v>67</v>
      </c>
      <c r="AC94" s="8"/>
      <c r="AD94" s="11">
        <f>IF(AB94&lt;&gt;"",ROUND(IF($F$11="raty równe",-PMT(W94/12,$F$4-AB93+SUM($AC$28:AC94),AG93,2),AE94+AF94),2),"")</f>
        <v>3280.39</v>
      </c>
      <c r="AE94" s="11">
        <f>IF(AB94&lt;&gt;"",IF($F$11="raty malejące",AG93/($F$4-AB93+SUM($AC$28:AC93)),MIN(AD94-AF94,AG93)),"")</f>
        <v>880.93200111923215</v>
      </c>
      <c r="AF94" s="11">
        <f t="shared" si="69"/>
        <v>2399.4579988807677</v>
      </c>
      <c r="AG94" s="9">
        <f t="shared" ref="AG94:AG157" si="120">IF(AB94&lt;&gt;"",IF(AH94&lt;&gt;"",AG93-AE94-AH94,AG93-AE94),"")</f>
        <v>330078.79198243486</v>
      </c>
      <c r="AH94" s="11"/>
      <c r="AI94" s="33">
        <f>IF(AB94&lt;&gt;"",ROUND(IF($F$11="raty równe",-PMT(W94/12,($F$4-AB93+SUM($AC$27:AC93)),AG93,2),AG93/($F$4-AB93+SUM($AC$27:AC93))+AG93*W94/12),2),"")</f>
        <v>3280.39</v>
      </c>
      <c r="AJ94" s="33">
        <f t="shared" si="104"/>
        <v>241.70000000000027</v>
      </c>
      <c r="AK94" s="33">
        <f t="shared" si="88"/>
        <v>16208.476585157043</v>
      </c>
      <c r="AL94" s="33">
        <f>IF(AB94&lt;&gt;"",AK94-SUM($AJ$28:AJ94),"")</f>
        <v>1809.0865851570434</v>
      </c>
      <c r="AM94" s="11">
        <f t="shared" si="105"/>
        <v>20</v>
      </c>
      <c r="AN94" s="11">
        <f>IF(AB94&lt;&gt;"",IF($B$16=listy!$K$8,'RZĄDOWY PROGRAM'!$F$3*'RZĄDOWY PROGRAM'!$F$15,AG93*$F$15),"")</f>
        <v>50</v>
      </c>
      <c r="AO94" s="11">
        <f t="shared" si="106"/>
        <v>70</v>
      </c>
      <c r="AQ94" s="8">
        <f t="shared" si="107"/>
        <v>67</v>
      </c>
      <c r="AR94" s="8"/>
      <c r="AS94" s="78">
        <f>IF(AQ94&lt;&gt;"",ROUND(IF($F$11="raty równe",-PMT(W94/12,$F$4-AQ93+SUM($AR$28:AR94),AV93,2),AT94+AU94),2),"")</f>
        <v>3263.82</v>
      </c>
      <c r="AT94" s="78">
        <f>IF(AQ94&lt;&gt;"",IF($F$11="raty malejące",AV93/($F$4-AQ93+SUM($AR$28:AR93)),MIN(AS94-AU94,AV93)),"")</f>
        <v>876.48014817179137</v>
      </c>
      <c r="AU94" s="78">
        <f t="shared" si="108"/>
        <v>2387.3398518282088</v>
      </c>
      <c r="AV94" s="79">
        <f t="shared" si="109"/>
        <v>328411.77527640871</v>
      </c>
      <c r="AW94" s="11"/>
      <c r="AX94" s="33">
        <f>IF(AQ94&lt;&gt;"",ROUND(IF($F$11="raty równe",-PMT(W94/12,($F$4-AQ93+SUM($AR$27:AR93)),AV93,2),AV93/($F$4-AQ93+SUM($AR$27:AR93))+AV93*W94/12),2),"")</f>
        <v>3263.82</v>
      </c>
      <c r="AY94" s="33">
        <f t="shared" si="110"/>
        <v>258.27</v>
      </c>
      <c r="AZ94" s="33">
        <f t="shared" si="72"/>
        <v>14557.786810123727</v>
      </c>
      <c r="BA94" s="33">
        <f>IF(AQ94&lt;&gt;"",AZ94-SUM($AY$44:AY94),"")</f>
        <v>1386.0268101237125</v>
      </c>
      <c r="BB94" s="11">
        <f t="shared" si="111"/>
        <v>20</v>
      </c>
      <c r="BC94" s="11">
        <f>IF(AQ94&lt;&gt;"",IF($B$16=listy!$K$8,'RZĄDOWY PROGRAM'!$F$3*'RZĄDOWY PROGRAM'!$F$15,AV93*$F$15),"")</f>
        <v>50</v>
      </c>
      <c r="BD94" s="11">
        <f t="shared" si="112"/>
        <v>70</v>
      </c>
      <c r="BF94" s="8">
        <f t="shared" si="113"/>
        <v>67</v>
      </c>
      <c r="BG94" s="8"/>
      <c r="BH94" s="78">
        <f>IF(BF94&lt;&gt;"",ROUND(IF($F$11="raty równe",-PMT(W94/12,$F$4-BF93+SUM(BV$28:$BV94)-SUM($BM$29:BM94),BK93,2),BI94+BJ94),2),"")</f>
        <v>3522.1</v>
      </c>
      <c r="BI94" s="78">
        <f>IF(BF94&lt;&gt;"",IF($F$11="raty malejące",MIN(BK93/($F$4-BF93+SUM($BG$27:BG94)-SUM($BM$27:BM94)),BK93),MIN(BH94-BJ94,BK93)),"")</f>
        <v>1249.8333959499287</v>
      </c>
      <c r="BJ94" s="78">
        <f t="shared" si="114"/>
        <v>2272.2666040500712</v>
      </c>
      <c r="BK94" s="79">
        <f t="shared" si="115"/>
        <v>312166.24992130126</v>
      </c>
      <c r="BL94" s="11"/>
      <c r="BM94" s="33"/>
      <c r="BN94" s="33">
        <f t="shared" si="73"/>
        <v>-9.9999999997635314E-3</v>
      </c>
      <c r="BO94" s="33">
        <f t="shared" si="74"/>
        <v>-0.10548145528685207</v>
      </c>
      <c r="BP94" s="33">
        <f>IF(O94&lt;&gt;"",BO94-SUM($BN$44:BN94),"")</f>
        <v>-1.5481455288980289E-2</v>
      </c>
      <c r="BQ94" s="11">
        <f t="shared" si="89"/>
        <v>20</v>
      </c>
      <c r="BR94" s="11">
        <f>IF(BF94&lt;&gt;"",IF($B$16=listy!$K$8,'RZĄDOWY PROGRAM'!$F$3*'RZĄDOWY PROGRAM'!$F$15,BK93*$F$15),"")</f>
        <v>50</v>
      </c>
      <c r="BS94" s="11">
        <f t="shared" si="90"/>
        <v>70</v>
      </c>
      <c r="BU94" s="8">
        <f t="shared" si="116"/>
        <v>67</v>
      </c>
      <c r="BV94" s="8"/>
      <c r="BW94" s="78">
        <f>IF(BU94&lt;&gt;"",ROUND(IF($F$11="raty równe",-PMT(W94/12,$F$4-BU93+SUM($BV$28:BV94)-$CB$43,BZ93,2),BX94+BY94),2),"")</f>
        <v>3522.09</v>
      </c>
      <c r="BX94" s="78">
        <f>IF(BU94&lt;&gt;"",IF($F$11="raty malejące",MIN(BZ93/($F$4-BU93+SUM($BV$28:BV93)-SUM($CB$28:CB93)),BZ93),MIN(BW94-BY94,BZ93)),"")</f>
        <v>1247.1054845449535</v>
      </c>
      <c r="BY94" s="78">
        <f t="shared" si="77"/>
        <v>2274.9845154550467</v>
      </c>
      <c r="BZ94" s="79">
        <f t="shared" si="71"/>
        <v>312543.862164427</v>
      </c>
      <c r="CA94" s="11"/>
      <c r="CB94" s="33"/>
      <c r="CC94" s="33">
        <f t="shared" si="117"/>
        <v>0</v>
      </c>
      <c r="CD94" s="33">
        <f t="shared" si="75"/>
        <v>0.27628828272433581</v>
      </c>
      <c r="CE94" s="33">
        <f>IF(O94&lt;&gt;"",CD94-SUM($CC$44:CC94),"")</f>
        <v>2.6288282730247525E-2</v>
      </c>
      <c r="CF94" s="11">
        <f t="shared" si="91"/>
        <v>20</v>
      </c>
      <c r="CG94" s="11">
        <f>IF(BU94&lt;&gt;"",IF($B$16=listy!$K$8,'RZĄDOWY PROGRAM'!$F$3*'RZĄDOWY PROGRAM'!$F$15,BZ93*$F$15),"")</f>
        <v>50</v>
      </c>
      <c r="CH94" s="11">
        <f t="shared" si="92"/>
        <v>70</v>
      </c>
      <c r="CJ94" s="48">
        <f t="shared" si="93"/>
        <v>0.06</v>
      </c>
      <c r="CK94" s="18">
        <f t="shared" si="94"/>
        <v>4.8675505653430484E-3</v>
      </c>
      <c r="CL94" s="11">
        <f t="shared" si="76"/>
        <v>0</v>
      </c>
      <c r="CM94" s="11">
        <f t="shared" si="95"/>
        <v>35616.161298965613</v>
      </c>
      <c r="CN94" s="11">
        <f>IF(AB94&lt;&gt;"",CM94-SUM($CL$28:CL94),"")</f>
        <v>7439.4012989656185</v>
      </c>
    </row>
    <row r="95" spans="1:92" x14ac:dyDescent="0.45">
      <c r="A95" s="68">
        <f t="shared" si="118"/>
        <v>46784</v>
      </c>
      <c r="B95" s="8">
        <f t="shared" si="78"/>
        <v>68</v>
      </c>
      <c r="C95" s="11">
        <f t="shared" si="79"/>
        <v>3522.1</v>
      </c>
      <c r="D95" s="11">
        <f t="shared" si="80"/>
        <v>1009.3835870775065</v>
      </c>
      <c r="E95" s="11">
        <f t="shared" si="81"/>
        <v>2512.7164129224934</v>
      </c>
      <c r="F95" s="9">
        <f t="shared" si="96"/>
        <v>345572.19060912845</v>
      </c>
      <c r="G95" s="10">
        <f t="shared" si="82"/>
        <v>7.0000000000000007E-2</v>
      </c>
      <c r="H95" s="10">
        <f t="shared" si="83"/>
        <v>1.7000000000000001E-2</v>
      </c>
      <c r="I95" s="48">
        <f t="shared" si="97"/>
        <v>8.7000000000000008E-2</v>
      </c>
      <c r="J95" s="11">
        <f t="shared" si="84"/>
        <v>20</v>
      </c>
      <c r="K95" s="11">
        <f>IF(B95&lt;&gt;"",IF($B$16=listy!$K$8,'RZĄDOWY PROGRAM'!$F$3*'RZĄDOWY PROGRAM'!$F$15,F94*$F$15),"")</f>
        <v>50</v>
      </c>
      <c r="L95" s="11">
        <f t="shared" si="98"/>
        <v>70</v>
      </c>
      <c r="N95" s="54">
        <f t="shared" si="119"/>
        <v>46784</v>
      </c>
      <c r="O95" s="8">
        <f t="shared" si="99"/>
        <v>68</v>
      </c>
      <c r="P95" s="8"/>
      <c r="Q95" s="11">
        <f>IF(O95&lt;&gt;"",ROUND(IF($F$11="raty równe",-PMT(W95/12,$F$4-O94+SUM($P$28:P95),T94,2),R95+S95),2),"")</f>
        <v>3522.1</v>
      </c>
      <c r="R95" s="11">
        <f>IF(O95&lt;&gt;"",IF($F$11="raty malejące",T94/($F$4-O94+SUM($P$28:P95)),IF(Q95-S95&gt;T94,T94,Q95-S95)),"")</f>
        <v>952.70437090760333</v>
      </c>
      <c r="S95" s="11">
        <f t="shared" si="68"/>
        <v>2569.3956290923966</v>
      </c>
      <c r="T95" s="9">
        <f t="shared" si="100"/>
        <v>353446.69274528493</v>
      </c>
      <c r="U95" s="10">
        <f t="shared" si="85"/>
        <v>7.0000000000000007E-2</v>
      </c>
      <c r="V95" s="10">
        <f t="shared" si="86"/>
        <v>1.7000000000000001E-2</v>
      </c>
      <c r="W95" s="48">
        <f t="shared" si="101"/>
        <v>8.7000000000000008E-2</v>
      </c>
      <c r="X95" s="11">
        <f t="shared" si="87"/>
        <v>20</v>
      </c>
      <c r="Y95" s="11">
        <f>IF(O95&lt;&gt;"",IF($B$16=listy!$K$8,'RZĄDOWY PROGRAM'!$F$3*'RZĄDOWY PROGRAM'!$F$15,T94*$F$15),"")</f>
        <v>50</v>
      </c>
      <c r="Z95" s="11">
        <f t="shared" si="102"/>
        <v>70</v>
      </c>
      <c r="AB95" s="8">
        <f t="shared" si="103"/>
        <v>68</v>
      </c>
      <c r="AC95" s="8"/>
      <c r="AD95" s="11">
        <f>IF(AB95&lt;&gt;"",ROUND(IF($F$11="raty równe",-PMT(W95/12,$F$4-AB94+SUM($AC$28:AC95),AG94,2),AE95+AF95),2),"")</f>
        <v>3280.39</v>
      </c>
      <c r="AE95" s="11">
        <f>IF(AB95&lt;&gt;"",IF($F$11="raty malejące",AG94/($F$4-AB94+SUM($AC$28:AC94)),MIN(AD95-AF95,AG94)),"")</f>
        <v>887.31875812734688</v>
      </c>
      <c r="AF95" s="11">
        <f t="shared" si="69"/>
        <v>2393.071241872653</v>
      </c>
      <c r="AG95" s="9">
        <f t="shared" si="120"/>
        <v>329191.47322430753</v>
      </c>
      <c r="AH95" s="11"/>
      <c r="AI95" s="33">
        <f>IF(AB95&lt;&gt;"",ROUND(IF($F$11="raty równe",-PMT(W95/12,($F$4-AB94+SUM($AC$27:AC94)),AG94,2),AG94/($F$4-AB94+SUM($AC$27:AC94))+AG94*W95/12),2),"")</f>
        <v>3280.39</v>
      </c>
      <c r="AJ95" s="33">
        <f t="shared" si="104"/>
        <v>241.71000000000004</v>
      </c>
      <c r="AK95" s="33">
        <f t="shared" si="88"/>
        <v>16514.092004443042</v>
      </c>
      <c r="AL95" s="33">
        <f>IF(AB95&lt;&gt;"",AK95-SUM($AJ$28:AJ95),"")</f>
        <v>1872.9920044430437</v>
      </c>
      <c r="AM95" s="11">
        <f t="shared" si="105"/>
        <v>20</v>
      </c>
      <c r="AN95" s="11">
        <f>IF(AB95&lt;&gt;"",IF($B$16=listy!$K$8,'RZĄDOWY PROGRAM'!$F$3*'RZĄDOWY PROGRAM'!$F$15,AG94*$F$15),"")</f>
        <v>50</v>
      </c>
      <c r="AO95" s="11">
        <f t="shared" si="106"/>
        <v>70</v>
      </c>
      <c r="AQ95" s="8">
        <f t="shared" si="107"/>
        <v>68</v>
      </c>
      <c r="AR95" s="8"/>
      <c r="AS95" s="78">
        <f>IF(AQ95&lt;&gt;"",ROUND(IF($F$11="raty równe",-PMT(W95/12,$F$4-AQ94+SUM($AR$28:AR95),AV94,2),AT95+AU95),2),"")</f>
        <v>3263.83</v>
      </c>
      <c r="AT95" s="78">
        <f>IF(AQ95&lt;&gt;"",IF($F$11="raty malejące",AV94/($F$4-AQ94+SUM($AR$28:AR94)),MIN(AS95-AU95,AV94)),"")</f>
        <v>882.84462924603667</v>
      </c>
      <c r="AU95" s="78">
        <f t="shared" si="108"/>
        <v>2380.9853707539633</v>
      </c>
      <c r="AV95" s="79">
        <f t="shared" si="109"/>
        <v>327528.93064716266</v>
      </c>
      <c r="AW95" s="11"/>
      <c r="AX95" s="33">
        <f>IF(AQ95&lt;&gt;"",ROUND(IF($F$11="raty równe",-PMT(W95/12,($F$4-AQ94+SUM($AR$27:AR94)),AV94,2),AV94/($F$4-AQ94+SUM($AR$27:AR94))+AV94*W95/12),2),"")</f>
        <v>3263.83</v>
      </c>
      <c r="AY95" s="33">
        <f t="shared" si="110"/>
        <v>258.27</v>
      </c>
      <c r="AZ95" s="33">
        <f t="shared" si="72"/>
        <v>14873.454028492115</v>
      </c>
      <c r="BA95" s="33">
        <f>IF(AQ95&lt;&gt;"",AZ95-SUM($AY$44:AY95),"")</f>
        <v>1443.4240284920998</v>
      </c>
      <c r="BB95" s="11">
        <f t="shared" si="111"/>
        <v>20</v>
      </c>
      <c r="BC95" s="11">
        <f>IF(AQ95&lt;&gt;"",IF($B$16=listy!$K$8,'RZĄDOWY PROGRAM'!$F$3*'RZĄDOWY PROGRAM'!$F$15,AV94*$F$15),"")</f>
        <v>50</v>
      </c>
      <c r="BD95" s="11">
        <f t="shared" si="112"/>
        <v>70</v>
      </c>
      <c r="BF95" s="8">
        <f t="shared" si="113"/>
        <v>68</v>
      </c>
      <c r="BG95" s="8"/>
      <c r="BH95" s="78">
        <f>IF(BF95&lt;&gt;"",ROUND(IF($F$11="raty równe",-PMT(W95/12,$F$4-BF94+SUM(BV$28:$BV95)-SUM($BM$29:BM95),BK94,2),BI95+BJ95),2),"")</f>
        <v>3522.09</v>
      </c>
      <c r="BI95" s="78">
        <f>IF(BF95&lt;&gt;"",IF($F$11="raty malejące",MIN(BK94/($F$4-BF94+SUM($BG$27:BG95)-SUM($BM$27:BM95)),BK94),MIN(BH95-BJ95,BK94)),"")</f>
        <v>1258.8846880705655</v>
      </c>
      <c r="BJ95" s="78">
        <f t="shared" si="114"/>
        <v>2263.2053119294346</v>
      </c>
      <c r="BK95" s="79">
        <f t="shared" si="115"/>
        <v>310907.3652332307</v>
      </c>
      <c r="BL95" s="11"/>
      <c r="BM95" s="33"/>
      <c r="BN95" s="33">
        <f t="shared" si="73"/>
        <v>9.9999999997635314E-3</v>
      </c>
      <c r="BO95" s="33">
        <f t="shared" si="74"/>
        <v>-9.5897338704113474E-2</v>
      </c>
      <c r="BP95" s="33">
        <f>IF(O95&lt;&gt;"",BO95-SUM($BN$44:BN95),"")</f>
        <v>-1.5897338706005223E-2</v>
      </c>
      <c r="BQ95" s="11">
        <f t="shared" si="89"/>
        <v>20</v>
      </c>
      <c r="BR95" s="11">
        <f>IF(BF95&lt;&gt;"",IF($B$16=listy!$K$8,'RZĄDOWY PROGRAM'!$F$3*'RZĄDOWY PROGRAM'!$F$15,BK94*$F$15),"")</f>
        <v>50</v>
      </c>
      <c r="BS95" s="11">
        <f t="shared" si="90"/>
        <v>70</v>
      </c>
      <c r="BU95" s="8">
        <f t="shared" si="116"/>
        <v>68</v>
      </c>
      <c r="BV95" s="8"/>
      <c r="BW95" s="78">
        <f>IF(BU95&lt;&gt;"",ROUND(IF($F$11="raty równe",-PMT(W95/12,$F$4-BU94+SUM($BV$28:BV95)-$CB$43,BZ94,2),BX95+BY95),2),"")</f>
        <v>3522.09</v>
      </c>
      <c r="BX95" s="78">
        <f>IF(BU95&lt;&gt;"",IF($F$11="raty malejące",MIN(BZ94/($F$4-BU94+SUM($BV$28:BV94)-SUM($CB$28:CB94)),BZ94),MIN(BW95-BY95,BZ94)),"")</f>
        <v>1256.146999307904</v>
      </c>
      <c r="BY95" s="78">
        <f t="shared" si="77"/>
        <v>2265.9430006920961</v>
      </c>
      <c r="BZ95" s="79">
        <f t="shared" si="71"/>
        <v>311287.71516511909</v>
      </c>
      <c r="CA95" s="11"/>
      <c r="CB95" s="33"/>
      <c r="CC95" s="33">
        <f t="shared" si="117"/>
        <v>9.9999999997635314E-3</v>
      </c>
      <c r="CD95" s="33">
        <f t="shared" si="75"/>
        <v>0.28737760894538511</v>
      </c>
      <c r="CE95" s="33">
        <f>IF(O95&lt;&gt;"",CD95-SUM($CC$44:CC95),"")</f>
        <v>2.7377608951533294E-2</v>
      </c>
      <c r="CF95" s="11">
        <f t="shared" si="91"/>
        <v>20</v>
      </c>
      <c r="CG95" s="11">
        <f>IF(BU95&lt;&gt;"",IF($B$16=listy!$K$8,'RZĄDOWY PROGRAM'!$F$3*'RZĄDOWY PROGRAM'!$F$15,BZ94*$F$15),"")</f>
        <v>50</v>
      </c>
      <c r="CH95" s="11">
        <f t="shared" si="92"/>
        <v>70</v>
      </c>
      <c r="CJ95" s="48">
        <f t="shared" si="93"/>
        <v>0.06</v>
      </c>
      <c r="CK95" s="18">
        <f t="shared" si="94"/>
        <v>4.8675505653430484E-3</v>
      </c>
      <c r="CL95" s="11">
        <f t="shared" si="76"/>
        <v>0</v>
      </c>
      <c r="CM95" s="11">
        <f t="shared" si="95"/>
        <v>35756.585706479178</v>
      </c>
      <c r="CN95" s="11">
        <f>IF(AB95&lt;&gt;"",CM95-SUM($CL$28:CL95),"")</f>
        <v>7579.8257064791833</v>
      </c>
    </row>
    <row r="96" spans="1:92" x14ac:dyDescent="0.45">
      <c r="A96" s="68">
        <f t="shared" si="118"/>
        <v>46813</v>
      </c>
      <c r="B96" s="8">
        <f t="shared" si="78"/>
        <v>69</v>
      </c>
      <c r="C96" s="11">
        <f t="shared" si="79"/>
        <v>3522.09</v>
      </c>
      <c r="D96" s="11">
        <f t="shared" si="80"/>
        <v>1016.6916180838184</v>
      </c>
      <c r="E96" s="11">
        <f t="shared" si="81"/>
        <v>2505.3983819161817</v>
      </c>
      <c r="F96" s="9">
        <f t="shared" si="96"/>
        <v>344555.49899104465</v>
      </c>
      <c r="G96" s="10">
        <f t="shared" si="82"/>
        <v>7.0000000000000007E-2</v>
      </c>
      <c r="H96" s="10">
        <f t="shared" si="83"/>
        <v>1.7000000000000001E-2</v>
      </c>
      <c r="I96" s="48">
        <f t="shared" si="97"/>
        <v>8.7000000000000008E-2</v>
      </c>
      <c r="J96" s="11">
        <f t="shared" si="84"/>
        <v>20</v>
      </c>
      <c r="K96" s="11">
        <f>IF(B96&lt;&gt;"",IF($B$16=listy!$K$8,'RZĄDOWY PROGRAM'!$F$3*'RZĄDOWY PROGRAM'!$F$15,F95*$F$15),"")</f>
        <v>50</v>
      </c>
      <c r="L96" s="11">
        <f t="shared" si="98"/>
        <v>70</v>
      </c>
      <c r="N96" s="54">
        <f t="shared" si="119"/>
        <v>46813</v>
      </c>
      <c r="O96" s="8">
        <f t="shared" si="99"/>
        <v>69</v>
      </c>
      <c r="P96" s="8"/>
      <c r="Q96" s="11">
        <f>IF(O96&lt;&gt;"",ROUND(IF($F$11="raty równe",-PMT(W96/12,$F$4-O95+SUM($P$28:P96),T95,2),R96+S96),2),"")</f>
        <v>3522.09</v>
      </c>
      <c r="R96" s="11">
        <f>IF(O96&lt;&gt;"",IF($F$11="raty malejące",T95/($F$4-O95+SUM($P$28:P96)),IF(Q96-S96&gt;T95,T95,Q96-S96)),"")</f>
        <v>959.60147759668416</v>
      </c>
      <c r="S96" s="11">
        <f t="shared" si="68"/>
        <v>2562.488522403316</v>
      </c>
      <c r="T96" s="9">
        <f t="shared" si="100"/>
        <v>352487.09126768826</v>
      </c>
      <c r="U96" s="10">
        <f t="shared" si="85"/>
        <v>7.0000000000000007E-2</v>
      </c>
      <c r="V96" s="10">
        <f t="shared" si="86"/>
        <v>1.7000000000000001E-2</v>
      </c>
      <c r="W96" s="48">
        <f t="shared" si="101"/>
        <v>8.7000000000000008E-2</v>
      </c>
      <c r="X96" s="11">
        <f t="shared" si="87"/>
        <v>20</v>
      </c>
      <c r="Y96" s="11">
        <f>IF(O96&lt;&gt;"",IF($B$16=listy!$K$8,'RZĄDOWY PROGRAM'!$F$3*'RZĄDOWY PROGRAM'!$F$15,T95*$F$15),"")</f>
        <v>50</v>
      </c>
      <c r="Z96" s="11">
        <f t="shared" si="102"/>
        <v>70</v>
      </c>
      <c r="AB96" s="8">
        <f t="shared" si="103"/>
        <v>69</v>
      </c>
      <c r="AC96" s="8"/>
      <c r="AD96" s="11">
        <f>IF(AB96&lt;&gt;"",ROUND(IF($F$11="raty równe",-PMT(W96/12,$F$4-AB95+SUM($AC$28:AC96),AG95,2),AE96+AF96),2),"")</f>
        <v>3280.39</v>
      </c>
      <c r="AE96" s="11">
        <f>IF(AB96&lt;&gt;"",IF($F$11="raty malejące",AG95/($F$4-AB95+SUM($AC$28:AC95)),MIN(AD96-AF96,AG95)),"")</f>
        <v>893.75181912377002</v>
      </c>
      <c r="AF96" s="11">
        <f t="shared" si="69"/>
        <v>2386.6381808762299</v>
      </c>
      <c r="AG96" s="9">
        <f t="shared" si="120"/>
        <v>328297.72140518378</v>
      </c>
      <c r="AH96" s="11"/>
      <c r="AI96" s="33">
        <f>IF(AB96&lt;&gt;"",ROUND(IF($F$11="raty równe",-PMT(W96/12,($F$4-AB95+SUM($AC$27:AC95)),AG95,2),AG95/($F$4-AB95+SUM($AC$27:AC95))+AG95*W96/12),2),"")</f>
        <v>3280.39</v>
      </c>
      <c r="AJ96" s="33">
        <f t="shared" si="104"/>
        <v>241.70000000000027</v>
      </c>
      <c r="AK96" s="33">
        <f t="shared" si="88"/>
        <v>16820.902378519651</v>
      </c>
      <c r="AL96" s="33">
        <f>IF(AB96&lt;&gt;"",AK96-SUM($AJ$28:AJ96),"")</f>
        <v>1938.1023785196521</v>
      </c>
      <c r="AM96" s="11">
        <f t="shared" si="105"/>
        <v>20</v>
      </c>
      <c r="AN96" s="11">
        <f>IF(AB96&lt;&gt;"",IF($B$16=listy!$K$8,'RZĄDOWY PROGRAM'!$F$3*'RZĄDOWY PROGRAM'!$F$15,AG95*$F$15),"")</f>
        <v>50</v>
      </c>
      <c r="AO96" s="11">
        <f t="shared" si="106"/>
        <v>70</v>
      </c>
      <c r="AQ96" s="8">
        <f t="shared" si="107"/>
        <v>69</v>
      </c>
      <c r="AR96" s="8"/>
      <c r="AS96" s="78">
        <f>IF(AQ96&lt;&gt;"",ROUND(IF($F$11="raty równe",-PMT(W96/12,$F$4-AQ95+SUM($AR$28:AR96),AV95,2),AT96+AU96),2),"")</f>
        <v>3263.82</v>
      </c>
      <c r="AT96" s="78">
        <f>IF(AQ96&lt;&gt;"",IF($F$11="raty malejące",AV95/($F$4-AQ95+SUM($AR$28:AR95)),MIN(AS96-AU96,AV95)),"")</f>
        <v>889.23525280807053</v>
      </c>
      <c r="AU96" s="78">
        <f t="shared" si="108"/>
        <v>2374.5847471919296</v>
      </c>
      <c r="AV96" s="79">
        <f t="shared" si="109"/>
        <v>326639.69539435458</v>
      </c>
      <c r="AW96" s="11"/>
      <c r="AX96" s="33">
        <f>IF(AQ96&lt;&gt;"",ROUND(IF($F$11="raty równe",-PMT(W96/12,($F$4-AQ95+SUM($AR$27:AR95)),AV95,2),AV95/($F$4-AQ95+SUM($AR$27:AR95))+AV95*W96/12),2),"")</f>
        <v>3263.82</v>
      </c>
      <c r="AY96" s="33">
        <f t="shared" si="110"/>
        <v>258.27</v>
      </c>
      <c r="AZ96" s="33">
        <f t="shared" si="72"/>
        <v>15190.365833039759</v>
      </c>
      <c r="BA96" s="33">
        <f>IF(AQ96&lt;&gt;"",AZ96-SUM($AY$44:AY96),"")</f>
        <v>1502.0658330397437</v>
      </c>
      <c r="BB96" s="11">
        <f t="shared" si="111"/>
        <v>20</v>
      </c>
      <c r="BC96" s="11">
        <f>IF(AQ96&lt;&gt;"",IF($B$16=listy!$K$8,'RZĄDOWY PROGRAM'!$F$3*'RZĄDOWY PROGRAM'!$F$15,AV95*$F$15),"")</f>
        <v>50</v>
      </c>
      <c r="BD96" s="11">
        <f t="shared" si="112"/>
        <v>70</v>
      </c>
      <c r="BF96" s="8">
        <f t="shared" si="113"/>
        <v>69</v>
      </c>
      <c r="BG96" s="8"/>
      <c r="BH96" s="78">
        <f>IF(BF96&lt;&gt;"",ROUND(IF($F$11="raty równe",-PMT(W96/12,$F$4-BF95+SUM(BV$28:$BV96)-SUM($BM$29:BM96),BK95,2),BI96+BJ96),2),"")</f>
        <v>3522.1</v>
      </c>
      <c r="BI96" s="78">
        <f>IF(BF96&lt;&gt;"",IF($F$11="raty malejące",MIN(BK95/($F$4-BF95+SUM($BG$27:BG96)-SUM($BM$27:BM96)),BK95),MIN(BH96-BJ96,BK95)),"")</f>
        <v>1268.0216020590769</v>
      </c>
      <c r="BJ96" s="78">
        <f t="shared" si="114"/>
        <v>2254.078397940923</v>
      </c>
      <c r="BK96" s="79">
        <f t="shared" si="115"/>
        <v>309639.34363117162</v>
      </c>
      <c r="BL96" s="11"/>
      <c r="BM96" s="33"/>
      <c r="BN96" s="33">
        <f t="shared" si="73"/>
        <v>-9.9999999997635314E-3</v>
      </c>
      <c r="BO96" s="33">
        <f t="shared" si="74"/>
        <v>-0.10627543467150853</v>
      </c>
      <c r="BP96" s="33">
        <f>IF(O96&lt;&gt;"",BO96-SUM($BN$44:BN96),"")</f>
        <v>-1.6275434673636749E-2</v>
      </c>
      <c r="BQ96" s="11">
        <f t="shared" si="89"/>
        <v>20</v>
      </c>
      <c r="BR96" s="11">
        <f>IF(BF96&lt;&gt;"",IF($B$16=listy!$K$8,'RZĄDOWY PROGRAM'!$F$3*'RZĄDOWY PROGRAM'!$F$15,BK95*$F$15),"")</f>
        <v>50</v>
      </c>
      <c r="BS96" s="11">
        <f t="shared" si="90"/>
        <v>70</v>
      </c>
      <c r="BU96" s="8">
        <f t="shared" si="116"/>
        <v>69</v>
      </c>
      <c r="BV96" s="8"/>
      <c r="BW96" s="78">
        <f>IF(BU96&lt;&gt;"",ROUND(IF($F$11="raty równe",-PMT(W96/12,$F$4-BU95+SUM($BV$28:BV96)-$CB$43,BZ95,2),BX96+BY96),2),"")</f>
        <v>3522.09</v>
      </c>
      <c r="BX96" s="78">
        <f>IF(BU96&lt;&gt;"",IF($F$11="raty malejące",MIN(BZ95/($F$4-BU95+SUM($BV$28:BV95)-SUM($CB$28:CB95)),BZ95),MIN(BW96-BY96,BZ95)),"")</f>
        <v>1265.2540650528867</v>
      </c>
      <c r="BY96" s="78">
        <f t="shared" si="77"/>
        <v>2256.8359349471134</v>
      </c>
      <c r="BZ96" s="79">
        <f t="shared" si="71"/>
        <v>310022.4611000662</v>
      </c>
      <c r="CA96" s="11"/>
      <c r="CB96" s="33"/>
      <c r="CC96" s="33">
        <f t="shared" si="117"/>
        <v>0</v>
      </c>
      <c r="CD96" s="33">
        <f t="shared" si="75"/>
        <v>0.28851065723012526</v>
      </c>
      <c r="CE96" s="33">
        <f>IF(O96&lt;&gt;"",CD96-SUM($CC$44:CC96),"")</f>
        <v>2.851065723627344E-2</v>
      </c>
      <c r="CF96" s="11">
        <f t="shared" si="91"/>
        <v>20</v>
      </c>
      <c r="CG96" s="11">
        <f>IF(BU96&lt;&gt;"",IF($B$16=listy!$K$8,'RZĄDOWY PROGRAM'!$F$3*'RZĄDOWY PROGRAM'!$F$15,BZ95*$F$15),"")</f>
        <v>50</v>
      </c>
      <c r="CH96" s="11">
        <f t="shared" si="92"/>
        <v>70</v>
      </c>
      <c r="CJ96" s="48">
        <f t="shared" si="93"/>
        <v>0.06</v>
      </c>
      <c r="CK96" s="18">
        <f t="shared" si="94"/>
        <v>4.8675505653430484E-3</v>
      </c>
      <c r="CL96" s="11">
        <f t="shared" si="76"/>
        <v>0</v>
      </c>
      <c r="CM96" s="11">
        <f t="shared" si="95"/>
        <v>35897.563767545129</v>
      </c>
      <c r="CN96" s="11">
        <f>IF(AB96&lt;&gt;"",CM96-SUM($CL$28:CL96),"")</f>
        <v>7720.8037675451342</v>
      </c>
    </row>
    <row r="97" spans="1:92" x14ac:dyDescent="0.45">
      <c r="A97" s="68">
        <f t="shared" si="118"/>
        <v>46844</v>
      </c>
      <c r="B97" s="8">
        <f t="shared" si="78"/>
        <v>70</v>
      </c>
      <c r="C97" s="11">
        <f t="shared" si="79"/>
        <v>3522.1</v>
      </c>
      <c r="D97" s="11">
        <f t="shared" si="80"/>
        <v>1024.0726323149261</v>
      </c>
      <c r="E97" s="11">
        <f t="shared" si="81"/>
        <v>2498.0273676850738</v>
      </c>
      <c r="F97" s="9">
        <f t="shared" si="96"/>
        <v>343531.42635872972</v>
      </c>
      <c r="G97" s="10">
        <f t="shared" si="82"/>
        <v>7.0000000000000007E-2</v>
      </c>
      <c r="H97" s="10">
        <f t="shared" si="83"/>
        <v>1.7000000000000001E-2</v>
      </c>
      <c r="I97" s="48">
        <f t="shared" si="97"/>
        <v>8.7000000000000008E-2</v>
      </c>
      <c r="J97" s="11">
        <f t="shared" si="84"/>
        <v>20</v>
      </c>
      <c r="K97" s="11">
        <f>IF(B97&lt;&gt;"",IF($B$16=listy!$K$8,'RZĄDOWY PROGRAM'!$F$3*'RZĄDOWY PROGRAM'!$F$15,F96*$F$15),"")</f>
        <v>50</v>
      </c>
      <c r="L97" s="11">
        <f t="shared" si="98"/>
        <v>70</v>
      </c>
      <c r="N97" s="54">
        <f t="shared" si="119"/>
        <v>46844</v>
      </c>
      <c r="O97" s="8">
        <f t="shared" si="99"/>
        <v>70</v>
      </c>
      <c r="P97" s="8"/>
      <c r="Q97" s="11">
        <f>IF(O97&lt;&gt;"",ROUND(IF($F$11="raty równe",-PMT(W97/12,$F$4-O96+SUM($P$28:P97),T96,2),R97+S97),2),"")</f>
        <v>3522.1</v>
      </c>
      <c r="R97" s="11">
        <f>IF(O97&lt;&gt;"",IF($F$11="raty malejące",T96/($F$4-O96+SUM($P$28:P97)),IF(Q97-S97&gt;T96,T96,Q97-S97)),"")</f>
        <v>966.56858830925967</v>
      </c>
      <c r="S97" s="11">
        <f t="shared" si="68"/>
        <v>2555.5314116907402</v>
      </c>
      <c r="T97" s="9">
        <f t="shared" si="100"/>
        <v>351520.52267937898</v>
      </c>
      <c r="U97" s="10">
        <f t="shared" si="85"/>
        <v>7.0000000000000007E-2</v>
      </c>
      <c r="V97" s="10">
        <f t="shared" si="86"/>
        <v>1.7000000000000001E-2</v>
      </c>
      <c r="W97" s="48">
        <f t="shared" si="101"/>
        <v>8.7000000000000008E-2</v>
      </c>
      <c r="X97" s="11">
        <f t="shared" si="87"/>
        <v>20</v>
      </c>
      <c r="Y97" s="11">
        <f>IF(O97&lt;&gt;"",IF($B$16=listy!$K$8,'RZĄDOWY PROGRAM'!$F$3*'RZĄDOWY PROGRAM'!$F$15,T96*$F$15),"")</f>
        <v>50</v>
      </c>
      <c r="Z97" s="11">
        <f t="shared" si="102"/>
        <v>70</v>
      </c>
      <c r="AB97" s="8">
        <f t="shared" si="103"/>
        <v>70</v>
      </c>
      <c r="AC97" s="8"/>
      <c r="AD97" s="11">
        <f>IF(AB97&lt;&gt;"",ROUND(IF($F$11="raty równe",-PMT(W97/12,$F$4-AB96+SUM($AC$28:AC97),AG96,2),AE97+AF97),2),"")</f>
        <v>3280.39</v>
      </c>
      <c r="AE97" s="11">
        <f>IF(AB97&lt;&gt;"",IF($F$11="raty malejące",AG96/($F$4-AB96+SUM($AC$28:AC96)),MIN(AD97-AF97,AG96)),"")</f>
        <v>900.23151981241699</v>
      </c>
      <c r="AF97" s="11">
        <f t="shared" si="69"/>
        <v>2380.1584801875829</v>
      </c>
      <c r="AG97" s="9">
        <f t="shared" si="120"/>
        <v>327397.48988537135</v>
      </c>
      <c r="AH97" s="11"/>
      <c r="AI97" s="33">
        <f>IF(AB97&lt;&gt;"",ROUND(IF($F$11="raty równe",-PMT(W97/12,($F$4-AB96+SUM($AC$27:AC96)),AG96,2),AG96/($F$4-AB96+SUM($AC$27:AC96))+AG96*W97/12),2),"")</f>
        <v>3280.39</v>
      </c>
      <c r="AJ97" s="33">
        <f t="shared" si="104"/>
        <v>241.71000000000004</v>
      </c>
      <c r="AK97" s="33">
        <f t="shared" si="88"/>
        <v>17128.93241875419</v>
      </c>
      <c r="AL97" s="33">
        <f>IF(AB97&lt;&gt;"",AK97-SUM($AJ$28:AJ97),"")</f>
        <v>2004.4224187541913</v>
      </c>
      <c r="AM97" s="11">
        <f t="shared" si="105"/>
        <v>20</v>
      </c>
      <c r="AN97" s="11">
        <f>IF(AB97&lt;&gt;"",IF($B$16=listy!$K$8,'RZĄDOWY PROGRAM'!$F$3*'RZĄDOWY PROGRAM'!$F$15,AG96*$F$15),"")</f>
        <v>50</v>
      </c>
      <c r="AO97" s="11">
        <f t="shared" si="106"/>
        <v>70</v>
      </c>
      <c r="AQ97" s="8">
        <f t="shared" si="107"/>
        <v>70</v>
      </c>
      <c r="AR97" s="8"/>
      <c r="AS97" s="78">
        <f>IF(AQ97&lt;&gt;"",ROUND(IF($F$11="raty równe",-PMT(W97/12,$F$4-AQ96+SUM($AR$28:AR97),AV96,2),AT97+AU97),2),"")</f>
        <v>3263.83</v>
      </c>
      <c r="AT97" s="78">
        <f>IF(AQ97&lt;&gt;"",IF($F$11="raty malejące",AV96/($F$4-AQ96+SUM($AR$28:AR96)),MIN(AS97-AU97,AV96)),"")</f>
        <v>895.69220839092895</v>
      </c>
      <c r="AU97" s="78">
        <f t="shared" si="108"/>
        <v>2368.137791609071</v>
      </c>
      <c r="AV97" s="79">
        <f t="shared" si="109"/>
        <v>325744.00318596367</v>
      </c>
      <c r="AW97" s="11"/>
      <c r="AX97" s="33">
        <f>IF(AQ97&lt;&gt;"",ROUND(IF($F$11="raty równe",-PMT(W97/12,($F$4-AQ96+SUM($AR$27:AR96)),AV96,2),AV96/($F$4-AQ96+SUM($AR$27:AR96))+AV96*W97/12),2),"")</f>
        <v>3263.83</v>
      </c>
      <c r="AY97" s="33">
        <f t="shared" si="110"/>
        <v>258.27</v>
      </c>
      <c r="AZ97" s="33">
        <f t="shared" si="72"/>
        <v>15508.527130816448</v>
      </c>
      <c r="BA97" s="33">
        <f>IF(AQ97&lt;&gt;"",AZ97-SUM($AY$44:AY97),"")</f>
        <v>1561.9571308164323</v>
      </c>
      <c r="BB97" s="11">
        <f t="shared" si="111"/>
        <v>20</v>
      </c>
      <c r="BC97" s="11">
        <f>IF(AQ97&lt;&gt;"",IF($B$16=listy!$K$8,'RZĄDOWY PROGRAM'!$F$3*'RZĄDOWY PROGRAM'!$F$15,AV96*$F$15),"")</f>
        <v>50</v>
      </c>
      <c r="BD97" s="11">
        <f t="shared" si="112"/>
        <v>70</v>
      </c>
      <c r="BF97" s="8">
        <f t="shared" si="113"/>
        <v>70</v>
      </c>
      <c r="BG97" s="8"/>
      <c r="BH97" s="78">
        <f>IF(BF97&lt;&gt;"",ROUND(IF($F$11="raty równe",-PMT(W97/12,$F$4-BF96+SUM(BV$28:$BV97)-SUM($BM$29:BM97),BK96,2),BI97+BJ97),2),"")</f>
        <v>3522.09</v>
      </c>
      <c r="BI97" s="78">
        <f>IF(BF97&lt;&gt;"",IF($F$11="raty malejące",MIN(BK96/($F$4-BF96+SUM($BG$27:BG97)-SUM($BM$27:BM97)),BK96),MIN(BH97-BJ97,BK96)),"")</f>
        <v>1277.2047586740059</v>
      </c>
      <c r="BJ97" s="78">
        <f t="shared" si="114"/>
        <v>2244.8852413259942</v>
      </c>
      <c r="BK97" s="79">
        <f t="shared" si="115"/>
        <v>308362.1388724976</v>
      </c>
      <c r="BL97" s="11"/>
      <c r="BM97" s="33"/>
      <c r="BN97" s="33">
        <f t="shared" si="73"/>
        <v>9.9999999997635314E-3</v>
      </c>
      <c r="BO97" s="33">
        <f t="shared" si="74"/>
        <v>-9.6694448523960086E-2</v>
      </c>
      <c r="BP97" s="33">
        <f>IF(O97&lt;&gt;"",BO97-SUM($BN$44:BN97),"")</f>
        <v>-1.6694448525851835E-2</v>
      </c>
      <c r="BQ97" s="11">
        <f t="shared" si="89"/>
        <v>20</v>
      </c>
      <c r="BR97" s="11">
        <f>IF(BF97&lt;&gt;"",IF($B$16=listy!$K$8,'RZĄDOWY PROGRAM'!$F$3*'RZĄDOWY PROGRAM'!$F$15,BK96*$F$15),"")</f>
        <v>50</v>
      </c>
      <c r="BS97" s="11">
        <f t="shared" si="90"/>
        <v>70</v>
      </c>
      <c r="BU97" s="8">
        <f t="shared" si="116"/>
        <v>70</v>
      </c>
      <c r="BV97" s="8"/>
      <c r="BW97" s="78">
        <f>IF(BU97&lt;&gt;"",ROUND(IF($F$11="raty równe",-PMT(W97/12,$F$4-BU96+SUM($BV$28:BV97)-$CB$43,BZ96,2),BX97+BY97),2),"")</f>
        <v>3522.09</v>
      </c>
      <c r="BX97" s="78">
        <f>IF(BU97&lt;&gt;"",IF($F$11="raty malejące",MIN(BZ96/($F$4-BU96+SUM($BV$28:BV96)-SUM($CB$28:CB96)),BZ96),MIN(BW97-BY97,BZ96)),"")</f>
        <v>1274.4271570245201</v>
      </c>
      <c r="BY97" s="78">
        <f t="shared" si="77"/>
        <v>2247.6628429754801</v>
      </c>
      <c r="BZ97" s="79">
        <f t="shared" si="71"/>
        <v>308748.03394304169</v>
      </c>
      <c r="CA97" s="11"/>
      <c r="CB97" s="33"/>
      <c r="CC97" s="33">
        <f t="shared" si="117"/>
        <v>9.9999999997635314E-3</v>
      </c>
      <c r="CD97" s="33">
        <f t="shared" si="75"/>
        <v>0.29964817280218226</v>
      </c>
      <c r="CE97" s="33">
        <f>IF(O97&lt;&gt;"",CD97-SUM($CC$44:CC97),"")</f>
        <v>2.9648172808566908E-2</v>
      </c>
      <c r="CF97" s="11">
        <f t="shared" si="91"/>
        <v>20</v>
      </c>
      <c r="CG97" s="11">
        <f>IF(BU97&lt;&gt;"",IF($B$16=listy!$K$8,'RZĄDOWY PROGRAM'!$F$3*'RZĄDOWY PROGRAM'!$F$15,BZ96*$F$15),"")</f>
        <v>50</v>
      </c>
      <c r="CH97" s="11">
        <f t="shared" si="92"/>
        <v>70</v>
      </c>
      <c r="CJ97" s="48">
        <f t="shared" si="93"/>
        <v>0.06</v>
      </c>
      <c r="CK97" s="18">
        <f t="shared" si="94"/>
        <v>4.8675505653430484E-3</v>
      </c>
      <c r="CL97" s="11">
        <f t="shared" si="76"/>
        <v>0</v>
      </c>
      <c r="CM97" s="11">
        <f t="shared" si="95"/>
        <v>36039.097665062167</v>
      </c>
      <c r="CN97" s="11">
        <f>IF(AB97&lt;&gt;"",CM97-SUM($CL$28:CL97),"")</f>
        <v>7862.3376650621722</v>
      </c>
    </row>
    <row r="98" spans="1:92" x14ac:dyDescent="0.45">
      <c r="A98" s="68">
        <f t="shared" si="118"/>
        <v>46874</v>
      </c>
      <c r="B98" s="8">
        <f t="shared" si="78"/>
        <v>71</v>
      </c>
      <c r="C98" s="11">
        <f t="shared" si="79"/>
        <v>3522.09</v>
      </c>
      <c r="D98" s="11">
        <f t="shared" si="80"/>
        <v>1031.4871588992096</v>
      </c>
      <c r="E98" s="11">
        <f t="shared" si="81"/>
        <v>2490.6028411007906</v>
      </c>
      <c r="F98" s="9">
        <f t="shared" si="96"/>
        <v>342499.93919983052</v>
      </c>
      <c r="G98" s="10">
        <f t="shared" si="82"/>
        <v>7.0000000000000007E-2</v>
      </c>
      <c r="H98" s="10">
        <f t="shared" si="83"/>
        <v>1.7000000000000001E-2</v>
      </c>
      <c r="I98" s="48">
        <f t="shared" si="97"/>
        <v>8.7000000000000008E-2</v>
      </c>
      <c r="J98" s="11">
        <f t="shared" si="84"/>
        <v>20</v>
      </c>
      <c r="K98" s="11">
        <f>IF(B98&lt;&gt;"",IF($B$16=listy!$K$8,'RZĄDOWY PROGRAM'!$F$3*'RZĄDOWY PROGRAM'!$F$15,F97*$F$15),"")</f>
        <v>50</v>
      </c>
      <c r="L98" s="11">
        <f t="shared" si="98"/>
        <v>70</v>
      </c>
      <c r="N98" s="54">
        <f t="shared" si="119"/>
        <v>46874</v>
      </c>
      <c r="O98" s="8">
        <f t="shared" si="99"/>
        <v>71</v>
      </c>
      <c r="P98" s="8"/>
      <c r="Q98" s="11">
        <f>IF(O98&lt;&gt;"",ROUND(IF($F$11="raty równe",-PMT(W98/12,$F$4-O97+SUM($P$28:P98),T97,2),R98+S98),2),"")</f>
        <v>3522.09</v>
      </c>
      <c r="R98" s="11">
        <f>IF(O98&lt;&gt;"",IF($F$11="raty malejące",T97/($F$4-O97+SUM($P$28:P98)),IF(Q98-S98&gt;T97,T97,Q98-S98)),"")</f>
        <v>973.56621057450229</v>
      </c>
      <c r="S98" s="11">
        <f t="shared" si="68"/>
        <v>2548.5237894254979</v>
      </c>
      <c r="T98" s="9">
        <f t="shared" si="100"/>
        <v>350546.95646880445</v>
      </c>
      <c r="U98" s="10">
        <f t="shared" si="85"/>
        <v>7.0000000000000007E-2</v>
      </c>
      <c r="V98" s="10">
        <f t="shared" si="86"/>
        <v>1.7000000000000001E-2</v>
      </c>
      <c r="W98" s="48">
        <f t="shared" si="101"/>
        <v>8.7000000000000008E-2</v>
      </c>
      <c r="X98" s="11">
        <f t="shared" si="87"/>
        <v>20</v>
      </c>
      <c r="Y98" s="11">
        <f>IF(O98&lt;&gt;"",IF($B$16=listy!$K$8,'RZĄDOWY PROGRAM'!$F$3*'RZĄDOWY PROGRAM'!$F$15,T97*$F$15),"")</f>
        <v>50</v>
      </c>
      <c r="Z98" s="11">
        <f t="shared" si="102"/>
        <v>70</v>
      </c>
      <c r="AB98" s="8">
        <f t="shared" si="103"/>
        <v>71</v>
      </c>
      <c r="AC98" s="8"/>
      <c r="AD98" s="11">
        <f>IF(AB98&lt;&gt;"",ROUND(IF($F$11="raty równe",-PMT(W98/12,$F$4-AB97+SUM($AC$28:AC98),AG97,2),AE98+AF98),2),"")</f>
        <v>3280.39</v>
      </c>
      <c r="AE98" s="11">
        <f>IF(AB98&lt;&gt;"",IF($F$11="raty malejące",AG97/($F$4-AB97+SUM($AC$28:AC97)),MIN(AD98-AF98,AG97)),"")</f>
        <v>906.75819833105743</v>
      </c>
      <c r="AF98" s="11">
        <f t="shared" si="69"/>
        <v>2373.6318016689424</v>
      </c>
      <c r="AG98" s="9">
        <f t="shared" si="120"/>
        <v>326490.7316870403</v>
      </c>
      <c r="AH98" s="11"/>
      <c r="AI98" s="33">
        <f>IF(AB98&lt;&gt;"",ROUND(IF($F$11="raty równe",-PMT(W98/12,($F$4-AB97+SUM($AC$27:AC97)),AG97,2),AG97/($F$4-AB97+SUM($AC$27:AC97))+AG97*W98/12),2),"")</f>
        <v>3280.39</v>
      </c>
      <c r="AJ98" s="33">
        <f t="shared" si="104"/>
        <v>241.70000000000027</v>
      </c>
      <c r="AK98" s="33">
        <f t="shared" si="88"/>
        <v>17438.166933943881</v>
      </c>
      <c r="AL98" s="33">
        <f>IF(AB98&lt;&gt;"",AK98-SUM($AJ$28:AJ98),"")</f>
        <v>2071.9569339438822</v>
      </c>
      <c r="AM98" s="11">
        <f t="shared" si="105"/>
        <v>20</v>
      </c>
      <c r="AN98" s="11">
        <f>IF(AB98&lt;&gt;"",IF($B$16=listy!$K$8,'RZĄDOWY PROGRAM'!$F$3*'RZĄDOWY PROGRAM'!$F$15,AG97*$F$15),"")</f>
        <v>50</v>
      </c>
      <c r="AO98" s="11">
        <f t="shared" si="106"/>
        <v>70</v>
      </c>
      <c r="AQ98" s="8">
        <f t="shared" si="107"/>
        <v>71</v>
      </c>
      <c r="AR98" s="8"/>
      <c r="AS98" s="78">
        <f>IF(AQ98&lt;&gt;"",ROUND(IF($F$11="raty równe",-PMT(W98/12,$F$4-AQ97+SUM($AR$28:AR98),AV97,2),AT98+AU98),2),"")</f>
        <v>3263.82</v>
      </c>
      <c r="AT98" s="78">
        <f>IF(AQ98&lt;&gt;"",IF($F$11="raty malejące",AV97/($F$4-AQ97+SUM($AR$28:AR97)),MIN(AS98-AU98,AV97)),"")</f>
        <v>902.17597690176353</v>
      </c>
      <c r="AU98" s="78">
        <f t="shared" si="108"/>
        <v>2361.6440230982366</v>
      </c>
      <c r="AV98" s="79">
        <f t="shared" si="109"/>
        <v>324841.82720906188</v>
      </c>
      <c r="AW98" s="11"/>
      <c r="AX98" s="33">
        <f>IF(AQ98&lt;&gt;"",ROUND(IF($F$11="raty równe",-PMT(W98/12,($F$4-AQ97+SUM($AR$27:AR97)),AV97,2),AV97/($F$4-AQ97+SUM($AR$27:AR97))+AV97*W98/12),2),"")</f>
        <v>3263.82</v>
      </c>
      <c r="AY98" s="33">
        <f t="shared" si="110"/>
        <v>258.27</v>
      </c>
      <c r="AZ98" s="33">
        <f t="shared" si="72"/>
        <v>15827.942848219078</v>
      </c>
      <c r="BA98" s="33">
        <f>IF(AQ98&lt;&gt;"",AZ98-SUM($AY$44:AY98),"")</f>
        <v>1623.1028482190613</v>
      </c>
      <c r="BB98" s="11">
        <f t="shared" si="111"/>
        <v>20</v>
      </c>
      <c r="BC98" s="11">
        <f>IF(AQ98&lt;&gt;"",IF($B$16=listy!$K$8,'RZĄDOWY PROGRAM'!$F$3*'RZĄDOWY PROGRAM'!$F$15,AV97*$F$15),"")</f>
        <v>50</v>
      </c>
      <c r="BD98" s="11">
        <f t="shared" si="112"/>
        <v>70</v>
      </c>
      <c r="BF98" s="8">
        <f t="shared" si="113"/>
        <v>71</v>
      </c>
      <c r="BG98" s="8"/>
      <c r="BH98" s="78">
        <f>IF(BF98&lt;&gt;"",ROUND(IF($F$11="raty równe",-PMT(W98/12,$F$4-BF97+SUM(BV$28:$BV98)-SUM($BM$29:BM98),BK97,2),BI98+BJ98),2),"")</f>
        <v>3522.1</v>
      </c>
      <c r="BI98" s="78">
        <f>IF(BF98&lt;&gt;"",IF($F$11="raty malejące",MIN(BK97/($F$4-BF97+SUM($BG$27:BG98)-SUM($BM$27:BM98)),BK97),MIN(BH98-BJ98,BK97)),"")</f>
        <v>1286.4744931743921</v>
      </c>
      <c r="BJ98" s="78">
        <f t="shared" si="114"/>
        <v>2235.6255068256078</v>
      </c>
      <c r="BK98" s="79">
        <f t="shared" si="115"/>
        <v>307075.66437932319</v>
      </c>
      <c r="BL98" s="11"/>
      <c r="BM98" s="33"/>
      <c r="BN98" s="33">
        <f t="shared" si="73"/>
        <v>-9.9999999997635314E-3</v>
      </c>
      <c r="BO98" s="33">
        <f t="shared" si="74"/>
        <v>-0.10707568726896208</v>
      </c>
      <c r="BP98" s="33">
        <f>IF(O98&lt;&gt;"",BO98-SUM($BN$44:BN98),"")</f>
        <v>-1.7075687271090295E-2</v>
      </c>
      <c r="BQ98" s="11">
        <f t="shared" si="89"/>
        <v>20</v>
      </c>
      <c r="BR98" s="11">
        <f>IF(BF98&lt;&gt;"",IF($B$16=listy!$K$8,'RZĄDOWY PROGRAM'!$F$3*'RZĄDOWY PROGRAM'!$F$15,BK97*$F$15),"")</f>
        <v>50</v>
      </c>
      <c r="BS98" s="11">
        <f t="shared" si="90"/>
        <v>70</v>
      </c>
      <c r="BU98" s="8">
        <f t="shared" si="116"/>
        <v>71</v>
      </c>
      <c r="BV98" s="8"/>
      <c r="BW98" s="78">
        <f>IF(BU98&lt;&gt;"",ROUND(IF($F$11="raty równe",-PMT(W98/12,$F$4-BU97+SUM($BV$28:BV98)-$CB$43,BZ97,2),BX98+BY98),2),"")</f>
        <v>3522.09</v>
      </c>
      <c r="BX98" s="78">
        <f>IF(BU98&lt;&gt;"",IF($F$11="raty malejące",MIN(BZ97/($F$4-BU97+SUM($BV$28:BV97)-SUM($CB$28:CB97)),BZ97),MIN(BW98-BY98,BZ97)),"")</f>
        <v>1283.6667539129476</v>
      </c>
      <c r="BY98" s="78">
        <f t="shared" si="77"/>
        <v>2238.4232460870526</v>
      </c>
      <c r="BZ98" s="79">
        <f t="shared" si="71"/>
        <v>307464.36718912877</v>
      </c>
      <c r="CA98" s="11"/>
      <c r="CB98" s="33"/>
      <c r="CC98" s="33">
        <f t="shared" si="117"/>
        <v>0</v>
      </c>
      <c r="CD98" s="33">
        <f t="shared" si="75"/>
        <v>0.30082960043485335</v>
      </c>
      <c r="CE98" s="33">
        <f>IF(O98&lt;&gt;"",CD98-SUM($CC$44:CC98),"")</f>
        <v>3.0829600441238003E-2</v>
      </c>
      <c r="CF98" s="11">
        <f t="shared" si="91"/>
        <v>20</v>
      </c>
      <c r="CG98" s="11">
        <f>IF(BU98&lt;&gt;"",IF($B$16=listy!$K$8,'RZĄDOWY PROGRAM'!$F$3*'RZĄDOWY PROGRAM'!$F$15,BZ97*$F$15),"")</f>
        <v>50</v>
      </c>
      <c r="CH98" s="11">
        <f t="shared" si="92"/>
        <v>70</v>
      </c>
      <c r="CJ98" s="48">
        <f t="shared" si="93"/>
        <v>0.06</v>
      </c>
      <c r="CK98" s="18">
        <f t="shared" si="94"/>
        <v>4.8675505653430484E-3</v>
      </c>
      <c r="CL98" s="11">
        <f t="shared" si="76"/>
        <v>0</v>
      </c>
      <c r="CM98" s="11">
        <f t="shared" si="95"/>
        <v>36181.189590535534</v>
      </c>
      <c r="CN98" s="11">
        <f>IF(AB98&lt;&gt;"",CM98-SUM($CL$28:CL98),"")</f>
        <v>8004.4295905355393</v>
      </c>
    </row>
    <row r="99" spans="1:92" x14ac:dyDescent="0.45">
      <c r="A99" s="68">
        <f t="shared" si="118"/>
        <v>46905</v>
      </c>
      <c r="B99" s="8">
        <f t="shared" si="78"/>
        <v>72</v>
      </c>
      <c r="C99" s="11">
        <f t="shared" si="79"/>
        <v>3522.1</v>
      </c>
      <c r="D99" s="11">
        <f t="shared" si="80"/>
        <v>1038.9754408012286</v>
      </c>
      <c r="E99" s="11">
        <f t="shared" si="81"/>
        <v>2483.1245591987713</v>
      </c>
      <c r="F99" s="9">
        <f t="shared" si="96"/>
        <v>341460.96375902928</v>
      </c>
      <c r="G99" s="10">
        <f t="shared" si="82"/>
        <v>7.0000000000000007E-2</v>
      </c>
      <c r="H99" s="10">
        <f t="shared" si="83"/>
        <v>1.7000000000000001E-2</v>
      </c>
      <c r="I99" s="48">
        <f t="shared" si="97"/>
        <v>8.7000000000000008E-2</v>
      </c>
      <c r="J99" s="11">
        <f t="shared" si="84"/>
        <v>20</v>
      </c>
      <c r="K99" s="11">
        <f>IF(B99&lt;&gt;"",IF($B$16=listy!$K$8,'RZĄDOWY PROGRAM'!$F$3*'RZĄDOWY PROGRAM'!$F$15,F98*$F$15),"")</f>
        <v>50</v>
      </c>
      <c r="L99" s="11">
        <f t="shared" si="98"/>
        <v>70</v>
      </c>
      <c r="N99" s="54">
        <f t="shared" si="119"/>
        <v>46905</v>
      </c>
      <c r="O99" s="8">
        <f t="shared" si="99"/>
        <v>72</v>
      </c>
      <c r="P99" s="8"/>
      <c r="Q99" s="11">
        <f>IF(O99&lt;&gt;"",ROUND(IF($F$11="raty równe",-PMT(W99/12,$F$4-O98+SUM($P$28:P99),T98,2),R99+S99),2),"")</f>
        <v>3522.1</v>
      </c>
      <c r="R99" s="11">
        <f>IF(O99&lt;&gt;"",IF($F$11="raty malejące",T98/($F$4-O98+SUM($P$28:P99)),IF(Q99-S99&gt;T98,T98,Q99-S99)),"")</f>
        <v>980.6345656011672</v>
      </c>
      <c r="S99" s="11">
        <f t="shared" si="68"/>
        <v>2541.4654343988327</v>
      </c>
      <c r="T99" s="9">
        <f t="shared" si="100"/>
        <v>349566.32190320326</v>
      </c>
      <c r="U99" s="10">
        <f t="shared" si="85"/>
        <v>7.0000000000000007E-2</v>
      </c>
      <c r="V99" s="10">
        <f t="shared" si="86"/>
        <v>1.7000000000000001E-2</v>
      </c>
      <c r="W99" s="48">
        <f t="shared" si="101"/>
        <v>8.7000000000000008E-2</v>
      </c>
      <c r="X99" s="11">
        <f t="shared" si="87"/>
        <v>20</v>
      </c>
      <c r="Y99" s="11">
        <f>IF(O99&lt;&gt;"",IF($B$16=listy!$K$8,'RZĄDOWY PROGRAM'!$F$3*'RZĄDOWY PROGRAM'!$F$15,T98*$F$15),"")</f>
        <v>50</v>
      </c>
      <c r="Z99" s="11">
        <f t="shared" si="102"/>
        <v>70</v>
      </c>
      <c r="AB99" s="8">
        <f t="shared" si="103"/>
        <v>72</v>
      </c>
      <c r="AC99" s="8"/>
      <c r="AD99" s="11">
        <f>IF(AB99&lt;&gt;"",ROUND(IF($F$11="raty równe",-PMT(W99/12,$F$4-AB98+SUM($AC$28:AC99),AG98,2),AE99+AF99),2),"")</f>
        <v>3280.39</v>
      </c>
      <c r="AE99" s="11">
        <f>IF(AB99&lt;&gt;"",IF($F$11="raty malejące",AG98/($F$4-AB98+SUM($AC$28:AC98)),MIN(AD99-AF99,AG98)),"")</f>
        <v>913.33219526895755</v>
      </c>
      <c r="AF99" s="11">
        <f t="shared" si="69"/>
        <v>2367.0578047310423</v>
      </c>
      <c r="AG99" s="9">
        <f t="shared" si="120"/>
        <v>325577.39949177136</v>
      </c>
      <c r="AH99" s="11"/>
      <c r="AI99" s="33">
        <f>IF(AB99&lt;&gt;"",ROUND(IF($F$11="raty równe",-PMT(W99/12,($F$4-AB98+SUM($AC$27:AC98)),AG98,2),AG98/($F$4-AB98+SUM($AC$27:AC98))+AG98*W99/12),2),"")</f>
        <v>3280.39</v>
      </c>
      <c r="AJ99" s="33">
        <f t="shared" si="104"/>
        <v>241.71000000000004</v>
      </c>
      <c r="AK99" s="33">
        <f t="shared" si="88"/>
        <v>17748.630672991352</v>
      </c>
      <c r="AL99" s="33">
        <f>IF(AB99&lt;&gt;"",AK99-SUM($AJ$28:AJ99),"")</f>
        <v>2140.7106729913539</v>
      </c>
      <c r="AM99" s="11">
        <f t="shared" si="105"/>
        <v>20</v>
      </c>
      <c r="AN99" s="11">
        <f>IF(AB99&lt;&gt;"",IF($B$16=listy!$K$8,'RZĄDOWY PROGRAM'!$F$3*'RZĄDOWY PROGRAM'!$F$15,AG98*$F$15),"")</f>
        <v>50</v>
      </c>
      <c r="AO99" s="11">
        <f t="shared" si="106"/>
        <v>70</v>
      </c>
      <c r="AQ99" s="8">
        <f t="shared" si="107"/>
        <v>72</v>
      </c>
      <c r="AR99" s="8"/>
      <c r="AS99" s="78">
        <f>IF(AQ99&lt;&gt;"",ROUND(IF($F$11="raty równe",-PMT(W99/12,$F$4-AQ98+SUM($AR$28:AR99),AV98,2),AT99+AU99),2),"")</f>
        <v>3263.83</v>
      </c>
      <c r="AT99" s="78">
        <f>IF(AQ99&lt;&gt;"",IF($F$11="raty malejące",AV98/($F$4-AQ98+SUM($AR$28:AR98)),MIN(AS99-AU99,AV98)),"")</f>
        <v>908.72675273430104</v>
      </c>
      <c r="AU99" s="78">
        <f t="shared" si="108"/>
        <v>2355.1032472656989</v>
      </c>
      <c r="AV99" s="79">
        <f t="shared" si="109"/>
        <v>323933.10045632761</v>
      </c>
      <c r="AW99" s="11"/>
      <c r="AX99" s="33">
        <f>IF(AQ99&lt;&gt;"",ROUND(IF($F$11="raty równe",-PMT(W99/12,($F$4-AQ98+SUM($AR$27:AR98)),AV98,2),AV98/($F$4-AQ98+SUM($AR$27:AR98))+AV98*W99/12),2),"")</f>
        <v>3263.83</v>
      </c>
      <c r="AY99" s="33">
        <f t="shared" si="110"/>
        <v>258.27</v>
      </c>
      <c r="AZ99" s="33">
        <f t="shared" si="72"/>
        <v>16148.617931067924</v>
      </c>
      <c r="BA99" s="33">
        <f>IF(AQ99&lt;&gt;"",AZ99-SUM($AY$44:AY99),"")</f>
        <v>1685.5079310679066</v>
      </c>
      <c r="BB99" s="11">
        <f t="shared" si="111"/>
        <v>20</v>
      </c>
      <c r="BC99" s="11">
        <f>IF(AQ99&lt;&gt;"",IF($B$16=listy!$K$8,'RZĄDOWY PROGRAM'!$F$3*'RZĄDOWY PROGRAM'!$F$15,AV98*$F$15),"")</f>
        <v>50</v>
      </c>
      <c r="BD99" s="11">
        <f t="shared" si="112"/>
        <v>70</v>
      </c>
      <c r="BF99" s="8">
        <f t="shared" si="113"/>
        <v>72</v>
      </c>
      <c r="BG99" s="8"/>
      <c r="BH99" s="78">
        <f>IF(BF99&lt;&gt;"",ROUND(IF($F$11="raty równe",-PMT(W99/12,$F$4-BF98+SUM(BV$28:$BV99)-SUM($BM$29:BM99),BK98,2),BI99+BJ99),2),"")</f>
        <v>3522.09</v>
      </c>
      <c r="BI99" s="78">
        <f>IF(BF99&lt;&gt;"",IF($F$11="raty malejące",MIN(BK98/($F$4-BF98+SUM($BG$27:BG99)-SUM($BM$27:BM99)),BK98),MIN(BH99-BJ99,BK98)),"")</f>
        <v>1295.7914332499067</v>
      </c>
      <c r="BJ99" s="78">
        <f t="shared" si="114"/>
        <v>2226.2985667500934</v>
      </c>
      <c r="BK99" s="79">
        <f t="shared" si="115"/>
        <v>305779.8729460733</v>
      </c>
      <c r="BL99" s="11"/>
      <c r="BM99" s="33"/>
      <c r="BN99" s="33">
        <f t="shared" si="73"/>
        <v>9.9999999997635314E-3</v>
      </c>
      <c r="BO99" s="33">
        <f t="shared" si="74"/>
        <v>-9.749785629009998E-2</v>
      </c>
      <c r="BP99" s="33">
        <f>IF(O99&lt;&gt;"",BO99-SUM($BN$44:BN99),"")</f>
        <v>-1.7497856291991729E-2</v>
      </c>
      <c r="BQ99" s="11">
        <f t="shared" si="89"/>
        <v>20</v>
      </c>
      <c r="BR99" s="11">
        <f>IF(BF99&lt;&gt;"",IF($B$16=listy!$K$8,'RZĄDOWY PROGRAM'!$F$3*'RZĄDOWY PROGRAM'!$F$15,BK98*$F$15),"")</f>
        <v>50</v>
      </c>
      <c r="BS99" s="11">
        <f t="shared" si="90"/>
        <v>70</v>
      </c>
      <c r="BU99" s="8">
        <f t="shared" si="116"/>
        <v>72</v>
      </c>
      <c r="BV99" s="8"/>
      <c r="BW99" s="78">
        <f>IF(BU99&lt;&gt;"",ROUND(IF($F$11="raty równe",-PMT(W99/12,$F$4-BU98+SUM($BV$28:BV99)-$CB$43,BZ98,2),BX99+BY99),2),"")</f>
        <v>3522.1</v>
      </c>
      <c r="BX99" s="78">
        <f>IF(BU99&lt;&gt;"",IF($F$11="raty malejące",MIN(BZ98/($F$4-BU98+SUM($BV$28:BV98)-SUM($CB$28:CB98)),BZ98),MIN(BW99-BY99,BZ98)),"")</f>
        <v>1292.9833378788162</v>
      </c>
      <c r="BY99" s="78">
        <f t="shared" si="77"/>
        <v>2229.1166621211837</v>
      </c>
      <c r="BZ99" s="79">
        <f t="shared" si="71"/>
        <v>306171.38385124994</v>
      </c>
      <c r="CA99" s="11"/>
      <c r="CB99" s="33"/>
      <c r="CC99" s="33">
        <f t="shared" si="117"/>
        <v>0</v>
      </c>
      <c r="CD99" s="33">
        <f t="shared" si="75"/>
        <v>0.30201568610110491</v>
      </c>
      <c r="CE99" s="33">
        <f>IF(O99&lt;&gt;"",CD99-SUM($CC$44:CC99),"")</f>
        <v>3.201568610748956E-2</v>
      </c>
      <c r="CF99" s="11">
        <f t="shared" si="91"/>
        <v>20</v>
      </c>
      <c r="CG99" s="11">
        <f>IF(BU99&lt;&gt;"",IF($B$16=listy!$K$8,'RZĄDOWY PROGRAM'!$F$3*'RZĄDOWY PROGRAM'!$F$15,BZ98*$F$15),"")</f>
        <v>50</v>
      </c>
      <c r="CH99" s="11">
        <f t="shared" si="92"/>
        <v>70</v>
      </c>
      <c r="CJ99" s="48">
        <f t="shared" si="93"/>
        <v>0.06</v>
      </c>
      <c r="CK99" s="18">
        <f t="shared" si="94"/>
        <v>4.8675505653430484E-3</v>
      </c>
      <c r="CL99" s="11">
        <f t="shared" si="76"/>
        <v>0</v>
      </c>
      <c r="CM99" s="11">
        <f t="shared" si="95"/>
        <v>36323.841744110956</v>
      </c>
      <c r="CN99" s="11">
        <f>IF(AB99&lt;&gt;"",CM99-SUM($CL$28:CL99),"")</f>
        <v>8147.0817441109612</v>
      </c>
    </row>
    <row r="100" spans="1:92" x14ac:dyDescent="0.45">
      <c r="A100" s="68">
        <f t="shared" si="118"/>
        <v>46935</v>
      </c>
      <c r="B100" s="8">
        <f t="shared" si="78"/>
        <v>73</v>
      </c>
      <c r="C100" s="11">
        <f t="shared" si="79"/>
        <v>3522.09</v>
      </c>
      <c r="D100" s="11">
        <f t="shared" si="80"/>
        <v>1046.4980127470376</v>
      </c>
      <c r="E100" s="11">
        <f t="shared" si="81"/>
        <v>2475.5919872529626</v>
      </c>
      <c r="F100" s="9">
        <f t="shared" si="96"/>
        <v>340414.46574628225</v>
      </c>
      <c r="G100" s="10">
        <f t="shared" si="82"/>
        <v>7.0000000000000007E-2</v>
      </c>
      <c r="H100" s="10">
        <f t="shared" si="83"/>
        <v>1.7000000000000001E-2</v>
      </c>
      <c r="I100" s="48">
        <f t="shared" si="97"/>
        <v>8.7000000000000008E-2</v>
      </c>
      <c r="J100" s="11">
        <f t="shared" si="84"/>
        <v>20</v>
      </c>
      <c r="K100" s="11">
        <f>IF(B100&lt;&gt;"",IF($B$16=listy!$K$8,'RZĄDOWY PROGRAM'!$F$3*'RZĄDOWY PROGRAM'!$F$15,F99*$F$15),"")</f>
        <v>50</v>
      </c>
      <c r="L100" s="11">
        <f t="shared" si="98"/>
        <v>70</v>
      </c>
      <c r="N100" s="54">
        <f t="shared" si="119"/>
        <v>46935</v>
      </c>
      <c r="O100" s="8">
        <f t="shared" si="99"/>
        <v>73</v>
      </c>
      <c r="P100" s="8"/>
      <c r="Q100" s="11">
        <f>IF(O100&lt;&gt;"",ROUND(IF($F$11="raty równe",-PMT(W100/12,$F$4-O99+SUM($P$28:P100),T99,2),R100+S100),2),"")</f>
        <v>3522.09</v>
      </c>
      <c r="R100" s="11">
        <f>IF(O100&lt;&gt;"",IF($F$11="raty malejące",T99/($F$4-O99+SUM($P$28:P100)),IF(Q100-S100&gt;T99,T99,Q100-S100)),"")</f>
        <v>987.73416620177613</v>
      </c>
      <c r="S100" s="11">
        <f t="shared" si="68"/>
        <v>2534.355833798224</v>
      </c>
      <c r="T100" s="9">
        <f t="shared" si="100"/>
        <v>348578.58773700148</v>
      </c>
      <c r="U100" s="10">
        <f t="shared" si="85"/>
        <v>7.0000000000000007E-2</v>
      </c>
      <c r="V100" s="10">
        <f t="shared" si="86"/>
        <v>1.7000000000000001E-2</v>
      </c>
      <c r="W100" s="48">
        <f t="shared" si="101"/>
        <v>8.7000000000000008E-2</v>
      </c>
      <c r="X100" s="11">
        <f t="shared" si="87"/>
        <v>20</v>
      </c>
      <c r="Y100" s="11">
        <f>IF(O100&lt;&gt;"",IF($B$16=listy!$K$8,'RZĄDOWY PROGRAM'!$F$3*'RZĄDOWY PROGRAM'!$F$15,T99*$F$15),"")</f>
        <v>50</v>
      </c>
      <c r="Z100" s="11">
        <f t="shared" si="102"/>
        <v>70</v>
      </c>
      <c r="AB100" s="8">
        <f t="shared" si="103"/>
        <v>73</v>
      </c>
      <c r="AC100" s="8"/>
      <c r="AD100" s="11">
        <f>IF(AB100&lt;&gt;"",ROUND(IF($F$11="raty równe",-PMT(W100/12,$F$4-AB99+SUM($AC$28:AC100),AG99,2),AE100+AF100),2),"")</f>
        <v>3280.39</v>
      </c>
      <c r="AE100" s="11">
        <f>IF(AB100&lt;&gt;"",IF($F$11="raty malejące",AG99/($F$4-AB99+SUM($AC$28:AC99)),MIN(AD100-AF100,AG99)),"")</f>
        <v>919.95385368465759</v>
      </c>
      <c r="AF100" s="11">
        <f t="shared" si="69"/>
        <v>2360.4361463153423</v>
      </c>
      <c r="AG100" s="9">
        <f t="shared" si="120"/>
        <v>324657.44563808671</v>
      </c>
      <c r="AH100" s="11"/>
      <c r="AI100" s="33">
        <f>IF(AB100&lt;&gt;"",ROUND(IF($F$11="raty równe",-PMT(W100/12,($F$4-AB99+SUM($AC$27:AC99)),AG99,2),AG99/($F$4-AB99+SUM($AC$27:AC99))+AG99*W100/12),2),"")</f>
        <v>3280.39</v>
      </c>
      <c r="AJ100" s="33">
        <f t="shared" si="104"/>
        <v>241.70000000000027</v>
      </c>
      <c r="AK100" s="33">
        <f t="shared" si="88"/>
        <v>18060.308482377124</v>
      </c>
      <c r="AL100" s="33">
        <f>IF(AB100&lt;&gt;"",AK100-SUM($AJ$28:AJ100),"")</f>
        <v>2210.6884823771252</v>
      </c>
      <c r="AM100" s="11">
        <f t="shared" si="105"/>
        <v>20</v>
      </c>
      <c r="AN100" s="11">
        <f>IF(AB100&lt;&gt;"",IF($B$16=listy!$K$8,'RZĄDOWY PROGRAM'!$F$3*'RZĄDOWY PROGRAM'!$F$15,AG99*$F$15),"")</f>
        <v>50</v>
      </c>
      <c r="AO100" s="11">
        <f t="shared" si="106"/>
        <v>70</v>
      </c>
      <c r="AQ100" s="8">
        <f t="shared" si="107"/>
        <v>73</v>
      </c>
      <c r="AR100" s="8"/>
      <c r="AS100" s="78">
        <f>IF(AQ100&lt;&gt;"",ROUND(IF($F$11="raty równe",-PMT(W100/12,$F$4-AQ99+SUM($AR$28:AR100),AV99,2),AT100+AU100),2),"")</f>
        <v>3263.82</v>
      </c>
      <c r="AT100" s="78">
        <f>IF(AQ100&lt;&gt;"",IF($F$11="raty malejące",AV99/($F$4-AQ99+SUM($AR$28:AR99)),MIN(AS100-AU100,AV99)),"")</f>
        <v>915.30502169162492</v>
      </c>
      <c r="AU100" s="78">
        <f t="shared" si="108"/>
        <v>2348.5149783083752</v>
      </c>
      <c r="AV100" s="79">
        <f t="shared" si="109"/>
        <v>323017.79543463601</v>
      </c>
      <c r="AW100" s="11"/>
      <c r="AX100" s="33">
        <f>IF(AQ100&lt;&gt;"",ROUND(IF($F$11="raty równe",-PMT(W100/12,($F$4-AQ99+SUM($AR$27:AR99)),AV99,2),AV99/($F$4-AQ99+SUM($AR$27:AR99))+AV99*W100/12),2),"")</f>
        <v>3263.82</v>
      </c>
      <c r="AY100" s="33">
        <f t="shared" si="110"/>
        <v>258.27</v>
      </c>
      <c r="AZ100" s="33">
        <f t="shared" si="72"/>
        <v>16470.557344683228</v>
      </c>
      <c r="BA100" s="33">
        <f>IF(AQ100&lt;&gt;"",AZ100-SUM($AY$44:AY100),"")</f>
        <v>1749.1773446832103</v>
      </c>
      <c r="BB100" s="11">
        <f t="shared" si="111"/>
        <v>20</v>
      </c>
      <c r="BC100" s="11">
        <f>IF(AQ100&lt;&gt;"",IF($B$16=listy!$K$8,'RZĄDOWY PROGRAM'!$F$3*'RZĄDOWY PROGRAM'!$F$15,AV99*$F$15),"")</f>
        <v>50</v>
      </c>
      <c r="BD100" s="11">
        <f t="shared" si="112"/>
        <v>70</v>
      </c>
      <c r="BF100" s="8">
        <f t="shared" si="113"/>
        <v>73</v>
      </c>
      <c r="BG100" s="8"/>
      <c r="BH100" s="78">
        <f>IF(BF100&lt;&gt;"",ROUND(IF($F$11="raty równe",-PMT(W100/12,$F$4-BF99+SUM(BV$28:$BV100)-SUM($BM$29:BM100),BK99,2),BI100+BJ100),2),"")</f>
        <v>3522.1</v>
      </c>
      <c r="BI100" s="78">
        <f>IF(BF100&lt;&gt;"",IF($F$11="raty malejące",MIN(BK99/($F$4-BF99+SUM($BG$27:BG100)-SUM($BM$27:BM100)),BK99),MIN(BH100-BJ100,BK99)),"")</f>
        <v>1305.1959211409685</v>
      </c>
      <c r="BJ100" s="78">
        <f t="shared" si="114"/>
        <v>2216.9040788590314</v>
      </c>
      <c r="BK100" s="79">
        <f t="shared" si="115"/>
        <v>304474.67702493235</v>
      </c>
      <c r="BL100" s="11"/>
      <c r="BM100" s="33"/>
      <c r="BN100" s="33">
        <f t="shared" si="73"/>
        <v>-9.9999999997635314E-3</v>
      </c>
      <c r="BO100" s="33">
        <f t="shared" si="74"/>
        <v>-0.10788226264372225</v>
      </c>
      <c r="BP100" s="33">
        <f>IF(O100&lt;&gt;"",BO100-SUM($BN$44:BN100),"")</f>
        <v>-1.7882262645850466E-2</v>
      </c>
      <c r="BQ100" s="11">
        <f t="shared" si="89"/>
        <v>20</v>
      </c>
      <c r="BR100" s="11">
        <f>IF(BF100&lt;&gt;"",IF($B$16=listy!$K$8,'RZĄDOWY PROGRAM'!$F$3*'RZĄDOWY PROGRAM'!$F$15,BK99*$F$15),"")</f>
        <v>50</v>
      </c>
      <c r="BS100" s="11">
        <f t="shared" si="90"/>
        <v>70</v>
      </c>
      <c r="BU100" s="8">
        <f t="shared" si="116"/>
        <v>73</v>
      </c>
      <c r="BV100" s="8"/>
      <c r="BW100" s="78">
        <f>IF(BU100&lt;&gt;"",ROUND(IF($F$11="raty równe",-PMT(W100/12,$F$4-BU99+SUM($BV$28:BV100)-$CB$43,BZ99,2),BX100+BY100),2),"")</f>
        <v>3522.09</v>
      </c>
      <c r="BX100" s="78">
        <f>IF(BU100&lt;&gt;"",IF($F$11="raty malejące",MIN(BZ99/($F$4-BU99+SUM($BV$28:BV99)-SUM($CB$28:CB99)),BZ99),MIN(BW100-BY100,BZ99)),"")</f>
        <v>1302.3474670784381</v>
      </c>
      <c r="BY100" s="78">
        <f t="shared" si="77"/>
        <v>2219.7425329215621</v>
      </c>
      <c r="BZ100" s="79">
        <f t="shared" si="71"/>
        <v>304869.03638417152</v>
      </c>
      <c r="CA100" s="11"/>
      <c r="CB100" s="33"/>
      <c r="CC100" s="33">
        <f t="shared" si="117"/>
        <v>0</v>
      </c>
      <c r="CD100" s="33">
        <f t="shared" si="75"/>
        <v>0.30320644816624032</v>
      </c>
      <c r="CE100" s="33">
        <f>IF(O100&lt;&gt;"",CD100-SUM($CC$44:CC100),"")</f>
        <v>3.3206448172624969E-2</v>
      </c>
      <c r="CF100" s="11">
        <f t="shared" si="91"/>
        <v>20</v>
      </c>
      <c r="CG100" s="11">
        <f>IF(BU100&lt;&gt;"",IF($B$16=listy!$K$8,'RZĄDOWY PROGRAM'!$F$3*'RZĄDOWY PROGRAM'!$F$15,BZ99*$F$15),"")</f>
        <v>50</v>
      </c>
      <c r="CH100" s="11">
        <f t="shared" si="92"/>
        <v>70</v>
      </c>
      <c r="CJ100" s="48">
        <f t="shared" si="93"/>
        <v>0.06</v>
      </c>
      <c r="CK100" s="18">
        <f t="shared" si="94"/>
        <v>4.8675505653430484E-3</v>
      </c>
      <c r="CL100" s="11">
        <f t="shared" si="76"/>
        <v>0</v>
      </c>
      <c r="CM100" s="11">
        <f t="shared" si="95"/>
        <v>36467.056334608715</v>
      </c>
      <c r="CN100" s="11">
        <f>IF(AB100&lt;&gt;"",CM100-SUM($CL$28:CL100),"")</f>
        <v>8290.2963346087199</v>
      </c>
    </row>
    <row r="101" spans="1:92" x14ac:dyDescent="0.45">
      <c r="A101" s="68">
        <f t="shared" si="118"/>
        <v>46966</v>
      </c>
      <c r="B101" s="8">
        <f t="shared" si="78"/>
        <v>74</v>
      </c>
      <c r="C101" s="11">
        <f t="shared" si="79"/>
        <v>3522.1</v>
      </c>
      <c r="D101" s="11">
        <f t="shared" si="80"/>
        <v>1054.0951233394535</v>
      </c>
      <c r="E101" s="11">
        <f t="shared" si="81"/>
        <v>2468.0048766605464</v>
      </c>
      <c r="F101" s="9">
        <f t="shared" si="96"/>
        <v>339360.37062294281</v>
      </c>
      <c r="G101" s="10">
        <f t="shared" si="82"/>
        <v>7.0000000000000007E-2</v>
      </c>
      <c r="H101" s="10">
        <f t="shared" si="83"/>
        <v>1.7000000000000001E-2</v>
      </c>
      <c r="I101" s="48">
        <f t="shared" si="97"/>
        <v>8.7000000000000008E-2</v>
      </c>
      <c r="J101" s="11">
        <f t="shared" si="84"/>
        <v>20</v>
      </c>
      <c r="K101" s="11">
        <f>IF(B101&lt;&gt;"",IF($B$16=listy!$K$8,'RZĄDOWY PROGRAM'!$F$3*'RZĄDOWY PROGRAM'!$F$15,F100*$F$15),"")</f>
        <v>50</v>
      </c>
      <c r="L101" s="11">
        <f t="shared" si="98"/>
        <v>70</v>
      </c>
      <c r="N101" s="54">
        <f t="shared" si="119"/>
        <v>46966</v>
      </c>
      <c r="O101" s="8">
        <f t="shared" si="99"/>
        <v>74</v>
      </c>
      <c r="P101" s="8"/>
      <c r="Q101" s="11">
        <f>IF(O101&lt;&gt;"",ROUND(IF($F$11="raty równe",-PMT(W101/12,$F$4-O100+SUM($P$28:P101),T100,2),R101+S101),2),"")</f>
        <v>3522.1</v>
      </c>
      <c r="R101" s="11">
        <f>IF(O101&lt;&gt;"",IF($F$11="raty malejące",T100/($F$4-O100+SUM($P$28:P101)),IF(Q101-S101&gt;T100,T100,Q101-S101)),"")</f>
        <v>994.90523890673921</v>
      </c>
      <c r="S101" s="11">
        <f t="shared" si="68"/>
        <v>2527.1947610932607</v>
      </c>
      <c r="T101" s="9">
        <f t="shared" si="100"/>
        <v>347583.68249809474</v>
      </c>
      <c r="U101" s="10">
        <f t="shared" si="85"/>
        <v>7.0000000000000007E-2</v>
      </c>
      <c r="V101" s="10">
        <f t="shared" si="86"/>
        <v>1.7000000000000001E-2</v>
      </c>
      <c r="W101" s="48">
        <f t="shared" si="101"/>
        <v>8.7000000000000008E-2</v>
      </c>
      <c r="X101" s="11">
        <f t="shared" si="87"/>
        <v>20</v>
      </c>
      <c r="Y101" s="11">
        <f>IF(O101&lt;&gt;"",IF($B$16=listy!$K$8,'RZĄDOWY PROGRAM'!$F$3*'RZĄDOWY PROGRAM'!$F$15,T100*$F$15),"")</f>
        <v>50</v>
      </c>
      <c r="Z101" s="11">
        <f t="shared" si="102"/>
        <v>70</v>
      </c>
      <c r="AB101" s="8">
        <f t="shared" si="103"/>
        <v>74</v>
      </c>
      <c r="AC101" s="8"/>
      <c r="AD101" s="11">
        <f>IF(AB101&lt;&gt;"",ROUND(IF($F$11="raty równe",-PMT(W101/12,$F$4-AB100+SUM($AC$28:AC101),AG100,2),AE101+AF101),2),"")</f>
        <v>3280.39</v>
      </c>
      <c r="AE101" s="11">
        <f>IF(AB101&lt;&gt;"",IF($F$11="raty malejące",AG100/($F$4-AB100+SUM($AC$28:AC100)),MIN(AD101-AF101,AG100)),"")</f>
        <v>926.62351912387112</v>
      </c>
      <c r="AF101" s="11">
        <f t="shared" si="69"/>
        <v>2353.7664808761288</v>
      </c>
      <c r="AG101" s="9">
        <f t="shared" si="120"/>
        <v>323730.82211896282</v>
      </c>
      <c r="AH101" s="11"/>
      <c r="AI101" s="33">
        <f>IF(AB101&lt;&gt;"",ROUND(IF($F$11="raty równe",-PMT(W101/12,($F$4-AB100+SUM($AC$27:AC100)),AG100,2),AG100/($F$4-AB100+SUM($AC$27:AC100))+AG100*W101/12),2),"")</f>
        <v>3280.39</v>
      </c>
      <c r="AJ101" s="33">
        <f t="shared" si="104"/>
        <v>241.71000000000004</v>
      </c>
      <c r="AK101" s="33">
        <f t="shared" si="88"/>
        <v>18373.225148835692</v>
      </c>
      <c r="AL101" s="33">
        <f>IF(AB101&lt;&gt;"",AK101-SUM($AJ$28:AJ101),"")</f>
        <v>2281.8951488356943</v>
      </c>
      <c r="AM101" s="11">
        <f t="shared" si="105"/>
        <v>20</v>
      </c>
      <c r="AN101" s="11">
        <f>IF(AB101&lt;&gt;"",IF($B$16=listy!$K$8,'RZĄDOWY PROGRAM'!$F$3*'RZĄDOWY PROGRAM'!$F$15,AG100*$F$15),"")</f>
        <v>50</v>
      </c>
      <c r="AO101" s="11">
        <f t="shared" si="106"/>
        <v>70</v>
      </c>
      <c r="AQ101" s="8">
        <f t="shared" si="107"/>
        <v>74</v>
      </c>
      <c r="AR101" s="8"/>
      <c r="AS101" s="78">
        <f>IF(AQ101&lt;&gt;"",ROUND(IF($F$11="raty równe",-PMT(W101/12,$F$4-AQ100+SUM($AR$28:AR101),AV100,2),AT101+AU101),2),"")</f>
        <v>3263.83</v>
      </c>
      <c r="AT101" s="78">
        <f>IF(AQ101&lt;&gt;"",IF($F$11="raty malejące",AV100/($F$4-AQ100+SUM($AR$28:AR100)),MIN(AS101-AU101,AV100)),"")</f>
        <v>921.95098309888863</v>
      </c>
      <c r="AU101" s="78">
        <f t="shared" si="108"/>
        <v>2341.8790169011113</v>
      </c>
      <c r="AV101" s="79">
        <f t="shared" si="109"/>
        <v>322095.84445153712</v>
      </c>
      <c r="AW101" s="11"/>
      <c r="AX101" s="33">
        <f>IF(AQ101&lt;&gt;"",ROUND(IF($F$11="raty równe",-PMT(W101/12,($F$4-AQ100+SUM($AR$27:AR100)),AV100,2),AV100/($F$4-AQ100+SUM($AR$27:AR100))+AV100*W101/12),2),"")</f>
        <v>3263.83</v>
      </c>
      <c r="AY101" s="33">
        <f t="shared" si="110"/>
        <v>258.27</v>
      </c>
      <c r="AZ101" s="33">
        <f t="shared" si="72"/>
        <v>16793.766073962077</v>
      </c>
      <c r="BA101" s="33">
        <f>IF(AQ101&lt;&gt;"",AZ101-SUM($AY$44:AY101),"")</f>
        <v>1814.1160739620591</v>
      </c>
      <c r="BB101" s="11">
        <f t="shared" si="111"/>
        <v>20</v>
      </c>
      <c r="BC101" s="11">
        <f>IF(AQ101&lt;&gt;"",IF($B$16=listy!$K$8,'RZĄDOWY PROGRAM'!$F$3*'RZĄDOWY PROGRAM'!$F$15,AV100*$F$15),"")</f>
        <v>50</v>
      </c>
      <c r="BD101" s="11">
        <f t="shared" si="112"/>
        <v>70</v>
      </c>
      <c r="BF101" s="8">
        <f t="shared" si="113"/>
        <v>74</v>
      </c>
      <c r="BG101" s="8"/>
      <c r="BH101" s="78">
        <f>IF(BF101&lt;&gt;"",ROUND(IF($F$11="raty równe",-PMT(W101/12,$F$4-BF100+SUM(BV$28:$BV101)-SUM($BM$29:BM101),BK100,2),BI101+BJ101),2),"")</f>
        <v>3522.09</v>
      </c>
      <c r="BI101" s="78">
        <f>IF(BF101&lt;&gt;"",IF($F$11="raty malejące",MIN(BK100/($F$4-BF100+SUM($BG$27:BG101)-SUM($BM$27:BM101)),BK100),MIN(BH101-BJ101,BK100)),"")</f>
        <v>1314.6485915692406</v>
      </c>
      <c r="BJ101" s="78">
        <f t="shared" si="114"/>
        <v>2207.4414084307596</v>
      </c>
      <c r="BK101" s="79">
        <f t="shared" si="115"/>
        <v>303160.02843336313</v>
      </c>
      <c r="BL101" s="11"/>
      <c r="BM101" s="33"/>
      <c r="BN101" s="33">
        <f t="shared" si="73"/>
        <v>9.9999999997635314E-3</v>
      </c>
      <c r="BO101" s="33">
        <f t="shared" si="74"/>
        <v>-9.83076117624615E-2</v>
      </c>
      <c r="BP101" s="33">
        <f>IF(O101&lt;&gt;"",BO101-SUM($BN$44:BN101),"")</f>
        <v>-1.8307611764353249E-2</v>
      </c>
      <c r="BQ101" s="11">
        <f t="shared" si="89"/>
        <v>20</v>
      </c>
      <c r="BR101" s="11">
        <f>IF(BF101&lt;&gt;"",IF($B$16=listy!$K$8,'RZĄDOWY PROGRAM'!$F$3*'RZĄDOWY PROGRAM'!$F$15,BK100*$F$15),"")</f>
        <v>50</v>
      </c>
      <c r="BS101" s="11">
        <f t="shared" si="90"/>
        <v>70</v>
      </c>
      <c r="BU101" s="8">
        <f t="shared" si="116"/>
        <v>74</v>
      </c>
      <c r="BV101" s="8"/>
      <c r="BW101" s="78">
        <f>IF(BU101&lt;&gt;"",ROUND(IF($F$11="raty równe",-PMT(W101/12,$F$4-BU100+SUM($BV$28:BV101)-$CB$43,BZ100,2),BX101+BY101),2),"")</f>
        <v>3522.1</v>
      </c>
      <c r="BX101" s="78">
        <f>IF(BU101&lt;&gt;"",IF($F$11="raty malejące",MIN(BZ100/($F$4-BU100+SUM($BV$28:BV100)-SUM($CB$28:CB100)),BZ100),MIN(BW101-BY101,BZ100)),"")</f>
        <v>1311.7994862147561</v>
      </c>
      <c r="BY101" s="78">
        <f t="shared" si="77"/>
        <v>2210.3005137852438</v>
      </c>
      <c r="BZ101" s="79">
        <f t="shared" si="71"/>
        <v>303557.23689795675</v>
      </c>
      <c r="CA101" s="11"/>
      <c r="CB101" s="33"/>
      <c r="CC101" s="33">
        <f t="shared" si="117"/>
        <v>0</v>
      </c>
      <c r="CD101" s="33">
        <f t="shared" si="75"/>
        <v>0.30440190506797199</v>
      </c>
      <c r="CE101" s="33">
        <f>IF(O101&lt;&gt;"",CD101-SUM($CC$44:CC101),"")</f>
        <v>3.4401905074356642E-2</v>
      </c>
      <c r="CF101" s="11">
        <f t="shared" si="91"/>
        <v>20</v>
      </c>
      <c r="CG101" s="11">
        <f>IF(BU101&lt;&gt;"",IF($B$16=listy!$K$8,'RZĄDOWY PROGRAM'!$F$3*'RZĄDOWY PROGRAM'!$F$15,BZ100*$F$15),"")</f>
        <v>50</v>
      </c>
      <c r="CH101" s="11">
        <f t="shared" si="92"/>
        <v>70</v>
      </c>
      <c r="CJ101" s="48">
        <f t="shared" si="93"/>
        <v>0.06</v>
      </c>
      <c r="CK101" s="18">
        <f t="shared" si="94"/>
        <v>4.8675505653430484E-3</v>
      </c>
      <c r="CL101" s="11">
        <f t="shared" si="76"/>
        <v>0</v>
      </c>
      <c r="CM101" s="11">
        <f t="shared" si="95"/>
        <v>36610.835579557832</v>
      </c>
      <c r="CN101" s="11">
        <f>IF(AB101&lt;&gt;"",CM101-SUM($CL$28:CL101),"")</f>
        <v>8434.075579557837</v>
      </c>
    </row>
    <row r="102" spans="1:92" x14ac:dyDescent="0.45">
      <c r="A102" s="68">
        <f t="shared" si="118"/>
        <v>46997</v>
      </c>
      <c r="B102" s="8">
        <f t="shared" si="78"/>
        <v>75</v>
      </c>
      <c r="C102" s="11">
        <f t="shared" si="79"/>
        <v>3522.09</v>
      </c>
      <c r="D102" s="11">
        <f t="shared" si="80"/>
        <v>1061.7273129836644</v>
      </c>
      <c r="E102" s="11">
        <f t="shared" si="81"/>
        <v>2460.3626870163357</v>
      </c>
      <c r="F102" s="9">
        <f t="shared" si="96"/>
        <v>338298.64330995915</v>
      </c>
      <c r="G102" s="10">
        <f t="shared" si="82"/>
        <v>7.0000000000000007E-2</v>
      </c>
      <c r="H102" s="10">
        <f t="shared" si="83"/>
        <v>1.7000000000000001E-2</v>
      </c>
      <c r="I102" s="48">
        <f t="shared" si="97"/>
        <v>8.7000000000000008E-2</v>
      </c>
      <c r="J102" s="11">
        <f t="shared" si="84"/>
        <v>20</v>
      </c>
      <c r="K102" s="11">
        <f>IF(B102&lt;&gt;"",IF($B$16=listy!$K$8,'RZĄDOWY PROGRAM'!$F$3*'RZĄDOWY PROGRAM'!$F$15,F101*$F$15),"")</f>
        <v>50</v>
      </c>
      <c r="L102" s="11">
        <f t="shared" si="98"/>
        <v>70</v>
      </c>
      <c r="N102" s="54">
        <f t="shared" si="119"/>
        <v>46997</v>
      </c>
      <c r="O102" s="8">
        <f t="shared" si="99"/>
        <v>75</v>
      </c>
      <c r="P102" s="8"/>
      <c r="Q102" s="11">
        <f>IF(O102&lt;&gt;"",ROUND(IF($F$11="raty równe",-PMT(W102/12,$F$4-O101+SUM($P$28:P102),T101,2),R102+S102),2),"")</f>
        <v>3522.09</v>
      </c>
      <c r="R102" s="11">
        <f>IF(O102&lt;&gt;"",IF($F$11="raty malejące",T101/($F$4-O101+SUM($P$28:P102)),IF(Q102-S102&gt;T101,T101,Q102-S102)),"")</f>
        <v>1002.108301888813</v>
      </c>
      <c r="S102" s="11">
        <f t="shared" si="68"/>
        <v>2519.9816981111871</v>
      </c>
      <c r="T102" s="9">
        <f t="shared" si="100"/>
        <v>346581.57419620594</v>
      </c>
      <c r="U102" s="10">
        <f t="shared" si="85"/>
        <v>7.0000000000000007E-2</v>
      </c>
      <c r="V102" s="10">
        <f t="shared" si="86"/>
        <v>1.7000000000000001E-2</v>
      </c>
      <c r="W102" s="48">
        <f t="shared" si="101"/>
        <v>8.7000000000000008E-2</v>
      </c>
      <c r="X102" s="11">
        <f t="shared" si="87"/>
        <v>20</v>
      </c>
      <c r="Y102" s="11">
        <f>IF(O102&lt;&gt;"",IF($B$16=listy!$K$8,'RZĄDOWY PROGRAM'!$F$3*'RZĄDOWY PROGRAM'!$F$15,T101*$F$15),"")</f>
        <v>50</v>
      </c>
      <c r="Z102" s="11">
        <f t="shared" si="102"/>
        <v>70</v>
      </c>
      <c r="AB102" s="8">
        <f t="shared" si="103"/>
        <v>75</v>
      </c>
      <c r="AC102" s="8"/>
      <c r="AD102" s="11">
        <f>IF(AB102&lt;&gt;"",ROUND(IF($F$11="raty równe",-PMT(W102/12,$F$4-AB101+SUM($AC$28:AC102),AG101,2),AE102+AF102),2),"")</f>
        <v>3280.39</v>
      </c>
      <c r="AE102" s="11">
        <f>IF(AB102&lt;&gt;"",IF($F$11="raty malejące",AG101/($F$4-AB101+SUM($AC$28:AC101)),MIN(AD102-AF102,AG101)),"")</f>
        <v>933.34153963751942</v>
      </c>
      <c r="AF102" s="11">
        <f t="shared" si="69"/>
        <v>2347.0484603624805</v>
      </c>
      <c r="AG102" s="9">
        <f t="shared" si="120"/>
        <v>322797.48057932529</v>
      </c>
      <c r="AH102" s="11"/>
      <c r="AI102" s="33">
        <f>IF(AB102&lt;&gt;"",ROUND(IF($F$11="raty równe",-PMT(W102/12,($F$4-AB101+SUM($AC$27:AC101)),AG101,2),AG101/($F$4-AB101+SUM($AC$27:AC101))+AG101*W102/12),2),"")</f>
        <v>3280.39</v>
      </c>
      <c r="AJ102" s="33">
        <f t="shared" si="104"/>
        <v>241.70000000000027</v>
      </c>
      <c r="AK102" s="33">
        <f t="shared" si="88"/>
        <v>18687.365556828612</v>
      </c>
      <c r="AL102" s="33">
        <f>IF(AB102&lt;&gt;"",AK102-SUM($AJ$28:AJ102),"")</f>
        <v>2354.3355568286133</v>
      </c>
      <c r="AM102" s="11">
        <f t="shared" si="105"/>
        <v>20</v>
      </c>
      <c r="AN102" s="11">
        <f>IF(AB102&lt;&gt;"",IF($B$16=listy!$K$8,'RZĄDOWY PROGRAM'!$F$3*'RZĄDOWY PROGRAM'!$F$15,AG101*$F$15),"")</f>
        <v>50</v>
      </c>
      <c r="AO102" s="11">
        <f t="shared" si="106"/>
        <v>70</v>
      </c>
      <c r="AQ102" s="8">
        <f t="shared" si="107"/>
        <v>75</v>
      </c>
      <c r="AR102" s="8"/>
      <c r="AS102" s="78">
        <f>IF(AQ102&lt;&gt;"",ROUND(IF($F$11="raty równe",-PMT(W102/12,$F$4-AQ101+SUM($AR$28:AR102),AV101,2),AT102+AU102),2),"")</f>
        <v>3263.82</v>
      </c>
      <c r="AT102" s="78">
        <f>IF(AQ102&lt;&gt;"",IF($F$11="raty malejące",AV101/($F$4-AQ101+SUM($AR$28:AR101)),MIN(AS102-AU102,AV101)),"")</f>
        <v>928.62512772635591</v>
      </c>
      <c r="AU102" s="78">
        <f t="shared" si="108"/>
        <v>2335.1948722736443</v>
      </c>
      <c r="AV102" s="79">
        <f t="shared" si="109"/>
        <v>321167.21932381077</v>
      </c>
      <c r="AW102" s="11"/>
      <c r="AX102" s="33">
        <f>IF(AQ102&lt;&gt;"",ROUND(IF($F$11="raty równe",-PMT(W102/12,($F$4-AQ101+SUM($AR$27:AR101)),AV101,2),AV101/($F$4-AQ101+SUM($AR$27:AR101))+AV101*W102/12),2),"")</f>
        <v>3263.82</v>
      </c>
      <c r="AY102" s="33">
        <f t="shared" si="110"/>
        <v>258.27</v>
      </c>
      <c r="AZ102" s="33">
        <f t="shared" si="72"/>
        <v>17118.249123455596</v>
      </c>
      <c r="BA102" s="33">
        <f>IF(AQ102&lt;&gt;"",AZ102-SUM($AY$44:AY102),"")</f>
        <v>1880.3291234555782</v>
      </c>
      <c r="BB102" s="11">
        <f t="shared" si="111"/>
        <v>20</v>
      </c>
      <c r="BC102" s="11">
        <f>IF(AQ102&lt;&gt;"",IF($B$16=listy!$K$8,'RZĄDOWY PROGRAM'!$F$3*'RZĄDOWY PROGRAM'!$F$15,AV101*$F$15),"")</f>
        <v>50</v>
      </c>
      <c r="BD102" s="11">
        <f t="shared" si="112"/>
        <v>70</v>
      </c>
      <c r="BF102" s="8">
        <f t="shared" si="113"/>
        <v>75</v>
      </c>
      <c r="BG102" s="8"/>
      <c r="BH102" s="78">
        <f>IF(BF102&lt;&gt;"",ROUND(IF($F$11="raty równe",-PMT(W102/12,$F$4-BF101+SUM(BV$28:$BV102)-SUM($BM$29:BM102),BK101,2),BI102+BJ102),2),"")</f>
        <v>3522.1</v>
      </c>
      <c r="BI102" s="78">
        <f>IF(BF102&lt;&gt;"",IF($F$11="raty malejące",MIN(BK101/($F$4-BF101+SUM($BG$27:BG102)-SUM($BM$27:BM102)),BK101),MIN(BH102-BJ102,BK101)),"")</f>
        <v>1324.1897938581169</v>
      </c>
      <c r="BJ102" s="78">
        <f t="shared" si="114"/>
        <v>2197.910206141883</v>
      </c>
      <c r="BK102" s="79">
        <f t="shared" si="115"/>
        <v>301835.83863950503</v>
      </c>
      <c r="BL102" s="11"/>
      <c r="BM102" s="33"/>
      <c r="BN102" s="33">
        <f t="shared" si="73"/>
        <v>-9.9999999997635314E-3</v>
      </c>
      <c r="BO102" s="33">
        <f t="shared" si="74"/>
        <v>-0.10869521075190668</v>
      </c>
      <c r="BP102" s="33">
        <f>IF(O102&lt;&gt;"",BO102-SUM($BN$44:BN102),"")</f>
        <v>-1.8695210754034894E-2</v>
      </c>
      <c r="BQ102" s="11">
        <f t="shared" si="89"/>
        <v>20</v>
      </c>
      <c r="BR102" s="11">
        <f>IF(BF102&lt;&gt;"",IF($B$16=listy!$K$8,'RZĄDOWY PROGRAM'!$F$3*'RZĄDOWY PROGRAM'!$F$15,BK101*$F$15),"")</f>
        <v>50</v>
      </c>
      <c r="BS102" s="11">
        <f t="shared" si="90"/>
        <v>70</v>
      </c>
      <c r="BU102" s="8">
        <f t="shared" si="116"/>
        <v>75</v>
      </c>
      <c r="BV102" s="8"/>
      <c r="BW102" s="78">
        <f>IF(BU102&lt;&gt;"",ROUND(IF($F$11="raty równe",-PMT(W102/12,$F$4-BU101+SUM($BV$28:BV102)-$CB$43,BZ101,2),BX102+BY102),2),"")</f>
        <v>3522.09</v>
      </c>
      <c r="BX102" s="78">
        <f>IF(BU102&lt;&gt;"",IF($F$11="raty malejące",MIN(BZ101/($F$4-BU101+SUM($BV$28:BV101)-SUM($CB$28:CB101)),BZ101),MIN(BW102-BY102,BZ101)),"")</f>
        <v>1321.3000324898135</v>
      </c>
      <c r="BY102" s="78">
        <f t="shared" si="77"/>
        <v>2200.7899675101867</v>
      </c>
      <c r="BZ102" s="79">
        <f t="shared" si="71"/>
        <v>302235.93686546694</v>
      </c>
      <c r="CA102" s="11"/>
      <c r="CB102" s="33"/>
      <c r="CC102" s="33">
        <f t="shared" si="117"/>
        <v>0</v>
      </c>
      <c r="CD102" s="33">
        <f t="shared" si="75"/>
        <v>0.30560207531670713</v>
      </c>
      <c r="CE102" s="33">
        <f>IF(O102&lt;&gt;"",CD102-SUM($CC$44:CC102),"")</f>
        <v>3.5602075323091786E-2</v>
      </c>
      <c r="CF102" s="11">
        <f t="shared" si="91"/>
        <v>20</v>
      </c>
      <c r="CG102" s="11">
        <f>IF(BU102&lt;&gt;"",IF($B$16=listy!$K$8,'RZĄDOWY PROGRAM'!$F$3*'RZĄDOWY PROGRAM'!$F$15,BZ101*$F$15),"")</f>
        <v>50</v>
      </c>
      <c r="CH102" s="11">
        <f t="shared" si="92"/>
        <v>70</v>
      </c>
      <c r="CJ102" s="48">
        <f t="shared" si="93"/>
        <v>0.06</v>
      </c>
      <c r="CK102" s="18">
        <f t="shared" si="94"/>
        <v>4.8675505653430484E-3</v>
      </c>
      <c r="CL102" s="11">
        <f t="shared" si="76"/>
        <v>0</v>
      </c>
      <c r="CM102" s="11">
        <f t="shared" si="95"/>
        <v>36755.181705230432</v>
      </c>
      <c r="CN102" s="11">
        <f>IF(AB102&lt;&gt;"",CM102-SUM($CL$28:CL102),"")</f>
        <v>8578.4217052304375</v>
      </c>
    </row>
    <row r="103" spans="1:92" x14ac:dyDescent="0.45">
      <c r="A103" s="68">
        <f t="shared" si="118"/>
        <v>47027</v>
      </c>
      <c r="B103" s="8">
        <f t="shared" si="78"/>
        <v>76</v>
      </c>
      <c r="C103" s="11">
        <f t="shared" si="79"/>
        <v>3522.1</v>
      </c>
      <c r="D103" s="11">
        <f t="shared" si="80"/>
        <v>1069.4348360027957</v>
      </c>
      <c r="E103" s="11">
        <f t="shared" si="81"/>
        <v>2452.6651639972042</v>
      </c>
      <c r="F103" s="9">
        <f t="shared" si="96"/>
        <v>337229.20847395633</v>
      </c>
      <c r="G103" s="10">
        <f t="shared" si="82"/>
        <v>7.0000000000000007E-2</v>
      </c>
      <c r="H103" s="10">
        <f t="shared" si="83"/>
        <v>1.7000000000000001E-2</v>
      </c>
      <c r="I103" s="48">
        <f t="shared" si="97"/>
        <v>8.7000000000000008E-2</v>
      </c>
      <c r="J103" s="11">
        <f t="shared" si="84"/>
        <v>20</v>
      </c>
      <c r="K103" s="11">
        <f>IF(B103&lt;&gt;"",IF($B$16=listy!$K$8,'RZĄDOWY PROGRAM'!$F$3*'RZĄDOWY PROGRAM'!$F$15,F102*$F$15),"")</f>
        <v>50</v>
      </c>
      <c r="L103" s="11">
        <f t="shared" si="98"/>
        <v>70</v>
      </c>
      <c r="N103" s="54">
        <f t="shared" si="119"/>
        <v>47027</v>
      </c>
      <c r="O103" s="8">
        <f t="shared" si="99"/>
        <v>76</v>
      </c>
      <c r="P103" s="8"/>
      <c r="Q103" s="11">
        <f>IF(O103&lt;&gt;"",ROUND(IF($F$11="raty równe",-PMT(W103/12,$F$4-O102+SUM($P$28:P103),T102,2),R103+S103),2),"")</f>
        <v>3522.1</v>
      </c>
      <c r="R103" s="11">
        <f>IF(O103&lt;&gt;"",IF($F$11="raty malejące",T102/($F$4-O102+SUM($P$28:P103)),IF(Q103-S103&gt;T102,T102,Q103-S103)),"")</f>
        <v>1009.3835870775065</v>
      </c>
      <c r="S103" s="11">
        <f t="shared" si="68"/>
        <v>2512.7164129224934</v>
      </c>
      <c r="T103" s="9">
        <f t="shared" si="100"/>
        <v>345572.19060912845</v>
      </c>
      <c r="U103" s="10">
        <f t="shared" si="85"/>
        <v>7.0000000000000007E-2</v>
      </c>
      <c r="V103" s="10">
        <f t="shared" si="86"/>
        <v>1.7000000000000001E-2</v>
      </c>
      <c r="W103" s="48">
        <f t="shared" si="101"/>
        <v>8.7000000000000008E-2</v>
      </c>
      <c r="X103" s="11">
        <f t="shared" si="87"/>
        <v>20</v>
      </c>
      <c r="Y103" s="11">
        <f>IF(O103&lt;&gt;"",IF($B$16=listy!$K$8,'RZĄDOWY PROGRAM'!$F$3*'RZĄDOWY PROGRAM'!$F$15,T102*$F$15),"")</f>
        <v>50</v>
      </c>
      <c r="Z103" s="11">
        <f t="shared" si="102"/>
        <v>70</v>
      </c>
      <c r="AB103" s="8">
        <f t="shared" si="103"/>
        <v>76</v>
      </c>
      <c r="AC103" s="8"/>
      <c r="AD103" s="11">
        <f>IF(AB103&lt;&gt;"",ROUND(IF($F$11="raty równe",-PMT(W103/12,$F$4-AB102+SUM($AC$28:AC103),AG102,2),AE103+AF103),2),"")</f>
        <v>3280.39</v>
      </c>
      <c r="AE103" s="11">
        <f>IF(AB103&lt;&gt;"",IF($F$11="raty malejące",AG102/($F$4-AB102+SUM($AC$28:AC102)),MIN(AD103-AF103,AG102)),"")</f>
        <v>940.10826579989134</v>
      </c>
      <c r="AF103" s="11">
        <f t="shared" si="69"/>
        <v>2340.2817342001085</v>
      </c>
      <c r="AG103" s="9">
        <f t="shared" si="120"/>
        <v>321857.37231352541</v>
      </c>
      <c r="AH103" s="11"/>
      <c r="AI103" s="33">
        <f>IF(AB103&lt;&gt;"",ROUND(IF($F$11="raty równe",-PMT(W103/12,($F$4-AB102+SUM($AC$27:AC102)),AG102,2),AG102/($F$4-AB102+SUM($AC$27:AC102))+AG102*W103/12),2),"")</f>
        <v>3280.39</v>
      </c>
      <c r="AJ103" s="33">
        <f t="shared" si="104"/>
        <v>241.71000000000004</v>
      </c>
      <c r="AK103" s="33">
        <f t="shared" si="88"/>
        <v>19002.754531221151</v>
      </c>
      <c r="AL103" s="33">
        <f>IF(AB103&lt;&gt;"",AK103-SUM($AJ$28:AJ103),"")</f>
        <v>2428.0145312211534</v>
      </c>
      <c r="AM103" s="11">
        <f t="shared" si="105"/>
        <v>20</v>
      </c>
      <c r="AN103" s="11">
        <f>IF(AB103&lt;&gt;"",IF($B$16=listy!$K$8,'RZĄDOWY PROGRAM'!$F$3*'RZĄDOWY PROGRAM'!$F$15,AG102*$F$15),"")</f>
        <v>50</v>
      </c>
      <c r="AO103" s="11">
        <f t="shared" si="106"/>
        <v>70</v>
      </c>
      <c r="AQ103" s="8">
        <f t="shared" si="107"/>
        <v>76</v>
      </c>
      <c r="AR103" s="8"/>
      <c r="AS103" s="78">
        <f>IF(AQ103&lt;&gt;"",ROUND(IF($F$11="raty równe",-PMT(W103/12,$F$4-AQ102+SUM($AR$28:AR103),AV102,2),AT103+AU103),2),"")</f>
        <v>3263.83</v>
      </c>
      <c r="AT103" s="78">
        <f>IF(AQ103&lt;&gt;"",IF($F$11="raty malejące",AV102/($F$4-AQ102+SUM($AR$28:AR102)),MIN(AS103-AU103,AV102)),"")</f>
        <v>935.36765990237154</v>
      </c>
      <c r="AU103" s="78">
        <f t="shared" si="108"/>
        <v>2328.4623400976284</v>
      </c>
      <c r="AV103" s="79">
        <f t="shared" si="109"/>
        <v>320231.8516639084</v>
      </c>
      <c r="AW103" s="11"/>
      <c r="AX103" s="33">
        <f>IF(AQ103&lt;&gt;"",ROUND(IF($F$11="raty równe",-PMT(W103/12,($F$4-AQ102+SUM($AR$27:AR102)),AV102,2),AV102/($F$4-AQ102+SUM($AR$27:AR102))+AV102*W103/12),2),"")</f>
        <v>3263.83</v>
      </c>
      <c r="AY103" s="33">
        <f t="shared" si="110"/>
        <v>258.27</v>
      </c>
      <c r="AZ103" s="33">
        <f t="shared" si="72"/>
        <v>17444.01151744643</v>
      </c>
      <c r="BA103" s="33">
        <f>IF(AQ103&lt;&gt;"",AZ103-SUM($AY$44:AY103),"")</f>
        <v>1947.8215174464112</v>
      </c>
      <c r="BB103" s="11">
        <f t="shared" si="111"/>
        <v>20</v>
      </c>
      <c r="BC103" s="11">
        <f>IF(AQ103&lt;&gt;"",IF($B$16=listy!$K$8,'RZĄDOWY PROGRAM'!$F$3*'RZĄDOWY PROGRAM'!$F$15,AV102*$F$15),"")</f>
        <v>50</v>
      </c>
      <c r="BD103" s="11">
        <f t="shared" si="112"/>
        <v>70</v>
      </c>
      <c r="BF103" s="8">
        <f t="shared" si="113"/>
        <v>76</v>
      </c>
      <c r="BG103" s="8"/>
      <c r="BH103" s="78">
        <f>IF(BF103&lt;&gt;"",ROUND(IF($F$11="raty równe",-PMT(W103/12,$F$4-BF102+SUM(BV$28:$BV103)-SUM($BM$29:BM103),BK102,2),BI103+BJ103),2),"")</f>
        <v>3522.09</v>
      </c>
      <c r="BI103" s="78">
        <f>IF(BF103&lt;&gt;"",IF($F$11="raty malejące",MIN(BK102/($F$4-BF102+SUM($BG$27:BG103)-SUM($BM$27:BM103)),BK102),MIN(BH103-BJ103,BK102)),"")</f>
        <v>1333.7801698635885</v>
      </c>
      <c r="BJ103" s="78">
        <f t="shared" si="114"/>
        <v>2188.3098301364116</v>
      </c>
      <c r="BK103" s="79">
        <f t="shared" si="115"/>
        <v>300502.05846964143</v>
      </c>
      <c r="BL103" s="11"/>
      <c r="BM103" s="33"/>
      <c r="BN103" s="33">
        <f t="shared" si="73"/>
        <v>9.9999999997635314E-3</v>
      </c>
      <c r="BO103" s="33">
        <f t="shared" si="74"/>
        <v>-9.912376509412503E-2</v>
      </c>
      <c r="BP103" s="33">
        <f>IF(O103&lt;&gt;"",BO103-SUM($BN$44:BN103),"")</f>
        <v>-1.9123765096016779E-2</v>
      </c>
      <c r="BQ103" s="11">
        <f t="shared" si="89"/>
        <v>20</v>
      </c>
      <c r="BR103" s="11">
        <f>IF(BF103&lt;&gt;"",IF($B$16=listy!$K$8,'RZĄDOWY PROGRAM'!$F$3*'RZĄDOWY PROGRAM'!$F$15,BK102*$F$15),"")</f>
        <v>50</v>
      </c>
      <c r="BS103" s="11">
        <f t="shared" si="90"/>
        <v>70</v>
      </c>
      <c r="BU103" s="8">
        <f t="shared" si="116"/>
        <v>76</v>
      </c>
      <c r="BV103" s="8"/>
      <c r="BW103" s="78">
        <f>IF(BU103&lt;&gt;"",ROUND(IF($F$11="raty równe",-PMT(W103/12,$F$4-BU102+SUM($BV$28:BV103)-$CB$43,BZ102,2),BX103+BY103),2),"")</f>
        <v>3522.1</v>
      </c>
      <c r="BX103" s="78">
        <f>IF(BU103&lt;&gt;"",IF($F$11="raty malejące",MIN(BZ102/($F$4-BU102+SUM($BV$28:BV102)-SUM($CB$28:CB102)),BZ102),MIN(BW103-BY103,BZ102)),"")</f>
        <v>1330.8894577253645</v>
      </c>
      <c r="BY103" s="78">
        <f t="shared" si="77"/>
        <v>2191.2105422746354</v>
      </c>
      <c r="BZ103" s="79">
        <f t="shared" si="71"/>
        <v>300905.0474077416</v>
      </c>
      <c r="CA103" s="11"/>
      <c r="CB103" s="33"/>
      <c r="CC103" s="33">
        <f t="shared" si="117"/>
        <v>0</v>
      </c>
      <c r="CD103" s="33">
        <f t="shared" si="75"/>
        <v>0.30680697749583419</v>
      </c>
      <c r="CE103" s="33">
        <f>IF(O103&lt;&gt;"",CD103-SUM($CC$44:CC103),"")</f>
        <v>3.6806977502218841E-2</v>
      </c>
      <c r="CF103" s="11">
        <f t="shared" si="91"/>
        <v>20</v>
      </c>
      <c r="CG103" s="11">
        <f>IF(BU103&lt;&gt;"",IF($B$16=listy!$K$8,'RZĄDOWY PROGRAM'!$F$3*'RZĄDOWY PROGRAM'!$F$15,BZ102*$F$15),"")</f>
        <v>50</v>
      </c>
      <c r="CH103" s="11">
        <f t="shared" si="92"/>
        <v>70</v>
      </c>
      <c r="CJ103" s="48">
        <f t="shared" si="93"/>
        <v>0.06</v>
      </c>
      <c r="CK103" s="18">
        <f t="shared" si="94"/>
        <v>4.8675505653430484E-3</v>
      </c>
      <c r="CL103" s="11">
        <f t="shared" si="76"/>
        <v>0</v>
      </c>
      <c r="CM103" s="11">
        <f t="shared" si="95"/>
        <v>36900.096946676189</v>
      </c>
      <c r="CN103" s="11">
        <f>IF(AB103&lt;&gt;"",CM103-SUM($CL$28:CL103),"")</f>
        <v>8723.3369466761942</v>
      </c>
    </row>
    <row r="104" spans="1:92" x14ac:dyDescent="0.45">
      <c r="A104" s="68">
        <f t="shared" si="118"/>
        <v>47058</v>
      </c>
      <c r="B104" s="8">
        <f t="shared" si="78"/>
        <v>77</v>
      </c>
      <c r="C104" s="11">
        <f t="shared" si="79"/>
        <v>3522.09</v>
      </c>
      <c r="D104" s="11">
        <f t="shared" si="80"/>
        <v>1077.1782385638166</v>
      </c>
      <c r="E104" s="11">
        <f t="shared" si="81"/>
        <v>2444.9117614361835</v>
      </c>
      <c r="F104" s="9">
        <f t="shared" si="96"/>
        <v>336152.03023539251</v>
      </c>
      <c r="G104" s="10">
        <f t="shared" si="82"/>
        <v>7.0000000000000007E-2</v>
      </c>
      <c r="H104" s="10">
        <f t="shared" si="83"/>
        <v>1.7000000000000001E-2</v>
      </c>
      <c r="I104" s="48">
        <f t="shared" si="97"/>
        <v>8.7000000000000008E-2</v>
      </c>
      <c r="J104" s="11">
        <f t="shared" si="84"/>
        <v>20</v>
      </c>
      <c r="K104" s="11">
        <f>IF(B104&lt;&gt;"",IF($B$16=listy!$K$8,'RZĄDOWY PROGRAM'!$F$3*'RZĄDOWY PROGRAM'!$F$15,F103*$F$15),"")</f>
        <v>50</v>
      </c>
      <c r="L104" s="11">
        <f t="shared" si="98"/>
        <v>70</v>
      </c>
      <c r="N104" s="54">
        <f t="shared" si="119"/>
        <v>47058</v>
      </c>
      <c r="O104" s="8">
        <f t="shared" si="99"/>
        <v>77</v>
      </c>
      <c r="P104" s="8"/>
      <c r="Q104" s="11">
        <f>IF(O104&lt;&gt;"",ROUND(IF($F$11="raty równe",-PMT(W104/12,$F$4-O103+SUM($P$28:P104),T103,2),R104+S104),2),"")</f>
        <v>3522.09</v>
      </c>
      <c r="R104" s="11">
        <f>IF(O104&lt;&gt;"",IF($F$11="raty malejące",T103/($F$4-O103+SUM($P$28:P104)),IF(Q104-S104&gt;T103,T103,Q104-S104)),"")</f>
        <v>1016.6916180838184</v>
      </c>
      <c r="S104" s="11">
        <f t="shared" si="68"/>
        <v>2505.3983819161817</v>
      </c>
      <c r="T104" s="9">
        <f t="shared" si="100"/>
        <v>344555.49899104465</v>
      </c>
      <c r="U104" s="10">
        <f t="shared" si="85"/>
        <v>7.0000000000000007E-2</v>
      </c>
      <c r="V104" s="10">
        <f t="shared" si="86"/>
        <v>1.7000000000000001E-2</v>
      </c>
      <c r="W104" s="48">
        <f t="shared" si="101"/>
        <v>8.7000000000000008E-2</v>
      </c>
      <c r="X104" s="11">
        <f t="shared" si="87"/>
        <v>20</v>
      </c>
      <c r="Y104" s="11">
        <f>IF(O104&lt;&gt;"",IF($B$16=listy!$K$8,'RZĄDOWY PROGRAM'!$F$3*'RZĄDOWY PROGRAM'!$F$15,T103*$F$15),"")</f>
        <v>50</v>
      </c>
      <c r="Z104" s="11">
        <f t="shared" si="102"/>
        <v>70</v>
      </c>
      <c r="AB104" s="8">
        <f t="shared" si="103"/>
        <v>77</v>
      </c>
      <c r="AC104" s="8"/>
      <c r="AD104" s="11">
        <f>IF(AB104&lt;&gt;"",ROUND(IF($F$11="raty równe",-PMT(W104/12,$F$4-AB103+SUM($AC$28:AC104),AG103,2),AE104+AF104),2),"")</f>
        <v>3280.39</v>
      </c>
      <c r="AE104" s="11">
        <f>IF(AB104&lt;&gt;"",IF($F$11="raty malejące",AG103/($F$4-AB103+SUM($AC$28:AC103)),MIN(AD104-AF104,AG103)),"")</f>
        <v>946.92405072694055</v>
      </c>
      <c r="AF104" s="11">
        <f t="shared" si="69"/>
        <v>2333.4659492730593</v>
      </c>
      <c r="AG104" s="9">
        <f t="shared" si="120"/>
        <v>320910.44826279848</v>
      </c>
      <c r="AH104" s="11"/>
      <c r="AI104" s="33">
        <f>IF(AB104&lt;&gt;"",ROUND(IF($F$11="raty równe",-PMT(W104/12,($F$4-AB103+SUM($AC$27:AC103)),AG103,2),AG103/($F$4-AB103+SUM($AC$27:AC103))+AG103*W104/12),2),"")</f>
        <v>3280.39</v>
      </c>
      <c r="AJ104" s="33">
        <f t="shared" si="104"/>
        <v>241.70000000000027</v>
      </c>
      <c r="AK104" s="33">
        <f t="shared" si="88"/>
        <v>19319.376994755985</v>
      </c>
      <c r="AL104" s="33">
        <f>IF(AB104&lt;&gt;"",AK104-SUM($AJ$28:AJ104),"")</f>
        <v>2502.9369947559862</v>
      </c>
      <c r="AM104" s="11">
        <f t="shared" si="105"/>
        <v>20</v>
      </c>
      <c r="AN104" s="11">
        <f>IF(AB104&lt;&gt;"",IF($B$16=listy!$K$8,'RZĄDOWY PROGRAM'!$F$3*'RZĄDOWY PROGRAM'!$F$15,AG103*$F$15),"")</f>
        <v>50</v>
      </c>
      <c r="AO104" s="11">
        <f t="shared" si="106"/>
        <v>70</v>
      </c>
      <c r="AQ104" s="8">
        <f t="shared" si="107"/>
        <v>77</v>
      </c>
      <c r="AR104" s="8"/>
      <c r="AS104" s="78">
        <f>IF(AQ104&lt;&gt;"",ROUND(IF($F$11="raty równe",-PMT(W104/12,$F$4-AQ103+SUM($AR$28:AR104),AV103,2),AT104+AU104),2),"")</f>
        <v>3263.82</v>
      </c>
      <c r="AT104" s="78">
        <f>IF(AQ104&lt;&gt;"",IF($F$11="raty malejące",AV103/($F$4-AQ103+SUM($AR$28:AR103)),MIN(AS104-AU104,AV103)),"")</f>
        <v>942.13907543666392</v>
      </c>
      <c r="AU104" s="78">
        <f t="shared" si="108"/>
        <v>2321.6809245633362</v>
      </c>
      <c r="AV104" s="79">
        <f t="shared" si="109"/>
        <v>319289.71258847171</v>
      </c>
      <c r="AW104" s="11"/>
      <c r="AX104" s="33">
        <f>IF(AQ104&lt;&gt;"",ROUND(IF($F$11="raty równe",-PMT(W104/12,($F$4-AQ103+SUM($AR$27:AR103)),AV103,2),AV103/($F$4-AQ103+SUM($AR$27:AR103))+AV103*W104/12),2),"")</f>
        <v>3263.82</v>
      </c>
      <c r="AY104" s="33">
        <f t="shared" si="110"/>
        <v>258.27</v>
      </c>
      <c r="AZ104" s="33">
        <f t="shared" si="72"/>
        <v>17771.058300026547</v>
      </c>
      <c r="BA104" s="33">
        <f>IF(AQ104&lt;&gt;"",AZ104-SUM($AY$44:AY104),"")</f>
        <v>2016.5983000265278</v>
      </c>
      <c r="BB104" s="11">
        <f t="shared" si="111"/>
        <v>20</v>
      </c>
      <c r="BC104" s="11">
        <f>IF(AQ104&lt;&gt;"",IF($B$16=listy!$K$8,'RZĄDOWY PROGRAM'!$F$3*'RZĄDOWY PROGRAM'!$F$15,AV103*$F$15),"")</f>
        <v>50</v>
      </c>
      <c r="BD104" s="11">
        <f t="shared" si="112"/>
        <v>70</v>
      </c>
      <c r="BF104" s="8">
        <f t="shared" si="113"/>
        <v>77</v>
      </c>
      <c r="BG104" s="8"/>
      <c r="BH104" s="78">
        <f>IF(BF104&lt;&gt;"",ROUND(IF($F$11="raty równe",-PMT(W104/12,$F$4-BF103+SUM(BV$28:$BV104)-SUM($BM$29:BM104),BK103,2),BI104+BJ104),2),"")</f>
        <v>3522.1</v>
      </c>
      <c r="BI104" s="78">
        <f>IF(BF104&lt;&gt;"",IF($F$11="raty malejące",MIN(BK103/($F$4-BF103+SUM($BG$27:BG104)-SUM($BM$27:BM104)),BK103),MIN(BH104-BJ104,BK103)),"")</f>
        <v>1343.4600760950993</v>
      </c>
      <c r="BJ104" s="78">
        <f t="shared" si="114"/>
        <v>2178.6399239049006</v>
      </c>
      <c r="BK104" s="79">
        <f t="shared" si="115"/>
        <v>299158.59839354636</v>
      </c>
      <c r="BL104" s="11"/>
      <c r="BM104" s="33"/>
      <c r="BN104" s="33">
        <f t="shared" si="73"/>
        <v>-9.9999999997635314E-3</v>
      </c>
      <c r="BO104" s="33">
        <f t="shared" si="74"/>
        <v>-0.10951458194433507</v>
      </c>
      <c r="BP104" s="33">
        <f>IF(O104&lt;&gt;"",BO104-SUM($BN$44:BN104),"")</f>
        <v>-1.9514581946463286E-2</v>
      </c>
      <c r="BQ104" s="11">
        <f t="shared" si="89"/>
        <v>20</v>
      </c>
      <c r="BR104" s="11">
        <f>IF(BF104&lt;&gt;"",IF($B$16=listy!$K$8,'RZĄDOWY PROGRAM'!$F$3*'RZĄDOWY PROGRAM'!$F$15,BK103*$F$15),"")</f>
        <v>50</v>
      </c>
      <c r="BS104" s="11">
        <f t="shared" si="90"/>
        <v>70</v>
      </c>
      <c r="BU104" s="8">
        <f t="shared" si="116"/>
        <v>77</v>
      </c>
      <c r="BV104" s="8"/>
      <c r="BW104" s="78">
        <f>IF(BU104&lt;&gt;"",ROUND(IF($F$11="raty równe",-PMT(W104/12,$F$4-BU103+SUM($BV$28:BV104)-$CB$43,BZ103,2),BX104+BY104),2),"")</f>
        <v>3522.09</v>
      </c>
      <c r="BX104" s="78">
        <f>IF(BU104&lt;&gt;"",IF($F$11="raty malejące",MIN(BZ103/($F$4-BU103+SUM($BV$28:BV103)-SUM($CB$28:CB103)),BZ103),MIN(BW104-BY104,BZ103)),"")</f>
        <v>1340.5284062938731</v>
      </c>
      <c r="BY104" s="78">
        <f t="shared" si="77"/>
        <v>2181.561593706127</v>
      </c>
      <c r="BZ104" s="79">
        <f t="shared" si="71"/>
        <v>299564.51900144771</v>
      </c>
      <c r="CA104" s="11"/>
      <c r="CB104" s="33"/>
      <c r="CC104" s="33">
        <f t="shared" si="117"/>
        <v>0</v>
      </c>
      <c r="CD104" s="33">
        <f t="shared" si="75"/>
        <v>0.30801663026201065</v>
      </c>
      <c r="CE104" s="33">
        <f>IF(O104&lt;&gt;"",CD104-SUM($CC$44:CC104),"")</f>
        <v>3.8016630268395302E-2</v>
      </c>
      <c r="CF104" s="11">
        <f t="shared" si="91"/>
        <v>20</v>
      </c>
      <c r="CG104" s="11">
        <f>IF(BU104&lt;&gt;"",IF($B$16=listy!$K$8,'RZĄDOWY PROGRAM'!$F$3*'RZĄDOWY PROGRAM'!$F$15,BZ103*$F$15),"")</f>
        <v>50</v>
      </c>
      <c r="CH104" s="11">
        <f t="shared" si="92"/>
        <v>70</v>
      </c>
      <c r="CJ104" s="48">
        <f t="shared" si="93"/>
        <v>0.06</v>
      </c>
      <c r="CK104" s="18">
        <f t="shared" si="94"/>
        <v>4.8675505653430484E-3</v>
      </c>
      <c r="CL104" s="11">
        <f t="shared" si="76"/>
        <v>0</v>
      </c>
      <c r="CM104" s="11">
        <f t="shared" si="95"/>
        <v>37045.583547756934</v>
      </c>
      <c r="CN104" s="11">
        <f>IF(AB104&lt;&gt;"",CM104-SUM($CL$28:CL104),"")</f>
        <v>8868.8235477569397</v>
      </c>
    </row>
    <row r="105" spans="1:92" x14ac:dyDescent="0.45">
      <c r="A105" s="68">
        <f t="shared" si="118"/>
        <v>47088</v>
      </c>
      <c r="B105" s="8">
        <f t="shared" si="78"/>
        <v>78</v>
      </c>
      <c r="C105" s="11">
        <f t="shared" si="79"/>
        <v>3522.1</v>
      </c>
      <c r="D105" s="11">
        <f t="shared" si="80"/>
        <v>1084.9977807934038</v>
      </c>
      <c r="E105" s="11">
        <f t="shared" si="81"/>
        <v>2437.1022192065961</v>
      </c>
      <c r="F105" s="9">
        <f t="shared" si="96"/>
        <v>335067.0324545991</v>
      </c>
      <c r="G105" s="10">
        <f t="shared" si="82"/>
        <v>7.0000000000000007E-2</v>
      </c>
      <c r="H105" s="10">
        <f t="shared" si="83"/>
        <v>1.7000000000000001E-2</v>
      </c>
      <c r="I105" s="48">
        <f t="shared" si="97"/>
        <v>8.7000000000000008E-2</v>
      </c>
      <c r="J105" s="11">
        <f t="shared" si="84"/>
        <v>20</v>
      </c>
      <c r="K105" s="11">
        <f>IF(B105&lt;&gt;"",IF($B$16=listy!$K$8,'RZĄDOWY PROGRAM'!$F$3*'RZĄDOWY PROGRAM'!$F$15,F104*$F$15),"")</f>
        <v>50</v>
      </c>
      <c r="L105" s="11">
        <f t="shared" si="98"/>
        <v>70</v>
      </c>
      <c r="N105" s="54">
        <f t="shared" si="119"/>
        <v>47088</v>
      </c>
      <c r="O105" s="8">
        <f t="shared" si="99"/>
        <v>78</v>
      </c>
      <c r="P105" s="8"/>
      <c r="Q105" s="11">
        <f>IF(O105&lt;&gt;"",ROUND(IF($F$11="raty równe",-PMT(W105/12,$F$4-O104+SUM($P$28:P105),T104,2),R105+S105),2),"")</f>
        <v>3522.1</v>
      </c>
      <c r="R105" s="11">
        <f>IF(O105&lt;&gt;"",IF($F$11="raty malejące",T104/($F$4-O104+SUM($P$28:P105)),IF(Q105-S105&gt;T104,T104,Q105-S105)),"")</f>
        <v>1024.0726323149261</v>
      </c>
      <c r="S105" s="11">
        <f t="shared" si="68"/>
        <v>2498.0273676850738</v>
      </c>
      <c r="T105" s="9">
        <f t="shared" si="100"/>
        <v>343531.42635872972</v>
      </c>
      <c r="U105" s="10">
        <f t="shared" si="85"/>
        <v>7.0000000000000007E-2</v>
      </c>
      <c r="V105" s="10">
        <f t="shared" si="86"/>
        <v>1.7000000000000001E-2</v>
      </c>
      <c r="W105" s="48">
        <f t="shared" si="101"/>
        <v>8.7000000000000008E-2</v>
      </c>
      <c r="X105" s="11">
        <f t="shared" si="87"/>
        <v>20</v>
      </c>
      <c r="Y105" s="11">
        <f>IF(O105&lt;&gt;"",IF($B$16=listy!$K$8,'RZĄDOWY PROGRAM'!$F$3*'RZĄDOWY PROGRAM'!$F$15,T104*$F$15),"")</f>
        <v>50</v>
      </c>
      <c r="Z105" s="11">
        <f t="shared" si="102"/>
        <v>70</v>
      </c>
      <c r="AB105" s="8">
        <f t="shared" si="103"/>
        <v>78</v>
      </c>
      <c r="AC105" s="8"/>
      <c r="AD105" s="11">
        <f>IF(AB105&lt;&gt;"",ROUND(IF($F$11="raty równe",-PMT(W105/12,$F$4-AB104+SUM($AC$28:AC105),AG104,2),AE105+AF105),2),"")</f>
        <v>3280.39</v>
      </c>
      <c r="AE105" s="11">
        <f>IF(AB105&lt;&gt;"",IF($F$11="raty malejące",AG104/($F$4-AB104+SUM($AC$28:AC104)),MIN(AD105-AF105,AG104)),"")</f>
        <v>953.78925009471095</v>
      </c>
      <c r="AF105" s="11">
        <f t="shared" si="69"/>
        <v>2326.6007499052889</v>
      </c>
      <c r="AG105" s="9">
        <f t="shared" si="120"/>
        <v>319956.65901270375</v>
      </c>
      <c r="AH105" s="11"/>
      <c r="AI105" s="33">
        <f>IF(AB105&lt;&gt;"",ROUND(IF($F$11="raty równe",-PMT(W105/12,($F$4-AB104+SUM($AC$27:AC104)),AG104,2),AG104/($F$4-AB104+SUM($AC$27:AC104))+AG104*W105/12),2),"")</f>
        <v>3280.39</v>
      </c>
      <c r="AJ105" s="33">
        <f t="shared" si="104"/>
        <v>241.71000000000004</v>
      </c>
      <c r="AK105" s="33">
        <f t="shared" si="88"/>
        <v>19637.257810730436</v>
      </c>
      <c r="AL105" s="33">
        <f>IF(AB105&lt;&gt;"",AK105-SUM($AJ$28:AJ105),"")</f>
        <v>2579.1078107304384</v>
      </c>
      <c r="AM105" s="11">
        <f t="shared" si="105"/>
        <v>20</v>
      </c>
      <c r="AN105" s="11">
        <f>IF(AB105&lt;&gt;"",IF($B$16=listy!$K$8,'RZĄDOWY PROGRAM'!$F$3*'RZĄDOWY PROGRAM'!$F$15,AG104*$F$15),"")</f>
        <v>50</v>
      </c>
      <c r="AO105" s="11">
        <f t="shared" si="106"/>
        <v>70</v>
      </c>
      <c r="AQ105" s="8">
        <f t="shared" si="107"/>
        <v>78</v>
      </c>
      <c r="AR105" s="8"/>
      <c r="AS105" s="78">
        <f>IF(AQ105&lt;&gt;"",ROUND(IF($F$11="raty równe",-PMT(W105/12,$F$4-AQ104+SUM($AR$28:AR105),AV104,2),AT105+AU105),2),"")</f>
        <v>3263.83</v>
      </c>
      <c r="AT105" s="78">
        <f>IF(AQ105&lt;&gt;"",IF($F$11="raty malejące",AV104/($F$4-AQ104+SUM($AR$28:AR104)),MIN(AS105-AU105,AV104)),"")</f>
        <v>948.97958373358006</v>
      </c>
      <c r="AU105" s="78">
        <f t="shared" si="108"/>
        <v>2314.8504162664199</v>
      </c>
      <c r="AV105" s="79">
        <f t="shared" si="109"/>
        <v>318340.73300473811</v>
      </c>
      <c r="AW105" s="11"/>
      <c r="AX105" s="33">
        <f>IF(AQ105&lt;&gt;"",ROUND(IF($F$11="raty równe",-PMT(W105/12,($F$4-AQ104+SUM($AR$27:AR104)),AV104,2),AV104/($F$4-AQ104+SUM($AR$27:AR104))+AV104*W105/12),2),"")</f>
        <v>3263.83</v>
      </c>
      <c r="AY105" s="33">
        <f t="shared" si="110"/>
        <v>258.27</v>
      </c>
      <c r="AZ105" s="33">
        <f t="shared" si="72"/>
        <v>18099.394535175328</v>
      </c>
      <c r="BA105" s="33">
        <f>IF(AQ105&lt;&gt;"",AZ105-SUM($AY$44:AY105),"")</f>
        <v>2086.6645351753086</v>
      </c>
      <c r="BB105" s="11">
        <f t="shared" si="111"/>
        <v>20</v>
      </c>
      <c r="BC105" s="11">
        <f>IF(AQ105&lt;&gt;"",IF($B$16=listy!$K$8,'RZĄDOWY PROGRAM'!$F$3*'RZĄDOWY PROGRAM'!$F$15,AV104*$F$15),"")</f>
        <v>50</v>
      </c>
      <c r="BD105" s="11">
        <f t="shared" si="112"/>
        <v>70</v>
      </c>
      <c r="BF105" s="8">
        <f t="shared" si="113"/>
        <v>78</v>
      </c>
      <c r="BG105" s="8"/>
      <c r="BH105" s="78">
        <f>IF(BF105&lt;&gt;"",ROUND(IF($F$11="raty równe",-PMT(W105/12,$F$4-BF104+SUM(BV$28:$BV105)-SUM($BM$29:BM105),BK104,2),BI105+BJ105),2),"")</f>
        <v>3522.09</v>
      </c>
      <c r="BI105" s="78">
        <f>IF(BF105&lt;&gt;"",IF($F$11="raty malejące",MIN(BK104/($F$4-BF104+SUM($BG$27:BG105)-SUM($BM$27:BM105)),BK104),MIN(BH105-BJ105,BK104)),"")</f>
        <v>1353.190161646789</v>
      </c>
      <c r="BJ105" s="78">
        <f t="shared" si="114"/>
        <v>2168.8998383532112</v>
      </c>
      <c r="BK105" s="79">
        <f t="shared" si="115"/>
        <v>297805.40823189955</v>
      </c>
      <c r="BL105" s="11"/>
      <c r="BM105" s="33"/>
      <c r="BN105" s="33">
        <f t="shared" si="73"/>
        <v>9.9999999997635314E-3</v>
      </c>
      <c r="BO105" s="33">
        <f t="shared" si="74"/>
        <v>-9.994636683442927E-2</v>
      </c>
      <c r="BP105" s="33">
        <f>IF(O105&lt;&gt;"",BO105-SUM($BN$44:BN105),"")</f>
        <v>-1.9946366836321019E-2</v>
      </c>
      <c r="BQ105" s="11">
        <f t="shared" si="89"/>
        <v>20</v>
      </c>
      <c r="BR105" s="11">
        <f>IF(BF105&lt;&gt;"",IF($B$16=listy!$K$8,'RZĄDOWY PROGRAM'!$F$3*'RZĄDOWY PROGRAM'!$F$15,BK104*$F$15),"")</f>
        <v>50</v>
      </c>
      <c r="BS105" s="11">
        <f t="shared" si="90"/>
        <v>70</v>
      </c>
      <c r="BU105" s="8">
        <f t="shared" si="116"/>
        <v>78</v>
      </c>
      <c r="BV105" s="8"/>
      <c r="BW105" s="78">
        <f>IF(BU105&lt;&gt;"",ROUND(IF($F$11="raty równe",-PMT(W105/12,$F$4-BU104+SUM($BV$28:BV105)-$CB$43,BZ104,2),BX105+BY105),2),"")</f>
        <v>3522.1</v>
      </c>
      <c r="BX105" s="78">
        <f>IF(BU105&lt;&gt;"",IF($F$11="raty malejące",MIN(BZ104/($F$4-BU104+SUM($BV$28:BV104)-SUM($CB$28:CB104)),BZ104),MIN(BW105-BY105,BZ104)),"")</f>
        <v>1350.2572372395039</v>
      </c>
      <c r="BY105" s="78">
        <f t="shared" si="77"/>
        <v>2171.842762760496</v>
      </c>
      <c r="BZ105" s="79">
        <f t="shared" si="71"/>
        <v>298214.2617642082</v>
      </c>
      <c r="CA105" s="11"/>
      <c r="CB105" s="33"/>
      <c r="CC105" s="33">
        <f t="shared" si="117"/>
        <v>0</v>
      </c>
      <c r="CD105" s="33">
        <f t="shared" si="75"/>
        <v>0.3092310523454519</v>
      </c>
      <c r="CE105" s="33">
        <f>IF(O105&lt;&gt;"",CD105-SUM($CC$44:CC105),"")</f>
        <v>3.9231052351836548E-2</v>
      </c>
      <c r="CF105" s="11">
        <f t="shared" si="91"/>
        <v>20</v>
      </c>
      <c r="CG105" s="11">
        <f>IF(BU105&lt;&gt;"",IF($B$16=listy!$K$8,'RZĄDOWY PROGRAM'!$F$3*'RZĄDOWY PROGRAM'!$F$15,BZ104*$F$15),"")</f>
        <v>50</v>
      </c>
      <c r="CH105" s="11">
        <f t="shared" si="92"/>
        <v>70</v>
      </c>
      <c r="CJ105" s="48">
        <f t="shared" si="93"/>
        <v>0.06</v>
      </c>
      <c r="CK105" s="18">
        <f t="shared" si="94"/>
        <v>4.8675505653430484E-3</v>
      </c>
      <c r="CL105" s="11">
        <f t="shared" si="76"/>
        <v>0</v>
      </c>
      <c r="CM105" s="11">
        <f t="shared" si="95"/>
        <v>37191.643761181425</v>
      </c>
      <c r="CN105" s="11">
        <f>IF(AB105&lt;&gt;"",CM105-SUM($CL$28:CL105),"")</f>
        <v>9014.8837611814306</v>
      </c>
    </row>
    <row r="106" spans="1:92" x14ac:dyDescent="0.45">
      <c r="A106" s="68">
        <f t="shared" si="118"/>
        <v>47119</v>
      </c>
      <c r="B106" s="8">
        <f t="shared" si="78"/>
        <v>79</v>
      </c>
      <c r="C106" s="11">
        <f t="shared" si="79"/>
        <v>3522.09</v>
      </c>
      <c r="D106" s="11">
        <f t="shared" si="80"/>
        <v>1092.8540147041563</v>
      </c>
      <c r="E106" s="11">
        <f t="shared" si="81"/>
        <v>2429.2359852958439</v>
      </c>
      <c r="F106" s="9">
        <f t="shared" si="96"/>
        <v>333974.17843989492</v>
      </c>
      <c r="G106" s="10">
        <f t="shared" si="82"/>
        <v>7.0000000000000007E-2</v>
      </c>
      <c r="H106" s="10">
        <f t="shared" si="83"/>
        <v>1.7000000000000001E-2</v>
      </c>
      <c r="I106" s="48">
        <f t="shared" si="97"/>
        <v>8.7000000000000008E-2</v>
      </c>
      <c r="J106" s="11">
        <f t="shared" si="84"/>
        <v>20</v>
      </c>
      <c r="K106" s="11">
        <f>IF(B106&lt;&gt;"",IF($B$16=listy!$K$8,'RZĄDOWY PROGRAM'!$F$3*'RZĄDOWY PROGRAM'!$F$15,F105*$F$15),"")</f>
        <v>50</v>
      </c>
      <c r="L106" s="11">
        <f t="shared" si="98"/>
        <v>70</v>
      </c>
      <c r="N106" s="54">
        <f t="shared" si="119"/>
        <v>47119</v>
      </c>
      <c r="O106" s="8">
        <f t="shared" si="99"/>
        <v>79</v>
      </c>
      <c r="P106" s="8"/>
      <c r="Q106" s="11">
        <f>IF(O106&lt;&gt;"",ROUND(IF($F$11="raty równe",-PMT(W106/12,$F$4-O105+SUM($P$28:P106),T105,2),R106+S106),2),"")</f>
        <v>3522.09</v>
      </c>
      <c r="R106" s="11">
        <f>IF(O106&lt;&gt;"",IF($F$11="raty malejące",T105/($F$4-O105+SUM($P$28:P106)),IF(Q106-S106&gt;T105,T105,Q106-S106)),"")</f>
        <v>1031.4871588992096</v>
      </c>
      <c r="S106" s="11">
        <f t="shared" si="68"/>
        <v>2490.6028411007906</v>
      </c>
      <c r="T106" s="9">
        <f t="shared" si="100"/>
        <v>342499.93919983052</v>
      </c>
      <c r="U106" s="10">
        <f t="shared" si="85"/>
        <v>7.0000000000000007E-2</v>
      </c>
      <c r="V106" s="10">
        <f t="shared" si="86"/>
        <v>1.7000000000000001E-2</v>
      </c>
      <c r="W106" s="48">
        <f t="shared" si="101"/>
        <v>8.7000000000000008E-2</v>
      </c>
      <c r="X106" s="11">
        <f t="shared" si="87"/>
        <v>20</v>
      </c>
      <c r="Y106" s="11">
        <f>IF(O106&lt;&gt;"",IF($B$16=listy!$K$8,'RZĄDOWY PROGRAM'!$F$3*'RZĄDOWY PROGRAM'!$F$15,T105*$F$15),"")</f>
        <v>50</v>
      </c>
      <c r="Z106" s="11">
        <f t="shared" si="102"/>
        <v>70</v>
      </c>
      <c r="AB106" s="8">
        <f t="shared" si="103"/>
        <v>79</v>
      </c>
      <c r="AC106" s="8"/>
      <c r="AD106" s="11">
        <f>IF(AB106&lt;&gt;"",ROUND(IF($F$11="raty równe",-PMT(W106/12,$F$4-AB105+SUM($AC$28:AC106),AG105,2),AE106+AF106),2),"")</f>
        <v>3280.39</v>
      </c>
      <c r="AE106" s="11">
        <f>IF(AB106&lt;&gt;"",IF($F$11="raty malejące",AG105/($F$4-AB105+SUM($AC$28:AC105)),MIN(AD106-AF106,AG105)),"")</f>
        <v>960.70422215789768</v>
      </c>
      <c r="AF106" s="11">
        <f t="shared" si="69"/>
        <v>2319.6857778421022</v>
      </c>
      <c r="AG106" s="9">
        <f t="shared" si="120"/>
        <v>318995.95479054586</v>
      </c>
      <c r="AH106" s="11"/>
      <c r="AI106" s="33">
        <f>IF(AB106&lt;&gt;"",ROUND(IF($F$11="raty równe",-PMT(W106/12,($F$4-AB105+SUM($AC$27:AC105)),AG105,2),AG105/($F$4-AB105+SUM($AC$27:AC105))+AG105*W106/12),2),"")</f>
        <v>3280.39</v>
      </c>
      <c r="AJ106" s="33">
        <f t="shared" si="104"/>
        <v>241.70000000000027</v>
      </c>
      <c r="AK106" s="33">
        <f t="shared" si="88"/>
        <v>19956.38194047075</v>
      </c>
      <c r="AL106" s="33">
        <f>IF(AB106&lt;&gt;"",AK106-SUM($AJ$28:AJ106),"")</f>
        <v>2656.5319404707516</v>
      </c>
      <c r="AM106" s="11">
        <f t="shared" si="105"/>
        <v>20</v>
      </c>
      <c r="AN106" s="11">
        <f>IF(AB106&lt;&gt;"",IF($B$16=listy!$K$8,'RZĄDOWY PROGRAM'!$F$3*'RZĄDOWY PROGRAM'!$F$15,AG105*$F$15),"")</f>
        <v>50</v>
      </c>
      <c r="AO106" s="11">
        <f t="shared" si="106"/>
        <v>70</v>
      </c>
      <c r="AQ106" s="8">
        <f t="shared" si="107"/>
        <v>79</v>
      </c>
      <c r="AR106" s="8"/>
      <c r="AS106" s="78">
        <f>IF(AQ106&lt;&gt;"",ROUND(IF($F$11="raty równe",-PMT(W106/12,$F$4-AQ105+SUM($AR$28:AR106),AV105,2),AT106+AU106),2),"")</f>
        <v>3263.82</v>
      </c>
      <c r="AT106" s="78">
        <f>IF(AQ106&lt;&gt;"",IF($F$11="raty malejące",AV105/($F$4-AQ105+SUM($AR$28:AR105)),MIN(AS106-AU106,AV105)),"")</f>
        <v>955.84968571564877</v>
      </c>
      <c r="AU106" s="78">
        <f t="shared" si="108"/>
        <v>2307.9703142843514</v>
      </c>
      <c r="AV106" s="79">
        <f t="shared" si="109"/>
        <v>317384.88331902248</v>
      </c>
      <c r="AW106" s="11"/>
      <c r="AX106" s="33">
        <f>IF(AQ106&lt;&gt;"",ROUND(IF($F$11="raty równe",-PMT(W106/12,($F$4-AQ105+SUM($AR$27:AR105)),AV105,2),AV105/($F$4-AQ105+SUM($AR$27:AR105))+AV105*W106/12),2),"")</f>
        <v>3263.82</v>
      </c>
      <c r="AY106" s="33">
        <f t="shared" si="110"/>
        <v>258.27</v>
      </c>
      <c r="AZ106" s="33">
        <f t="shared" si="72"/>
        <v>18429.025306837997</v>
      </c>
      <c r="BA106" s="33">
        <f>IF(AQ106&lt;&gt;"",AZ106-SUM($AY$44:AY106),"")</f>
        <v>2158.025306837977</v>
      </c>
      <c r="BB106" s="11">
        <f t="shared" si="111"/>
        <v>20</v>
      </c>
      <c r="BC106" s="11">
        <f>IF(AQ106&lt;&gt;"",IF($B$16=listy!$K$8,'RZĄDOWY PROGRAM'!$F$3*'RZĄDOWY PROGRAM'!$F$15,AV105*$F$15),"")</f>
        <v>50</v>
      </c>
      <c r="BD106" s="11">
        <f t="shared" si="112"/>
        <v>70</v>
      </c>
      <c r="BF106" s="8">
        <f t="shared" si="113"/>
        <v>79</v>
      </c>
      <c r="BG106" s="8"/>
      <c r="BH106" s="78">
        <f>IF(BF106&lt;&gt;"",ROUND(IF($F$11="raty równe",-PMT(W106/12,$F$4-BF105+SUM(BV$28:$BV106)-SUM($BM$29:BM106),BK105,2),BI106+BJ106),2),"")</f>
        <v>3522.1</v>
      </c>
      <c r="BI106" s="78">
        <f>IF(BF106&lt;&gt;"",IF($F$11="raty malejące",MIN(BK105/($F$4-BF105+SUM($BG$27:BG106)-SUM($BM$27:BM106)),BK105),MIN(BH106-BJ106,BK105)),"")</f>
        <v>1363.0107903187281</v>
      </c>
      <c r="BJ106" s="78">
        <f t="shared" si="114"/>
        <v>2159.0892096812718</v>
      </c>
      <c r="BK106" s="79">
        <f t="shared" si="115"/>
        <v>296442.39744158083</v>
      </c>
      <c r="BL106" s="11"/>
      <c r="BM106" s="33"/>
      <c r="BN106" s="33">
        <f t="shared" si="73"/>
        <v>-9.9999999997635314E-3</v>
      </c>
      <c r="BO106" s="33">
        <f t="shared" si="74"/>
        <v>-0.11034042696964783</v>
      </c>
      <c r="BP106" s="33">
        <f>IF(O106&lt;&gt;"",BO106-SUM($BN$44:BN106),"")</f>
        <v>-2.0340426971776043E-2</v>
      </c>
      <c r="BQ106" s="11">
        <f t="shared" si="89"/>
        <v>20</v>
      </c>
      <c r="BR106" s="11">
        <f>IF(BF106&lt;&gt;"",IF($B$16=listy!$K$8,'RZĄDOWY PROGRAM'!$F$3*'RZĄDOWY PROGRAM'!$F$15,BK105*$F$15),"")</f>
        <v>50</v>
      </c>
      <c r="BS106" s="11">
        <f t="shared" si="90"/>
        <v>70</v>
      </c>
      <c r="BU106" s="8">
        <f t="shared" si="116"/>
        <v>79</v>
      </c>
      <c r="BV106" s="8"/>
      <c r="BW106" s="78">
        <f>IF(BU106&lt;&gt;"",ROUND(IF($F$11="raty równe",-PMT(W106/12,$F$4-BU105+SUM($BV$28:BV106)-$CB$43,BZ105,2),BX106+BY106),2),"")</f>
        <v>3522.09</v>
      </c>
      <c r="BX106" s="78">
        <f>IF(BU106&lt;&gt;"",IF($F$11="raty malejące",MIN(BZ105/($F$4-BU105+SUM($BV$28:BV105)-SUM($CB$28:CB105)),BZ105),MIN(BW106-BY106,BZ105)),"")</f>
        <v>1360.0366022094904</v>
      </c>
      <c r="BY106" s="78">
        <f t="shared" si="77"/>
        <v>2162.0533977905097</v>
      </c>
      <c r="BZ106" s="79">
        <f t="shared" si="71"/>
        <v>296854.22516199871</v>
      </c>
      <c r="CA106" s="11"/>
      <c r="CB106" s="33"/>
      <c r="CC106" s="33">
        <f t="shared" si="117"/>
        <v>0</v>
      </c>
      <c r="CD106" s="33">
        <f t="shared" si="75"/>
        <v>0.31045026255022118</v>
      </c>
      <c r="CE106" s="33">
        <f>IF(O106&lt;&gt;"",CD106-SUM($CC$44:CC106),"")</f>
        <v>4.0450262556605832E-2</v>
      </c>
      <c r="CF106" s="11">
        <f t="shared" si="91"/>
        <v>20</v>
      </c>
      <c r="CG106" s="11">
        <f>IF(BU106&lt;&gt;"",IF($B$16=listy!$K$8,'RZĄDOWY PROGRAM'!$F$3*'RZĄDOWY PROGRAM'!$F$15,BZ105*$F$15),"")</f>
        <v>50</v>
      </c>
      <c r="CH106" s="11">
        <f t="shared" si="92"/>
        <v>70</v>
      </c>
      <c r="CJ106" s="48">
        <f t="shared" si="93"/>
        <v>0.06</v>
      </c>
      <c r="CK106" s="18">
        <f t="shared" si="94"/>
        <v>4.8675505653430484E-3</v>
      </c>
      <c r="CL106" s="11">
        <f t="shared" si="76"/>
        <v>0</v>
      </c>
      <c r="CM106" s="11">
        <f t="shared" si="95"/>
        <v>37338.279848540209</v>
      </c>
      <c r="CN106" s="11">
        <f>IF(AB106&lt;&gt;"",CM106-SUM($CL$28:CL106),"")</f>
        <v>9161.5198485402143</v>
      </c>
    </row>
    <row r="107" spans="1:92" x14ac:dyDescent="0.45">
      <c r="A107" s="68">
        <f t="shared" si="118"/>
        <v>47150</v>
      </c>
      <c r="B107" s="8">
        <f t="shared" si="78"/>
        <v>80</v>
      </c>
      <c r="C107" s="11">
        <f t="shared" si="79"/>
        <v>3522.1</v>
      </c>
      <c r="D107" s="11">
        <f t="shared" si="80"/>
        <v>1100.7872063107616</v>
      </c>
      <c r="E107" s="11">
        <f t="shared" si="81"/>
        <v>2421.3127936892383</v>
      </c>
      <c r="F107" s="9">
        <f t="shared" si="96"/>
        <v>332873.39123358415</v>
      </c>
      <c r="G107" s="10">
        <f t="shared" si="82"/>
        <v>7.0000000000000007E-2</v>
      </c>
      <c r="H107" s="10">
        <f t="shared" si="83"/>
        <v>1.7000000000000001E-2</v>
      </c>
      <c r="I107" s="48">
        <f t="shared" si="97"/>
        <v>8.7000000000000008E-2</v>
      </c>
      <c r="J107" s="11">
        <f t="shared" si="84"/>
        <v>20</v>
      </c>
      <c r="K107" s="11">
        <f>IF(B107&lt;&gt;"",IF($B$16=listy!$K$8,'RZĄDOWY PROGRAM'!$F$3*'RZĄDOWY PROGRAM'!$F$15,F106*$F$15),"")</f>
        <v>50</v>
      </c>
      <c r="L107" s="11">
        <f t="shared" si="98"/>
        <v>70</v>
      </c>
      <c r="N107" s="54">
        <f t="shared" si="119"/>
        <v>47150</v>
      </c>
      <c r="O107" s="8">
        <f t="shared" si="99"/>
        <v>80</v>
      </c>
      <c r="P107" s="8"/>
      <c r="Q107" s="11">
        <f>IF(O107&lt;&gt;"",ROUND(IF($F$11="raty równe",-PMT(W107/12,$F$4-O106+SUM($P$28:P107),T106,2),R107+S107),2),"")</f>
        <v>3522.1</v>
      </c>
      <c r="R107" s="11">
        <f>IF(O107&lt;&gt;"",IF($F$11="raty malejące",T106/($F$4-O106+SUM($P$28:P107)),IF(Q107-S107&gt;T106,T106,Q107-S107)),"")</f>
        <v>1038.9754408012286</v>
      </c>
      <c r="S107" s="11">
        <f t="shared" si="68"/>
        <v>2483.1245591987713</v>
      </c>
      <c r="T107" s="9">
        <f t="shared" si="100"/>
        <v>341460.96375902928</v>
      </c>
      <c r="U107" s="10">
        <f t="shared" si="85"/>
        <v>7.0000000000000007E-2</v>
      </c>
      <c r="V107" s="10">
        <f t="shared" si="86"/>
        <v>1.7000000000000001E-2</v>
      </c>
      <c r="W107" s="48">
        <f t="shared" si="101"/>
        <v>8.7000000000000008E-2</v>
      </c>
      <c r="X107" s="11">
        <f t="shared" si="87"/>
        <v>20</v>
      </c>
      <c r="Y107" s="11">
        <f>IF(O107&lt;&gt;"",IF($B$16=listy!$K$8,'RZĄDOWY PROGRAM'!$F$3*'RZĄDOWY PROGRAM'!$F$15,T106*$F$15),"")</f>
        <v>50</v>
      </c>
      <c r="Z107" s="11">
        <f t="shared" si="102"/>
        <v>70</v>
      </c>
      <c r="AB107" s="8">
        <f t="shared" si="103"/>
        <v>80</v>
      </c>
      <c r="AC107" s="8"/>
      <c r="AD107" s="11">
        <f>IF(AB107&lt;&gt;"",ROUND(IF($F$11="raty równe",-PMT(W107/12,$F$4-AB106+SUM($AC$28:AC107),AG106,2),AE107+AF107),2),"")</f>
        <v>3280.39</v>
      </c>
      <c r="AE107" s="11">
        <f>IF(AB107&lt;&gt;"",IF($F$11="raty malejące",AG106/($F$4-AB106+SUM($AC$28:AC106)),MIN(AD107-AF107,AG106)),"")</f>
        <v>967.66932776854219</v>
      </c>
      <c r="AF107" s="11">
        <f t="shared" si="69"/>
        <v>2312.7206722314577</v>
      </c>
      <c r="AG107" s="9">
        <f t="shared" si="120"/>
        <v>318028.2854627773</v>
      </c>
      <c r="AH107" s="11"/>
      <c r="AI107" s="33">
        <f>IF(AB107&lt;&gt;"",ROUND(IF($F$11="raty równe",-PMT(W107/12,($F$4-AB106+SUM($AC$27:AC106)),AG106,2),AG106/($F$4-AB106+SUM($AC$27:AC106))+AG106*W107/12),2),"")</f>
        <v>3280.39</v>
      </c>
      <c r="AJ107" s="33">
        <f t="shared" si="104"/>
        <v>241.71000000000004</v>
      </c>
      <c r="AK107" s="33">
        <f t="shared" si="88"/>
        <v>20276.77428600995</v>
      </c>
      <c r="AL107" s="33">
        <f>IF(AB107&lt;&gt;"",AK107-SUM($AJ$28:AJ107),"")</f>
        <v>2735.214286009952</v>
      </c>
      <c r="AM107" s="11">
        <f t="shared" si="105"/>
        <v>20</v>
      </c>
      <c r="AN107" s="11">
        <f>IF(AB107&lt;&gt;"",IF($B$16=listy!$K$8,'RZĄDOWY PROGRAM'!$F$3*'RZĄDOWY PROGRAM'!$F$15,AG106*$F$15),"")</f>
        <v>50</v>
      </c>
      <c r="AO107" s="11">
        <f t="shared" si="106"/>
        <v>70</v>
      </c>
      <c r="AQ107" s="8">
        <f t="shared" si="107"/>
        <v>80</v>
      </c>
      <c r="AR107" s="8"/>
      <c r="AS107" s="78">
        <f>IF(AQ107&lt;&gt;"",ROUND(IF($F$11="raty równe",-PMT(W107/12,$F$4-AQ106+SUM($AR$28:AR107),AV106,2),AT107+AU107),2),"")</f>
        <v>3263.83</v>
      </c>
      <c r="AT107" s="78">
        <f>IF(AQ107&lt;&gt;"",IF($F$11="raty malejące",AV106/($F$4-AQ106+SUM($AR$28:AR106)),MIN(AS107-AU107,AV106)),"")</f>
        <v>962.78959593708669</v>
      </c>
      <c r="AU107" s="78">
        <f t="shared" si="108"/>
        <v>2301.0404040629132</v>
      </c>
      <c r="AV107" s="79">
        <f t="shared" si="109"/>
        <v>316422.09372308542</v>
      </c>
      <c r="AW107" s="11"/>
      <c r="AX107" s="33">
        <f>IF(AQ107&lt;&gt;"",ROUND(IF($F$11="raty równe",-PMT(W107/12,($F$4-AQ106+SUM($AR$27:AR106)),AV106,2),AV106/($F$4-AQ106+SUM($AR$27:AR106))+AV106*W107/12),2),"")</f>
        <v>3263.83</v>
      </c>
      <c r="AY107" s="33">
        <f t="shared" si="110"/>
        <v>258.27</v>
      </c>
      <c r="AZ107" s="33">
        <f t="shared" si="72"/>
        <v>18759.955719004327</v>
      </c>
      <c r="BA107" s="33">
        <f>IF(AQ107&lt;&gt;"",AZ107-SUM($AY$44:AY107),"")</f>
        <v>2230.6857190043083</v>
      </c>
      <c r="BB107" s="11">
        <f t="shared" si="111"/>
        <v>20</v>
      </c>
      <c r="BC107" s="11">
        <f>IF(AQ107&lt;&gt;"",IF($B$16=listy!$K$8,'RZĄDOWY PROGRAM'!$F$3*'RZĄDOWY PROGRAM'!$F$15,AV106*$F$15),"")</f>
        <v>50</v>
      </c>
      <c r="BD107" s="11">
        <f t="shared" si="112"/>
        <v>70</v>
      </c>
      <c r="BF107" s="8">
        <f t="shared" si="113"/>
        <v>80</v>
      </c>
      <c r="BG107" s="8"/>
      <c r="BH107" s="78">
        <f>IF(BF107&lt;&gt;"",ROUND(IF($F$11="raty równe",-PMT(W107/12,$F$4-BF106+SUM(BV$28:$BV107)-SUM($BM$29:BM107),BK106,2),BI107+BJ107),2),"")</f>
        <v>3522.09</v>
      </c>
      <c r="BI107" s="78">
        <f>IF(BF107&lt;&gt;"",IF($F$11="raty malejące",MIN(BK106/($F$4-BF106+SUM($BG$27:BG107)-SUM($BM$27:BM107)),BK106),MIN(BH107-BJ107,BK106)),"")</f>
        <v>1372.8826185485391</v>
      </c>
      <c r="BJ107" s="78">
        <f t="shared" si="114"/>
        <v>2149.2073814514611</v>
      </c>
      <c r="BK107" s="79">
        <f t="shared" si="115"/>
        <v>295069.51482303231</v>
      </c>
      <c r="BL107" s="11"/>
      <c r="BM107" s="33"/>
      <c r="BN107" s="33">
        <f t="shared" si="73"/>
        <v>9.9999999997635314E-3</v>
      </c>
      <c r="BO107" s="33">
        <f t="shared" si="74"/>
        <v>-0.10077546793210211</v>
      </c>
      <c r="BP107" s="33">
        <f>IF(O107&lt;&gt;"",BO107-SUM($BN$44:BN107),"")</f>
        <v>-2.077546793399386E-2</v>
      </c>
      <c r="BQ107" s="11">
        <f t="shared" si="89"/>
        <v>20</v>
      </c>
      <c r="BR107" s="11">
        <f>IF(BF107&lt;&gt;"",IF($B$16=listy!$K$8,'RZĄDOWY PROGRAM'!$F$3*'RZĄDOWY PROGRAM'!$F$15,BK106*$F$15),"")</f>
        <v>50</v>
      </c>
      <c r="BS107" s="11">
        <f t="shared" si="90"/>
        <v>70</v>
      </c>
      <c r="BU107" s="8">
        <f t="shared" si="116"/>
        <v>80</v>
      </c>
      <c r="BV107" s="8"/>
      <c r="BW107" s="78">
        <f>IF(BU107&lt;&gt;"",ROUND(IF($F$11="raty równe",-PMT(W107/12,$F$4-BU106+SUM($BV$28:BV107)-$CB$43,BZ106,2),BX107+BY107),2),"")</f>
        <v>3522.1</v>
      </c>
      <c r="BX107" s="78">
        <f>IF(BU107&lt;&gt;"",IF($F$11="raty malejące",MIN(BZ106/($F$4-BU106+SUM($BV$28:BV106)-SUM($CB$28:CB106)),BZ106),MIN(BW107-BY107,BZ106)),"")</f>
        <v>1369.9068675755088</v>
      </c>
      <c r="BY107" s="78">
        <f t="shared" si="77"/>
        <v>2152.1931324244911</v>
      </c>
      <c r="BZ107" s="79">
        <f t="shared" si="71"/>
        <v>295484.31829442322</v>
      </c>
      <c r="CA107" s="11"/>
      <c r="CB107" s="33"/>
      <c r="CC107" s="33">
        <f t="shared" si="117"/>
        <v>0</v>
      </c>
      <c r="CD107" s="33">
        <f t="shared" si="75"/>
        <v>0.31167427975452083</v>
      </c>
      <c r="CE107" s="33">
        <f>IF(O107&lt;&gt;"",CD107-SUM($CC$44:CC107),"")</f>
        <v>4.1674279760905486E-2</v>
      </c>
      <c r="CF107" s="11">
        <f t="shared" si="91"/>
        <v>20</v>
      </c>
      <c r="CG107" s="11">
        <f>IF(BU107&lt;&gt;"",IF($B$16=listy!$K$8,'RZĄDOWY PROGRAM'!$F$3*'RZĄDOWY PROGRAM'!$F$15,BZ106*$F$15),"")</f>
        <v>50</v>
      </c>
      <c r="CH107" s="11">
        <f t="shared" si="92"/>
        <v>70</v>
      </c>
      <c r="CJ107" s="48">
        <f t="shared" si="93"/>
        <v>0.06</v>
      </c>
      <c r="CK107" s="18">
        <f t="shared" si="94"/>
        <v>4.8675505653430484E-3</v>
      </c>
      <c r="CL107" s="11">
        <f t="shared" si="76"/>
        <v>0</v>
      </c>
      <c r="CM107" s="11">
        <f t="shared" si="95"/>
        <v>37485.494080340628</v>
      </c>
      <c r="CN107" s="11">
        <f>IF(AB107&lt;&gt;"",CM107-SUM($CL$28:CL107),"")</f>
        <v>9308.7340803406332</v>
      </c>
    </row>
    <row r="108" spans="1:92" x14ac:dyDescent="0.45">
      <c r="A108" s="68">
        <f t="shared" si="118"/>
        <v>47178</v>
      </c>
      <c r="B108" s="8">
        <f t="shared" si="78"/>
        <v>81</v>
      </c>
      <c r="C108" s="11">
        <f t="shared" si="79"/>
        <v>3522.09</v>
      </c>
      <c r="D108" s="11">
        <f t="shared" si="80"/>
        <v>1108.7579135565152</v>
      </c>
      <c r="E108" s="11">
        <f t="shared" si="81"/>
        <v>2413.332086443485</v>
      </c>
      <c r="F108" s="9">
        <f t="shared" si="96"/>
        <v>331764.63332002761</v>
      </c>
      <c r="G108" s="10">
        <f t="shared" si="82"/>
        <v>7.0000000000000007E-2</v>
      </c>
      <c r="H108" s="10">
        <f t="shared" si="83"/>
        <v>1.7000000000000001E-2</v>
      </c>
      <c r="I108" s="48">
        <f t="shared" si="97"/>
        <v>8.7000000000000008E-2</v>
      </c>
      <c r="J108" s="11">
        <f t="shared" si="84"/>
        <v>20</v>
      </c>
      <c r="K108" s="11">
        <f>IF(B108&lt;&gt;"",IF($B$16=listy!$K$8,'RZĄDOWY PROGRAM'!$F$3*'RZĄDOWY PROGRAM'!$F$15,F107*$F$15),"")</f>
        <v>50</v>
      </c>
      <c r="L108" s="11">
        <f t="shared" si="98"/>
        <v>70</v>
      </c>
      <c r="N108" s="54">
        <f t="shared" si="119"/>
        <v>47178</v>
      </c>
      <c r="O108" s="8">
        <f t="shared" si="99"/>
        <v>81</v>
      </c>
      <c r="P108" s="8"/>
      <c r="Q108" s="11">
        <f>IF(O108&lt;&gt;"",ROUND(IF($F$11="raty równe",-PMT(W108/12,$F$4-O107+SUM($P$28:P108),T107,2),R108+S108),2),"")</f>
        <v>3522.09</v>
      </c>
      <c r="R108" s="11">
        <f>IF(O108&lt;&gt;"",IF($F$11="raty malejące",T107/($F$4-O107+SUM($P$28:P108)),IF(Q108-S108&gt;T107,T107,Q108-S108)),"")</f>
        <v>1046.4980127470376</v>
      </c>
      <c r="S108" s="11">
        <f t="shared" ref="S108:S171" si="121">IF(O108&lt;&gt;"",T107*W108/12,"")</f>
        <v>2475.5919872529626</v>
      </c>
      <c r="T108" s="9">
        <f t="shared" si="100"/>
        <v>340414.46574628225</v>
      </c>
      <c r="U108" s="10">
        <f t="shared" si="85"/>
        <v>7.0000000000000007E-2</v>
      </c>
      <c r="V108" s="10">
        <f t="shared" si="86"/>
        <v>1.7000000000000001E-2</v>
      </c>
      <c r="W108" s="48">
        <f t="shared" si="101"/>
        <v>8.7000000000000008E-2</v>
      </c>
      <c r="X108" s="11">
        <f t="shared" si="87"/>
        <v>20</v>
      </c>
      <c r="Y108" s="11">
        <f>IF(O108&lt;&gt;"",IF($B$16=listy!$K$8,'RZĄDOWY PROGRAM'!$F$3*'RZĄDOWY PROGRAM'!$F$15,T107*$F$15),"")</f>
        <v>50</v>
      </c>
      <c r="Z108" s="11">
        <f t="shared" si="102"/>
        <v>70</v>
      </c>
      <c r="AB108" s="8">
        <f t="shared" si="103"/>
        <v>81</v>
      </c>
      <c r="AC108" s="8"/>
      <c r="AD108" s="11">
        <f>IF(AB108&lt;&gt;"",ROUND(IF($F$11="raty równe",-PMT(W108/12,$F$4-AB107+SUM($AC$28:AC108),AG107,2),AE108+AF108),2),"")</f>
        <v>3280.39</v>
      </c>
      <c r="AE108" s="11">
        <f>IF(AB108&lt;&gt;"",IF($F$11="raty malejące",AG107/($F$4-AB107+SUM($AC$28:AC107)),MIN(AD108-AF108,AG107)),"")</f>
        <v>974.6849303948643</v>
      </c>
      <c r="AF108" s="11">
        <f t="shared" ref="AF108:AF171" si="122">IF(AB108&lt;&gt;"",AG107*W108/12,"")</f>
        <v>2305.7050696051356</v>
      </c>
      <c r="AG108" s="9">
        <f t="shared" si="120"/>
        <v>317053.60053238244</v>
      </c>
      <c r="AH108" s="11"/>
      <c r="AI108" s="33">
        <f>IF(AB108&lt;&gt;"",ROUND(IF($F$11="raty równe",-PMT(W108/12,($F$4-AB107+SUM($AC$27:AC107)),AG107,2),AG107/($F$4-AB107+SUM($AC$27:AC107))+AG107*W108/12),2),"")</f>
        <v>3280.39</v>
      </c>
      <c r="AJ108" s="33">
        <f t="shared" si="104"/>
        <v>241.70000000000027</v>
      </c>
      <c r="AK108" s="33">
        <f t="shared" si="88"/>
        <v>20598.419847562705</v>
      </c>
      <c r="AL108" s="33">
        <f>IF(AB108&lt;&gt;"",AK108-SUM($AJ$28:AJ108),"")</f>
        <v>2815.159847562707</v>
      </c>
      <c r="AM108" s="11">
        <f t="shared" si="105"/>
        <v>20</v>
      </c>
      <c r="AN108" s="11">
        <f>IF(AB108&lt;&gt;"",IF($B$16=listy!$K$8,'RZĄDOWY PROGRAM'!$F$3*'RZĄDOWY PROGRAM'!$F$15,AG107*$F$15),"")</f>
        <v>50</v>
      </c>
      <c r="AO108" s="11">
        <f t="shared" si="106"/>
        <v>70</v>
      </c>
      <c r="AQ108" s="8">
        <f t="shared" si="107"/>
        <v>81</v>
      </c>
      <c r="AR108" s="8"/>
      <c r="AS108" s="78">
        <f>IF(AQ108&lt;&gt;"",ROUND(IF($F$11="raty równe",-PMT(W108/12,$F$4-AQ107+SUM($AR$28:AR108),AV107,2),AT108+AU108),2),"")</f>
        <v>3263.82</v>
      </c>
      <c r="AT108" s="78">
        <f>IF(AQ108&lt;&gt;"",IF($F$11="raty malejące",AV107/($F$4-AQ107+SUM($AR$28:AR107)),MIN(AS108-AU108,AV107)),"")</f>
        <v>969.75982050763059</v>
      </c>
      <c r="AU108" s="78">
        <f t="shared" si="108"/>
        <v>2294.0601794923696</v>
      </c>
      <c r="AV108" s="79">
        <f t="shared" si="109"/>
        <v>315452.33390257781</v>
      </c>
      <c r="AW108" s="11"/>
      <c r="AX108" s="33">
        <f>IF(AQ108&lt;&gt;"",ROUND(IF($F$11="raty równe",-PMT(W108/12,($F$4-AQ107+SUM($AR$27:AR107)),AV107,2),AV107/($F$4-AQ107+SUM($AR$27:AR107))+AV107*W108/12),2),"")</f>
        <v>3263.82</v>
      </c>
      <c r="AY108" s="33">
        <f t="shared" si="110"/>
        <v>258.27</v>
      </c>
      <c r="AZ108" s="33">
        <f t="shared" si="72"/>
        <v>19092.190895787666</v>
      </c>
      <c r="BA108" s="33">
        <f>IF(AQ108&lt;&gt;"",AZ108-SUM($AY$44:AY108),"")</f>
        <v>2304.6508957876467</v>
      </c>
      <c r="BB108" s="11">
        <f t="shared" si="111"/>
        <v>20</v>
      </c>
      <c r="BC108" s="11">
        <f>IF(AQ108&lt;&gt;"",IF($B$16=listy!$K$8,'RZĄDOWY PROGRAM'!$F$3*'RZĄDOWY PROGRAM'!$F$15,AV107*$F$15),"")</f>
        <v>50</v>
      </c>
      <c r="BD108" s="11">
        <f t="shared" si="112"/>
        <v>70</v>
      </c>
      <c r="BF108" s="8">
        <f t="shared" si="113"/>
        <v>81</v>
      </c>
      <c r="BG108" s="8"/>
      <c r="BH108" s="78">
        <f>IF(BF108&lt;&gt;"",ROUND(IF($F$11="raty równe",-PMT(W108/12,$F$4-BF107+SUM(BV$28:$BV108)-SUM($BM$29:BM108),BK107,2),BI108+BJ108),2),"")</f>
        <v>3522.1</v>
      </c>
      <c r="BI108" s="78">
        <f>IF(BF108&lt;&gt;"",IF($F$11="raty malejące",MIN(BK107/($F$4-BF107+SUM($BG$27:BG108)-SUM($BM$27:BM108)),BK107),MIN(BH108-BJ108,BK107)),"")</f>
        <v>1382.8460175330156</v>
      </c>
      <c r="BJ108" s="78">
        <f t="shared" si="114"/>
        <v>2139.2539824669843</v>
      </c>
      <c r="BK108" s="79">
        <f t="shared" si="115"/>
        <v>293686.66880549927</v>
      </c>
      <c r="BL108" s="11"/>
      <c r="BM108" s="33"/>
      <c r="BN108" s="33">
        <f t="shared" si="73"/>
        <v>-9.9999999997635314E-3</v>
      </c>
      <c r="BO108" s="33">
        <f t="shared" si="74"/>
        <v>-0.1111727969774492</v>
      </c>
      <c r="BP108" s="33">
        <f>IF(O108&lt;&gt;"",BO108-SUM($BN$44:BN108),"")</f>
        <v>-2.1172796979577413E-2</v>
      </c>
      <c r="BQ108" s="11">
        <f t="shared" si="89"/>
        <v>20</v>
      </c>
      <c r="BR108" s="11">
        <f>IF(BF108&lt;&gt;"",IF($B$16=listy!$K$8,'RZĄDOWY PROGRAM'!$F$3*'RZĄDOWY PROGRAM'!$F$15,BK107*$F$15),"")</f>
        <v>50</v>
      </c>
      <c r="BS108" s="11">
        <f t="shared" si="90"/>
        <v>70</v>
      </c>
      <c r="BU108" s="8">
        <f t="shared" si="116"/>
        <v>81</v>
      </c>
      <c r="BV108" s="8"/>
      <c r="BW108" s="78">
        <f>IF(BU108&lt;&gt;"",ROUND(IF($F$11="raty równe",-PMT(W108/12,$F$4-BU107+SUM($BV$28:BV108)-$CB$43,BZ107,2),BX108+BY108),2),"")</f>
        <v>3522.09</v>
      </c>
      <c r="BX108" s="78">
        <f>IF(BU108&lt;&gt;"",IF($F$11="raty malejące",MIN(BZ107/($F$4-BU107+SUM($BV$28:BV107)-SUM($CB$28:CB107)),BZ107),MIN(BW108-BY108,BZ107)),"")</f>
        <v>1379.8286923654318</v>
      </c>
      <c r="BY108" s="78">
        <f t="shared" ref="BY108:BY139" si="123">IF(BU108&lt;&gt;"",BZ107*W108/12,"")</f>
        <v>2142.2613076345683</v>
      </c>
      <c r="BZ108" s="79">
        <f t="shared" ref="BZ108:BZ171" si="124">IF(BU108&lt;&gt;"",IF(N108&lt;&gt;"",BZ107-BX108-CA108,BZ107-BX108),"")</f>
        <v>294104.48960205779</v>
      </c>
      <c r="CA108" s="11"/>
      <c r="CB108" s="33"/>
      <c r="CC108" s="33">
        <f t="shared" si="117"/>
        <v>0</v>
      </c>
      <c r="CD108" s="33">
        <f t="shared" si="75"/>
        <v>0.31290312291098465</v>
      </c>
      <c r="CE108" s="33">
        <f>IF(O108&lt;&gt;"",CD108-SUM($CC$44:CC108),"")</f>
        <v>4.2903122917369307E-2</v>
      </c>
      <c r="CF108" s="11">
        <f t="shared" si="91"/>
        <v>20</v>
      </c>
      <c r="CG108" s="11">
        <f>IF(BU108&lt;&gt;"",IF($B$16=listy!$K$8,'RZĄDOWY PROGRAM'!$F$3*'RZĄDOWY PROGRAM'!$F$15,BZ107*$F$15),"")</f>
        <v>50</v>
      </c>
      <c r="CH108" s="11">
        <f t="shared" si="92"/>
        <v>70</v>
      </c>
      <c r="CJ108" s="48">
        <f t="shared" si="93"/>
        <v>0.06</v>
      </c>
      <c r="CK108" s="18">
        <f t="shared" si="94"/>
        <v>4.8675505653430484E-3</v>
      </c>
      <c r="CL108" s="11">
        <f t="shared" ref="CL108:CL139" si="125">IF(N108&lt;&gt;"",IF(ISNUMBER(C108),C108,0)-Q108,"")</f>
        <v>0</v>
      </c>
      <c r="CM108" s="11">
        <f t="shared" si="95"/>
        <v>37633.288736041999</v>
      </c>
      <c r="CN108" s="11">
        <f>IF(AB108&lt;&gt;"",CM108-SUM($CL$28:CL108),"")</f>
        <v>9456.5287360420043</v>
      </c>
    </row>
    <row r="109" spans="1:92" x14ac:dyDescent="0.45">
      <c r="A109" s="68">
        <f t="shared" si="118"/>
        <v>47209</v>
      </c>
      <c r="B109" s="8">
        <f t="shared" si="78"/>
        <v>82</v>
      </c>
      <c r="C109" s="11">
        <f t="shared" si="79"/>
        <v>3522.1</v>
      </c>
      <c r="D109" s="11">
        <f t="shared" si="80"/>
        <v>1116.8064084297994</v>
      </c>
      <c r="E109" s="11">
        <f t="shared" si="81"/>
        <v>2405.2935915702005</v>
      </c>
      <c r="F109" s="9">
        <f t="shared" si="96"/>
        <v>330647.8269115978</v>
      </c>
      <c r="G109" s="10">
        <f t="shared" si="82"/>
        <v>7.0000000000000007E-2</v>
      </c>
      <c r="H109" s="10">
        <f t="shared" si="83"/>
        <v>1.7000000000000001E-2</v>
      </c>
      <c r="I109" s="48">
        <f t="shared" si="97"/>
        <v>8.7000000000000008E-2</v>
      </c>
      <c r="J109" s="11">
        <f t="shared" si="84"/>
        <v>20</v>
      </c>
      <c r="K109" s="11">
        <f>IF(B109&lt;&gt;"",IF($B$16=listy!$K$8,'RZĄDOWY PROGRAM'!$F$3*'RZĄDOWY PROGRAM'!$F$15,F108*$F$15),"")</f>
        <v>50</v>
      </c>
      <c r="L109" s="11">
        <f t="shared" si="98"/>
        <v>70</v>
      </c>
      <c r="N109" s="54">
        <f t="shared" si="119"/>
        <v>47209</v>
      </c>
      <c r="O109" s="8">
        <f t="shared" si="99"/>
        <v>82</v>
      </c>
      <c r="P109" s="8"/>
      <c r="Q109" s="11">
        <f>IF(O109&lt;&gt;"",ROUND(IF($F$11="raty równe",-PMT(W109/12,$F$4-O108+SUM($P$28:P109),T108,2),R109+S109),2),"")</f>
        <v>3522.1</v>
      </c>
      <c r="R109" s="11">
        <f>IF(O109&lt;&gt;"",IF($F$11="raty malejące",T108/($F$4-O108+SUM($P$28:P109)),IF(Q109-S109&gt;T108,T108,Q109-S109)),"")</f>
        <v>1054.0951233394535</v>
      </c>
      <c r="S109" s="11">
        <f t="shared" si="121"/>
        <v>2468.0048766605464</v>
      </c>
      <c r="T109" s="9">
        <f t="shared" si="100"/>
        <v>339360.37062294281</v>
      </c>
      <c r="U109" s="10">
        <f t="shared" si="85"/>
        <v>7.0000000000000007E-2</v>
      </c>
      <c r="V109" s="10">
        <f t="shared" si="86"/>
        <v>1.7000000000000001E-2</v>
      </c>
      <c r="W109" s="48">
        <f t="shared" si="101"/>
        <v>8.7000000000000008E-2</v>
      </c>
      <c r="X109" s="11">
        <f t="shared" si="87"/>
        <v>20</v>
      </c>
      <c r="Y109" s="11">
        <f>IF(O109&lt;&gt;"",IF($B$16=listy!$K$8,'RZĄDOWY PROGRAM'!$F$3*'RZĄDOWY PROGRAM'!$F$15,T108*$F$15),"")</f>
        <v>50</v>
      </c>
      <c r="Z109" s="11">
        <f t="shared" si="102"/>
        <v>70</v>
      </c>
      <c r="AB109" s="8">
        <f t="shared" si="103"/>
        <v>82</v>
      </c>
      <c r="AC109" s="8"/>
      <c r="AD109" s="11">
        <f>IF(AB109&lt;&gt;"",ROUND(IF($F$11="raty równe",-PMT(W109/12,$F$4-AB108+SUM($AC$28:AC109),AG108,2),AE109+AF109),2),"")</f>
        <v>3280.39</v>
      </c>
      <c r="AE109" s="11">
        <f>IF(AB109&lt;&gt;"",IF($F$11="raty malejące",AG108/($F$4-AB108+SUM($AC$28:AC108)),MIN(AD109-AF109,AG108)),"")</f>
        <v>981.75139614022692</v>
      </c>
      <c r="AF109" s="11">
        <f t="shared" si="122"/>
        <v>2298.638603859773</v>
      </c>
      <c r="AG109" s="9">
        <f t="shared" si="120"/>
        <v>316071.84913624224</v>
      </c>
      <c r="AH109" s="11"/>
      <c r="AI109" s="33">
        <f>IF(AB109&lt;&gt;"",ROUND(IF($F$11="raty równe",-PMT(W109/12,($F$4-AB108+SUM($AC$27:AC108)),AG108,2),AG108/($F$4-AB108+SUM($AC$27:AC108))+AG108*W109/12),2),"")</f>
        <v>3280.39</v>
      </c>
      <c r="AJ109" s="33">
        <f t="shared" si="104"/>
        <v>241.71000000000004</v>
      </c>
      <c r="AK109" s="33">
        <f t="shared" si="88"/>
        <v>20921.343566203788</v>
      </c>
      <c r="AL109" s="33">
        <f>IF(AB109&lt;&gt;"",AK109-SUM($AJ$28:AJ109),"")</f>
        <v>2896.3735662037907</v>
      </c>
      <c r="AM109" s="11">
        <f t="shared" si="105"/>
        <v>20</v>
      </c>
      <c r="AN109" s="11">
        <f>IF(AB109&lt;&gt;"",IF($B$16=listy!$K$8,'RZĄDOWY PROGRAM'!$F$3*'RZĄDOWY PROGRAM'!$F$15,AG108*$F$15),"")</f>
        <v>50</v>
      </c>
      <c r="AO109" s="11">
        <f t="shared" si="106"/>
        <v>70</v>
      </c>
      <c r="AQ109" s="8">
        <f t="shared" si="107"/>
        <v>82</v>
      </c>
      <c r="AR109" s="8"/>
      <c r="AS109" s="78">
        <f>IF(AQ109&lt;&gt;"",ROUND(IF($F$11="raty równe",-PMT(W109/12,$F$4-AQ108+SUM($AR$28:AR109),AV108,2),AT109+AU109),2),"")</f>
        <v>3263.83</v>
      </c>
      <c r="AT109" s="78">
        <f>IF(AQ109&lt;&gt;"",IF($F$11="raty malejące",AV108/($F$4-AQ108+SUM($AR$28:AR108)),MIN(AS109-AU109,AV108)),"")</f>
        <v>976.80057920631089</v>
      </c>
      <c r="AU109" s="78">
        <f t="shared" si="108"/>
        <v>2287.029420793689</v>
      </c>
      <c r="AV109" s="79">
        <f t="shared" si="109"/>
        <v>314475.53332337149</v>
      </c>
      <c r="AW109" s="11"/>
      <c r="AX109" s="33">
        <f>IF(AQ109&lt;&gt;"",ROUND(IF($F$11="raty równe",-PMT(W109/12,($F$4-AQ108+SUM($AR$27:AR108)),AV108,2),AV108/($F$4-AQ108+SUM($AR$27:AR108))+AV108*W109/12),2),"")</f>
        <v>3263.83</v>
      </c>
      <c r="AY109" s="33">
        <f t="shared" si="110"/>
        <v>258.27</v>
      </c>
      <c r="AZ109" s="33">
        <f t="shared" ref="AZ109:AZ172" si="126">IF(AQ109&lt;&gt;"",IF($F$21="co miesiąc",AZ108*(1+(1-$F$20)*CK109)+AY109,(AZ108*(1+CK109)+AY109)),"")</f>
        <v>19425.735981504295</v>
      </c>
      <c r="BA109" s="33">
        <f>IF(AQ109&lt;&gt;"",AZ109-SUM($AY$44:AY109),"")</f>
        <v>2379.9259815042751</v>
      </c>
      <c r="BB109" s="11">
        <f t="shared" si="111"/>
        <v>20</v>
      </c>
      <c r="BC109" s="11">
        <f>IF(AQ109&lt;&gt;"",IF($B$16=listy!$K$8,'RZĄDOWY PROGRAM'!$F$3*'RZĄDOWY PROGRAM'!$F$15,AV108*$F$15),"")</f>
        <v>50</v>
      </c>
      <c r="BD109" s="11">
        <f t="shared" si="112"/>
        <v>70</v>
      </c>
      <c r="BF109" s="8">
        <f t="shared" si="113"/>
        <v>82</v>
      </c>
      <c r="BG109" s="8"/>
      <c r="BH109" s="78">
        <f>IF(BF109&lt;&gt;"",ROUND(IF($F$11="raty równe",-PMT(W109/12,$F$4-BF108+SUM(BV$28:$BV109)-SUM($BM$29:BM109),BK108,2),BI109+BJ109),2),"")</f>
        <v>3522.09</v>
      </c>
      <c r="BI109" s="78">
        <f>IF(BF109&lt;&gt;"",IF($F$11="raty malejące",MIN(BK108/($F$4-BF108+SUM($BG$27:BG109)-SUM($BM$27:BM109)),BK108),MIN(BH109-BJ109,BK108)),"")</f>
        <v>1392.8616511601304</v>
      </c>
      <c r="BJ109" s="78">
        <f t="shared" si="114"/>
        <v>2129.2283488398698</v>
      </c>
      <c r="BK109" s="79">
        <f t="shared" si="115"/>
        <v>292293.80715433916</v>
      </c>
      <c r="BL109" s="11"/>
      <c r="BM109" s="33"/>
      <c r="BN109" s="33">
        <f t="shared" ref="BN109:BN172" si="127">IF(O109&lt;&gt;"",IF(ISNUMBER(C109),C109,0)-IF(ISNUMBER(BH109),BH109,0),"")</f>
        <v>9.9999999997635314E-3</v>
      </c>
      <c r="BO109" s="33">
        <f t="shared" ref="BO109:BO172" si="128">IF(O109&lt;&gt;"",IF($F$21="co miesiąc",BO108*(1+(1-$F$20)*CK109)+BN109,(BO108*(1+CK109)+BN109)),"")</f>
        <v>-0.10161111973841613</v>
      </c>
      <c r="BP109" s="33">
        <f>IF(O109&lt;&gt;"",BO109-SUM($BN$44:BN109),"")</f>
        <v>-2.1611119740307883E-2</v>
      </c>
      <c r="BQ109" s="11">
        <f t="shared" si="89"/>
        <v>20</v>
      </c>
      <c r="BR109" s="11">
        <f>IF(BF109&lt;&gt;"",IF($B$16=listy!$K$8,'RZĄDOWY PROGRAM'!$F$3*'RZĄDOWY PROGRAM'!$F$15,BK108*$F$15),"")</f>
        <v>50</v>
      </c>
      <c r="BS109" s="11">
        <f t="shared" si="90"/>
        <v>70</v>
      </c>
      <c r="BU109" s="8">
        <f t="shared" si="116"/>
        <v>82</v>
      </c>
      <c r="BV109" s="8"/>
      <c r="BW109" s="78">
        <f>IF(BU109&lt;&gt;"",ROUND(IF($F$11="raty równe",-PMT(W109/12,$F$4-BU108+SUM($BV$28:BV109)-$CB$43,BZ108,2),BX109+BY109),2),"")</f>
        <v>3522.1</v>
      </c>
      <c r="BX109" s="78">
        <f>IF(BU109&lt;&gt;"",IF($F$11="raty malejące",MIN(BZ108/($F$4-BU108+SUM($BV$28:BV108)-SUM($CB$28:CB108)),BZ108),MIN(BW109-BY109,BZ108)),"")</f>
        <v>1389.8424503850806</v>
      </c>
      <c r="BY109" s="78">
        <f t="shared" si="123"/>
        <v>2132.2575496149193</v>
      </c>
      <c r="BZ109" s="79">
        <f t="shared" si="124"/>
        <v>292714.64715167269</v>
      </c>
      <c r="CA109" s="11"/>
      <c r="CB109" s="33"/>
      <c r="CC109" s="33">
        <f t="shared" si="117"/>
        <v>0</v>
      </c>
      <c r="CD109" s="33">
        <f t="shared" ref="CD109:CD172" si="129">IF(O109&lt;&gt;"",IF($F$21="co miesiąc",CD108*(1+(1-$F$20)*CK109)+CC109,(CD108*(1+CK109)+CC109)),"")</f>
        <v>0.31413681104697128</v>
      </c>
      <c r="CE109" s="33">
        <f>IF(O109&lt;&gt;"",CD109-SUM($CC$44:CC109),"")</f>
        <v>4.4136811053355929E-2</v>
      </c>
      <c r="CF109" s="11">
        <f t="shared" si="91"/>
        <v>20</v>
      </c>
      <c r="CG109" s="11">
        <f>IF(BU109&lt;&gt;"",IF($B$16=listy!$K$8,'RZĄDOWY PROGRAM'!$F$3*'RZĄDOWY PROGRAM'!$F$15,BZ108*$F$15),"")</f>
        <v>50</v>
      </c>
      <c r="CH109" s="11">
        <f t="shared" si="92"/>
        <v>70</v>
      </c>
      <c r="CJ109" s="48">
        <f t="shared" si="93"/>
        <v>0.06</v>
      </c>
      <c r="CK109" s="18">
        <f t="shared" si="94"/>
        <v>4.8675505653430484E-3</v>
      </c>
      <c r="CL109" s="11">
        <f t="shared" si="125"/>
        <v>0</v>
      </c>
      <c r="CM109" s="11">
        <f t="shared" si="95"/>
        <v>37781.666104090902</v>
      </c>
      <c r="CN109" s="11">
        <f>IF(AB109&lt;&gt;"",CM109-SUM($CL$28:CL109),"")</f>
        <v>9604.9061040909073</v>
      </c>
    </row>
    <row r="110" spans="1:92" x14ac:dyDescent="0.45">
      <c r="A110" s="68">
        <f t="shared" si="118"/>
        <v>47239</v>
      </c>
      <c r="B110" s="8">
        <f t="shared" si="78"/>
        <v>83</v>
      </c>
      <c r="C110" s="11">
        <f t="shared" si="79"/>
        <v>3522.09</v>
      </c>
      <c r="D110" s="11">
        <f t="shared" si="80"/>
        <v>1124.8932548909156</v>
      </c>
      <c r="E110" s="11">
        <f t="shared" si="81"/>
        <v>2397.1967451090845</v>
      </c>
      <c r="F110" s="9">
        <f t="shared" si="96"/>
        <v>329522.93365670688</v>
      </c>
      <c r="G110" s="10">
        <f t="shared" si="82"/>
        <v>7.0000000000000007E-2</v>
      </c>
      <c r="H110" s="10">
        <f t="shared" si="83"/>
        <v>1.7000000000000001E-2</v>
      </c>
      <c r="I110" s="48">
        <f t="shared" si="97"/>
        <v>8.7000000000000008E-2</v>
      </c>
      <c r="J110" s="11">
        <f t="shared" si="84"/>
        <v>20</v>
      </c>
      <c r="K110" s="11">
        <f>IF(B110&lt;&gt;"",IF($B$16=listy!$K$8,'RZĄDOWY PROGRAM'!$F$3*'RZĄDOWY PROGRAM'!$F$15,F109*$F$15),"")</f>
        <v>50</v>
      </c>
      <c r="L110" s="11">
        <f t="shared" si="98"/>
        <v>70</v>
      </c>
      <c r="N110" s="54">
        <f t="shared" si="119"/>
        <v>47239</v>
      </c>
      <c r="O110" s="8">
        <f t="shared" si="99"/>
        <v>83</v>
      </c>
      <c r="P110" s="8"/>
      <c r="Q110" s="11">
        <f>IF(O110&lt;&gt;"",ROUND(IF($F$11="raty równe",-PMT(W110/12,$F$4-O109+SUM($P$28:P110),T109,2),R110+S110),2),"")</f>
        <v>3522.09</v>
      </c>
      <c r="R110" s="11">
        <f>IF(O110&lt;&gt;"",IF($F$11="raty malejące",T109/($F$4-O109+SUM($P$28:P110)),IF(Q110-S110&gt;T109,T109,Q110-S110)),"")</f>
        <v>1061.7273129836644</v>
      </c>
      <c r="S110" s="11">
        <f t="shared" si="121"/>
        <v>2460.3626870163357</v>
      </c>
      <c r="T110" s="9">
        <f t="shared" si="100"/>
        <v>338298.64330995915</v>
      </c>
      <c r="U110" s="10">
        <f t="shared" si="85"/>
        <v>7.0000000000000007E-2</v>
      </c>
      <c r="V110" s="10">
        <f t="shared" si="86"/>
        <v>1.7000000000000001E-2</v>
      </c>
      <c r="W110" s="48">
        <f t="shared" si="101"/>
        <v>8.7000000000000008E-2</v>
      </c>
      <c r="X110" s="11">
        <f t="shared" si="87"/>
        <v>20</v>
      </c>
      <c r="Y110" s="11">
        <f>IF(O110&lt;&gt;"",IF($B$16=listy!$K$8,'RZĄDOWY PROGRAM'!$F$3*'RZĄDOWY PROGRAM'!$F$15,T109*$F$15),"")</f>
        <v>50</v>
      </c>
      <c r="Z110" s="11">
        <f t="shared" si="102"/>
        <v>70</v>
      </c>
      <c r="AB110" s="8">
        <f t="shared" si="103"/>
        <v>83</v>
      </c>
      <c r="AC110" s="8"/>
      <c r="AD110" s="11">
        <f>IF(AB110&lt;&gt;"",ROUND(IF($F$11="raty równe",-PMT(W110/12,$F$4-AB109+SUM($AC$28:AC110),AG109,2),AE110+AF110),2),"")</f>
        <v>3280.39</v>
      </c>
      <c r="AE110" s="11">
        <f>IF(AB110&lt;&gt;"",IF($F$11="raty malejące",AG109/($F$4-AB109+SUM($AC$28:AC109)),MIN(AD110-AF110,AG109)),"")</f>
        <v>988.86909376224321</v>
      </c>
      <c r="AF110" s="11">
        <f t="shared" si="122"/>
        <v>2291.5209062377567</v>
      </c>
      <c r="AG110" s="9">
        <f t="shared" si="120"/>
        <v>315082.98004247999</v>
      </c>
      <c r="AH110" s="11"/>
      <c r="AI110" s="33">
        <f>IF(AB110&lt;&gt;"",ROUND(IF($F$11="raty równe",-PMT(W110/12,($F$4-AB109+SUM($AC$27:AC109)),AG109,2),AG109/($F$4-AB109+SUM($AC$27:AC109))+AG109*W110/12),2),"")</f>
        <v>3280.39</v>
      </c>
      <c r="AJ110" s="33">
        <f t="shared" si="104"/>
        <v>241.70000000000027</v>
      </c>
      <c r="AK110" s="33">
        <f t="shared" si="88"/>
        <v>21245.530481343554</v>
      </c>
      <c r="AL110" s="33">
        <f>IF(AB110&lt;&gt;"",AK110-SUM($AJ$28:AJ110),"")</f>
        <v>2978.8604813435559</v>
      </c>
      <c r="AM110" s="11">
        <f t="shared" si="105"/>
        <v>20</v>
      </c>
      <c r="AN110" s="11">
        <f>IF(AB110&lt;&gt;"",IF($B$16=listy!$K$8,'RZĄDOWY PROGRAM'!$F$3*'RZĄDOWY PROGRAM'!$F$15,AG109*$F$15),"")</f>
        <v>50</v>
      </c>
      <c r="AO110" s="11">
        <f t="shared" si="106"/>
        <v>70</v>
      </c>
      <c r="AQ110" s="8">
        <f t="shared" si="107"/>
        <v>83</v>
      </c>
      <c r="AR110" s="8"/>
      <c r="AS110" s="78">
        <f>IF(AQ110&lt;&gt;"",ROUND(IF($F$11="raty równe",-PMT(W110/12,$F$4-AQ109+SUM($AR$28:AR110),AV109,2),AT110+AU110),2),"")</f>
        <v>3263.82</v>
      </c>
      <c r="AT110" s="78">
        <f>IF(AQ110&lt;&gt;"",IF($F$11="raty malejące",AV109/($F$4-AQ109+SUM($AR$28:AR109)),MIN(AS110-AU110,AV109)),"")</f>
        <v>983.87238340555677</v>
      </c>
      <c r="AU110" s="78">
        <f t="shared" si="108"/>
        <v>2279.9476165944434</v>
      </c>
      <c r="AV110" s="79">
        <f t="shared" si="109"/>
        <v>313491.66093996592</v>
      </c>
      <c r="AW110" s="11"/>
      <c r="AX110" s="33">
        <f>IF(AQ110&lt;&gt;"",ROUND(IF($F$11="raty równe",-PMT(W110/12,($F$4-AQ109+SUM($AR$27:AR109)),AV109,2),AV109/($F$4-AQ109+SUM($AR$27:AR109))+AV109*W110/12),2),"")</f>
        <v>3263.82</v>
      </c>
      <c r="AY110" s="33">
        <f t="shared" si="110"/>
        <v>258.27</v>
      </c>
      <c r="AZ110" s="33">
        <f t="shared" si="126"/>
        <v>19760.596140753067</v>
      </c>
      <c r="BA110" s="33">
        <f>IF(AQ110&lt;&gt;"",AZ110-SUM($AY$44:AY110),"")</f>
        <v>2456.5161407530468</v>
      </c>
      <c r="BB110" s="11">
        <f t="shared" si="111"/>
        <v>20</v>
      </c>
      <c r="BC110" s="11">
        <f>IF(AQ110&lt;&gt;"",IF($B$16=listy!$K$8,'RZĄDOWY PROGRAM'!$F$3*'RZĄDOWY PROGRAM'!$F$15,AV109*$F$15),"")</f>
        <v>50</v>
      </c>
      <c r="BD110" s="11">
        <f t="shared" si="112"/>
        <v>70</v>
      </c>
      <c r="BF110" s="8">
        <f t="shared" si="113"/>
        <v>83</v>
      </c>
      <c r="BG110" s="8"/>
      <c r="BH110" s="78">
        <f>IF(BF110&lt;&gt;"",ROUND(IF($F$11="raty równe",-PMT(W110/12,$F$4-BF109+SUM(BV$28:$BV110)-SUM($BM$29:BM110),BK109,2),BI110+BJ110),2),"")</f>
        <v>3522.1</v>
      </c>
      <c r="BI110" s="78">
        <f>IF(BF110&lt;&gt;"",IF($F$11="raty malejące",MIN(BK109/($F$4-BF109+SUM($BG$27:BG110)-SUM($BM$27:BM110)),BK109),MIN(BH110-BJ110,BK109)),"")</f>
        <v>1402.9698981310407</v>
      </c>
      <c r="BJ110" s="78">
        <f t="shared" si="114"/>
        <v>2119.1301018689592</v>
      </c>
      <c r="BK110" s="79">
        <f t="shared" si="115"/>
        <v>290890.83725620812</v>
      </c>
      <c r="BL110" s="11"/>
      <c r="BM110" s="33"/>
      <c r="BN110" s="33">
        <f t="shared" si="127"/>
        <v>-9.9999999997635314E-3</v>
      </c>
      <c r="BO110" s="33">
        <f t="shared" si="128"/>
        <v>-0.11201174352147525</v>
      </c>
      <c r="BP110" s="33">
        <f>IF(O110&lt;&gt;"",BO110-SUM($BN$44:BN110),"")</f>
        <v>-2.2011743523603466E-2</v>
      </c>
      <c r="BQ110" s="11">
        <f t="shared" si="89"/>
        <v>20</v>
      </c>
      <c r="BR110" s="11">
        <f>IF(BF110&lt;&gt;"",IF($B$16=listy!$K$8,'RZĄDOWY PROGRAM'!$F$3*'RZĄDOWY PROGRAM'!$F$15,BK109*$F$15),"")</f>
        <v>50</v>
      </c>
      <c r="BS110" s="11">
        <f t="shared" si="90"/>
        <v>70</v>
      </c>
      <c r="BU110" s="8">
        <f t="shared" si="116"/>
        <v>83</v>
      </c>
      <c r="BV110" s="8"/>
      <c r="BW110" s="78">
        <f>IF(BU110&lt;&gt;"",ROUND(IF($F$11="raty równe",-PMT(W110/12,$F$4-BU109+SUM($BV$28:BV110)-$CB$43,BZ109,2),BX110+BY110),2),"")</f>
        <v>3522.09</v>
      </c>
      <c r="BX110" s="78">
        <f>IF(BU110&lt;&gt;"",IF($F$11="raty malejące",MIN(BZ109/($F$4-BU109+SUM($BV$28:BV109)-SUM($CB$28:CB109)),BZ109),MIN(BW110-BY110,BZ109)),"")</f>
        <v>1399.9088081503728</v>
      </c>
      <c r="BY110" s="78">
        <f t="shared" si="123"/>
        <v>2122.1811918496273</v>
      </c>
      <c r="BZ110" s="79">
        <f t="shared" si="124"/>
        <v>291314.7383435223</v>
      </c>
      <c r="CA110" s="11"/>
      <c r="CB110" s="33"/>
      <c r="CC110" s="33">
        <f t="shared" si="117"/>
        <v>0</v>
      </c>
      <c r="CD110" s="33">
        <f t="shared" si="129"/>
        <v>0.31537536326485877</v>
      </c>
      <c r="CE110" s="33">
        <f>IF(O110&lt;&gt;"",CD110-SUM($CC$44:CC110),"")</f>
        <v>4.5375363271243419E-2</v>
      </c>
      <c r="CF110" s="11">
        <f t="shared" si="91"/>
        <v>20</v>
      </c>
      <c r="CG110" s="11">
        <f>IF(BU110&lt;&gt;"",IF($B$16=listy!$K$8,'RZĄDOWY PROGRAM'!$F$3*'RZĄDOWY PROGRAM'!$F$15,BZ109*$F$15),"")</f>
        <v>50</v>
      </c>
      <c r="CH110" s="11">
        <f t="shared" si="92"/>
        <v>70</v>
      </c>
      <c r="CJ110" s="48">
        <f t="shared" si="93"/>
        <v>0.06</v>
      </c>
      <c r="CK110" s="18">
        <f t="shared" si="94"/>
        <v>4.8675505653430484E-3</v>
      </c>
      <c r="CL110" s="11">
        <f t="shared" si="125"/>
        <v>0</v>
      </c>
      <c r="CM110" s="11">
        <f t="shared" si="95"/>
        <v>37930.628481956606</v>
      </c>
      <c r="CN110" s="11">
        <f>IF(AB110&lt;&gt;"",CM110-SUM($CL$28:CL110),"")</f>
        <v>9753.8684819566115</v>
      </c>
    </row>
    <row r="111" spans="1:92" x14ac:dyDescent="0.45">
      <c r="A111" s="68">
        <f t="shared" si="118"/>
        <v>47270</v>
      </c>
      <c r="B111" s="8">
        <f t="shared" si="78"/>
        <v>84</v>
      </c>
      <c r="C111" s="11">
        <f t="shared" si="79"/>
        <v>3522.1</v>
      </c>
      <c r="D111" s="11">
        <f t="shared" si="80"/>
        <v>1133.0587309888747</v>
      </c>
      <c r="E111" s="11">
        <f t="shared" si="81"/>
        <v>2389.0412690111252</v>
      </c>
      <c r="F111" s="9">
        <f t="shared" si="96"/>
        <v>328389.874925718</v>
      </c>
      <c r="G111" s="10">
        <f t="shared" si="82"/>
        <v>7.0000000000000007E-2</v>
      </c>
      <c r="H111" s="10">
        <f t="shared" si="83"/>
        <v>1.7000000000000001E-2</v>
      </c>
      <c r="I111" s="48">
        <f t="shared" si="97"/>
        <v>8.7000000000000008E-2</v>
      </c>
      <c r="J111" s="11">
        <f t="shared" si="84"/>
        <v>20</v>
      </c>
      <c r="K111" s="11">
        <f>IF(B111&lt;&gt;"",IF($B$16=listy!$K$8,'RZĄDOWY PROGRAM'!$F$3*'RZĄDOWY PROGRAM'!$F$15,F110*$F$15),"")</f>
        <v>50</v>
      </c>
      <c r="L111" s="11">
        <f t="shared" si="98"/>
        <v>70</v>
      </c>
      <c r="N111" s="54">
        <f t="shared" si="119"/>
        <v>47270</v>
      </c>
      <c r="O111" s="8">
        <f t="shared" si="99"/>
        <v>84</v>
      </c>
      <c r="P111" s="8"/>
      <c r="Q111" s="11">
        <f>IF(O111&lt;&gt;"",ROUND(IF($F$11="raty równe",-PMT(W111/12,$F$4-O110+SUM($P$28:P111),T110,2),R111+S111),2),"")</f>
        <v>3522.1</v>
      </c>
      <c r="R111" s="11">
        <f>IF(O111&lt;&gt;"",IF($F$11="raty malejące",T110/($F$4-O110+SUM($P$28:P111)),IF(Q111-S111&gt;T110,T110,Q111-S111)),"")</f>
        <v>1069.4348360027957</v>
      </c>
      <c r="S111" s="11">
        <f t="shared" si="121"/>
        <v>2452.6651639972042</v>
      </c>
      <c r="T111" s="9">
        <f t="shared" si="100"/>
        <v>337229.20847395633</v>
      </c>
      <c r="U111" s="10">
        <f t="shared" si="85"/>
        <v>7.0000000000000007E-2</v>
      </c>
      <c r="V111" s="10">
        <f t="shared" si="86"/>
        <v>1.7000000000000001E-2</v>
      </c>
      <c r="W111" s="48">
        <f t="shared" si="101"/>
        <v>8.7000000000000008E-2</v>
      </c>
      <c r="X111" s="11">
        <f t="shared" si="87"/>
        <v>20</v>
      </c>
      <c r="Y111" s="11">
        <f>IF(O111&lt;&gt;"",IF($B$16=listy!$K$8,'RZĄDOWY PROGRAM'!$F$3*'RZĄDOWY PROGRAM'!$F$15,T110*$F$15),"")</f>
        <v>50</v>
      </c>
      <c r="Z111" s="11">
        <f t="shared" si="102"/>
        <v>70</v>
      </c>
      <c r="AB111" s="8">
        <f t="shared" si="103"/>
        <v>84</v>
      </c>
      <c r="AC111" s="8"/>
      <c r="AD111" s="11">
        <f>IF(AB111&lt;&gt;"",ROUND(IF($F$11="raty równe",-PMT(W111/12,$F$4-AB110+SUM($AC$28:AC111),AG110,2),AE111+AF111),2),"")</f>
        <v>3280.39</v>
      </c>
      <c r="AE111" s="11">
        <f>IF(AB111&lt;&gt;"",IF($F$11="raty malejące",AG110/($F$4-AB110+SUM($AC$28:AC110)),MIN(AD111-AF111,AG110)),"")</f>
        <v>996.03839469201966</v>
      </c>
      <c r="AF111" s="11">
        <f t="shared" si="122"/>
        <v>2284.3516053079802</v>
      </c>
      <c r="AG111" s="9">
        <f t="shared" si="120"/>
        <v>314086.94164778799</v>
      </c>
      <c r="AH111" s="11"/>
      <c r="AI111" s="33">
        <f>IF(AB111&lt;&gt;"",ROUND(IF($F$11="raty równe",-PMT(W111/12,($F$4-AB110+SUM($AC$27:AC110)),AG110,2),AG110/($F$4-AB110+SUM($AC$27:AC110))+AG110*W111/12),2),"")</f>
        <v>3280.39</v>
      </c>
      <c r="AJ111" s="33">
        <f t="shared" si="104"/>
        <v>241.71000000000004</v>
      </c>
      <c r="AK111" s="33">
        <f t="shared" si="88"/>
        <v>21571.00557340699</v>
      </c>
      <c r="AL111" s="33">
        <f>IF(AB111&lt;&gt;"",AK111-SUM($AJ$28:AJ111),"")</f>
        <v>3062.6255734069928</v>
      </c>
      <c r="AM111" s="11">
        <f t="shared" si="105"/>
        <v>20</v>
      </c>
      <c r="AN111" s="11">
        <f>IF(AB111&lt;&gt;"",IF($B$16=listy!$K$8,'RZĄDOWY PROGRAM'!$F$3*'RZĄDOWY PROGRAM'!$F$15,AG110*$F$15),"")</f>
        <v>50</v>
      </c>
      <c r="AO111" s="11">
        <f t="shared" si="106"/>
        <v>70</v>
      </c>
      <c r="AQ111" s="8">
        <f t="shared" si="107"/>
        <v>84</v>
      </c>
      <c r="AR111" s="8"/>
      <c r="AS111" s="78">
        <f>IF(AQ111&lt;&gt;"",ROUND(IF($F$11="raty równe",-PMT(W111/12,$F$4-AQ110+SUM($AR$28:AR111),AV110,2),AT111+AU111),2),"")</f>
        <v>3263.83</v>
      </c>
      <c r="AT111" s="78">
        <f>IF(AQ111&lt;&gt;"",IF($F$11="raty malejące",AV110/($F$4-AQ110+SUM($AR$28:AR110)),MIN(AS111-AU111,AV110)),"")</f>
        <v>991.01545818524664</v>
      </c>
      <c r="AU111" s="78">
        <f t="shared" si="108"/>
        <v>2272.8145418147533</v>
      </c>
      <c r="AV111" s="79">
        <f t="shared" si="109"/>
        <v>312500.6454817807</v>
      </c>
      <c r="AW111" s="11"/>
      <c r="AX111" s="33">
        <f>IF(AQ111&lt;&gt;"",ROUND(IF($F$11="raty równe",-PMT(W111/12,($F$4-AQ110+SUM($AR$27:AR110)),AV110,2),AV110/($F$4-AQ110+SUM($AR$27:AR110))+AV110*W111/12),2),"")</f>
        <v>3263.83</v>
      </c>
      <c r="AY111" s="33">
        <f t="shared" si="110"/>
        <v>258.27</v>
      </c>
      <c r="AZ111" s="33">
        <f t="shared" si="126"/>
        <v>20096.776558495385</v>
      </c>
      <c r="BA111" s="33">
        <f>IF(AQ111&lt;&gt;"",AZ111-SUM($AY$44:AY111),"")</f>
        <v>2534.4265584953646</v>
      </c>
      <c r="BB111" s="11">
        <f t="shared" si="111"/>
        <v>20</v>
      </c>
      <c r="BC111" s="11">
        <f>IF(AQ111&lt;&gt;"",IF($B$16=listy!$K$8,'RZĄDOWY PROGRAM'!$F$3*'RZĄDOWY PROGRAM'!$F$15,AV110*$F$15),"")</f>
        <v>50</v>
      </c>
      <c r="BD111" s="11">
        <f t="shared" si="112"/>
        <v>70</v>
      </c>
      <c r="BF111" s="8">
        <f t="shared" si="113"/>
        <v>84</v>
      </c>
      <c r="BG111" s="8"/>
      <c r="BH111" s="78">
        <f>IF(BF111&lt;&gt;"",ROUND(IF($F$11="raty równe",-PMT(W111/12,$F$4-BF110+SUM(BV$28:$BV111)-SUM($BM$29:BM111),BK110,2),BI111+BJ111),2),"")</f>
        <v>3522.09</v>
      </c>
      <c r="BI111" s="78">
        <f>IF(BF111&lt;&gt;"",IF($F$11="raty malejące",MIN(BK110/($F$4-BF110+SUM($BG$27:BG111)-SUM($BM$27:BM111)),BK110),MIN(BH111-BJ111,BK110)),"")</f>
        <v>1413.1314298924913</v>
      </c>
      <c r="BJ111" s="78">
        <f t="shared" si="114"/>
        <v>2108.9585701075089</v>
      </c>
      <c r="BK111" s="79">
        <f t="shared" si="115"/>
        <v>289477.70582631562</v>
      </c>
      <c r="BL111" s="11"/>
      <c r="BM111" s="33"/>
      <c r="BN111" s="33">
        <f t="shared" si="127"/>
        <v>9.9999999997635314E-3</v>
      </c>
      <c r="BO111" s="33">
        <f t="shared" si="128"/>
        <v>-0.10245337401036916</v>
      </c>
      <c r="BP111" s="33">
        <f>IF(O111&lt;&gt;"",BO111-SUM($BN$44:BN111),"")</f>
        <v>-2.2453374012260913E-2</v>
      </c>
      <c r="BQ111" s="11">
        <f t="shared" si="89"/>
        <v>20</v>
      </c>
      <c r="BR111" s="11">
        <f>IF(BF111&lt;&gt;"",IF($B$16=listy!$K$8,'RZĄDOWY PROGRAM'!$F$3*'RZĄDOWY PROGRAM'!$F$15,BK110*$F$15),"")</f>
        <v>50</v>
      </c>
      <c r="BS111" s="11">
        <f t="shared" si="90"/>
        <v>70</v>
      </c>
      <c r="BU111" s="8">
        <f t="shared" si="116"/>
        <v>84</v>
      </c>
      <c r="BV111" s="8"/>
      <c r="BW111" s="78">
        <f>IF(BU111&lt;&gt;"",ROUND(IF($F$11="raty równe",-PMT(W111/12,$F$4-BU110+SUM($BV$28:BV111)-$CB$43,BZ110,2),BX111+BY111),2),"")</f>
        <v>3522.1</v>
      </c>
      <c r="BX111" s="78">
        <f>IF(BU111&lt;&gt;"",IF($F$11="raty malejące",MIN(BZ110/($F$4-BU110+SUM($BV$28:BV110)-SUM($CB$28:CB110)),BZ110),MIN(BW111-BY111,BZ110)),"")</f>
        <v>1410.0681470094632</v>
      </c>
      <c r="BY111" s="78">
        <f t="shared" si="123"/>
        <v>2112.0318529905367</v>
      </c>
      <c r="BZ111" s="79">
        <f t="shared" si="124"/>
        <v>289904.67019651283</v>
      </c>
      <c r="CA111" s="11"/>
      <c r="CB111" s="33"/>
      <c r="CC111" s="33">
        <f t="shared" si="117"/>
        <v>0</v>
      </c>
      <c r="CD111" s="33">
        <f t="shared" si="129"/>
        <v>0.31661879874234045</v>
      </c>
      <c r="CE111" s="33">
        <f>IF(O111&lt;&gt;"",CD111-SUM($CC$44:CC111),"")</f>
        <v>4.6618798748725099E-2</v>
      </c>
      <c r="CF111" s="11">
        <f t="shared" si="91"/>
        <v>20</v>
      </c>
      <c r="CG111" s="11">
        <f>IF(BU111&lt;&gt;"",IF($B$16=listy!$K$8,'RZĄDOWY PROGRAM'!$F$3*'RZĄDOWY PROGRAM'!$F$15,BZ110*$F$15),"")</f>
        <v>50</v>
      </c>
      <c r="CH111" s="11">
        <f t="shared" si="92"/>
        <v>70</v>
      </c>
      <c r="CJ111" s="48">
        <f t="shared" si="93"/>
        <v>0.06</v>
      </c>
      <c r="CK111" s="18">
        <f t="shared" si="94"/>
        <v>4.8675505653430484E-3</v>
      </c>
      <c r="CL111" s="11">
        <f t="shared" si="125"/>
        <v>0</v>
      </c>
      <c r="CM111" s="11">
        <f t="shared" si="95"/>
        <v>38080.17817616665</v>
      </c>
      <c r="CN111" s="11">
        <f>IF(AB111&lt;&gt;"",CM111-SUM($CL$28:CL111),"")</f>
        <v>9903.418176166655</v>
      </c>
    </row>
    <row r="112" spans="1:92" x14ac:dyDescent="0.45">
      <c r="A112" s="68">
        <f t="shared" si="118"/>
        <v>47300</v>
      </c>
      <c r="B112" s="8">
        <f t="shared" si="78"/>
        <v>85</v>
      </c>
      <c r="C112" s="11">
        <f t="shared" si="79"/>
        <v>3522.09</v>
      </c>
      <c r="D112" s="11">
        <f t="shared" si="80"/>
        <v>1141.2634067885442</v>
      </c>
      <c r="E112" s="11">
        <f t="shared" si="81"/>
        <v>2380.8265932114559</v>
      </c>
      <c r="F112" s="9">
        <f t="shared" si="96"/>
        <v>327248.61151892948</v>
      </c>
      <c r="G112" s="10">
        <f t="shared" si="82"/>
        <v>7.0000000000000007E-2</v>
      </c>
      <c r="H112" s="10">
        <f t="shared" si="83"/>
        <v>1.7000000000000001E-2</v>
      </c>
      <c r="I112" s="48">
        <f t="shared" si="97"/>
        <v>8.7000000000000008E-2</v>
      </c>
      <c r="J112" s="11">
        <f t="shared" si="84"/>
        <v>20</v>
      </c>
      <c r="K112" s="11">
        <f>IF(B112&lt;&gt;"",IF($B$16=listy!$K$8,'RZĄDOWY PROGRAM'!$F$3*'RZĄDOWY PROGRAM'!$F$15,F111*$F$15),"")</f>
        <v>50</v>
      </c>
      <c r="L112" s="11">
        <f t="shared" si="98"/>
        <v>70</v>
      </c>
      <c r="N112" s="54">
        <f t="shared" si="119"/>
        <v>47300</v>
      </c>
      <c r="O112" s="8">
        <f t="shared" si="99"/>
        <v>85</v>
      </c>
      <c r="P112" s="8"/>
      <c r="Q112" s="11">
        <f>IF(O112&lt;&gt;"",ROUND(IF($F$11="raty równe",-PMT(W112/12,$F$4-O111+SUM($P$28:P112),T111,2),R112+S112),2),"")</f>
        <v>3522.09</v>
      </c>
      <c r="R112" s="11">
        <f>IF(O112&lt;&gt;"",IF($F$11="raty malejące",T111/($F$4-O111+SUM($P$28:P112)),IF(Q112-S112&gt;T111,T111,Q112-S112)),"")</f>
        <v>1077.1782385638166</v>
      </c>
      <c r="S112" s="11">
        <f t="shared" si="121"/>
        <v>2444.9117614361835</v>
      </c>
      <c r="T112" s="9">
        <f t="shared" si="100"/>
        <v>336152.03023539251</v>
      </c>
      <c r="U112" s="10">
        <f t="shared" si="85"/>
        <v>7.0000000000000007E-2</v>
      </c>
      <c r="V112" s="10">
        <f t="shared" si="86"/>
        <v>1.7000000000000001E-2</v>
      </c>
      <c r="W112" s="48">
        <f t="shared" si="101"/>
        <v>8.7000000000000008E-2</v>
      </c>
      <c r="X112" s="11">
        <f t="shared" si="87"/>
        <v>20</v>
      </c>
      <c r="Y112" s="11">
        <f>IF(O112&lt;&gt;"",IF($B$16=listy!$K$8,'RZĄDOWY PROGRAM'!$F$3*'RZĄDOWY PROGRAM'!$F$15,T111*$F$15),"")</f>
        <v>50</v>
      </c>
      <c r="Z112" s="11">
        <f t="shared" si="102"/>
        <v>70</v>
      </c>
      <c r="AB112" s="8">
        <f t="shared" si="103"/>
        <v>85</v>
      </c>
      <c r="AC112" s="8"/>
      <c r="AD112" s="11">
        <f>IF(AB112&lt;&gt;"",ROUND(IF($F$11="raty równe",-PMT(W112/12,$F$4-AB111+SUM($AC$28:AC112),AG111,2),AE112+AF112),2),"")</f>
        <v>3280.39</v>
      </c>
      <c r="AE112" s="11">
        <f>IF(AB112&lt;&gt;"",IF($F$11="raty malejące",AG111/($F$4-AB111+SUM($AC$28:AC111)),MIN(AD112-AF112,AG111)),"")</f>
        <v>1003.259673053537</v>
      </c>
      <c r="AF112" s="11">
        <f t="shared" si="122"/>
        <v>2277.1303269464629</v>
      </c>
      <c r="AG112" s="9">
        <f t="shared" si="120"/>
        <v>313083.68197473447</v>
      </c>
      <c r="AH112" s="11"/>
      <c r="AI112" s="33">
        <f>IF(AB112&lt;&gt;"",ROUND(IF($F$11="raty równe",-PMT(W112/12,($F$4-AB111+SUM($AC$27:AC111)),AG111,2),AG111/($F$4-AB111+SUM($AC$27:AC111))+AG111*W112/12),2),"")</f>
        <v>3280.39</v>
      </c>
      <c r="AJ112" s="33">
        <f t="shared" si="104"/>
        <v>241.70000000000027</v>
      </c>
      <c r="AK112" s="33">
        <f t="shared" si="88"/>
        <v>21897.753921309813</v>
      </c>
      <c r="AL112" s="33">
        <f>IF(AB112&lt;&gt;"",AK112-SUM($AJ$28:AJ112),"")</f>
        <v>3147.6739213098153</v>
      </c>
      <c r="AM112" s="11">
        <f t="shared" si="105"/>
        <v>20</v>
      </c>
      <c r="AN112" s="11">
        <f>IF(AB112&lt;&gt;"",IF($B$16=listy!$K$8,'RZĄDOWY PROGRAM'!$F$3*'RZĄDOWY PROGRAM'!$F$15,AG111*$F$15),"")</f>
        <v>50</v>
      </c>
      <c r="AO112" s="11">
        <f t="shared" si="106"/>
        <v>70</v>
      </c>
      <c r="AQ112" s="8">
        <f t="shared" si="107"/>
        <v>85</v>
      </c>
      <c r="AR112" s="8"/>
      <c r="AS112" s="78">
        <f>IF(AQ112&lt;&gt;"",ROUND(IF($F$11="raty równe",-PMT(W112/12,$F$4-AQ111+SUM($AR$28:AR112),AV111,2),AT112+AU112),2),"")</f>
        <v>3263.82</v>
      </c>
      <c r="AT112" s="78">
        <f>IF(AQ112&lt;&gt;"",IF($F$11="raty malejące",AV111/($F$4-AQ111+SUM($AR$28:AR111)),MIN(AS112-AU112,AV111)),"")</f>
        <v>998.19032025709021</v>
      </c>
      <c r="AU112" s="78">
        <f t="shared" si="108"/>
        <v>2265.62967974291</v>
      </c>
      <c r="AV112" s="79">
        <f t="shared" si="109"/>
        <v>311502.4551615236</v>
      </c>
      <c r="AW112" s="11"/>
      <c r="AX112" s="33">
        <f>IF(AQ112&lt;&gt;"",ROUND(IF($F$11="raty równe",-PMT(W112/12,($F$4-AQ111+SUM($AR$27:AR111)),AV111,2),AV111/($F$4-AQ111+SUM($AR$27:AR111))+AV111*W112/12),2),"")</f>
        <v>3263.82</v>
      </c>
      <c r="AY112" s="33">
        <f t="shared" si="110"/>
        <v>258.27</v>
      </c>
      <c r="AZ112" s="33">
        <f t="shared" si="126"/>
        <v>20434.282440135477</v>
      </c>
      <c r="BA112" s="33">
        <f>IF(AQ112&lt;&gt;"",AZ112-SUM($AY$44:AY112),"")</f>
        <v>2613.6624401354566</v>
      </c>
      <c r="BB112" s="11">
        <f t="shared" si="111"/>
        <v>20</v>
      </c>
      <c r="BC112" s="11">
        <f>IF(AQ112&lt;&gt;"",IF($B$16=listy!$K$8,'RZĄDOWY PROGRAM'!$F$3*'RZĄDOWY PROGRAM'!$F$15,AV111*$F$15),"")</f>
        <v>50</v>
      </c>
      <c r="BD112" s="11">
        <f t="shared" si="112"/>
        <v>70</v>
      </c>
      <c r="BF112" s="8">
        <f t="shared" si="113"/>
        <v>85</v>
      </c>
      <c r="BG112" s="8"/>
      <c r="BH112" s="78">
        <f>IF(BF112&lt;&gt;"",ROUND(IF($F$11="raty równe",-PMT(W112/12,$F$4-BF111+SUM(BV$28:$BV112)-SUM($BM$29:BM112),BK111,2),BI112+BJ112),2),"")</f>
        <v>3522.1</v>
      </c>
      <c r="BI112" s="78">
        <f>IF(BF112&lt;&gt;"",IF($F$11="raty malejące",MIN(BK111/($F$4-BF111+SUM($BG$27:BG112)-SUM($BM$27:BM112)),BK111),MIN(BH112-BJ112,BK111)),"")</f>
        <v>1423.3866327592114</v>
      </c>
      <c r="BJ112" s="78">
        <f t="shared" si="114"/>
        <v>2098.7133672407886</v>
      </c>
      <c r="BK112" s="79">
        <f t="shared" si="115"/>
        <v>288054.31919355644</v>
      </c>
      <c r="BL112" s="11"/>
      <c r="BM112" s="33"/>
      <c r="BN112" s="33">
        <f t="shared" si="127"/>
        <v>-9.9999999997635314E-3</v>
      </c>
      <c r="BO112" s="33">
        <f t="shared" si="128"/>
        <v>-0.11285731856278694</v>
      </c>
      <c r="BP112" s="33">
        <f>IF(O112&lt;&gt;"",BO112-SUM($BN$44:BN112),"")</f>
        <v>-2.2857318564915158E-2</v>
      </c>
      <c r="BQ112" s="11">
        <f t="shared" si="89"/>
        <v>20</v>
      </c>
      <c r="BR112" s="11">
        <f>IF(BF112&lt;&gt;"",IF($B$16=listy!$K$8,'RZĄDOWY PROGRAM'!$F$3*'RZĄDOWY PROGRAM'!$F$15,BK111*$F$15),"")</f>
        <v>50</v>
      </c>
      <c r="BS112" s="11">
        <f t="shared" si="90"/>
        <v>70</v>
      </c>
      <c r="BU112" s="8">
        <f t="shared" si="116"/>
        <v>85</v>
      </c>
      <c r="BV112" s="8"/>
      <c r="BW112" s="78">
        <f>IF(BU112&lt;&gt;"",ROUND(IF($F$11="raty równe",-PMT(W112/12,$F$4-BU111+SUM($BV$28:BV112)-$CB$43,BZ111,2),BX112+BY112),2),"")</f>
        <v>3522.1</v>
      </c>
      <c r="BX112" s="78">
        <f>IF(BU112&lt;&gt;"",IF($F$11="raty malejące",MIN(BZ111/($F$4-BU111+SUM($BV$28:BV111)-SUM($CB$28:CB111)),BZ111),MIN(BW112-BY112,BZ111)),"")</f>
        <v>1420.2911410752818</v>
      </c>
      <c r="BY112" s="78">
        <f t="shared" si="123"/>
        <v>2101.8088589247182</v>
      </c>
      <c r="BZ112" s="79">
        <f t="shared" si="124"/>
        <v>288484.37905543757</v>
      </c>
      <c r="CA112" s="11"/>
      <c r="CB112" s="33"/>
      <c r="CC112" s="33">
        <f t="shared" si="117"/>
        <v>-9.9999999997635314E-3</v>
      </c>
      <c r="CD112" s="33">
        <f t="shared" si="129"/>
        <v>0.30786713673295829</v>
      </c>
      <c r="CE112" s="33">
        <f>IF(O112&lt;&gt;"",CD112-SUM($CC$44:CC112),"")</f>
        <v>4.7867136739106475E-2</v>
      </c>
      <c r="CF112" s="11">
        <f t="shared" si="91"/>
        <v>20</v>
      </c>
      <c r="CG112" s="11">
        <f>IF(BU112&lt;&gt;"",IF($B$16=listy!$K$8,'RZĄDOWY PROGRAM'!$F$3*'RZĄDOWY PROGRAM'!$F$15,BZ111*$F$15),"")</f>
        <v>50</v>
      </c>
      <c r="CH112" s="11">
        <f t="shared" si="92"/>
        <v>70</v>
      </c>
      <c r="CJ112" s="48">
        <f t="shared" si="93"/>
        <v>0.06</v>
      </c>
      <c r="CK112" s="18">
        <f t="shared" si="94"/>
        <v>4.8675505653430484E-3</v>
      </c>
      <c r="CL112" s="11">
        <f t="shared" si="125"/>
        <v>0</v>
      </c>
      <c r="CM112" s="11">
        <f t="shared" si="95"/>
        <v>38230.317502342565</v>
      </c>
      <c r="CN112" s="11">
        <f>IF(AB112&lt;&gt;"",CM112-SUM($CL$28:CL112),"")</f>
        <v>10053.55750234257</v>
      </c>
    </row>
    <row r="113" spans="1:92" x14ac:dyDescent="0.45">
      <c r="A113" s="68">
        <f t="shared" si="118"/>
        <v>47331</v>
      </c>
      <c r="B113" s="8">
        <f t="shared" si="78"/>
        <v>86</v>
      </c>
      <c r="C113" s="11">
        <f t="shared" si="79"/>
        <v>3522.1</v>
      </c>
      <c r="D113" s="11">
        <f t="shared" si="80"/>
        <v>1149.5475664877608</v>
      </c>
      <c r="E113" s="11">
        <f t="shared" si="81"/>
        <v>2372.5524335122391</v>
      </c>
      <c r="F113" s="9">
        <f t="shared" si="96"/>
        <v>326099.06395244173</v>
      </c>
      <c r="G113" s="10">
        <f t="shared" si="82"/>
        <v>7.0000000000000007E-2</v>
      </c>
      <c r="H113" s="10">
        <f t="shared" si="83"/>
        <v>1.7000000000000001E-2</v>
      </c>
      <c r="I113" s="48">
        <f t="shared" si="97"/>
        <v>8.7000000000000008E-2</v>
      </c>
      <c r="J113" s="11">
        <f t="shared" si="84"/>
        <v>20</v>
      </c>
      <c r="K113" s="11">
        <f>IF(B113&lt;&gt;"",IF($B$16=listy!$K$8,'RZĄDOWY PROGRAM'!$F$3*'RZĄDOWY PROGRAM'!$F$15,F112*$F$15),"")</f>
        <v>50</v>
      </c>
      <c r="L113" s="11">
        <f t="shared" si="98"/>
        <v>70</v>
      </c>
      <c r="N113" s="54">
        <f t="shared" si="119"/>
        <v>47331</v>
      </c>
      <c r="O113" s="8">
        <f t="shared" si="99"/>
        <v>86</v>
      </c>
      <c r="P113" s="8"/>
      <c r="Q113" s="11">
        <f>IF(O113&lt;&gt;"",ROUND(IF($F$11="raty równe",-PMT(W113/12,$F$4-O112+SUM($P$28:P113),T112,2),R113+S113),2),"")</f>
        <v>3522.1</v>
      </c>
      <c r="R113" s="11">
        <f>IF(O113&lt;&gt;"",IF($F$11="raty malejące",T112/($F$4-O112+SUM($P$28:P113)),IF(Q113-S113&gt;T112,T112,Q113-S113)),"")</f>
        <v>1084.9977807934038</v>
      </c>
      <c r="S113" s="11">
        <f t="shared" si="121"/>
        <v>2437.1022192065961</v>
      </c>
      <c r="T113" s="9">
        <f t="shared" si="100"/>
        <v>335067.0324545991</v>
      </c>
      <c r="U113" s="10">
        <f t="shared" si="85"/>
        <v>7.0000000000000007E-2</v>
      </c>
      <c r="V113" s="10">
        <f t="shared" si="86"/>
        <v>1.7000000000000001E-2</v>
      </c>
      <c r="W113" s="48">
        <f t="shared" si="101"/>
        <v>8.7000000000000008E-2</v>
      </c>
      <c r="X113" s="11">
        <f t="shared" si="87"/>
        <v>20</v>
      </c>
      <c r="Y113" s="11">
        <f>IF(O113&lt;&gt;"",IF($B$16=listy!$K$8,'RZĄDOWY PROGRAM'!$F$3*'RZĄDOWY PROGRAM'!$F$15,T112*$F$15),"")</f>
        <v>50</v>
      </c>
      <c r="Z113" s="11">
        <f t="shared" si="102"/>
        <v>70</v>
      </c>
      <c r="AB113" s="8">
        <f t="shared" si="103"/>
        <v>86</v>
      </c>
      <c r="AC113" s="8"/>
      <c r="AD113" s="11">
        <f>IF(AB113&lt;&gt;"",ROUND(IF($F$11="raty równe",-PMT(W113/12,$F$4-AB112+SUM($AC$28:AC113),AG112,2),AE113+AF113),2),"")</f>
        <v>3280.39</v>
      </c>
      <c r="AE113" s="11">
        <f>IF(AB113&lt;&gt;"",IF($F$11="raty malejące",AG112/($F$4-AB112+SUM($AC$28:AC112)),MIN(AD113-AF113,AG112)),"")</f>
        <v>1010.5333056831746</v>
      </c>
      <c r="AF113" s="11">
        <f t="shared" si="122"/>
        <v>2269.8566943168253</v>
      </c>
      <c r="AG113" s="9">
        <f t="shared" si="120"/>
        <v>312073.1486690513</v>
      </c>
      <c r="AH113" s="11"/>
      <c r="AI113" s="33">
        <f>IF(AB113&lt;&gt;"",ROUND(IF($F$11="raty równe",-PMT(W113/12,($F$4-AB112+SUM($AC$27:AC112)),AG112,2),AG112/($F$4-AB112+SUM($AC$27:AC112))+AG112*W113/12),2),"")</f>
        <v>3280.39</v>
      </c>
      <c r="AJ113" s="33">
        <f t="shared" si="104"/>
        <v>241.71000000000004</v>
      </c>
      <c r="AK113" s="33">
        <f t="shared" si="88"/>
        <v>22225.80054513814</v>
      </c>
      <c r="AL113" s="33">
        <f>IF(AB113&lt;&gt;"",AK113-SUM($AJ$28:AJ113),"")</f>
        <v>3234.0105451381423</v>
      </c>
      <c r="AM113" s="11">
        <f t="shared" si="105"/>
        <v>20</v>
      </c>
      <c r="AN113" s="11">
        <f>IF(AB113&lt;&gt;"",IF($B$16=listy!$K$8,'RZĄDOWY PROGRAM'!$F$3*'RZĄDOWY PROGRAM'!$F$15,AG112*$F$15),"")</f>
        <v>50</v>
      </c>
      <c r="AO113" s="11">
        <f t="shared" si="106"/>
        <v>70</v>
      </c>
      <c r="AQ113" s="8">
        <f t="shared" si="107"/>
        <v>86</v>
      </c>
      <c r="AR113" s="8"/>
      <c r="AS113" s="78">
        <f>IF(AQ113&lt;&gt;"",ROUND(IF($F$11="raty równe",-PMT(W113/12,$F$4-AQ112+SUM($AR$28:AR113),AV112,2),AT113+AU113),2),"")</f>
        <v>3263.83</v>
      </c>
      <c r="AT113" s="78">
        <f>IF(AQ113&lt;&gt;"",IF($F$11="raty malejące",AV112/($F$4-AQ112+SUM($AR$28:AR112)),MIN(AS113-AU113,AV112)),"")</f>
        <v>1005.4372000789535</v>
      </c>
      <c r="AU113" s="78">
        <f t="shared" si="108"/>
        <v>2258.3927999210464</v>
      </c>
      <c r="AV113" s="79">
        <f t="shared" si="109"/>
        <v>310497.01796144462</v>
      </c>
      <c r="AW113" s="11"/>
      <c r="AX113" s="33">
        <f>IF(AQ113&lt;&gt;"",ROUND(IF($F$11="raty równe",-PMT(W113/12,($F$4-AQ112+SUM($AR$27:AR112)),AV112,2),AV112/($F$4-AQ112+SUM($AR$27:AR112))+AV112*W113/12),2),"")</f>
        <v>3263.83</v>
      </c>
      <c r="AY113" s="33">
        <f t="shared" si="110"/>
        <v>258.27</v>
      </c>
      <c r="AZ113" s="33">
        <f t="shared" si="126"/>
        <v>20773.119011601008</v>
      </c>
      <c r="BA113" s="33">
        <f>IF(AQ113&lt;&gt;"",AZ113-SUM($AY$44:AY113),"")</f>
        <v>2694.2290116009863</v>
      </c>
      <c r="BB113" s="11">
        <f t="shared" si="111"/>
        <v>20</v>
      </c>
      <c r="BC113" s="11">
        <f>IF(AQ113&lt;&gt;"",IF($B$16=listy!$K$8,'RZĄDOWY PROGRAM'!$F$3*'RZĄDOWY PROGRAM'!$F$15,AV112*$F$15),"")</f>
        <v>50</v>
      </c>
      <c r="BD113" s="11">
        <f t="shared" si="112"/>
        <v>70</v>
      </c>
      <c r="BF113" s="8">
        <f t="shared" si="113"/>
        <v>86</v>
      </c>
      <c r="BG113" s="8"/>
      <c r="BH113" s="78">
        <f>IF(BF113&lt;&gt;"",ROUND(IF($F$11="raty równe",-PMT(W113/12,$F$4-BF112+SUM(BV$28:$BV113)-SUM($BM$29:BM113),BK112,2),BI113+BJ113),2),"")</f>
        <v>3522.09</v>
      </c>
      <c r="BI113" s="78">
        <f>IF(BF113&lt;&gt;"",IF($F$11="raty malejące",MIN(BK112/($F$4-BF112+SUM($BG$27:BG113)-SUM($BM$27:BM113)),BK112),MIN(BH113-BJ113,BK112)),"")</f>
        <v>1433.6961858467157</v>
      </c>
      <c r="BJ113" s="78">
        <f t="shared" si="114"/>
        <v>2088.3938141532844</v>
      </c>
      <c r="BK113" s="79">
        <f t="shared" si="115"/>
        <v>286620.62300770974</v>
      </c>
      <c r="BL113" s="11"/>
      <c r="BM113" s="33"/>
      <c r="BN113" s="33">
        <f t="shared" si="127"/>
        <v>9.9999999997635314E-3</v>
      </c>
      <c r="BO113" s="33">
        <f t="shared" si="128"/>
        <v>-0.10330228291388986</v>
      </c>
      <c r="BP113" s="33">
        <f>IF(O113&lt;&gt;"",BO113-SUM($BN$44:BN113),"")</f>
        <v>-2.3302282915781611E-2</v>
      </c>
      <c r="BQ113" s="11">
        <f t="shared" si="89"/>
        <v>20</v>
      </c>
      <c r="BR113" s="11">
        <f>IF(BF113&lt;&gt;"",IF($B$16=listy!$K$8,'RZĄDOWY PROGRAM'!$F$3*'RZĄDOWY PROGRAM'!$F$15,BK112*$F$15),"")</f>
        <v>50</v>
      </c>
      <c r="BS113" s="11">
        <f t="shared" si="90"/>
        <v>70</v>
      </c>
      <c r="BU113" s="8">
        <f t="shared" si="116"/>
        <v>86</v>
      </c>
      <c r="BV113" s="8"/>
      <c r="BW113" s="78">
        <f>IF(BU113&lt;&gt;"",ROUND(IF($F$11="raty równe",-PMT(W113/12,$F$4-BU112+SUM($BV$28:BV113)-$CB$43,BZ112,2),BX113+BY113),2),"")</f>
        <v>3522.09</v>
      </c>
      <c r="BX113" s="78">
        <f>IF(BU113&lt;&gt;"",IF($F$11="raty malejące",MIN(BZ112/($F$4-BU112+SUM($BV$28:BV112)-SUM($CB$28:CB112)),BZ112),MIN(BW113-BY113,BZ112)),"")</f>
        <v>1430.5782518480778</v>
      </c>
      <c r="BY113" s="78">
        <f t="shared" si="123"/>
        <v>2091.5117481519223</v>
      </c>
      <c r="BZ113" s="79">
        <f t="shared" si="124"/>
        <v>287053.80080358952</v>
      </c>
      <c r="CA113" s="11"/>
      <c r="CB113" s="33"/>
      <c r="CC113" s="33">
        <f t="shared" si="117"/>
        <v>9.9999999997635314E-3</v>
      </c>
      <c r="CD113" s="33">
        <f t="shared" si="129"/>
        <v>0.31908096940564046</v>
      </c>
      <c r="CE113" s="33">
        <f>IF(O113&lt;&gt;"",CD113-SUM($CC$44:CC113),"")</f>
        <v>4.9080969412025111E-2</v>
      </c>
      <c r="CF113" s="11">
        <f t="shared" si="91"/>
        <v>20</v>
      </c>
      <c r="CG113" s="11">
        <f>IF(BU113&lt;&gt;"",IF($B$16=listy!$K$8,'RZĄDOWY PROGRAM'!$F$3*'RZĄDOWY PROGRAM'!$F$15,BZ112*$F$15),"")</f>
        <v>50</v>
      </c>
      <c r="CH113" s="11">
        <f t="shared" si="92"/>
        <v>70</v>
      </c>
      <c r="CJ113" s="48">
        <f t="shared" si="93"/>
        <v>0.06</v>
      </c>
      <c r="CK113" s="18">
        <f t="shared" si="94"/>
        <v>4.8675505653430484E-3</v>
      </c>
      <c r="CL113" s="11">
        <f t="shared" si="125"/>
        <v>0</v>
      </c>
      <c r="CM113" s="11">
        <f t="shared" si="95"/>
        <v>38381.048785235704</v>
      </c>
      <c r="CN113" s="11">
        <f>IF(AB113&lt;&gt;"",CM113-SUM($CL$28:CL113),"")</f>
        <v>10204.288785235709</v>
      </c>
    </row>
    <row r="114" spans="1:92" x14ac:dyDescent="0.45">
      <c r="A114" s="68">
        <f t="shared" si="118"/>
        <v>47362</v>
      </c>
      <c r="B114" s="8">
        <f t="shared" si="78"/>
        <v>87</v>
      </c>
      <c r="C114" s="11">
        <f t="shared" si="79"/>
        <v>3522.09</v>
      </c>
      <c r="D114" s="11">
        <f t="shared" si="80"/>
        <v>1157.8717863447973</v>
      </c>
      <c r="E114" s="11">
        <f t="shared" si="81"/>
        <v>2364.2182136552028</v>
      </c>
      <c r="F114" s="9">
        <f t="shared" si="96"/>
        <v>324941.19216609694</v>
      </c>
      <c r="G114" s="10">
        <f t="shared" si="82"/>
        <v>7.0000000000000007E-2</v>
      </c>
      <c r="H114" s="10">
        <f t="shared" si="83"/>
        <v>1.7000000000000001E-2</v>
      </c>
      <c r="I114" s="48">
        <f t="shared" si="97"/>
        <v>8.7000000000000008E-2</v>
      </c>
      <c r="J114" s="11">
        <f t="shared" si="84"/>
        <v>20</v>
      </c>
      <c r="K114" s="11">
        <f>IF(B114&lt;&gt;"",IF($B$16=listy!$K$8,'RZĄDOWY PROGRAM'!$F$3*'RZĄDOWY PROGRAM'!$F$15,F113*$F$15),"")</f>
        <v>50</v>
      </c>
      <c r="L114" s="11">
        <f t="shared" si="98"/>
        <v>70</v>
      </c>
      <c r="N114" s="54">
        <f t="shared" si="119"/>
        <v>47362</v>
      </c>
      <c r="O114" s="8">
        <f t="shared" si="99"/>
        <v>87</v>
      </c>
      <c r="P114" s="8"/>
      <c r="Q114" s="11">
        <f>IF(O114&lt;&gt;"",ROUND(IF($F$11="raty równe",-PMT(W114/12,$F$4-O113+SUM($P$28:P114),T113,2),R114+S114),2),"")</f>
        <v>3522.09</v>
      </c>
      <c r="R114" s="11">
        <f>IF(O114&lt;&gt;"",IF($F$11="raty malejące",T113/($F$4-O113+SUM($P$28:P114)),IF(Q114-S114&gt;T113,T113,Q114-S114)),"")</f>
        <v>1092.8540147041563</v>
      </c>
      <c r="S114" s="11">
        <f t="shared" si="121"/>
        <v>2429.2359852958439</v>
      </c>
      <c r="T114" s="9">
        <f t="shared" si="100"/>
        <v>333974.17843989492</v>
      </c>
      <c r="U114" s="10">
        <f t="shared" si="85"/>
        <v>7.0000000000000007E-2</v>
      </c>
      <c r="V114" s="10">
        <f t="shared" si="86"/>
        <v>1.7000000000000001E-2</v>
      </c>
      <c r="W114" s="48">
        <f t="shared" si="101"/>
        <v>8.7000000000000008E-2</v>
      </c>
      <c r="X114" s="11">
        <f t="shared" si="87"/>
        <v>20</v>
      </c>
      <c r="Y114" s="11">
        <f>IF(O114&lt;&gt;"",IF($B$16=listy!$K$8,'RZĄDOWY PROGRAM'!$F$3*'RZĄDOWY PROGRAM'!$F$15,T113*$F$15),"")</f>
        <v>50</v>
      </c>
      <c r="Z114" s="11">
        <f t="shared" si="102"/>
        <v>70</v>
      </c>
      <c r="AB114" s="8">
        <f t="shared" si="103"/>
        <v>87</v>
      </c>
      <c r="AC114" s="8"/>
      <c r="AD114" s="11">
        <f>IF(AB114&lt;&gt;"",ROUND(IF($F$11="raty równe",-PMT(W114/12,$F$4-AB113+SUM($AC$28:AC114),AG113,2),AE114+AF114),2),"")</f>
        <v>3280.39</v>
      </c>
      <c r="AE114" s="11">
        <f>IF(AB114&lt;&gt;"",IF($F$11="raty malejące",AG113/($F$4-AB113+SUM($AC$28:AC113)),MIN(AD114-AF114,AG113)),"")</f>
        <v>1017.8596721493777</v>
      </c>
      <c r="AF114" s="11">
        <f t="shared" si="122"/>
        <v>2262.5303278506221</v>
      </c>
      <c r="AG114" s="9">
        <f t="shared" si="120"/>
        <v>311055.28899690195</v>
      </c>
      <c r="AH114" s="11"/>
      <c r="AI114" s="33">
        <f>IF(AB114&lt;&gt;"",ROUND(IF($F$11="raty równe",-PMT(W114/12,($F$4-AB113+SUM($AC$27:AC113)),AG113,2),AG113/($F$4-AB113+SUM($AC$27:AC113))+AG113*W114/12),2),"")</f>
        <v>3280.39</v>
      </c>
      <c r="AJ114" s="33">
        <f t="shared" si="104"/>
        <v>241.70000000000027</v>
      </c>
      <c r="AK114" s="33">
        <f t="shared" si="88"/>
        <v>22555.130563625182</v>
      </c>
      <c r="AL114" s="33">
        <f>IF(AB114&lt;&gt;"",AK114-SUM($AJ$28:AJ114),"")</f>
        <v>3321.6405636251839</v>
      </c>
      <c r="AM114" s="11">
        <f t="shared" si="105"/>
        <v>20</v>
      </c>
      <c r="AN114" s="11">
        <f>IF(AB114&lt;&gt;"",IF($B$16=listy!$K$8,'RZĄDOWY PROGRAM'!$F$3*'RZĄDOWY PROGRAM'!$F$15,AG113*$F$15),"")</f>
        <v>50</v>
      </c>
      <c r="AO114" s="11">
        <f t="shared" si="106"/>
        <v>70</v>
      </c>
      <c r="AQ114" s="8">
        <f t="shared" si="107"/>
        <v>87</v>
      </c>
      <c r="AR114" s="8"/>
      <c r="AS114" s="78">
        <f>IF(AQ114&lt;&gt;"",ROUND(IF($F$11="raty równe",-PMT(W114/12,$F$4-AQ113+SUM($AR$28:AR114),AV113,2),AT114+AU114),2),"")</f>
        <v>3263.82</v>
      </c>
      <c r="AT114" s="78">
        <f>IF(AQ114&lt;&gt;"",IF($F$11="raty malejące",AV113/($F$4-AQ113+SUM($AR$28:AR113)),MIN(AS114-AU114,AV113)),"")</f>
        <v>1012.7166197795264</v>
      </c>
      <c r="AU114" s="78">
        <f t="shared" si="108"/>
        <v>2251.1033802204738</v>
      </c>
      <c r="AV114" s="79">
        <f t="shared" si="109"/>
        <v>309484.30134166509</v>
      </c>
      <c r="AW114" s="11"/>
      <c r="AX114" s="33">
        <f>IF(AQ114&lt;&gt;"",ROUND(IF($F$11="raty równe",-PMT(W114/12,($F$4-AQ113+SUM($AR$27:AR113)),AV113,2),AV113/($F$4-AQ113+SUM($AR$27:AR113))+AV113*W114/12),2),"")</f>
        <v>3263.82</v>
      </c>
      <c r="AY114" s="33">
        <f t="shared" si="110"/>
        <v>258.27</v>
      </c>
      <c r="AZ114" s="33">
        <f t="shared" si="126"/>
        <v>21113.291519423983</v>
      </c>
      <c r="BA114" s="33">
        <f>IF(AQ114&lt;&gt;"",AZ114-SUM($AY$44:AY114),"")</f>
        <v>2776.1315194239614</v>
      </c>
      <c r="BB114" s="11">
        <f t="shared" si="111"/>
        <v>20</v>
      </c>
      <c r="BC114" s="11">
        <f>IF(AQ114&lt;&gt;"",IF($B$16=listy!$K$8,'RZĄDOWY PROGRAM'!$F$3*'RZĄDOWY PROGRAM'!$F$15,AV113*$F$15),"")</f>
        <v>50</v>
      </c>
      <c r="BD114" s="11">
        <f t="shared" si="112"/>
        <v>70</v>
      </c>
      <c r="BF114" s="8">
        <f t="shared" si="113"/>
        <v>87</v>
      </c>
      <c r="BG114" s="8"/>
      <c r="BH114" s="78">
        <f>IF(BF114&lt;&gt;"",ROUND(IF($F$11="raty równe",-PMT(W114/12,$F$4-BF113+SUM(BV$28:$BV114)-SUM($BM$29:BM114),BK113,2),BI114+BJ114),2),"")</f>
        <v>3522.1</v>
      </c>
      <c r="BI114" s="78">
        <f>IF(BF114&lt;&gt;"",IF($F$11="raty malejące",MIN(BK113/($F$4-BF113+SUM($BG$27:BG114)-SUM($BM$27:BM114)),BK113),MIN(BH114-BJ114,BK113)),"")</f>
        <v>1444.1004831941041</v>
      </c>
      <c r="BJ114" s="78">
        <f t="shared" si="114"/>
        <v>2077.9995168058958</v>
      </c>
      <c r="BK114" s="79">
        <f t="shared" si="115"/>
        <v>285176.52252451563</v>
      </c>
      <c r="BL114" s="11"/>
      <c r="BM114" s="33"/>
      <c r="BN114" s="33">
        <f t="shared" si="127"/>
        <v>-9.9999999997635314E-3</v>
      </c>
      <c r="BO114" s="33">
        <f t="shared" si="128"/>
        <v>-0.11370957447298838</v>
      </c>
      <c r="BP114" s="33">
        <f>IF(O114&lt;&gt;"",BO114-SUM($BN$44:BN114),"")</f>
        <v>-2.3709574475116596E-2</v>
      </c>
      <c r="BQ114" s="11">
        <f t="shared" si="89"/>
        <v>20</v>
      </c>
      <c r="BR114" s="11">
        <f>IF(BF114&lt;&gt;"",IF($B$16=listy!$K$8,'RZĄDOWY PROGRAM'!$F$3*'RZĄDOWY PROGRAM'!$F$15,BK113*$F$15),"")</f>
        <v>50</v>
      </c>
      <c r="BS114" s="11">
        <f t="shared" si="90"/>
        <v>70</v>
      </c>
      <c r="BU114" s="8">
        <f t="shared" si="116"/>
        <v>87</v>
      </c>
      <c r="BV114" s="8"/>
      <c r="BW114" s="78">
        <f>IF(BU114&lt;&gt;"",ROUND(IF($F$11="raty równe",-PMT(W114/12,$F$4-BU113+SUM($BV$28:BV114)-$CB$43,BZ113,2),BX114+BY114),2),"")</f>
        <v>3522.09</v>
      </c>
      <c r="BX114" s="78">
        <f>IF(BU114&lt;&gt;"",IF($F$11="raty malejące",MIN(BZ113/($F$4-BU113+SUM($BV$28:BV113)-SUM($CB$28:CB113)),BZ113),MIN(BW114-BY114,BZ113)),"")</f>
        <v>1440.9499441739758</v>
      </c>
      <c r="BY114" s="78">
        <f t="shared" si="123"/>
        <v>2081.1400558260243</v>
      </c>
      <c r="BZ114" s="79">
        <f t="shared" si="124"/>
        <v>285612.85085941554</v>
      </c>
      <c r="CA114" s="11"/>
      <c r="CB114" s="33"/>
      <c r="CC114" s="33">
        <f t="shared" si="117"/>
        <v>0</v>
      </c>
      <c r="CD114" s="33">
        <f t="shared" si="129"/>
        <v>0.3203390150355872</v>
      </c>
      <c r="CE114" s="33">
        <f>IF(O114&lt;&gt;"",CD114-SUM($CC$44:CC114),"")</f>
        <v>5.0339015041971857E-2</v>
      </c>
      <c r="CF114" s="11">
        <f t="shared" si="91"/>
        <v>20</v>
      </c>
      <c r="CG114" s="11">
        <f>IF(BU114&lt;&gt;"",IF($B$16=listy!$K$8,'RZĄDOWY PROGRAM'!$F$3*'RZĄDOWY PROGRAM'!$F$15,BZ113*$F$15),"")</f>
        <v>50</v>
      </c>
      <c r="CH114" s="11">
        <f t="shared" si="92"/>
        <v>70</v>
      </c>
      <c r="CJ114" s="48">
        <f t="shared" si="93"/>
        <v>0.06</v>
      </c>
      <c r="CK114" s="18">
        <f t="shared" si="94"/>
        <v>4.8675505653430484E-3</v>
      </c>
      <c r="CL114" s="11">
        <f t="shared" si="125"/>
        <v>0</v>
      </c>
      <c r="CM114" s="11">
        <f t="shared" si="95"/>
        <v>38532.374358763263</v>
      </c>
      <c r="CN114" s="11">
        <f>IF(AB114&lt;&gt;"",CM114-SUM($CL$28:CL114),"")</f>
        <v>10355.614358763269</v>
      </c>
    </row>
    <row r="115" spans="1:92" x14ac:dyDescent="0.45">
      <c r="A115" s="68">
        <f t="shared" si="118"/>
        <v>47392</v>
      </c>
      <c r="B115" s="8">
        <f t="shared" si="78"/>
        <v>88</v>
      </c>
      <c r="C115" s="11">
        <f t="shared" si="79"/>
        <v>3522.1</v>
      </c>
      <c r="D115" s="11">
        <f t="shared" si="80"/>
        <v>1166.2763567957968</v>
      </c>
      <c r="E115" s="11">
        <f t="shared" si="81"/>
        <v>2355.8236432042031</v>
      </c>
      <c r="F115" s="9">
        <f t="shared" si="96"/>
        <v>323774.91580930114</v>
      </c>
      <c r="G115" s="10">
        <f t="shared" si="82"/>
        <v>7.0000000000000007E-2</v>
      </c>
      <c r="H115" s="10">
        <f t="shared" si="83"/>
        <v>1.7000000000000001E-2</v>
      </c>
      <c r="I115" s="48">
        <f t="shared" si="97"/>
        <v>8.7000000000000008E-2</v>
      </c>
      <c r="J115" s="11">
        <f t="shared" si="84"/>
        <v>20</v>
      </c>
      <c r="K115" s="11">
        <f>IF(B115&lt;&gt;"",IF($B$16=listy!$K$8,'RZĄDOWY PROGRAM'!$F$3*'RZĄDOWY PROGRAM'!$F$15,F114*$F$15),"")</f>
        <v>50</v>
      </c>
      <c r="L115" s="11">
        <f t="shared" si="98"/>
        <v>70</v>
      </c>
      <c r="N115" s="54">
        <f t="shared" si="119"/>
        <v>47392</v>
      </c>
      <c r="O115" s="8">
        <f t="shared" si="99"/>
        <v>88</v>
      </c>
      <c r="P115" s="8"/>
      <c r="Q115" s="11">
        <f>IF(O115&lt;&gt;"",ROUND(IF($F$11="raty równe",-PMT(W115/12,$F$4-O114+SUM($P$28:P115),T114,2),R115+S115),2),"")</f>
        <v>3522.1</v>
      </c>
      <c r="R115" s="11">
        <f>IF(O115&lt;&gt;"",IF($F$11="raty malejące",T114/($F$4-O114+SUM($P$28:P115)),IF(Q115-S115&gt;T114,T114,Q115-S115)),"")</f>
        <v>1100.7872063107616</v>
      </c>
      <c r="S115" s="11">
        <f t="shared" si="121"/>
        <v>2421.3127936892383</v>
      </c>
      <c r="T115" s="9">
        <f t="shared" si="100"/>
        <v>332873.39123358415</v>
      </c>
      <c r="U115" s="10">
        <f t="shared" si="85"/>
        <v>7.0000000000000007E-2</v>
      </c>
      <c r="V115" s="10">
        <f t="shared" si="86"/>
        <v>1.7000000000000001E-2</v>
      </c>
      <c r="W115" s="48">
        <f t="shared" si="101"/>
        <v>8.7000000000000008E-2</v>
      </c>
      <c r="X115" s="11">
        <f t="shared" si="87"/>
        <v>20</v>
      </c>
      <c r="Y115" s="11">
        <f>IF(O115&lt;&gt;"",IF($B$16=listy!$K$8,'RZĄDOWY PROGRAM'!$F$3*'RZĄDOWY PROGRAM'!$F$15,T114*$F$15),"")</f>
        <v>50</v>
      </c>
      <c r="Z115" s="11">
        <f t="shared" si="102"/>
        <v>70</v>
      </c>
      <c r="AB115" s="8">
        <f t="shared" si="103"/>
        <v>88</v>
      </c>
      <c r="AC115" s="8"/>
      <c r="AD115" s="11">
        <f>IF(AB115&lt;&gt;"",ROUND(IF($F$11="raty równe",-PMT(W115/12,$F$4-AB114+SUM($AC$28:AC115),AG114,2),AE115+AF115),2),"")</f>
        <v>3280.39</v>
      </c>
      <c r="AE115" s="11">
        <f>IF(AB115&lt;&gt;"",IF($F$11="raty malejące",AG114/($F$4-AB114+SUM($AC$28:AC114)),MIN(AD115-AF115,AG114)),"")</f>
        <v>1025.2391547724606</v>
      </c>
      <c r="AF115" s="11">
        <f t="shared" si="122"/>
        <v>2255.1508452275393</v>
      </c>
      <c r="AG115" s="9">
        <f t="shared" si="120"/>
        <v>310030.04984212946</v>
      </c>
      <c r="AH115" s="11"/>
      <c r="AI115" s="33">
        <f>IF(AB115&lt;&gt;"",ROUND(IF($F$11="raty równe",-PMT(W115/12,($F$4-AB114+SUM($AC$27:AC114)),AG114,2),AG114/($F$4-AB114+SUM($AC$27:AC114))+AG114*W115/12),2),"")</f>
        <v>3280.39</v>
      </c>
      <c r="AJ115" s="33">
        <f t="shared" si="104"/>
        <v>241.71000000000004</v>
      </c>
      <c r="AK115" s="33">
        <f t="shared" si="88"/>
        <v>22885.769036831534</v>
      </c>
      <c r="AL115" s="33">
        <f>IF(AB115&lt;&gt;"",AK115-SUM($AJ$28:AJ115),"")</f>
        <v>3410.5690368315372</v>
      </c>
      <c r="AM115" s="11">
        <f t="shared" si="105"/>
        <v>20</v>
      </c>
      <c r="AN115" s="11">
        <f>IF(AB115&lt;&gt;"",IF($B$16=listy!$K$8,'RZĄDOWY PROGRAM'!$F$3*'RZĄDOWY PROGRAM'!$F$15,AG114*$F$15),"")</f>
        <v>50</v>
      </c>
      <c r="AO115" s="11">
        <f t="shared" si="106"/>
        <v>70</v>
      </c>
      <c r="AQ115" s="8">
        <f t="shared" si="107"/>
        <v>88</v>
      </c>
      <c r="AR115" s="8"/>
      <c r="AS115" s="78">
        <f>IF(AQ115&lt;&gt;"",ROUND(IF($F$11="raty równe",-PMT(W115/12,$F$4-AQ114+SUM($AR$28:AR115),AV114,2),AT115+AU115),2),"")</f>
        <v>3263.83</v>
      </c>
      <c r="AT115" s="78">
        <f>IF(AQ115&lt;&gt;"",IF($F$11="raty malejące",AV114/($F$4-AQ114+SUM($AR$28:AR114)),MIN(AS115-AU115,AV114)),"")</f>
        <v>1020.0688152729276</v>
      </c>
      <c r="AU115" s="78">
        <f t="shared" si="108"/>
        <v>2243.7611847270723</v>
      </c>
      <c r="AV115" s="79">
        <f t="shared" si="109"/>
        <v>308464.23252639215</v>
      </c>
      <c r="AW115" s="11"/>
      <c r="AX115" s="33">
        <f>IF(AQ115&lt;&gt;"",ROUND(IF($F$11="raty równe",-PMT(W115/12,($F$4-AQ114+SUM($AR$27:AR114)),AV114,2),AV114/($F$4-AQ114+SUM($AR$27:AR114))+AV114*W115/12),2),"")</f>
        <v>3263.83</v>
      </c>
      <c r="AY115" s="33">
        <f t="shared" si="110"/>
        <v>258.27</v>
      </c>
      <c r="AZ115" s="33">
        <f t="shared" si="126"/>
        <v>21454.805230821999</v>
      </c>
      <c r="BA115" s="33">
        <f>IF(AQ115&lt;&gt;"",AZ115-SUM($AY$44:AY115),"")</f>
        <v>2859.3752308219773</v>
      </c>
      <c r="BB115" s="11">
        <f t="shared" si="111"/>
        <v>20</v>
      </c>
      <c r="BC115" s="11">
        <f>IF(AQ115&lt;&gt;"",IF($B$16=listy!$K$8,'RZĄDOWY PROGRAM'!$F$3*'RZĄDOWY PROGRAM'!$F$15,AV114*$F$15),"")</f>
        <v>50</v>
      </c>
      <c r="BD115" s="11">
        <f t="shared" si="112"/>
        <v>70</v>
      </c>
      <c r="BF115" s="8">
        <f t="shared" si="113"/>
        <v>88</v>
      </c>
      <c r="BG115" s="8"/>
      <c r="BH115" s="78">
        <f>IF(BF115&lt;&gt;"",ROUND(IF($F$11="raty równe",-PMT(W115/12,$F$4-BF114+SUM(BV$28:$BV115)-SUM($BM$29:BM115),BK114,2),BI115+BJ115),2),"")</f>
        <v>3522.09</v>
      </c>
      <c r="BI115" s="78">
        <f>IF(BF115&lt;&gt;"",IF($F$11="raty malejące",MIN(BK114/($F$4-BF114+SUM($BG$27:BG115)-SUM($BM$27:BM115)),BK114),MIN(BH115-BJ115,BK114)),"")</f>
        <v>1454.5602116972618</v>
      </c>
      <c r="BJ115" s="78">
        <f t="shared" si="114"/>
        <v>2067.5297883027383</v>
      </c>
      <c r="BK115" s="79">
        <f t="shared" si="115"/>
        <v>283721.96231281839</v>
      </c>
      <c r="BL115" s="11"/>
      <c r="BM115" s="33"/>
      <c r="BN115" s="33">
        <f t="shared" si="127"/>
        <v>9.9999999997635314E-3</v>
      </c>
      <c r="BO115" s="33">
        <f t="shared" si="128"/>
        <v>-0.10415789902706869</v>
      </c>
      <c r="BP115" s="33">
        <f>IF(O115&lt;&gt;"",BO115-SUM($BN$44:BN115),"")</f>
        <v>-2.4157899028960442E-2</v>
      </c>
      <c r="BQ115" s="11">
        <f t="shared" si="89"/>
        <v>20</v>
      </c>
      <c r="BR115" s="11">
        <f>IF(BF115&lt;&gt;"",IF($B$16=listy!$K$8,'RZĄDOWY PROGRAM'!$F$3*'RZĄDOWY PROGRAM'!$F$15,BK114*$F$15),"")</f>
        <v>50</v>
      </c>
      <c r="BS115" s="11">
        <f t="shared" si="90"/>
        <v>70</v>
      </c>
      <c r="BU115" s="8">
        <f t="shared" si="116"/>
        <v>88</v>
      </c>
      <c r="BV115" s="8"/>
      <c r="BW115" s="78">
        <f>IF(BU115&lt;&gt;"",ROUND(IF($F$11="raty równe",-PMT(W115/12,$F$4-BU114+SUM($BV$28:BV115)-$CB$43,BZ114,2),BX115+BY115),2),"")</f>
        <v>3522.1</v>
      </c>
      <c r="BX115" s="78">
        <f>IF(BU115&lt;&gt;"",IF($F$11="raty malejące",MIN(BZ114/($F$4-BU114+SUM($BV$28:BV114)-SUM($CB$28:CB114)),BZ114),MIN(BW115-BY115,BZ114)),"")</f>
        <v>1451.406831269237</v>
      </c>
      <c r="BY115" s="78">
        <f t="shared" si="123"/>
        <v>2070.6931687307629</v>
      </c>
      <c r="BZ115" s="79">
        <f t="shared" si="124"/>
        <v>284161.44402814633</v>
      </c>
      <c r="CA115" s="11"/>
      <c r="CB115" s="33"/>
      <c r="CC115" s="33">
        <f t="shared" si="117"/>
        <v>0</v>
      </c>
      <c r="CD115" s="33">
        <f t="shared" si="129"/>
        <v>0.32160202078211492</v>
      </c>
      <c r="CE115" s="33">
        <f>IF(O115&lt;&gt;"",CD115-SUM($CC$44:CC115),"")</f>
        <v>5.160202078849957E-2</v>
      </c>
      <c r="CF115" s="11">
        <f t="shared" si="91"/>
        <v>20</v>
      </c>
      <c r="CG115" s="11">
        <f>IF(BU115&lt;&gt;"",IF($B$16=listy!$K$8,'RZĄDOWY PROGRAM'!$F$3*'RZĄDOWY PROGRAM'!$F$15,BZ114*$F$15),"")</f>
        <v>50</v>
      </c>
      <c r="CH115" s="11">
        <f t="shared" si="92"/>
        <v>70</v>
      </c>
      <c r="CJ115" s="48">
        <f t="shared" si="93"/>
        <v>0.06</v>
      </c>
      <c r="CK115" s="18">
        <f t="shared" si="94"/>
        <v>4.8675505653430484E-3</v>
      </c>
      <c r="CL115" s="11">
        <f t="shared" si="125"/>
        <v>0</v>
      </c>
      <c r="CM115" s="11">
        <f t="shared" si="95"/>
        <v>38684.29656604441</v>
      </c>
      <c r="CN115" s="11">
        <f>IF(AB115&lt;&gt;"",CM115-SUM($CL$28:CL115),"")</f>
        <v>10507.536566044415</v>
      </c>
    </row>
    <row r="116" spans="1:92" x14ac:dyDescent="0.45">
      <c r="A116" s="68">
        <f t="shared" si="118"/>
        <v>47423</v>
      </c>
      <c r="B116" s="8">
        <f t="shared" si="78"/>
        <v>89</v>
      </c>
      <c r="C116" s="11">
        <f t="shared" si="79"/>
        <v>3522.09</v>
      </c>
      <c r="D116" s="11">
        <f t="shared" si="80"/>
        <v>1174.7218603825668</v>
      </c>
      <c r="E116" s="11">
        <f t="shared" si="81"/>
        <v>2347.3681396174334</v>
      </c>
      <c r="F116" s="9">
        <f t="shared" si="96"/>
        <v>322600.19394891855</v>
      </c>
      <c r="G116" s="10">
        <f t="shared" si="82"/>
        <v>7.0000000000000007E-2</v>
      </c>
      <c r="H116" s="10">
        <f t="shared" si="83"/>
        <v>1.7000000000000001E-2</v>
      </c>
      <c r="I116" s="48">
        <f t="shared" si="97"/>
        <v>8.7000000000000008E-2</v>
      </c>
      <c r="J116" s="11">
        <f t="shared" si="84"/>
        <v>20</v>
      </c>
      <c r="K116" s="11">
        <f>IF(B116&lt;&gt;"",IF($B$16=listy!$K$8,'RZĄDOWY PROGRAM'!$F$3*'RZĄDOWY PROGRAM'!$F$15,F115*$F$15),"")</f>
        <v>50</v>
      </c>
      <c r="L116" s="11">
        <f t="shared" si="98"/>
        <v>70</v>
      </c>
      <c r="N116" s="54">
        <f t="shared" si="119"/>
        <v>47423</v>
      </c>
      <c r="O116" s="8">
        <f t="shared" si="99"/>
        <v>89</v>
      </c>
      <c r="P116" s="8"/>
      <c r="Q116" s="11">
        <f>IF(O116&lt;&gt;"",ROUND(IF($F$11="raty równe",-PMT(W116/12,$F$4-O115+SUM($P$28:P116),T115,2),R116+S116),2),"")</f>
        <v>3522.09</v>
      </c>
      <c r="R116" s="11">
        <f>IF(O116&lt;&gt;"",IF($F$11="raty malejące",T115/($F$4-O115+SUM($P$28:P116)),IF(Q116-S116&gt;T115,T115,Q116-S116)),"")</f>
        <v>1108.7579135565152</v>
      </c>
      <c r="S116" s="11">
        <f t="shared" si="121"/>
        <v>2413.332086443485</v>
      </c>
      <c r="T116" s="9">
        <f t="shared" si="100"/>
        <v>331764.63332002761</v>
      </c>
      <c r="U116" s="10">
        <f t="shared" si="85"/>
        <v>7.0000000000000007E-2</v>
      </c>
      <c r="V116" s="10">
        <f t="shared" si="86"/>
        <v>1.7000000000000001E-2</v>
      </c>
      <c r="W116" s="48">
        <f t="shared" si="101"/>
        <v>8.7000000000000008E-2</v>
      </c>
      <c r="X116" s="11">
        <f t="shared" si="87"/>
        <v>20</v>
      </c>
      <c r="Y116" s="11">
        <f>IF(O116&lt;&gt;"",IF($B$16=listy!$K$8,'RZĄDOWY PROGRAM'!$F$3*'RZĄDOWY PROGRAM'!$F$15,T115*$F$15),"")</f>
        <v>50</v>
      </c>
      <c r="Z116" s="11">
        <f t="shared" si="102"/>
        <v>70</v>
      </c>
      <c r="AB116" s="8">
        <f t="shared" si="103"/>
        <v>89</v>
      </c>
      <c r="AC116" s="8"/>
      <c r="AD116" s="11">
        <f>IF(AB116&lt;&gt;"",ROUND(IF($F$11="raty równe",-PMT(W116/12,$F$4-AB115+SUM($AC$28:AC116),AG115,2),AE116+AF116),2),"")</f>
        <v>3280.39</v>
      </c>
      <c r="AE116" s="11">
        <f>IF(AB116&lt;&gt;"",IF($F$11="raty malejące",AG115/($F$4-AB115+SUM($AC$28:AC115)),MIN(AD116-AF116,AG115)),"")</f>
        <v>1032.6721386445611</v>
      </c>
      <c r="AF116" s="11">
        <f t="shared" si="122"/>
        <v>2247.7178613554388</v>
      </c>
      <c r="AG116" s="9">
        <f t="shared" si="120"/>
        <v>308997.3777034849</v>
      </c>
      <c r="AH116" s="11"/>
      <c r="AI116" s="33">
        <f>IF(AB116&lt;&gt;"",ROUND(IF($F$11="raty równe",-PMT(W116/12,($F$4-AB115+SUM($AC$27:AC115)),AG115,2),AG115/($F$4-AB115+SUM($AC$27:AC115))+AG115*W116/12),2),"")</f>
        <v>3280.39</v>
      </c>
      <c r="AJ116" s="33">
        <f t="shared" si="104"/>
        <v>241.70000000000027</v>
      </c>
      <c r="AK116" s="33">
        <f t="shared" si="88"/>
        <v>23217.701123622504</v>
      </c>
      <c r="AL116" s="33">
        <f>IF(AB116&lt;&gt;"",AK116-SUM($AJ$28:AJ116),"")</f>
        <v>3500.8011236225066</v>
      </c>
      <c r="AM116" s="11">
        <f t="shared" si="105"/>
        <v>20</v>
      </c>
      <c r="AN116" s="11">
        <f>IF(AB116&lt;&gt;"",IF($B$16=listy!$K$8,'RZĄDOWY PROGRAM'!$F$3*'RZĄDOWY PROGRAM'!$F$15,AG115*$F$15),"")</f>
        <v>50</v>
      </c>
      <c r="AO116" s="11">
        <f t="shared" si="106"/>
        <v>70</v>
      </c>
      <c r="AQ116" s="8">
        <f t="shared" si="107"/>
        <v>89</v>
      </c>
      <c r="AR116" s="8"/>
      <c r="AS116" s="78">
        <f>IF(AQ116&lt;&gt;"",ROUND(IF($F$11="raty równe",-PMT(W116/12,$F$4-AQ115+SUM($AR$28:AR116),AV115,2),AT116+AU116),2),"")</f>
        <v>3263.82</v>
      </c>
      <c r="AT116" s="78">
        <f>IF(AQ116&lt;&gt;"",IF($F$11="raty malejące",AV115/($F$4-AQ115+SUM($AR$28:AR115)),MIN(AS116-AU116,AV115)),"")</f>
        <v>1027.4543141836566</v>
      </c>
      <c r="AU116" s="78">
        <f t="shared" si="108"/>
        <v>2236.3656858163436</v>
      </c>
      <c r="AV116" s="79">
        <f t="shared" si="109"/>
        <v>307436.77821220848</v>
      </c>
      <c r="AW116" s="11"/>
      <c r="AX116" s="33">
        <f>IF(AQ116&lt;&gt;"",ROUND(IF($F$11="raty równe",-PMT(W116/12,($F$4-AQ115+SUM($AR$27:AR115)),AV115,2),AV115/($F$4-AQ115+SUM($AR$27:AR115))+AV115*W116/12),2),"")</f>
        <v>3263.82</v>
      </c>
      <c r="AY116" s="33">
        <f t="shared" si="110"/>
        <v>258.27</v>
      </c>
      <c r="AZ116" s="33">
        <f t="shared" si="126"/>
        <v>21797.665433779799</v>
      </c>
      <c r="BA116" s="33">
        <f>IF(AQ116&lt;&gt;"",AZ116-SUM($AY$44:AY116),"")</f>
        <v>2943.9654337797765</v>
      </c>
      <c r="BB116" s="11">
        <f t="shared" si="111"/>
        <v>20</v>
      </c>
      <c r="BC116" s="11">
        <f>IF(AQ116&lt;&gt;"",IF($B$16=listy!$K$8,'RZĄDOWY PROGRAM'!$F$3*'RZĄDOWY PROGRAM'!$F$15,AV115*$F$15),"")</f>
        <v>50</v>
      </c>
      <c r="BD116" s="11">
        <f t="shared" si="112"/>
        <v>70</v>
      </c>
      <c r="BF116" s="8">
        <f t="shared" si="113"/>
        <v>89</v>
      </c>
      <c r="BG116" s="8"/>
      <c r="BH116" s="78">
        <f>IF(BF116&lt;&gt;"",ROUND(IF($F$11="raty równe",-PMT(W116/12,$F$4-BF115+SUM(BV$28:$BV116)-SUM($BM$29:BM116),BK115,2),BI116+BJ116),2),"")</f>
        <v>3522.1</v>
      </c>
      <c r="BI116" s="78">
        <f>IF(BF116&lt;&gt;"",IF($F$11="raty malejące",MIN(BK115/($F$4-BF115+SUM($BG$27:BG116)-SUM($BM$27:BM116)),BK115),MIN(BH116-BJ116,BK115)),"")</f>
        <v>1465.1157732320662</v>
      </c>
      <c r="BJ116" s="78">
        <f t="shared" si="114"/>
        <v>2056.9842267679337</v>
      </c>
      <c r="BK116" s="79">
        <f t="shared" si="115"/>
        <v>282256.84653958632</v>
      </c>
      <c r="BL116" s="11"/>
      <c r="BM116" s="33"/>
      <c r="BN116" s="33">
        <f t="shared" si="127"/>
        <v>-9.9999999997635314E-3</v>
      </c>
      <c r="BO116" s="33">
        <f t="shared" si="128"/>
        <v>-0.1145685640374705</v>
      </c>
      <c r="BP116" s="33">
        <f>IF(O116&lt;&gt;"",BO116-SUM($BN$44:BN116),"")</f>
        <v>-2.4568564039598714E-2</v>
      </c>
      <c r="BQ116" s="11">
        <f t="shared" si="89"/>
        <v>20</v>
      </c>
      <c r="BR116" s="11">
        <f>IF(BF116&lt;&gt;"",IF($B$16=listy!$K$8,'RZĄDOWY PROGRAM'!$F$3*'RZĄDOWY PROGRAM'!$F$15,BK115*$F$15),"")</f>
        <v>50</v>
      </c>
      <c r="BS116" s="11">
        <f t="shared" si="90"/>
        <v>70</v>
      </c>
      <c r="BU116" s="8">
        <f t="shared" si="116"/>
        <v>89</v>
      </c>
      <c r="BV116" s="8"/>
      <c r="BW116" s="78">
        <f>IF(BU116&lt;&gt;"",ROUND(IF($F$11="raty równe",-PMT(W116/12,$F$4-BU115+SUM($BV$28:BV116)-$CB$43,BZ115,2),BX116+BY116),2),"")</f>
        <v>3522.1</v>
      </c>
      <c r="BX116" s="78">
        <f>IF(BU116&lt;&gt;"",IF($F$11="raty malejące",MIN(BZ115/($F$4-BU115+SUM($BV$28:BV115)-SUM($CB$28:CB115)),BZ115),MIN(BW116-BY116,BZ115)),"")</f>
        <v>1461.9295307959387</v>
      </c>
      <c r="BY116" s="78">
        <f t="shared" si="123"/>
        <v>2060.1704692040612</v>
      </c>
      <c r="BZ116" s="79">
        <f t="shared" si="124"/>
        <v>282699.51449735038</v>
      </c>
      <c r="CA116" s="11"/>
      <c r="CB116" s="33"/>
      <c r="CC116" s="33">
        <f t="shared" si="117"/>
        <v>-9.9999999997635314E-3</v>
      </c>
      <c r="CD116" s="33">
        <f t="shared" si="129"/>
        <v>0.3128700062017909</v>
      </c>
      <c r="CE116" s="33">
        <f>IF(O116&lt;&gt;"",CD116-SUM($CC$44:CC116),"")</f>
        <v>5.287000620793908E-2</v>
      </c>
      <c r="CF116" s="11">
        <f t="shared" si="91"/>
        <v>20</v>
      </c>
      <c r="CG116" s="11">
        <f>IF(BU116&lt;&gt;"",IF($B$16=listy!$K$8,'RZĄDOWY PROGRAM'!$F$3*'RZĄDOWY PROGRAM'!$F$15,BZ115*$F$15),"")</f>
        <v>50</v>
      </c>
      <c r="CH116" s="11">
        <f t="shared" si="92"/>
        <v>70</v>
      </c>
      <c r="CJ116" s="48">
        <f t="shared" si="93"/>
        <v>0.06</v>
      </c>
      <c r="CK116" s="18">
        <f t="shared" si="94"/>
        <v>4.8675505653430484E-3</v>
      </c>
      <c r="CL116" s="11">
        <f t="shared" si="125"/>
        <v>0</v>
      </c>
      <c r="CM116" s="11">
        <f t="shared" si="95"/>
        <v>38836.81775943657</v>
      </c>
      <c r="CN116" s="11">
        <f>IF(AB116&lt;&gt;"",CM116-SUM($CL$28:CL116),"")</f>
        <v>10660.057759436575</v>
      </c>
    </row>
    <row r="117" spans="1:92" x14ac:dyDescent="0.45">
      <c r="A117" s="68">
        <f t="shared" si="118"/>
        <v>47453</v>
      </c>
      <c r="B117" s="8">
        <f t="shared" si="78"/>
        <v>90</v>
      </c>
      <c r="C117" s="11">
        <f t="shared" si="79"/>
        <v>3522.1</v>
      </c>
      <c r="D117" s="11">
        <f t="shared" si="80"/>
        <v>1183.2485938703403</v>
      </c>
      <c r="E117" s="11">
        <f t="shared" si="81"/>
        <v>2338.8514061296596</v>
      </c>
      <c r="F117" s="9">
        <f t="shared" si="96"/>
        <v>321416.94535504823</v>
      </c>
      <c r="G117" s="10">
        <f t="shared" si="82"/>
        <v>7.0000000000000007E-2</v>
      </c>
      <c r="H117" s="10">
        <f t="shared" si="83"/>
        <v>1.7000000000000001E-2</v>
      </c>
      <c r="I117" s="48">
        <f t="shared" si="97"/>
        <v>8.7000000000000008E-2</v>
      </c>
      <c r="J117" s="11">
        <f t="shared" si="84"/>
        <v>20</v>
      </c>
      <c r="K117" s="11">
        <f>IF(B117&lt;&gt;"",IF($B$16=listy!$K$8,'RZĄDOWY PROGRAM'!$F$3*'RZĄDOWY PROGRAM'!$F$15,F116*$F$15),"")</f>
        <v>50</v>
      </c>
      <c r="L117" s="11">
        <f t="shared" si="98"/>
        <v>70</v>
      </c>
      <c r="N117" s="54">
        <f t="shared" si="119"/>
        <v>47453</v>
      </c>
      <c r="O117" s="8">
        <f t="shared" si="99"/>
        <v>90</v>
      </c>
      <c r="P117" s="8"/>
      <c r="Q117" s="11">
        <f>IF(O117&lt;&gt;"",ROUND(IF($F$11="raty równe",-PMT(W117/12,$F$4-O116+SUM($P$28:P117),T116,2),R117+S117),2),"")</f>
        <v>3522.1</v>
      </c>
      <c r="R117" s="11">
        <f>IF(O117&lt;&gt;"",IF($F$11="raty malejące",T116/($F$4-O116+SUM($P$28:P117)),IF(Q117-S117&gt;T116,T116,Q117-S117)),"")</f>
        <v>1116.8064084297994</v>
      </c>
      <c r="S117" s="11">
        <f t="shared" si="121"/>
        <v>2405.2935915702005</v>
      </c>
      <c r="T117" s="9">
        <f t="shared" si="100"/>
        <v>330647.8269115978</v>
      </c>
      <c r="U117" s="10">
        <f t="shared" si="85"/>
        <v>7.0000000000000007E-2</v>
      </c>
      <c r="V117" s="10">
        <f t="shared" si="86"/>
        <v>1.7000000000000001E-2</v>
      </c>
      <c r="W117" s="48">
        <f t="shared" si="101"/>
        <v>8.7000000000000008E-2</v>
      </c>
      <c r="X117" s="11">
        <f t="shared" si="87"/>
        <v>20</v>
      </c>
      <c r="Y117" s="11">
        <f>IF(O117&lt;&gt;"",IF($B$16=listy!$K$8,'RZĄDOWY PROGRAM'!$F$3*'RZĄDOWY PROGRAM'!$F$15,T116*$F$15),"")</f>
        <v>50</v>
      </c>
      <c r="Z117" s="11">
        <f t="shared" si="102"/>
        <v>70</v>
      </c>
      <c r="AB117" s="8">
        <f t="shared" si="103"/>
        <v>90</v>
      </c>
      <c r="AC117" s="8"/>
      <c r="AD117" s="11">
        <f>IF(AB117&lt;&gt;"",ROUND(IF($F$11="raty równe",-PMT(W117/12,$F$4-AB116+SUM($AC$28:AC117),AG116,2),AE117+AF117),2),"")</f>
        <v>3280.39</v>
      </c>
      <c r="AE117" s="11">
        <f>IF(AB117&lt;&gt;"",IF($F$11="raty malejące",AG116/($F$4-AB116+SUM($AC$28:AC116)),MIN(AD117-AF117,AG116)),"")</f>
        <v>1040.1590116497341</v>
      </c>
      <c r="AF117" s="11">
        <f t="shared" si="122"/>
        <v>2240.2309883502658</v>
      </c>
      <c r="AG117" s="9">
        <f t="shared" si="120"/>
        <v>307957.21869183518</v>
      </c>
      <c r="AH117" s="11"/>
      <c r="AI117" s="33">
        <f>IF(AB117&lt;&gt;"",ROUND(IF($F$11="raty równe",-PMT(W117/12,($F$4-AB116+SUM($AC$27:AC116)),AG116,2),AG116/($F$4-AB116+SUM($AC$27:AC116))+AG116*W117/12),2),"")</f>
        <v>3280.39</v>
      </c>
      <c r="AJ117" s="33">
        <f t="shared" si="104"/>
        <v>241.71000000000004</v>
      </c>
      <c r="AK117" s="33">
        <f t="shared" si="88"/>
        <v>23550.95192434901</v>
      </c>
      <c r="AL117" s="33">
        <f>IF(AB117&lt;&gt;"",AK117-SUM($AJ$28:AJ117),"")</f>
        <v>3592.3419243490134</v>
      </c>
      <c r="AM117" s="11">
        <f t="shared" si="105"/>
        <v>20</v>
      </c>
      <c r="AN117" s="11">
        <f>IF(AB117&lt;&gt;"",IF($B$16=listy!$K$8,'RZĄDOWY PROGRAM'!$F$3*'RZĄDOWY PROGRAM'!$F$15,AG116*$F$15),"")</f>
        <v>50</v>
      </c>
      <c r="AO117" s="11">
        <f t="shared" si="106"/>
        <v>70</v>
      </c>
      <c r="AQ117" s="8">
        <f t="shared" si="107"/>
        <v>90</v>
      </c>
      <c r="AR117" s="8"/>
      <c r="AS117" s="78">
        <f>IF(AQ117&lt;&gt;"",ROUND(IF($F$11="raty równe",-PMT(W117/12,$F$4-AQ116+SUM($AR$28:AR117),AV116,2),AT117+AU117),2),"")</f>
        <v>3263.83</v>
      </c>
      <c r="AT117" s="78">
        <f>IF(AQ117&lt;&gt;"",IF($F$11="raty malejące",AV116/($F$4-AQ116+SUM($AR$28:AR116)),MIN(AS117-AU117,AV116)),"")</f>
        <v>1034.9133579614881</v>
      </c>
      <c r="AU117" s="78">
        <f t="shared" si="108"/>
        <v>2228.9166420385118</v>
      </c>
      <c r="AV117" s="79">
        <f t="shared" si="109"/>
        <v>306401.86485424696</v>
      </c>
      <c r="AW117" s="11"/>
      <c r="AX117" s="33">
        <f>IF(AQ117&lt;&gt;"",ROUND(IF($F$11="raty równe",-PMT(W117/12,($F$4-AQ116+SUM($AR$27:AR116)),AV116,2),AV116/($F$4-AQ116+SUM($AR$27:AR116))+AV116*W117/12),2),"")</f>
        <v>3263.83</v>
      </c>
      <c r="AY117" s="33">
        <f t="shared" si="110"/>
        <v>258.27</v>
      </c>
      <c r="AZ117" s="33">
        <f t="shared" si="126"/>
        <v>22141.877437131137</v>
      </c>
      <c r="BA117" s="33">
        <f>IF(AQ117&lt;&gt;"",AZ117-SUM($AY$44:AY117),"")</f>
        <v>3029.9074371311144</v>
      </c>
      <c r="BB117" s="11">
        <f t="shared" si="111"/>
        <v>20</v>
      </c>
      <c r="BC117" s="11">
        <f>IF(AQ117&lt;&gt;"",IF($B$16=listy!$K$8,'RZĄDOWY PROGRAM'!$F$3*'RZĄDOWY PROGRAM'!$F$15,AV116*$F$15),"")</f>
        <v>50</v>
      </c>
      <c r="BD117" s="11">
        <f t="shared" si="112"/>
        <v>70</v>
      </c>
      <c r="BF117" s="8">
        <f t="shared" si="113"/>
        <v>90</v>
      </c>
      <c r="BG117" s="8"/>
      <c r="BH117" s="78">
        <f>IF(BF117&lt;&gt;"",ROUND(IF($F$11="raty równe",-PMT(W117/12,$F$4-BF116+SUM(BV$28:$BV117)-SUM($BM$29:BM117),BK116,2),BI117+BJ117),2),"")</f>
        <v>3522.09</v>
      </c>
      <c r="BI117" s="78">
        <f>IF(BF117&lt;&gt;"",IF($F$11="raty malejące",MIN(BK116/($F$4-BF116+SUM($BG$27:BG117)-SUM($BM$27:BM117)),BK116),MIN(BH117-BJ117,BK116)),"")</f>
        <v>1475.7278625879992</v>
      </c>
      <c r="BJ117" s="78">
        <f t="shared" si="114"/>
        <v>2046.3621374120009</v>
      </c>
      <c r="BK117" s="79">
        <f t="shared" si="115"/>
        <v>280781.1186769983</v>
      </c>
      <c r="BL117" s="11"/>
      <c r="BM117" s="33"/>
      <c r="BN117" s="33">
        <f t="shared" si="127"/>
        <v>9.9999999997635314E-3</v>
      </c>
      <c r="BO117" s="33">
        <f t="shared" si="128"/>
        <v>-0.10502027534341439</v>
      </c>
      <c r="BP117" s="33">
        <f>IF(O117&lt;&gt;"",BO117-SUM($BN$44:BN117),"")</f>
        <v>-2.5020275345306139E-2</v>
      </c>
      <c r="BQ117" s="11">
        <f t="shared" si="89"/>
        <v>20</v>
      </c>
      <c r="BR117" s="11">
        <f>IF(BF117&lt;&gt;"",IF($B$16=listy!$K$8,'RZĄDOWY PROGRAM'!$F$3*'RZĄDOWY PROGRAM'!$F$15,BK116*$F$15),"")</f>
        <v>50</v>
      </c>
      <c r="BS117" s="11">
        <f t="shared" si="90"/>
        <v>70</v>
      </c>
      <c r="BU117" s="8">
        <f t="shared" si="116"/>
        <v>90</v>
      </c>
      <c r="BV117" s="8"/>
      <c r="BW117" s="78">
        <f>IF(BU117&lt;&gt;"",ROUND(IF($F$11="raty równe",-PMT(W117/12,$F$4-BU116+SUM($BV$28:BV117)-$CB$43,BZ116,2),BX117+BY117),2),"")</f>
        <v>3522.09</v>
      </c>
      <c r="BX117" s="78">
        <f>IF(BU117&lt;&gt;"",IF($F$11="raty malejące",MIN(BZ116/($F$4-BU116+SUM($BV$28:BV116)-SUM($CB$28:CB116)),BZ116),MIN(BW117-BY117,BZ116)),"")</f>
        <v>1472.5185198942095</v>
      </c>
      <c r="BY117" s="78">
        <f t="shared" si="123"/>
        <v>2049.5714801057907</v>
      </c>
      <c r="BZ117" s="79">
        <f t="shared" si="124"/>
        <v>281226.99597745616</v>
      </c>
      <c r="CA117" s="11"/>
      <c r="CB117" s="33"/>
      <c r="CC117" s="33">
        <f t="shared" si="117"/>
        <v>9.9999999997635314E-3</v>
      </c>
      <c r="CD117" s="33">
        <f t="shared" si="129"/>
        <v>0.32410356376776323</v>
      </c>
      <c r="CE117" s="33">
        <f>IF(O117&lt;&gt;"",CD117-SUM($CC$44:CC117),"")</f>
        <v>5.4103563774147878E-2</v>
      </c>
      <c r="CF117" s="11">
        <f t="shared" si="91"/>
        <v>20</v>
      </c>
      <c r="CG117" s="11">
        <f>IF(BU117&lt;&gt;"",IF($B$16=listy!$K$8,'RZĄDOWY PROGRAM'!$F$3*'RZĄDOWY PROGRAM'!$F$15,BZ116*$F$15),"")</f>
        <v>50</v>
      </c>
      <c r="CH117" s="11">
        <f t="shared" si="92"/>
        <v>70</v>
      </c>
      <c r="CJ117" s="48">
        <f t="shared" si="93"/>
        <v>0.06</v>
      </c>
      <c r="CK117" s="18">
        <f t="shared" si="94"/>
        <v>4.8675505653430484E-3</v>
      </c>
      <c r="CL117" s="11">
        <f t="shared" si="125"/>
        <v>0</v>
      </c>
      <c r="CM117" s="11">
        <f t="shared" si="95"/>
        <v>38989.940300571841</v>
      </c>
      <c r="CN117" s="11">
        <f>IF(AB117&lt;&gt;"",CM117-SUM($CL$28:CL117),"")</f>
        <v>10813.180300571847</v>
      </c>
    </row>
    <row r="118" spans="1:92" x14ac:dyDescent="0.45">
      <c r="A118" s="68">
        <f t="shared" si="118"/>
        <v>47484</v>
      </c>
      <c r="B118" s="8">
        <f t="shared" si="78"/>
        <v>91</v>
      </c>
      <c r="C118" s="11">
        <f t="shared" si="79"/>
        <v>3522.09</v>
      </c>
      <c r="D118" s="11">
        <f t="shared" si="80"/>
        <v>1191.8171461759002</v>
      </c>
      <c r="E118" s="11">
        <f t="shared" si="81"/>
        <v>2330.2728538240999</v>
      </c>
      <c r="F118" s="9">
        <f t="shared" si="96"/>
        <v>320225.12820887234</v>
      </c>
      <c r="G118" s="10">
        <f t="shared" si="82"/>
        <v>7.0000000000000007E-2</v>
      </c>
      <c r="H118" s="10">
        <f t="shared" si="83"/>
        <v>1.7000000000000001E-2</v>
      </c>
      <c r="I118" s="48">
        <f t="shared" si="97"/>
        <v>8.7000000000000008E-2</v>
      </c>
      <c r="J118" s="11">
        <f t="shared" si="84"/>
        <v>20</v>
      </c>
      <c r="K118" s="11">
        <f>IF(B118&lt;&gt;"",IF($B$16=listy!$K$8,'RZĄDOWY PROGRAM'!$F$3*'RZĄDOWY PROGRAM'!$F$15,F117*$F$15),"")</f>
        <v>50</v>
      </c>
      <c r="L118" s="11">
        <f t="shared" si="98"/>
        <v>70</v>
      </c>
      <c r="N118" s="54">
        <f t="shared" si="119"/>
        <v>47484</v>
      </c>
      <c r="O118" s="8">
        <f t="shared" si="99"/>
        <v>91</v>
      </c>
      <c r="P118" s="8"/>
      <c r="Q118" s="11">
        <f>IF(O118&lt;&gt;"",ROUND(IF($F$11="raty równe",-PMT(W118/12,$F$4-O117+SUM($P$28:P118),T117,2),R118+S118),2),"")</f>
        <v>3522.09</v>
      </c>
      <c r="R118" s="11">
        <f>IF(O118&lt;&gt;"",IF($F$11="raty malejące",T117/($F$4-O117+SUM($P$28:P118)),IF(Q118-S118&gt;T117,T117,Q118-S118)),"")</f>
        <v>1124.8932548909156</v>
      </c>
      <c r="S118" s="11">
        <f t="shared" si="121"/>
        <v>2397.1967451090845</v>
      </c>
      <c r="T118" s="9">
        <f t="shared" si="100"/>
        <v>329522.93365670688</v>
      </c>
      <c r="U118" s="10">
        <f t="shared" si="85"/>
        <v>7.0000000000000007E-2</v>
      </c>
      <c r="V118" s="10">
        <f t="shared" si="86"/>
        <v>1.7000000000000001E-2</v>
      </c>
      <c r="W118" s="48">
        <f t="shared" si="101"/>
        <v>8.7000000000000008E-2</v>
      </c>
      <c r="X118" s="11">
        <f t="shared" si="87"/>
        <v>20</v>
      </c>
      <c r="Y118" s="11">
        <f>IF(O118&lt;&gt;"",IF($B$16=listy!$K$8,'RZĄDOWY PROGRAM'!$F$3*'RZĄDOWY PROGRAM'!$F$15,T117*$F$15),"")</f>
        <v>50</v>
      </c>
      <c r="Z118" s="11">
        <f t="shared" si="102"/>
        <v>70</v>
      </c>
      <c r="AB118" s="8">
        <f t="shared" si="103"/>
        <v>91</v>
      </c>
      <c r="AC118" s="8"/>
      <c r="AD118" s="11">
        <f>IF(AB118&lt;&gt;"",ROUND(IF($F$11="raty równe",-PMT(W118/12,$F$4-AB117+SUM($AC$28:AC118),AG117,2),AE118+AF118),2),"")</f>
        <v>3280.39</v>
      </c>
      <c r="AE118" s="11">
        <f>IF(AB118&lt;&gt;"",IF($F$11="raty malejące",AG117/($F$4-AB117+SUM($AC$28:AC117)),MIN(AD118-AF118,AG117)),"")</f>
        <v>1047.7001644841948</v>
      </c>
      <c r="AF118" s="11">
        <f t="shared" si="122"/>
        <v>2232.689835515805</v>
      </c>
      <c r="AG118" s="9">
        <f t="shared" si="120"/>
        <v>306909.51852735097</v>
      </c>
      <c r="AH118" s="11"/>
      <c r="AI118" s="33">
        <f>IF(AB118&lt;&gt;"",ROUND(IF($F$11="raty równe",-PMT(W118/12,($F$4-AB117+SUM($AC$27:AC117)),AG117,2),AG117/($F$4-AB117+SUM($AC$27:AC117))+AG117*W118/12),2),"")</f>
        <v>3280.39</v>
      </c>
      <c r="AJ118" s="33">
        <f t="shared" si="104"/>
        <v>241.70000000000027</v>
      </c>
      <c r="AK118" s="33">
        <f t="shared" si="88"/>
        <v>23885.506638325536</v>
      </c>
      <c r="AL118" s="33">
        <f>IF(AB118&lt;&gt;"",AK118-SUM($AJ$28:AJ118),"")</f>
        <v>3685.1966383255385</v>
      </c>
      <c r="AM118" s="11">
        <f t="shared" si="105"/>
        <v>20</v>
      </c>
      <c r="AN118" s="11">
        <f>IF(AB118&lt;&gt;"",IF($B$16=listy!$K$8,'RZĄDOWY PROGRAM'!$F$3*'RZĄDOWY PROGRAM'!$F$15,AG117*$F$15),"")</f>
        <v>50</v>
      </c>
      <c r="AO118" s="11">
        <f t="shared" si="106"/>
        <v>70</v>
      </c>
      <c r="AQ118" s="8">
        <f t="shared" si="107"/>
        <v>91</v>
      </c>
      <c r="AR118" s="8"/>
      <c r="AS118" s="78">
        <f>IF(AQ118&lt;&gt;"",ROUND(IF($F$11="raty równe",-PMT(W118/12,$F$4-AQ117+SUM($AR$28:AR118),AV117,2),AT118+AU118),2),"")</f>
        <v>3263.82</v>
      </c>
      <c r="AT118" s="78">
        <f>IF(AQ118&lt;&gt;"",IF($F$11="raty malejące",AV117/($F$4-AQ117+SUM($AR$28:AR117)),MIN(AS118-AU118,AV117)),"")</f>
        <v>1042.4064798067093</v>
      </c>
      <c r="AU118" s="78">
        <f t="shared" si="108"/>
        <v>2221.4135201932909</v>
      </c>
      <c r="AV118" s="79">
        <f t="shared" si="109"/>
        <v>305359.45837444026</v>
      </c>
      <c r="AW118" s="11"/>
      <c r="AX118" s="33">
        <f>IF(AQ118&lt;&gt;"",ROUND(IF($F$11="raty równe",-PMT(W118/12,($F$4-AQ117+SUM($AR$27:AR117)),AV117,2),AV117/($F$4-AQ117+SUM($AR$27:AR117))+AV117*W118/12),2),"")</f>
        <v>3263.82</v>
      </c>
      <c r="AY118" s="33">
        <f t="shared" si="110"/>
        <v>258.27</v>
      </c>
      <c r="AZ118" s="33">
        <f t="shared" si="126"/>
        <v>22487.446570641001</v>
      </c>
      <c r="BA118" s="33">
        <f>IF(AQ118&lt;&gt;"",AZ118-SUM($AY$44:AY118),"")</f>
        <v>3117.2065706409776</v>
      </c>
      <c r="BB118" s="11">
        <f t="shared" si="111"/>
        <v>20</v>
      </c>
      <c r="BC118" s="11">
        <f>IF(AQ118&lt;&gt;"",IF($B$16=listy!$K$8,'RZĄDOWY PROGRAM'!$F$3*'RZĄDOWY PROGRAM'!$F$15,AV117*$F$15),"")</f>
        <v>50</v>
      </c>
      <c r="BD118" s="11">
        <f t="shared" si="112"/>
        <v>70</v>
      </c>
      <c r="BF118" s="8">
        <f t="shared" si="113"/>
        <v>91</v>
      </c>
      <c r="BG118" s="8"/>
      <c r="BH118" s="78">
        <f>IF(BF118&lt;&gt;"",ROUND(IF($F$11="raty równe",-PMT(W118/12,$F$4-BF117+SUM(BV$28:$BV118)-SUM($BM$29:BM118),BK117,2),BI118+BJ118),2),"")</f>
        <v>3522.1</v>
      </c>
      <c r="BI118" s="78">
        <f>IF(BF118&lt;&gt;"",IF($F$11="raty malejące",MIN(BK117/($F$4-BF117+SUM($BG$27:BG118)-SUM($BM$27:BM118)),BK117),MIN(BH118-BJ118,BK117)),"")</f>
        <v>1486.4368895917619</v>
      </c>
      <c r="BJ118" s="78">
        <f t="shared" si="114"/>
        <v>2035.663110408238</v>
      </c>
      <c r="BK118" s="79">
        <f t="shared" si="115"/>
        <v>279294.68178740656</v>
      </c>
      <c r="BL118" s="11"/>
      <c r="BM118" s="33"/>
      <c r="BN118" s="33">
        <f t="shared" si="127"/>
        <v>-9.9999999997635314E-3</v>
      </c>
      <c r="BO118" s="33">
        <f t="shared" si="128"/>
        <v>-0.11543434045868038</v>
      </c>
      <c r="BP118" s="33">
        <f>IF(O118&lt;&gt;"",BO118-SUM($BN$44:BN118),"")</f>
        <v>-2.5434340460808599E-2</v>
      </c>
      <c r="BQ118" s="11">
        <f t="shared" si="89"/>
        <v>20</v>
      </c>
      <c r="BR118" s="11">
        <f>IF(BF118&lt;&gt;"",IF($B$16=listy!$K$8,'RZĄDOWY PROGRAM'!$F$3*'RZĄDOWY PROGRAM'!$F$15,BK117*$F$15),"")</f>
        <v>50</v>
      </c>
      <c r="BS118" s="11">
        <f t="shared" si="90"/>
        <v>70</v>
      </c>
      <c r="BU118" s="8">
        <f t="shared" si="116"/>
        <v>91</v>
      </c>
      <c r="BV118" s="8"/>
      <c r="BW118" s="78">
        <f>IF(BU118&lt;&gt;"",ROUND(IF($F$11="raty równe",-PMT(W118/12,$F$4-BU117+SUM($BV$28:BV118)-$CB$43,BZ117,2),BX118+BY118),2),"")</f>
        <v>3522.09</v>
      </c>
      <c r="BX118" s="78">
        <f>IF(BU118&lt;&gt;"",IF($F$11="raty malejące",MIN(BZ117/($F$4-BU117+SUM($BV$28:BV117)-SUM($CB$28:CB117)),BZ117),MIN(BW118-BY118,BZ117)),"")</f>
        <v>1483.1942791634428</v>
      </c>
      <c r="BY118" s="78">
        <f t="shared" si="123"/>
        <v>2038.8957208365573</v>
      </c>
      <c r="BZ118" s="79">
        <f t="shared" si="124"/>
        <v>279743.80169829272</v>
      </c>
      <c r="CA118" s="11"/>
      <c r="CB118" s="33"/>
      <c r="CC118" s="33">
        <f t="shared" si="117"/>
        <v>0</v>
      </c>
      <c r="CD118" s="33">
        <f t="shared" si="129"/>
        <v>0.32538141206065169</v>
      </c>
      <c r="CE118" s="33">
        <f>IF(O118&lt;&gt;"",CD118-SUM($CC$44:CC118),"")</f>
        <v>5.538141206703634E-2</v>
      </c>
      <c r="CF118" s="11">
        <f t="shared" si="91"/>
        <v>20</v>
      </c>
      <c r="CG118" s="11">
        <f>IF(BU118&lt;&gt;"",IF($B$16=listy!$K$8,'RZĄDOWY PROGRAM'!$F$3*'RZĄDOWY PROGRAM'!$F$15,BZ117*$F$15),"")</f>
        <v>50</v>
      </c>
      <c r="CH118" s="11">
        <f t="shared" si="92"/>
        <v>70</v>
      </c>
      <c r="CJ118" s="48">
        <f t="shared" si="93"/>
        <v>0.06</v>
      </c>
      <c r="CK118" s="18">
        <f t="shared" si="94"/>
        <v>4.8675505653430484E-3</v>
      </c>
      <c r="CL118" s="11">
        <f t="shared" si="125"/>
        <v>0</v>
      </c>
      <c r="CM118" s="11">
        <f t="shared" si="95"/>
        <v>39143.666560393562</v>
      </c>
      <c r="CN118" s="11">
        <f>IF(AB118&lt;&gt;"",CM118-SUM($CL$28:CL118),"")</f>
        <v>10966.906560393567</v>
      </c>
    </row>
    <row r="119" spans="1:92" x14ac:dyDescent="0.45">
      <c r="A119" s="68">
        <f t="shared" si="118"/>
        <v>47515</v>
      </c>
      <c r="B119" s="8">
        <f t="shared" si="78"/>
        <v>92</v>
      </c>
      <c r="C119" s="11">
        <f t="shared" si="79"/>
        <v>3522.1</v>
      </c>
      <c r="D119" s="11">
        <f t="shared" si="80"/>
        <v>1200.4678204856755</v>
      </c>
      <c r="E119" s="11">
        <f t="shared" si="81"/>
        <v>2321.6321795143244</v>
      </c>
      <c r="F119" s="9">
        <f t="shared" si="96"/>
        <v>319024.66038838669</v>
      </c>
      <c r="G119" s="10">
        <f t="shared" si="82"/>
        <v>7.0000000000000007E-2</v>
      </c>
      <c r="H119" s="10">
        <f t="shared" si="83"/>
        <v>1.7000000000000001E-2</v>
      </c>
      <c r="I119" s="48">
        <f t="shared" si="97"/>
        <v>8.7000000000000008E-2</v>
      </c>
      <c r="J119" s="11">
        <f t="shared" si="84"/>
        <v>20</v>
      </c>
      <c r="K119" s="11">
        <f>IF(B119&lt;&gt;"",IF($B$16=listy!$K$8,'RZĄDOWY PROGRAM'!$F$3*'RZĄDOWY PROGRAM'!$F$15,F118*$F$15),"")</f>
        <v>50</v>
      </c>
      <c r="L119" s="11">
        <f t="shared" si="98"/>
        <v>70</v>
      </c>
      <c r="N119" s="54">
        <f t="shared" si="119"/>
        <v>47515</v>
      </c>
      <c r="O119" s="8">
        <f t="shared" si="99"/>
        <v>92</v>
      </c>
      <c r="P119" s="8"/>
      <c r="Q119" s="11">
        <f>IF(O119&lt;&gt;"",ROUND(IF($F$11="raty równe",-PMT(W119/12,$F$4-O118+SUM($P$28:P119),T118,2),R119+S119),2),"")</f>
        <v>3522.1</v>
      </c>
      <c r="R119" s="11">
        <f>IF(O119&lt;&gt;"",IF($F$11="raty malejące",T118/($F$4-O118+SUM($P$28:P119)),IF(Q119-S119&gt;T118,T118,Q119-S119)),"")</f>
        <v>1133.0587309888747</v>
      </c>
      <c r="S119" s="11">
        <f t="shared" si="121"/>
        <v>2389.0412690111252</v>
      </c>
      <c r="T119" s="9">
        <f t="shared" si="100"/>
        <v>328389.874925718</v>
      </c>
      <c r="U119" s="10">
        <f t="shared" si="85"/>
        <v>7.0000000000000007E-2</v>
      </c>
      <c r="V119" s="10">
        <f t="shared" si="86"/>
        <v>1.7000000000000001E-2</v>
      </c>
      <c r="W119" s="48">
        <f t="shared" si="101"/>
        <v>8.7000000000000008E-2</v>
      </c>
      <c r="X119" s="11">
        <f t="shared" si="87"/>
        <v>20</v>
      </c>
      <c r="Y119" s="11">
        <f>IF(O119&lt;&gt;"",IF($B$16=listy!$K$8,'RZĄDOWY PROGRAM'!$F$3*'RZĄDOWY PROGRAM'!$F$15,T118*$F$15),"")</f>
        <v>50</v>
      </c>
      <c r="Z119" s="11">
        <f t="shared" si="102"/>
        <v>70</v>
      </c>
      <c r="AB119" s="8">
        <f t="shared" si="103"/>
        <v>92</v>
      </c>
      <c r="AC119" s="8"/>
      <c r="AD119" s="11">
        <f>IF(AB119&lt;&gt;"",ROUND(IF($F$11="raty równe",-PMT(W119/12,$F$4-AB118+SUM($AC$28:AC119),AG118,2),AE119+AF119),2),"")</f>
        <v>3280.39</v>
      </c>
      <c r="AE119" s="11">
        <f>IF(AB119&lt;&gt;"",IF($F$11="raty malejące",AG118/($F$4-AB118+SUM($AC$28:AC118)),MIN(AD119-AF119,AG118)),"")</f>
        <v>1055.2959906767051</v>
      </c>
      <c r="AF119" s="11">
        <f t="shared" si="122"/>
        <v>2225.0940093232948</v>
      </c>
      <c r="AG119" s="9">
        <f t="shared" si="120"/>
        <v>305854.22253667429</v>
      </c>
      <c r="AH119" s="11"/>
      <c r="AI119" s="33">
        <f>IF(AB119&lt;&gt;"",ROUND(IF($F$11="raty równe",-PMT(W119/12,($F$4-AB118+SUM($AC$27:AC118)),AG118,2),AG118/($F$4-AB118+SUM($AC$27:AC118))+AG118*W119/12),2),"")</f>
        <v>3280.39</v>
      </c>
      <c r="AJ119" s="33">
        <f t="shared" si="104"/>
        <v>241.71000000000004</v>
      </c>
      <c r="AK119" s="33">
        <f t="shared" si="88"/>
        <v>24221.390406511655</v>
      </c>
      <c r="AL119" s="33">
        <f>IF(AB119&lt;&gt;"",AK119-SUM($AJ$28:AJ119),"")</f>
        <v>3779.3704065116581</v>
      </c>
      <c r="AM119" s="11">
        <f t="shared" si="105"/>
        <v>20</v>
      </c>
      <c r="AN119" s="11">
        <f>IF(AB119&lt;&gt;"",IF($B$16=listy!$K$8,'RZĄDOWY PROGRAM'!$F$3*'RZĄDOWY PROGRAM'!$F$15,AG118*$F$15),"")</f>
        <v>50</v>
      </c>
      <c r="AO119" s="11">
        <f t="shared" si="106"/>
        <v>70</v>
      </c>
      <c r="AQ119" s="8">
        <f t="shared" si="107"/>
        <v>92</v>
      </c>
      <c r="AR119" s="8"/>
      <c r="AS119" s="78">
        <f>IF(AQ119&lt;&gt;"",ROUND(IF($F$11="raty równe",-PMT(W119/12,$F$4-AQ118+SUM($AR$28:AR119),AV118,2),AT119+AU119),2),"")</f>
        <v>3263.83</v>
      </c>
      <c r="AT119" s="78">
        <f>IF(AQ119&lt;&gt;"",IF($F$11="raty malejące",AV118/($F$4-AQ118+SUM($AR$28:AR118)),MIN(AS119-AU119,AV118)),"")</f>
        <v>1049.9739267853079</v>
      </c>
      <c r="AU119" s="78">
        <f t="shared" si="108"/>
        <v>2213.8560732146921</v>
      </c>
      <c r="AV119" s="79">
        <f t="shared" si="109"/>
        <v>304309.48444765498</v>
      </c>
      <c r="AW119" s="11"/>
      <c r="AX119" s="33">
        <f>IF(AQ119&lt;&gt;"",ROUND(IF($F$11="raty równe",-PMT(W119/12,($F$4-AQ118+SUM($AR$27:AR118)),AV118,2),AV118/($F$4-AQ118+SUM($AR$27:AR118))+AV118*W119/12),2),"")</f>
        <v>3263.83</v>
      </c>
      <c r="AY119" s="33">
        <f t="shared" si="110"/>
        <v>258.27</v>
      </c>
      <c r="AZ119" s="33">
        <f t="shared" si="126"/>
        <v>22834.378185088121</v>
      </c>
      <c r="BA119" s="33">
        <f>IF(AQ119&lt;&gt;"",AZ119-SUM($AY$44:AY119),"")</f>
        <v>3205.8681850880967</v>
      </c>
      <c r="BB119" s="11">
        <f t="shared" si="111"/>
        <v>20</v>
      </c>
      <c r="BC119" s="11">
        <f>IF(AQ119&lt;&gt;"",IF($B$16=listy!$K$8,'RZĄDOWY PROGRAM'!$F$3*'RZĄDOWY PROGRAM'!$F$15,AV118*$F$15),"")</f>
        <v>50</v>
      </c>
      <c r="BD119" s="11">
        <f t="shared" si="112"/>
        <v>70</v>
      </c>
      <c r="BF119" s="8">
        <f t="shared" si="113"/>
        <v>92</v>
      </c>
      <c r="BG119" s="8"/>
      <c r="BH119" s="78">
        <f>IF(BF119&lt;&gt;"",ROUND(IF($F$11="raty równe",-PMT(W119/12,$F$4-BF118+SUM(BV$28:$BV119)-SUM($BM$29:BM119),BK118,2),BI119+BJ119),2),"")</f>
        <v>3522.09</v>
      </c>
      <c r="BI119" s="78">
        <f>IF(BF119&lt;&gt;"",IF($F$11="raty malejące",MIN(BK118/($F$4-BF118+SUM($BG$27:BG119)-SUM($BM$27:BM119)),BK118),MIN(BH119-BJ119,BK118)),"")</f>
        <v>1497.2035570413025</v>
      </c>
      <c r="BJ119" s="78">
        <f t="shared" si="114"/>
        <v>2024.8864429586977</v>
      </c>
      <c r="BK119" s="79">
        <f t="shared" si="115"/>
        <v>277797.47823036526</v>
      </c>
      <c r="BL119" s="11"/>
      <c r="BM119" s="33"/>
      <c r="BN119" s="33">
        <f t="shared" si="127"/>
        <v>9.9999999997635314E-3</v>
      </c>
      <c r="BO119" s="33">
        <f t="shared" si="128"/>
        <v>-0.10588946527513618</v>
      </c>
      <c r="BP119" s="33">
        <f>IF(O119&lt;&gt;"",BO119-SUM($BN$44:BN119),"")</f>
        <v>-2.5889465277027929E-2</v>
      </c>
      <c r="BQ119" s="11">
        <f t="shared" si="89"/>
        <v>20</v>
      </c>
      <c r="BR119" s="11">
        <f>IF(BF119&lt;&gt;"",IF($B$16=listy!$K$8,'RZĄDOWY PROGRAM'!$F$3*'RZĄDOWY PROGRAM'!$F$15,BK118*$F$15),"")</f>
        <v>50</v>
      </c>
      <c r="BS119" s="11">
        <f t="shared" si="90"/>
        <v>70</v>
      </c>
      <c r="BU119" s="8">
        <f t="shared" si="116"/>
        <v>92</v>
      </c>
      <c r="BV119" s="8"/>
      <c r="BW119" s="78">
        <f>IF(BU119&lt;&gt;"",ROUND(IF($F$11="raty równe",-PMT(W119/12,$F$4-BU118+SUM($BV$28:BV119)-$CB$43,BZ118,2),BX119+BY119),2),"")</f>
        <v>3522.1</v>
      </c>
      <c r="BX119" s="78">
        <f>IF(BU119&lt;&gt;"",IF($F$11="raty malejące",MIN(BZ118/($F$4-BU118+SUM($BV$28:BV118)-SUM($CB$28:CB118)),BZ118),MIN(BW119-BY119,BZ118)),"")</f>
        <v>1493.9574376873775</v>
      </c>
      <c r="BY119" s="78">
        <f t="shared" si="123"/>
        <v>2028.1425623126224</v>
      </c>
      <c r="BZ119" s="79">
        <f t="shared" si="124"/>
        <v>278249.84426060534</v>
      </c>
      <c r="CA119" s="11"/>
      <c r="CB119" s="33"/>
      <c r="CC119" s="33">
        <f t="shared" si="117"/>
        <v>0</v>
      </c>
      <c r="CD119" s="33">
        <f t="shared" si="129"/>
        <v>0.32666429854639634</v>
      </c>
      <c r="CE119" s="33">
        <f>IF(O119&lt;&gt;"",CD119-SUM($CC$44:CC119),"")</f>
        <v>5.6664298552780989E-2</v>
      </c>
      <c r="CF119" s="11">
        <f t="shared" si="91"/>
        <v>20</v>
      </c>
      <c r="CG119" s="11">
        <f>IF(BU119&lt;&gt;"",IF($B$16=listy!$K$8,'RZĄDOWY PROGRAM'!$F$3*'RZĄDOWY PROGRAM'!$F$15,BZ118*$F$15),"")</f>
        <v>50</v>
      </c>
      <c r="CH119" s="11">
        <f t="shared" si="92"/>
        <v>70</v>
      </c>
      <c r="CJ119" s="48">
        <f t="shared" si="93"/>
        <v>0.06</v>
      </c>
      <c r="CK119" s="18">
        <f t="shared" si="94"/>
        <v>4.8675505653430484E-3</v>
      </c>
      <c r="CL119" s="11">
        <f t="shared" si="125"/>
        <v>0</v>
      </c>
      <c r="CM119" s="11">
        <f t="shared" si="95"/>
        <v>39297.998919193036</v>
      </c>
      <c r="CN119" s="11">
        <f>IF(AB119&lt;&gt;"",CM119-SUM($CL$28:CL119),"")</f>
        <v>11121.238919193042</v>
      </c>
    </row>
    <row r="120" spans="1:92" x14ac:dyDescent="0.45">
      <c r="A120" s="68">
        <f t="shared" si="118"/>
        <v>47543</v>
      </c>
      <c r="B120" s="8">
        <f t="shared" si="78"/>
        <v>93</v>
      </c>
      <c r="C120" s="11">
        <f t="shared" si="79"/>
        <v>3522.09</v>
      </c>
      <c r="D120" s="11">
        <f t="shared" si="80"/>
        <v>1209.1612121841963</v>
      </c>
      <c r="E120" s="11">
        <f t="shared" si="81"/>
        <v>2312.9287878158038</v>
      </c>
      <c r="F120" s="9">
        <f t="shared" si="96"/>
        <v>317815.49917620252</v>
      </c>
      <c r="G120" s="10">
        <f t="shared" si="82"/>
        <v>7.0000000000000007E-2</v>
      </c>
      <c r="H120" s="10">
        <f t="shared" si="83"/>
        <v>1.7000000000000001E-2</v>
      </c>
      <c r="I120" s="48">
        <f t="shared" si="97"/>
        <v>8.7000000000000008E-2</v>
      </c>
      <c r="J120" s="11">
        <f t="shared" si="84"/>
        <v>20</v>
      </c>
      <c r="K120" s="11">
        <f>IF(B120&lt;&gt;"",IF($B$16=listy!$K$8,'RZĄDOWY PROGRAM'!$F$3*'RZĄDOWY PROGRAM'!$F$15,F119*$F$15),"")</f>
        <v>50</v>
      </c>
      <c r="L120" s="11">
        <f t="shared" si="98"/>
        <v>70</v>
      </c>
      <c r="N120" s="54">
        <f t="shared" si="119"/>
        <v>47543</v>
      </c>
      <c r="O120" s="8">
        <f t="shared" si="99"/>
        <v>93</v>
      </c>
      <c r="P120" s="8"/>
      <c r="Q120" s="11">
        <f>IF(O120&lt;&gt;"",ROUND(IF($F$11="raty równe",-PMT(W120/12,$F$4-O119+SUM($P$28:P120),T119,2),R120+S120),2),"")</f>
        <v>3522.09</v>
      </c>
      <c r="R120" s="11">
        <f>IF(O120&lt;&gt;"",IF($F$11="raty malejące",T119/($F$4-O119+SUM($P$28:P120)),IF(Q120-S120&gt;T119,T119,Q120-S120)),"")</f>
        <v>1141.2634067885442</v>
      </c>
      <c r="S120" s="11">
        <f t="shared" si="121"/>
        <v>2380.8265932114559</v>
      </c>
      <c r="T120" s="9">
        <f t="shared" si="100"/>
        <v>327248.61151892948</v>
      </c>
      <c r="U120" s="10">
        <f t="shared" si="85"/>
        <v>7.0000000000000007E-2</v>
      </c>
      <c r="V120" s="10">
        <f t="shared" si="86"/>
        <v>1.7000000000000001E-2</v>
      </c>
      <c r="W120" s="48">
        <f t="shared" si="101"/>
        <v>8.7000000000000008E-2</v>
      </c>
      <c r="X120" s="11">
        <f t="shared" si="87"/>
        <v>20</v>
      </c>
      <c r="Y120" s="11">
        <f>IF(O120&lt;&gt;"",IF($B$16=listy!$K$8,'RZĄDOWY PROGRAM'!$F$3*'RZĄDOWY PROGRAM'!$F$15,T119*$F$15),"")</f>
        <v>50</v>
      </c>
      <c r="Z120" s="11">
        <f t="shared" si="102"/>
        <v>70</v>
      </c>
      <c r="AB120" s="8">
        <f t="shared" si="103"/>
        <v>93</v>
      </c>
      <c r="AC120" s="8"/>
      <c r="AD120" s="11">
        <f>IF(AB120&lt;&gt;"",ROUND(IF($F$11="raty równe",-PMT(W120/12,$F$4-AB119+SUM($AC$28:AC120),AG119,2),AE120+AF120),2),"")</f>
        <v>3280.39</v>
      </c>
      <c r="AE120" s="11">
        <f>IF(AB120&lt;&gt;"",IF($F$11="raty malejące",AG119/($F$4-AB119+SUM($AC$28:AC119)),MIN(AD120-AF120,AG119)),"")</f>
        <v>1062.9468866091111</v>
      </c>
      <c r="AF120" s="11">
        <f t="shared" si="122"/>
        <v>2217.4431133908888</v>
      </c>
      <c r="AG120" s="9">
        <f t="shared" si="120"/>
        <v>304791.27565006516</v>
      </c>
      <c r="AH120" s="11"/>
      <c r="AI120" s="33">
        <f>IF(AB120&lt;&gt;"",ROUND(IF($F$11="raty równe",-PMT(W120/12,($F$4-AB119+SUM($AC$27:AC119)),AG119,2),AG119/($F$4-AB119+SUM($AC$27:AC119))+AG119*W120/12),2),"")</f>
        <v>3280.39</v>
      </c>
      <c r="AJ120" s="33">
        <f t="shared" si="104"/>
        <v>241.70000000000027</v>
      </c>
      <c r="AK120" s="33">
        <f t="shared" si="88"/>
        <v>24558.588468990612</v>
      </c>
      <c r="AL120" s="33">
        <f>IF(AB120&lt;&gt;"",AK120-SUM($AJ$28:AJ120),"")</f>
        <v>3874.8684689906149</v>
      </c>
      <c r="AM120" s="11">
        <f t="shared" si="105"/>
        <v>20</v>
      </c>
      <c r="AN120" s="11">
        <f>IF(AB120&lt;&gt;"",IF($B$16=listy!$K$8,'RZĄDOWY PROGRAM'!$F$3*'RZĄDOWY PROGRAM'!$F$15,AG119*$F$15),"")</f>
        <v>50</v>
      </c>
      <c r="AO120" s="11">
        <f t="shared" si="106"/>
        <v>70</v>
      </c>
      <c r="AQ120" s="8">
        <f t="shared" si="107"/>
        <v>93</v>
      </c>
      <c r="AR120" s="8"/>
      <c r="AS120" s="78">
        <f>IF(AQ120&lt;&gt;"",ROUND(IF($F$11="raty równe",-PMT(W120/12,$F$4-AQ119+SUM($AR$28:AR120),AV119,2),AT120+AU120),2),"")</f>
        <v>3263.82</v>
      </c>
      <c r="AT120" s="78">
        <f>IF(AQ120&lt;&gt;"",IF($F$11="raty malejące",AV119/($F$4-AQ119+SUM($AR$28:AR119)),MIN(AS120-AU120,AV119)),"")</f>
        <v>1057.5762377545016</v>
      </c>
      <c r="AU120" s="78">
        <f t="shared" si="108"/>
        <v>2206.2437622454986</v>
      </c>
      <c r="AV120" s="79">
        <f t="shared" si="109"/>
        <v>303251.90820990049</v>
      </c>
      <c r="AW120" s="11"/>
      <c r="AX120" s="33">
        <f>IF(AQ120&lt;&gt;"",ROUND(IF($F$11="raty równe",-PMT(W120/12,($F$4-AQ119+SUM($AR$27:AR119)),AV119,2),AV119/($F$4-AQ119+SUM($AR$27:AR119))+AV119*W120/12),2),"")</f>
        <v>3263.82</v>
      </c>
      <c r="AY120" s="33">
        <f t="shared" si="110"/>
        <v>258.27</v>
      </c>
      <c r="AZ120" s="33">
        <f t="shared" si="126"/>
        <v>23182.677652347829</v>
      </c>
      <c r="BA120" s="33">
        <f>IF(AQ120&lt;&gt;"",AZ120-SUM($AY$44:AY120),"")</f>
        <v>3295.897652347805</v>
      </c>
      <c r="BB120" s="11">
        <f t="shared" si="111"/>
        <v>20</v>
      </c>
      <c r="BC120" s="11">
        <f>IF(AQ120&lt;&gt;"",IF($B$16=listy!$K$8,'RZĄDOWY PROGRAM'!$F$3*'RZĄDOWY PROGRAM'!$F$15,AV119*$F$15),"")</f>
        <v>50</v>
      </c>
      <c r="BD120" s="11">
        <f t="shared" si="112"/>
        <v>70</v>
      </c>
      <c r="BF120" s="8">
        <f t="shared" si="113"/>
        <v>93</v>
      </c>
      <c r="BG120" s="8"/>
      <c r="BH120" s="78">
        <f>IF(BF120&lt;&gt;"",ROUND(IF($F$11="raty równe",-PMT(W120/12,$F$4-BF119+SUM(BV$28:$BV120)-SUM($BM$29:BM120),BK119,2),BI120+BJ120),2),"")</f>
        <v>3522.1</v>
      </c>
      <c r="BI120" s="78">
        <f>IF(BF120&lt;&gt;"",IF($F$11="raty malejące",MIN(BK119/($F$4-BF119+SUM($BG$27:BG120)-SUM($BM$27:BM120)),BK119),MIN(BH120-BJ120,BK119)),"")</f>
        <v>1508.0682828298516</v>
      </c>
      <c r="BJ120" s="78">
        <f t="shared" si="114"/>
        <v>2014.0317171701483</v>
      </c>
      <c r="BK120" s="79">
        <f t="shared" si="115"/>
        <v>276289.40994753543</v>
      </c>
      <c r="BL120" s="11"/>
      <c r="BM120" s="33"/>
      <c r="BN120" s="33">
        <f t="shared" si="127"/>
        <v>-9.9999999997635314E-3</v>
      </c>
      <c r="BO120" s="33">
        <f t="shared" si="128"/>
        <v>-0.11630695735941644</v>
      </c>
      <c r="BP120" s="33">
        <f>IF(O120&lt;&gt;"",BO120-SUM($BN$44:BN120),"")</f>
        <v>-2.6306957361544661E-2</v>
      </c>
      <c r="BQ120" s="11">
        <f t="shared" si="89"/>
        <v>20</v>
      </c>
      <c r="BR120" s="11">
        <f>IF(BF120&lt;&gt;"",IF($B$16=listy!$K$8,'RZĄDOWY PROGRAM'!$F$3*'RZĄDOWY PROGRAM'!$F$15,BK119*$F$15),"")</f>
        <v>50</v>
      </c>
      <c r="BS120" s="11">
        <f t="shared" si="90"/>
        <v>70</v>
      </c>
      <c r="BU120" s="8">
        <f t="shared" si="116"/>
        <v>93</v>
      </c>
      <c r="BV120" s="8"/>
      <c r="BW120" s="78">
        <f>IF(BU120&lt;&gt;"",ROUND(IF($F$11="raty równe",-PMT(W120/12,$F$4-BU119+SUM($BV$28:BV120)-$CB$43,BZ119,2),BX120+BY120),2),"")</f>
        <v>3522.1</v>
      </c>
      <c r="BX120" s="78">
        <f>IF(BU120&lt;&gt;"",IF($F$11="raty malejące",MIN(BZ119/($F$4-BU119+SUM($BV$28:BV119)-SUM($CB$28:CB119)),BZ119),MIN(BW120-BY120,BZ119)),"")</f>
        <v>1504.7886291106111</v>
      </c>
      <c r="BY120" s="78">
        <f t="shared" si="123"/>
        <v>2017.3113708893889</v>
      </c>
      <c r="BZ120" s="79">
        <f t="shared" si="124"/>
        <v>276745.05563149473</v>
      </c>
      <c r="CA120" s="11"/>
      <c r="CB120" s="33"/>
      <c r="CC120" s="33">
        <f t="shared" si="117"/>
        <v>-9.9999999997635314E-3</v>
      </c>
      <c r="CD120" s="33">
        <f t="shared" si="129"/>
        <v>0.31795224308939701</v>
      </c>
      <c r="CE120" s="33">
        <f>IF(O120&lt;&gt;"",CD120-SUM($CC$44:CC120),"")</f>
        <v>5.7952243095545197E-2</v>
      </c>
      <c r="CF120" s="11">
        <f t="shared" si="91"/>
        <v>20</v>
      </c>
      <c r="CG120" s="11">
        <f>IF(BU120&lt;&gt;"",IF($B$16=listy!$K$8,'RZĄDOWY PROGRAM'!$F$3*'RZĄDOWY PROGRAM'!$F$15,BZ119*$F$15),"")</f>
        <v>50</v>
      </c>
      <c r="CH120" s="11">
        <f t="shared" si="92"/>
        <v>70</v>
      </c>
      <c r="CJ120" s="48">
        <f t="shared" si="93"/>
        <v>0.06</v>
      </c>
      <c r="CK120" s="18">
        <f t="shared" si="94"/>
        <v>4.8675505653430484E-3</v>
      </c>
      <c r="CL120" s="11">
        <f t="shared" si="125"/>
        <v>0</v>
      </c>
      <c r="CM120" s="11">
        <f t="shared" si="95"/>
        <v>39452.939766646377</v>
      </c>
      <c r="CN120" s="11">
        <f>IF(AB120&lt;&gt;"",CM120-SUM($CL$28:CL120),"")</f>
        <v>11276.179766646383</v>
      </c>
    </row>
    <row r="121" spans="1:92" x14ac:dyDescent="0.45">
      <c r="A121" s="68">
        <f t="shared" si="118"/>
        <v>47574</v>
      </c>
      <c r="B121" s="8">
        <f t="shared" si="78"/>
        <v>94</v>
      </c>
      <c r="C121" s="11">
        <f t="shared" si="79"/>
        <v>3522.1</v>
      </c>
      <c r="D121" s="11">
        <f t="shared" si="80"/>
        <v>1217.9376309725312</v>
      </c>
      <c r="E121" s="11">
        <f t="shared" si="81"/>
        <v>2304.1623690274687</v>
      </c>
      <c r="F121" s="9">
        <f t="shared" si="96"/>
        <v>316597.56154522998</v>
      </c>
      <c r="G121" s="10">
        <f t="shared" si="82"/>
        <v>7.0000000000000007E-2</v>
      </c>
      <c r="H121" s="10">
        <f t="shared" si="83"/>
        <v>1.7000000000000001E-2</v>
      </c>
      <c r="I121" s="48">
        <f t="shared" si="97"/>
        <v>8.7000000000000008E-2</v>
      </c>
      <c r="J121" s="11">
        <f t="shared" si="84"/>
        <v>20</v>
      </c>
      <c r="K121" s="11">
        <f>IF(B121&lt;&gt;"",IF($B$16=listy!$K$8,'RZĄDOWY PROGRAM'!$F$3*'RZĄDOWY PROGRAM'!$F$15,F120*$F$15),"")</f>
        <v>50</v>
      </c>
      <c r="L121" s="11">
        <f t="shared" si="98"/>
        <v>70</v>
      </c>
      <c r="N121" s="54">
        <f t="shared" si="119"/>
        <v>47574</v>
      </c>
      <c r="O121" s="8">
        <f t="shared" si="99"/>
        <v>94</v>
      </c>
      <c r="P121" s="8"/>
      <c r="Q121" s="11">
        <f>IF(O121&lt;&gt;"",ROUND(IF($F$11="raty równe",-PMT(W121/12,$F$4-O120+SUM($P$28:P121),T120,2),R121+S121),2),"")</f>
        <v>3522.1</v>
      </c>
      <c r="R121" s="11">
        <f>IF(O121&lt;&gt;"",IF($F$11="raty malejące",T120/($F$4-O120+SUM($P$28:P121)),IF(Q121-S121&gt;T120,T120,Q121-S121)),"")</f>
        <v>1149.5475664877608</v>
      </c>
      <c r="S121" s="11">
        <f t="shared" si="121"/>
        <v>2372.5524335122391</v>
      </c>
      <c r="T121" s="9">
        <f t="shared" si="100"/>
        <v>326099.06395244173</v>
      </c>
      <c r="U121" s="10">
        <f t="shared" si="85"/>
        <v>7.0000000000000007E-2</v>
      </c>
      <c r="V121" s="10">
        <f t="shared" si="86"/>
        <v>1.7000000000000001E-2</v>
      </c>
      <c r="W121" s="48">
        <f t="shared" si="101"/>
        <v>8.7000000000000008E-2</v>
      </c>
      <c r="X121" s="11">
        <f t="shared" si="87"/>
        <v>20</v>
      </c>
      <c r="Y121" s="11">
        <f>IF(O121&lt;&gt;"",IF($B$16=listy!$K$8,'RZĄDOWY PROGRAM'!$F$3*'RZĄDOWY PROGRAM'!$F$15,T120*$F$15),"")</f>
        <v>50</v>
      </c>
      <c r="Z121" s="11">
        <f t="shared" si="102"/>
        <v>70</v>
      </c>
      <c r="AB121" s="8">
        <f t="shared" si="103"/>
        <v>94</v>
      </c>
      <c r="AC121" s="8"/>
      <c r="AD121" s="11">
        <f>IF(AB121&lt;&gt;"",ROUND(IF($F$11="raty równe",-PMT(W121/12,$F$4-AB120+SUM($AC$28:AC121),AG120,2),AE121+AF121),2),"")</f>
        <v>3280.39</v>
      </c>
      <c r="AE121" s="11">
        <f>IF(AB121&lt;&gt;"",IF($F$11="raty malejące",AG120/($F$4-AB120+SUM($AC$28:AC120)),MIN(AD121-AF121,AG120)),"")</f>
        <v>1070.6532515370272</v>
      </c>
      <c r="AF121" s="11">
        <f t="shared" si="122"/>
        <v>2209.7367484629726</v>
      </c>
      <c r="AG121" s="9">
        <f t="shared" si="120"/>
        <v>303720.62239852815</v>
      </c>
      <c r="AH121" s="11"/>
      <c r="AI121" s="33">
        <f>IF(AB121&lt;&gt;"",ROUND(IF($F$11="raty równe",-PMT(W121/12,($F$4-AB120+SUM($AC$27:AC120)),AG120,2),AG120/($F$4-AB120+SUM($AC$27:AC120))+AG120*W121/12),2),"")</f>
        <v>3280.39</v>
      </c>
      <c r="AJ121" s="33">
        <f t="shared" si="104"/>
        <v>241.71000000000004</v>
      </c>
      <c r="AK121" s="33">
        <f t="shared" si="88"/>
        <v>24897.126007651485</v>
      </c>
      <c r="AL121" s="33">
        <f>IF(AB121&lt;&gt;"",AK121-SUM($AJ$28:AJ121),"")</f>
        <v>3971.6960076514879</v>
      </c>
      <c r="AM121" s="11">
        <f t="shared" si="105"/>
        <v>20</v>
      </c>
      <c r="AN121" s="11">
        <f>IF(AB121&lt;&gt;"",IF($B$16=listy!$K$8,'RZĄDOWY PROGRAM'!$F$3*'RZĄDOWY PROGRAM'!$F$15,AG120*$F$15),"")</f>
        <v>50</v>
      </c>
      <c r="AO121" s="11">
        <f t="shared" si="106"/>
        <v>70</v>
      </c>
      <c r="AQ121" s="8">
        <f t="shared" si="107"/>
        <v>94</v>
      </c>
      <c r="AR121" s="8"/>
      <c r="AS121" s="78">
        <f>IF(AQ121&lt;&gt;"",ROUND(IF($F$11="raty równe",-PMT(W121/12,$F$4-AQ120+SUM($AR$28:AR121),AV120,2),AT121+AU121),2),"")</f>
        <v>3263.83</v>
      </c>
      <c r="AT121" s="78">
        <f>IF(AQ121&lt;&gt;"",IF($F$11="raty malejące",AV120/($F$4-AQ120+SUM($AR$28:AR120)),MIN(AS121-AU121,AV120)),"")</f>
        <v>1065.2536654782211</v>
      </c>
      <c r="AU121" s="78">
        <f t="shared" si="108"/>
        <v>2198.5763345217788</v>
      </c>
      <c r="AV121" s="79">
        <f t="shared" si="109"/>
        <v>302186.65454442229</v>
      </c>
      <c r="AW121" s="11"/>
      <c r="AX121" s="33">
        <f>IF(AQ121&lt;&gt;"",ROUND(IF($F$11="raty równe",-PMT(W121/12,($F$4-AQ120+SUM($AR$27:AR120)),AV120,2),AV120/($F$4-AQ120+SUM($AR$27:AR120))+AV120*W121/12),2),"")</f>
        <v>3263.83</v>
      </c>
      <c r="AY121" s="33">
        <f t="shared" si="110"/>
        <v>258.27</v>
      </c>
      <c r="AZ121" s="33">
        <f t="shared" si="126"/>
        <v>23532.350365475242</v>
      </c>
      <c r="BA121" s="33">
        <f>IF(AQ121&lt;&gt;"",AZ121-SUM($AY$44:AY121),"")</f>
        <v>3387.3003654752174</v>
      </c>
      <c r="BB121" s="11">
        <f t="shared" si="111"/>
        <v>20</v>
      </c>
      <c r="BC121" s="11">
        <f>IF(AQ121&lt;&gt;"",IF($B$16=listy!$K$8,'RZĄDOWY PROGRAM'!$F$3*'RZĄDOWY PROGRAM'!$F$15,AV120*$F$15),"")</f>
        <v>50</v>
      </c>
      <c r="BD121" s="11">
        <f t="shared" si="112"/>
        <v>70</v>
      </c>
      <c r="BF121" s="8">
        <f t="shared" si="113"/>
        <v>94</v>
      </c>
      <c r="BG121" s="8"/>
      <c r="BH121" s="78">
        <f>IF(BF121&lt;&gt;"",ROUND(IF($F$11="raty równe",-PMT(W121/12,$F$4-BF120+SUM(BV$28:$BV121)-SUM($BM$29:BM121),BK120,2),BI121+BJ121),2),"")</f>
        <v>3522.09</v>
      </c>
      <c r="BI121" s="78">
        <f>IF(BF121&lt;&gt;"",IF($F$11="raty malejące",MIN(BK120/($F$4-BF120+SUM($BG$27:BG121)-SUM($BM$27:BM121)),BK120),MIN(BH121-BJ121,BK120)),"")</f>
        <v>1518.9917778803681</v>
      </c>
      <c r="BJ121" s="78">
        <f t="shared" si="114"/>
        <v>2003.0982221196321</v>
      </c>
      <c r="BK121" s="79">
        <f t="shared" si="115"/>
        <v>274770.41816965508</v>
      </c>
      <c r="BL121" s="11"/>
      <c r="BM121" s="33"/>
      <c r="BN121" s="33">
        <f t="shared" si="127"/>
        <v>9.9999999997635314E-3</v>
      </c>
      <c r="BO121" s="33">
        <f t="shared" si="128"/>
        <v>-0.10676552265645192</v>
      </c>
      <c r="BP121" s="33">
        <f>IF(O121&lt;&gt;"",BO121-SUM($BN$44:BN121),"")</f>
        <v>-2.6765522658343671E-2</v>
      </c>
      <c r="BQ121" s="11">
        <f t="shared" si="89"/>
        <v>20</v>
      </c>
      <c r="BR121" s="11">
        <f>IF(BF121&lt;&gt;"",IF($B$16=listy!$K$8,'RZĄDOWY PROGRAM'!$F$3*'RZĄDOWY PROGRAM'!$F$15,BK120*$F$15),"")</f>
        <v>50</v>
      </c>
      <c r="BS121" s="11">
        <f t="shared" si="90"/>
        <v>70</v>
      </c>
      <c r="BU121" s="8">
        <f t="shared" si="116"/>
        <v>94</v>
      </c>
      <c r="BV121" s="8"/>
      <c r="BW121" s="78">
        <f>IF(BU121&lt;&gt;"",ROUND(IF($F$11="raty równe",-PMT(W121/12,$F$4-BU120+SUM($BV$28:BV121)-$CB$43,BZ120,2),BX121+BY121),2),"")</f>
        <v>3522.09</v>
      </c>
      <c r="BX121" s="78">
        <f>IF(BU121&lt;&gt;"",IF($F$11="raty malejące",MIN(BZ120/($F$4-BU120+SUM($BV$28:BV120)-SUM($CB$28:CB120)),BZ120),MIN(BW121-BY121,BZ120)),"")</f>
        <v>1515.6883466716633</v>
      </c>
      <c r="BY121" s="78">
        <f t="shared" si="123"/>
        <v>2006.4016533283368</v>
      </c>
      <c r="BZ121" s="79">
        <f t="shared" si="124"/>
        <v>275229.36728482309</v>
      </c>
      <c r="CA121" s="11"/>
      <c r="CB121" s="33"/>
      <c r="CC121" s="33">
        <f t="shared" si="117"/>
        <v>9.9999999997635314E-3</v>
      </c>
      <c r="CD121" s="33">
        <f t="shared" si="129"/>
        <v>0.32920583847184809</v>
      </c>
      <c r="CE121" s="33">
        <f>IF(O121&lt;&gt;"",CD121-SUM($CC$44:CC121),"")</f>
        <v>5.9205838478232742E-2</v>
      </c>
      <c r="CF121" s="11">
        <f t="shared" si="91"/>
        <v>20</v>
      </c>
      <c r="CG121" s="11">
        <f>IF(BU121&lt;&gt;"",IF($B$16=listy!$K$8,'RZĄDOWY PROGRAM'!$F$3*'RZĄDOWY PROGRAM'!$F$15,BZ120*$F$15),"")</f>
        <v>50</v>
      </c>
      <c r="CH121" s="11">
        <f t="shared" si="92"/>
        <v>70</v>
      </c>
      <c r="CJ121" s="48">
        <f t="shared" si="93"/>
        <v>0.06</v>
      </c>
      <c r="CK121" s="18">
        <f t="shared" si="94"/>
        <v>4.8675505653430484E-3</v>
      </c>
      <c r="CL121" s="11">
        <f t="shared" si="125"/>
        <v>0</v>
      </c>
      <c r="CM121" s="11">
        <f t="shared" si="95"/>
        <v>39608.491501851502</v>
      </c>
      <c r="CN121" s="11">
        <f>IF(AB121&lt;&gt;"",CM121-SUM($CL$28:CL121),"")</f>
        <v>11431.731501851507</v>
      </c>
    </row>
    <row r="122" spans="1:92" x14ac:dyDescent="0.45">
      <c r="A122" s="68">
        <f t="shared" si="118"/>
        <v>47604</v>
      </c>
      <c r="B122" s="8">
        <f t="shared" si="78"/>
        <v>95</v>
      </c>
      <c r="C122" s="11">
        <f t="shared" si="79"/>
        <v>3522.09</v>
      </c>
      <c r="D122" s="11">
        <f t="shared" si="80"/>
        <v>1226.7576787970825</v>
      </c>
      <c r="E122" s="11">
        <f t="shared" si="81"/>
        <v>2295.3323212029177</v>
      </c>
      <c r="F122" s="9">
        <f t="shared" si="96"/>
        <v>315370.80386643292</v>
      </c>
      <c r="G122" s="10">
        <f t="shared" si="82"/>
        <v>7.0000000000000007E-2</v>
      </c>
      <c r="H122" s="10">
        <f t="shared" si="83"/>
        <v>1.7000000000000001E-2</v>
      </c>
      <c r="I122" s="48">
        <f t="shared" si="97"/>
        <v>8.7000000000000008E-2</v>
      </c>
      <c r="J122" s="11">
        <f t="shared" si="84"/>
        <v>20</v>
      </c>
      <c r="K122" s="11">
        <f>IF(B122&lt;&gt;"",IF($B$16=listy!$K$8,'RZĄDOWY PROGRAM'!$F$3*'RZĄDOWY PROGRAM'!$F$15,F121*$F$15),"")</f>
        <v>50</v>
      </c>
      <c r="L122" s="11">
        <f t="shared" si="98"/>
        <v>70</v>
      </c>
      <c r="N122" s="54">
        <f t="shared" si="119"/>
        <v>47604</v>
      </c>
      <c r="O122" s="8">
        <f t="shared" si="99"/>
        <v>95</v>
      </c>
      <c r="P122" s="8"/>
      <c r="Q122" s="11">
        <f>IF(O122&lt;&gt;"",ROUND(IF($F$11="raty równe",-PMT(W122/12,$F$4-O121+SUM($P$28:P122),T121,2),R122+S122),2),"")</f>
        <v>3522.09</v>
      </c>
      <c r="R122" s="11">
        <f>IF(O122&lt;&gt;"",IF($F$11="raty malejące",T121/($F$4-O121+SUM($P$28:P122)),IF(Q122-S122&gt;T121,T121,Q122-S122)),"")</f>
        <v>1157.8717863447973</v>
      </c>
      <c r="S122" s="11">
        <f t="shared" si="121"/>
        <v>2364.2182136552028</v>
      </c>
      <c r="T122" s="9">
        <f t="shared" si="100"/>
        <v>324941.19216609694</v>
      </c>
      <c r="U122" s="10">
        <f t="shared" si="85"/>
        <v>7.0000000000000007E-2</v>
      </c>
      <c r="V122" s="10">
        <f t="shared" si="86"/>
        <v>1.7000000000000001E-2</v>
      </c>
      <c r="W122" s="48">
        <f t="shared" si="101"/>
        <v>8.7000000000000008E-2</v>
      </c>
      <c r="X122" s="11">
        <f t="shared" si="87"/>
        <v>20</v>
      </c>
      <c r="Y122" s="11">
        <f>IF(O122&lt;&gt;"",IF($B$16=listy!$K$8,'RZĄDOWY PROGRAM'!$F$3*'RZĄDOWY PROGRAM'!$F$15,T121*$F$15),"")</f>
        <v>50</v>
      </c>
      <c r="Z122" s="11">
        <f t="shared" si="102"/>
        <v>70</v>
      </c>
      <c r="AB122" s="8">
        <f t="shared" si="103"/>
        <v>95</v>
      </c>
      <c r="AC122" s="8"/>
      <c r="AD122" s="11">
        <f>IF(AB122&lt;&gt;"",ROUND(IF($F$11="raty równe",-PMT(W122/12,$F$4-AB121+SUM($AC$28:AC122),AG121,2),AE122+AF122),2),"")</f>
        <v>3280.39</v>
      </c>
      <c r="AE122" s="11">
        <f>IF(AB122&lt;&gt;"",IF($F$11="raty malejące",AG121/($F$4-AB121+SUM($AC$28:AC121)),MIN(AD122-AF122,AG121)),"")</f>
        <v>1078.4154876106704</v>
      </c>
      <c r="AF122" s="11">
        <f t="shared" si="122"/>
        <v>2201.9745123893294</v>
      </c>
      <c r="AG122" s="9">
        <f t="shared" si="120"/>
        <v>302642.20691091748</v>
      </c>
      <c r="AH122" s="11"/>
      <c r="AI122" s="33">
        <f>IF(AB122&lt;&gt;"",ROUND(IF($F$11="raty równe",-PMT(W122/12,($F$4-AB121+SUM($AC$27:AC121)),AG121,2),AG121/($F$4-AB121+SUM($AC$27:AC121))+AG121*W122/12),2),"")</f>
        <v>3280.39</v>
      </c>
      <c r="AJ122" s="33">
        <f t="shared" si="104"/>
        <v>241.70000000000027</v>
      </c>
      <c r="AK122" s="33">
        <f t="shared" si="88"/>
        <v>25236.988303668397</v>
      </c>
      <c r="AL122" s="33">
        <f>IF(AB122&lt;&gt;"",AK122-SUM($AJ$28:AJ122),"")</f>
        <v>4069.8583036683995</v>
      </c>
      <c r="AM122" s="11">
        <f t="shared" si="105"/>
        <v>20</v>
      </c>
      <c r="AN122" s="11">
        <f>IF(AB122&lt;&gt;"",IF($B$16=listy!$K$8,'RZĄDOWY PROGRAM'!$F$3*'RZĄDOWY PROGRAM'!$F$15,AG121*$F$15),"")</f>
        <v>50</v>
      </c>
      <c r="AO122" s="11">
        <f t="shared" si="106"/>
        <v>70</v>
      </c>
      <c r="AQ122" s="8">
        <f t="shared" si="107"/>
        <v>95</v>
      </c>
      <c r="AR122" s="8"/>
      <c r="AS122" s="78">
        <f>IF(AQ122&lt;&gt;"",ROUND(IF($F$11="raty równe",-PMT(W122/12,$F$4-AQ121+SUM($AR$28:AR122),AV121,2),AT122+AU122),2),"")</f>
        <v>3263.82</v>
      </c>
      <c r="AT122" s="78">
        <f>IF(AQ122&lt;&gt;"",IF($F$11="raty malejące",AV121/($F$4-AQ121+SUM($AR$28:AR121)),MIN(AS122-AU122,AV121)),"")</f>
        <v>1072.9667545529383</v>
      </c>
      <c r="AU122" s="78">
        <f t="shared" si="108"/>
        <v>2190.8532454470619</v>
      </c>
      <c r="AV122" s="79">
        <f t="shared" si="109"/>
        <v>301113.68778986932</v>
      </c>
      <c r="AW122" s="11"/>
      <c r="AX122" s="33">
        <f>IF(AQ122&lt;&gt;"",ROUND(IF($F$11="raty równe",-PMT(W122/12,($F$4-AQ121+SUM($AR$27:AR121)),AV121,2),AV121/($F$4-AQ121+SUM($AR$27:AR121))+AV121*W122/12),2),"")</f>
        <v>3263.82</v>
      </c>
      <c r="AY122" s="33">
        <f t="shared" si="110"/>
        <v>258.27</v>
      </c>
      <c r="AZ122" s="33">
        <f t="shared" si="126"/>
        <v>23883.401738788754</v>
      </c>
      <c r="BA122" s="33">
        <f>IF(AQ122&lt;&gt;"",AZ122-SUM($AY$44:AY122),"")</f>
        <v>3480.0817387887291</v>
      </c>
      <c r="BB122" s="11">
        <f t="shared" si="111"/>
        <v>20</v>
      </c>
      <c r="BC122" s="11">
        <f>IF(AQ122&lt;&gt;"",IF($B$16=listy!$K$8,'RZĄDOWY PROGRAM'!$F$3*'RZĄDOWY PROGRAM'!$F$15,AV121*$F$15),"")</f>
        <v>50</v>
      </c>
      <c r="BD122" s="11">
        <f t="shared" si="112"/>
        <v>70</v>
      </c>
      <c r="BF122" s="8">
        <f t="shared" si="113"/>
        <v>95</v>
      </c>
      <c r="BG122" s="8"/>
      <c r="BH122" s="78">
        <f>IF(BF122&lt;&gt;"",ROUND(IF($F$11="raty równe",-PMT(W122/12,$F$4-BF121+SUM(BV$28:$BV122)-SUM($BM$29:BM122),BK121,2),BI122+BJ122),2),"")</f>
        <v>3522.1</v>
      </c>
      <c r="BI122" s="78">
        <f>IF(BF122&lt;&gt;"",IF($F$11="raty malejące",MIN(BK121/($F$4-BF121+SUM($BG$27:BG122)-SUM($BM$27:BM122)),BK121),MIN(BH122-BJ122,BK121)),"")</f>
        <v>1530.0144682700004</v>
      </c>
      <c r="BJ122" s="78">
        <f t="shared" si="114"/>
        <v>1992.0855317299995</v>
      </c>
      <c r="BK122" s="79">
        <f t="shared" si="115"/>
        <v>273240.40370138508</v>
      </c>
      <c r="BL122" s="11"/>
      <c r="BM122" s="33"/>
      <c r="BN122" s="33">
        <f t="shared" si="127"/>
        <v>-9.9999999997635314E-3</v>
      </c>
      <c r="BO122" s="33">
        <f t="shared" si="128"/>
        <v>-0.11718646878614956</v>
      </c>
      <c r="BP122" s="33">
        <f>IF(O122&lt;&gt;"",BO122-SUM($BN$44:BN122),"")</f>
        <v>-2.7186468788277782E-2</v>
      </c>
      <c r="BQ122" s="11">
        <f t="shared" si="89"/>
        <v>20</v>
      </c>
      <c r="BR122" s="11">
        <f>IF(BF122&lt;&gt;"",IF($B$16=listy!$K$8,'RZĄDOWY PROGRAM'!$F$3*'RZĄDOWY PROGRAM'!$F$15,BK121*$F$15),"")</f>
        <v>50</v>
      </c>
      <c r="BS122" s="11">
        <f t="shared" si="90"/>
        <v>70</v>
      </c>
      <c r="BU122" s="8">
        <f t="shared" si="116"/>
        <v>95</v>
      </c>
      <c r="BV122" s="8"/>
      <c r="BW122" s="78">
        <f>IF(BU122&lt;&gt;"",ROUND(IF($F$11="raty równe",-PMT(W122/12,$F$4-BU121+SUM($BV$28:BV122)-$CB$43,BZ121,2),BX122+BY122),2),"")</f>
        <v>3522.09</v>
      </c>
      <c r="BX122" s="78">
        <f>IF(BU122&lt;&gt;"",IF($F$11="raty malejące",MIN(BZ121/($F$4-BU121+SUM($BV$28:BV121)-SUM($CB$28:CB121)),BZ121),MIN(BW122-BY122,BZ121)),"")</f>
        <v>1526.6770871850324</v>
      </c>
      <c r="BY122" s="78">
        <f t="shared" si="123"/>
        <v>1995.4129128149677</v>
      </c>
      <c r="BZ122" s="79">
        <f t="shared" si="124"/>
        <v>273702.69019763806</v>
      </c>
      <c r="CA122" s="11"/>
      <c r="CB122" s="33"/>
      <c r="CC122" s="33">
        <f t="shared" si="117"/>
        <v>0</v>
      </c>
      <c r="CD122" s="33">
        <f t="shared" si="129"/>
        <v>0.3305038035846341</v>
      </c>
      <c r="CE122" s="33">
        <f>IF(O122&lt;&gt;"",CD122-SUM($CC$44:CC122),"")</f>
        <v>6.0503803591018757E-2</v>
      </c>
      <c r="CF122" s="11">
        <f t="shared" si="91"/>
        <v>20</v>
      </c>
      <c r="CG122" s="11">
        <f>IF(BU122&lt;&gt;"",IF($B$16=listy!$K$8,'RZĄDOWY PROGRAM'!$F$3*'RZĄDOWY PROGRAM'!$F$15,BZ121*$F$15),"")</f>
        <v>50</v>
      </c>
      <c r="CH122" s="11">
        <f t="shared" si="92"/>
        <v>70</v>
      </c>
      <c r="CJ122" s="48">
        <f t="shared" si="93"/>
        <v>0.06</v>
      </c>
      <c r="CK122" s="18">
        <f t="shared" si="94"/>
        <v>4.8675505653430484E-3</v>
      </c>
      <c r="CL122" s="11">
        <f t="shared" si="125"/>
        <v>0</v>
      </c>
      <c r="CM122" s="11">
        <f t="shared" si="95"/>
        <v>39764.656533365305</v>
      </c>
      <c r="CN122" s="11">
        <f>IF(AB122&lt;&gt;"",CM122-SUM($CL$28:CL122),"")</f>
        <v>11587.89653336531</v>
      </c>
    </row>
    <row r="123" spans="1:92" x14ac:dyDescent="0.45">
      <c r="A123" s="68">
        <f t="shared" si="118"/>
        <v>47635</v>
      </c>
      <c r="B123" s="8">
        <f t="shared" si="78"/>
        <v>96</v>
      </c>
      <c r="C123" s="11">
        <f t="shared" si="79"/>
        <v>3522.1</v>
      </c>
      <c r="D123" s="11">
        <f t="shared" si="80"/>
        <v>1235.6616719683611</v>
      </c>
      <c r="E123" s="11">
        <f t="shared" si="81"/>
        <v>2286.4383280316388</v>
      </c>
      <c r="F123" s="9">
        <f t="shared" si="96"/>
        <v>314135.14219446457</v>
      </c>
      <c r="G123" s="10">
        <f t="shared" si="82"/>
        <v>7.0000000000000007E-2</v>
      </c>
      <c r="H123" s="10">
        <f t="shared" si="83"/>
        <v>1.7000000000000001E-2</v>
      </c>
      <c r="I123" s="48">
        <f t="shared" si="97"/>
        <v>8.7000000000000008E-2</v>
      </c>
      <c r="J123" s="11">
        <f t="shared" si="84"/>
        <v>20</v>
      </c>
      <c r="K123" s="11">
        <f>IF(B123&lt;&gt;"",IF($B$16=listy!$K$8,'RZĄDOWY PROGRAM'!$F$3*'RZĄDOWY PROGRAM'!$F$15,F122*$F$15),"")</f>
        <v>50</v>
      </c>
      <c r="L123" s="11">
        <f t="shared" si="98"/>
        <v>70</v>
      </c>
      <c r="N123" s="54">
        <f t="shared" si="119"/>
        <v>47635</v>
      </c>
      <c r="O123" s="8">
        <f t="shared" si="99"/>
        <v>96</v>
      </c>
      <c r="P123" s="8"/>
      <c r="Q123" s="11">
        <f>IF(O123&lt;&gt;"",ROUND(IF($F$11="raty równe",-PMT(W123/12,$F$4-O122+SUM($P$28:P123),T122,2),R123+S123),2),"")</f>
        <v>3522.1</v>
      </c>
      <c r="R123" s="11">
        <f>IF(O123&lt;&gt;"",IF($F$11="raty malejące",T122/($F$4-O122+SUM($P$28:P123)),IF(Q123-S123&gt;T122,T122,Q123-S123)),"")</f>
        <v>1166.2763567957968</v>
      </c>
      <c r="S123" s="11">
        <f t="shared" si="121"/>
        <v>2355.8236432042031</v>
      </c>
      <c r="T123" s="9">
        <f t="shared" si="100"/>
        <v>323774.91580930114</v>
      </c>
      <c r="U123" s="10">
        <f t="shared" si="85"/>
        <v>7.0000000000000007E-2</v>
      </c>
      <c r="V123" s="10">
        <f t="shared" si="86"/>
        <v>1.7000000000000001E-2</v>
      </c>
      <c r="W123" s="48">
        <f t="shared" si="101"/>
        <v>8.7000000000000008E-2</v>
      </c>
      <c r="X123" s="11">
        <f t="shared" si="87"/>
        <v>20</v>
      </c>
      <c r="Y123" s="11">
        <f>IF(O123&lt;&gt;"",IF($B$16=listy!$K$8,'RZĄDOWY PROGRAM'!$F$3*'RZĄDOWY PROGRAM'!$F$15,T122*$F$15),"")</f>
        <v>50</v>
      </c>
      <c r="Z123" s="11">
        <f t="shared" si="102"/>
        <v>70</v>
      </c>
      <c r="AB123" s="8">
        <f t="shared" si="103"/>
        <v>96</v>
      </c>
      <c r="AC123" s="8"/>
      <c r="AD123" s="11">
        <f>IF(AB123&lt;&gt;"",ROUND(IF($F$11="raty równe",-PMT(W123/12,$F$4-AB122+SUM($AC$28:AC123),AG122,2),AE123+AF123),2),"")</f>
        <v>3280.39</v>
      </c>
      <c r="AE123" s="11">
        <f>IF(AB123&lt;&gt;"",IF($F$11="raty malejące",AG122/($F$4-AB122+SUM($AC$28:AC122)),MIN(AD123-AF123,AG122)),"")</f>
        <v>1086.2339998958478</v>
      </c>
      <c r="AF123" s="11">
        <f t="shared" si="122"/>
        <v>2194.1560001041521</v>
      </c>
      <c r="AG123" s="9">
        <f t="shared" si="120"/>
        <v>301555.97291102161</v>
      </c>
      <c r="AH123" s="11"/>
      <c r="AI123" s="33">
        <f>IF(AB123&lt;&gt;"",ROUND(IF($F$11="raty równe",-PMT(W123/12,($F$4-AB122+SUM($AC$27:AC122)),AG122,2),AG122/($F$4-AB122+SUM($AC$27:AC122))+AG122*W123/12),2),"")</f>
        <v>3280.39</v>
      </c>
      <c r="AJ123" s="33">
        <f t="shared" si="104"/>
        <v>241.71000000000004</v>
      </c>
      <c r="AK123" s="33">
        <f t="shared" si="88"/>
        <v>25578.200580183311</v>
      </c>
      <c r="AL123" s="33">
        <f>IF(AB123&lt;&gt;"",AK123-SUM($AJ$28:AJ123),"")</f>
        <v>4169.3605801833146</v>
      </c>
      <c r="AM123" s="11">
        <f t="shared" si="105"/>
        <v>20</v>
      </c>
      <c r="AN123" s="11">
        <f>IF(AB123&lt;&gt;"",IF($B$16=listy!$K$8,'RZĄDOWY PROGRAM'!$F$3*'RZĄDOWY PROGRAM'!$F$15,AG122*$F$15),"")</f>
        <v>50</v>
      </c>
      <c r="AO123" s="11">
        <f t="shared" si="106"/>
        <v>70</v>
      </c>
      <c r="AQ123" s="8">
        <f t="shared" si="107"/>
        <v>96</v>
      </c>
      <c r="AR123" s="8"/>
      <c r="AS123" s="78">
        <f>IF(AQ123&lt;&gt;"",ROUND(IF($F$11="raty równe",-PMT(W123/12,$F$4-AQ122+SUM($AR$28:AR123),AV122,2),AT123+AU123),2),"")</f>
        <v>3263.83</v>
      </c>
      <c r="AT123" s="78">
        <f>IF(AQ123&lt;&gt;"",IF($F$11="raty malejące",AV122/($F$4-AQ122+SUM($AR$28:AR122)),MIN(AS123-AU123,AV122)),"")</f>
        <v>1080.7557635234471</v>
      </c>
      <c r="AU123" s="78">
        <f t="shared" si="108"/>
        <v>2183.0742364765529</v>
      </c>
      <c r="AV123" s="79">
        <f t="shared" si="109"/>
        <v>300032.93202634586</v>
      </c>
      <c r="AW123" s="11"/>
      <c r="AX123" s="33">
        <f>IF(AQ123&lt;&gt;"",ROUND(IF($F$11="raty równe",-PMT(W123/12,($F$4-AQ122+SUM($AR$27:AR122)),AV122,2),AV122/($F$4-AQ122+SUM($AR$27:AR122))+AV122*W123/12),2),"")</f>
        <v>3263.83</v>
      </c>
      <c r="AY123" s="33">
        <f t="shared" si="110"/>
        <v>258.27</v>
      </c>
      <c r="AZ123" s="33">
        <f t="shared" si="126"/>
        <v>24235.837207953882</v>
      </c>
      <c r="BA123" s="33">
        <f>IF(AQ123&lt;&gt;"",AZ123-SUM($AY$44:AY123),"")</f>
        <v>3574.2472079538566</v>
      </c>
      <c r="BB123" s="11">
        <f t="shared" si="111"/>
        <v>20</v>
      </c>
      <c r="BC123" s="11">
        <f>IF(AQ123&lt;&gt;"",IF($B$16=listy!$K$8,'RZĄDOWY PROGRAM'!$F$3*'RZĄDOWY PROGRAM'!$F$15,AV122*$F$15),"")</f>
        <v>50</v>
      </c>
      <c r="BD123" s="11">
        <f t="shared" si="112"/>
        <v>70</v>
      </c>
      <c r="BF123" s="8">
        <f t="shared" si="113"/>
        <v>96</v>
      </c>
      <c r="BG123" s="8"/>
      <c r="BH123" s="78">
        <f>IF(BF123&lt;&gt;"",ROUND(IF($F$11="raty równe",-PMT(W123/12,$F$4-BF122+SUM(BV$28:$BV123)-SUM($BM$29:BM123),BK122,2),BI123+BJ123),2),"")</f>
        <v>3522.09</v>
      </c>
      <c r="BI123" s="78">
        <f>IF(BF123&lt;&gt;"",IF($F$11="raty malejące",MIN(BK122/($F$4-BF122+SUM($BG$27:BG123)-SUM($BM$27:BM123)),BK122),MIN(BH123-BJ123,BK122)),"")</f>
        <v>1541.0970731649584</v>
      </c>
      <c r="BJ123" s="78">
        <f t="shared" si="114"/>
        <v>1980.9929268350418</v>
      </c>
      <c r="BK123" s="79">
        <f t="shared" si="115"/>
        <v>271699.30662822013</v>
      </c>
      <c r="BL123" s="11"/>
      <c r="BM123" s="33"/>
      <c r="BN123" s="33">
        <f t="shared" si="127"/>
        <v>9.9999999997635314E-3</v>
      </c>
      <c r="BO123" s="33">
        <f t="shared" si="128"/>
        <v>-0.10764850174692241</v>
      </c>
      <c r="BP123" s="33">
        <f>IF(O123&lt;&gt;"",BO123-SUM($BN$44:BN123),"")</f>
        <v>-2.7648501748814155E-2</v>
      </c>
      <c r="BQ123" s="11">
        <f t="shared" si="89"/>
        <v>20</v>
      </c>
      <c r="BR123" s="11">
        <f>IF(BF123&lt;&gt;"",IF($B$16=listy!$K$8,'RZĄDOWY PROGRAM'!$F$3*'RZĄDOWY PROGRAM'!$F$15,BK122*$F$15),"")</f>
        <v>50</v>
      </c>
      <c r="BS123" s="11">
        <f t="shared" si="90"/>
        <v>70</v>
      </c>
      <c r="BU123" s="8">
        <f t="shared" si="116"/>
        <v>96</v>
      </c>
      <c r="BV123" s="8"/>
      <c r="BW123" s="78">
        <f>IF(BU123&lt;&gt;"",ROUND(IF($F$11="raty równe",-PMT(W123/12,$F$4-BU122+SUM($BV$28:BV123)-$CB$43,BZ122,2),BX123+BY123),2),"")</f>
        <v>3522.1</v>
      </c>
      <c r="BX123" s="78">
        <f>IF(BU123&lt;&gt;"",IF($F$11="raty malejące",MIN(BZ122/($F$4-BU122+SUM($BV$28:BV122)-SUM($CB$28:CB122)),BZ122),MIN(BW123-BY123,BZ122)),"")</f>
        <v>1537.7554960671237</v>
      </c>
      <c r="BY123" s="78">
        <f t="shared" si="123"/>
        <v>1984.3445039328763</v>
      </c>
      <c r="BZ123" s="79">
        <f t="shared" si="124"/>
        <v>272164.93470157095</v>
      </c>
      <c r="CA123" s="11"/>
      <c r="CB123" s="33"/>
      <c r="CC123" s="33">
        <f t="shared" si="117"/>
        <v>0</v>
      </c>
      <c r="CD123" s="33">
        <f t="shared" si="129"/>
        <v>0.33180688620518312</v>
      </c>
      <c r="CE123" s="33">
        <f>IF(O123&lt;&gt;"",CD123-SUM($CC$44:CC123),"")</f>
        <v>6.1806886211567769E-2</v>
      </c>
      <c r="CF123" s="11">
        <f t="shared" si="91"/>
        <v>20</v>
      </c>
      <c r="CG123" s="11">
        <f>IF(BU123&lt;&gt;"",IF($B$16=listy!$K$8,'RZĄDOWY PROGRAM'!$F$3*'RZĄDOWY PROGRAM'!$F$15,BZ122*$F$15),"")</f>
        <v>50</v>
      </c>
      <c r="CH123" s="11">
        <f t="shared" si="92"/>
        <v>70</v>
      </c>
      <c r="CJ123" s="48">
        <f t="shared" si="93"/>
        <v>0.06</v>
      </c>
      <c r="CK123" s="18">
        <f t="shared" si="94"/>
        <v>4.8675505653430484E-3</v>
      </c>
      <c r="CL123" s="11">
        <f t="shared" si="125"/>
        <v>0</v>
      </c>
      <c r="CM123" s="11">
        <f t="shared" si="95"/>
        <v>39921.437279240927</v>
      </c>
      <c r="CN123" s="11">
        <f>IF(AB123&lt;&gt;"",CM123-SUM($CL$28:CL123),"")</f>
        <v>11744.677279240932</v>
      </c>
    </row>
    <row r="124" spans="1:92" x14ac:dyDescent="0.45">
      <c r="A124" s="68">
        <f t="shared" si="118"/>
        <v>47665</v>
      </c>
      <c r="B124" s="8">
        <f t="shared" si="78"/>
        <v>97</v>
      </c>
      <c r="C124" s="11">
        <f t="shared" si="79"/>
        <v>3522.09</v>
      </c>
      <c r="D124" s="11">
        <f t="shared" si="80"/>
        <v>1244.6102190901315</v>
      </c>
      <c r="E124" s="11">
        <f t="shared" si="81"/>
        <v>2277.4797809098686</v>
      </c>
      <c r="F124" s="9">
        <f t="shared" si="96"/>
        <v>312890.53197537444</v>
      </c>
      <c r="G124" s="10">
        <f t="shared" si="82"/>
        <v>7.0000000000000007E-2</v>
      </c>
      <c r="H124" s="10">
        <f t="shared" si="83"/>
        <v>1.7000000000000001E-2</v>
      </c>
      <c r="I124" s="48">
        <f t="shared" si="97"/>
        <v>8.7000000000000008E-2</v>
      </c>
      <c r="J124" s="11">
        <f t="shared" si="84"/>
        <v>20</v>
      </c>
      <c r="K124" s="11">
        <f>IF(B124&lt;&gt;"",IF($B$16=listy!$K$8,'RZĄDOWY PROGRAM'!$F$3*'RZĄDOWY PROGRAM'!$F$15,F123*$F$15),"")</f>
        <v>50</v>
      </c>
      <c r="L124" s="11">
        <f t="shared" si="98"/>
        <v>70</v>
      </c>
      <c r="N124" s="54">
        <f t="shared" si="119"/>
        <v>47665</v>
      </c>
      <c r="O124" s="8">
        <f t="shared" si="99"/>
        <v>97</v>
      </c>
      <c r="P124" s="8"/>
      <c r="Q124" s="11">
        <f>IF(O124&lt;&gt;"",ROUND(IF($F$11="raty równe",-PMT(W124/12,$F$4-O123+SUM($P$28:P124),T123,2),R124+S124),2),"")</f>
        <v>3522.09</v>
      </c>
      <c r="R124" s="11">
        <f>IF(O124&lt;&gt;"",IF($F$11="raty malejące",T123/($F$4-O123+SUM($P$28:P124)),IF(Q124-S124&gt;T123,T123,Q124-S124)),"")</f>
        <v>1174.7218603825668</v>
      </c>
      <c r="S124" s="11">
        <f t="shared" si="121"/>
        <v>2347.3681396174334</v>
      </c>
      <c r="T124" s="9">
        <f t="shared" si="100"/>
        <v>322600.19394891855</v>
      </c>
      <c r="U124" s="10">
        <f t="shared" si="85"/>
        <v>7.0000000000000007E-2</v>
      </c>
      <c r="V124" s="10">
        <f t="shared" si="86"/>
        <v>1.7000000000000001E-2</v>
      </c>
      <c r="W124" s="48">
        <f t="shared" si="101"/>
        <v>8.7000000000000008E-2</v>
      </c>
      <c r="X124" s="11">
        <f t="shared" si="87"/>
        <v>20</v>
      </c>
      <c r="Y124" s="11">
        <f>IF(O124&lt;&gt;"",IF($B$16=listy!$K$8,'RZĄDOWY PROGRAM'!$F$3*'RZĄDOWY PROGRAM'!$F$15,T123*$F$15),"")</f>
        <v>50</v>
      </c>
      <c r="Z124" s="11">
        <f t="shared" si="102"/>
        <v>70</v>
      </c>
      <c r="AB124" s="8">
        <f t="shared" si="103"/>
        <v>97</v>
      </c>
      <c r="AC124" s="8"/>
      <c r="AD124" s="11">
        <f>IF(AB124&lt;&gt;"",ROUND(IF($F$11="raty równe",-PMT(W124/12,$F$4-AB123+SUM($AC$28:AC124),AG123,2),AE124+AF124),2),"")</f>
        <v>3280.39</v>
      </c>
      <c r="AE124" s="11">
        <f>IF(AB124&lt;&gt;"",IF($F$11="raty malejące",AG123/($F$4-AB123+SUM($AC$28:AC123)),MIN(AD124-AF124,AG123)),"")</f>
        <v>1094.109196395093</v>
      </c>
      <c r="AF124" s="11">
        <f t="shared" si="122"/>
        <v>2186.2808036049069</v>
      </c>
      <c r="AG124" s="9">
        <f t="shared" si="120"/>
        <v>300461.86371462652</v>
      </c>
      <c r="AH124" s="11"/>
      <c r="AI124" s="33">
        <f>IF(AB124&lt;&gt;"",ROUND(IF($F$11="raty równe",-PMT(W124/12,($F$4-AB123+SUM($AC$27:AC123)),AG123,2),AG123/($F$4-AB123+SUM($AC$27:AC123))+AG123*W124/12),2),"")</f>
        <v>3280.39</v>
      </c>
      <c r="AJ124" s="33">
        <f t="shared" si="104"/>
        <v>241.70000000000027</v>
      </c>
      <c r="AK124" s="33">
        <f t="shared" si="88"/>
        <v>25920.748159785882</v>
      </c>
      <c r="AL124" s="33">
        <f>IF(AB124&lt;&gt;"",AK124-SUM($AJ$28:AJ124),"")</f>
        <v>4270.2081597858851</v>
      </c>
      <c r="AM124" s="11">
        <f t="shared" si="105"/>
        <v>20</v>
      </c>
      <c r="AN124" s="11">
        <f>IF(AB124&lt;&gt;"",IF($B$16=listy!$K$8,'RZĄDOWY PROGRAM'!$F$3*'RZĄDOWY PROGRAM'!$F$15,AG123*$F$15),"")</f>
        <v>50</v>
      </c>
      <c r="AO124" s="11">
        <f t="shared" si="106"/>
        <v>70</v>
      </c>
      <c r="AQ124" s="8">
        <f t="shared" si="107"/>
        <v>97</v>
      </c>
      <c r="AR124" s="8"/>
      <c r="AS124" s="78">
        <f>IF(AQ124&lt;&gt;"",ROUND(IF($F$11="raty równe",-PMT(W124/12,$F$4-AQ123+SUM($AR$28:AR124),AV123,2),AT124+AU124),2),"")</f>
        <v>3263.82</v>
      </c>
      <c r="AT124" s="78">
        <f>IF(AQ124&lt;&gt;"",IF($F$11="raty malejące",AV123/($F$4-AQ123+SUM($AR$28:AR123)),MIN(AS124-AU124,AV123)),"")</f>
        <v>1088.5812428089926</v>
      </c>
      <c r="AU124" s="78">
        <f t="shared" si="108"/>
        <v>2175.2387571910076</v>
      </c>
      <c r="AV124" s="79">
        <f t="shared" si="109"/>
        <v>298944.35078353685</v>
      </c>
      <c r="AW124" s="11"/>
      <c r="AX124" s="33">
        <f>IF(AQ124&lt;&gt;"",ROUND(IF($F$11="raty równe",-PMT(W124/12,($F$4-AQ123+SUM($AR$27:AR123)),AV123,2),AV123/($F$4-AQ123+SUM($AR$27:AR123))+AV123*W124/12),2),"")</f>
        <v>3263.82</v>
      </c>
      <c r="AY124" s="33">
        <f t="shared" si="110"/>
        <v>258.27</v>
      </c>
      <c r="AZ124" s="33">
        <f t="shared" si="126"/>
        <v>24589.662230067428</v>
      </c>
      <c r="BA124" s="33">
        <f>IF(AQ124&lt;&gt;"",AZ124-SUM($AY$44:AY124),"")</f>
        <v>3669.802230067402</v>
      </c>
      <c r="BB124" s="11">
        <f t="shared" si="111"/>
        <v>20</v>
      </c>
      <c r="BC124" s="11">
        <f>IF(AQ124&lt;&gt;"",IF($B$16=listy!$K$8,'RZĄDOWY PROGRAM'!$F$3*'RZĄDOWY PROGRAM'!$F$15,AV123*$F$15),"")</f>
        <v>50</v>
      </c>
      <c r="BD124" s="11">
        <f t="shared" si="112"/>
        <v>70</v>
      </c>
      <c r="BF124" s="8">
        <f t="shared" si="113"/>
        <v>97</v>
      </c>
      <c r="BG124" s="8"/>
      <c r="BH124" s="78">
        <f>IF(BF124&lt;&gt;"",ROUND(IF($F$11="raty równe",-PMT(W124/12,$F$4-BF123+SUM(BV$28:$BV124)-SUM($BM$29:BM124),BK123,2),BI124+BJ124),2),"")</f>
        <v>3522.1</v>
      </c>
      <c r="BI124" s="78">
        <f>IF(BF124&lt;&gt;"",IF($F$11="raty malejące",MIN(BK123/($F$4-BF123+SUM($BG$27:BG124)-SUM($BM$27:BM124)),BK123),MIN(BH124-BJ124,BK123)),"")</f>
        <v>1552.280026945404</v>
      </c>
      <c r="BJ124" s="78">
        <f t="shared" si="114"/>
        <v>1969.8199730545959</v>
      </c>
      <c r="BK124" s="79">
        <f t="shared" si="115"/>
        <v>270147.02660127473</v>
      </c>
      <c r="BL124" s="11"/>
      <c r="BM124" s="33"/>
      <c r="BN124" s="33">
        <f t="shared" si="127"/>
        <v>-9.9999999997635314E-3</v>
      </c>
      <c r="BO124" s="33">
        <f t="shared" si="128"/>
        <v>-0.11807292921237056</v>
      </c>
      <c r="BP124" s="33">
        <f>IF(O124&lt;&gt;"",BO124-SUM($BN$44:BN124),"")</f>
        <v>-2.8072929214498776E-2</v>
      </c>
      <c r="BQ124" s="11">
        <f t="shared" si="89"/>
        <v>20</v>
      </c>
      <c r="BR124" s="11">
        <f>IF(BF124&lt;&gt;"",IF($B$16=listy!$K$8,'RZĄDOWY PROGRAM'!$F$3*'RZĄDOWY PROGRAM'!$F$15,BK123*$F$15),"")</f>
        <v>50</v>
      </c>
      <c r="BS124" s="11">
        <f t="shared" si="90"/>
        <v>70</v>
      </c>
      <c r="BU124" s="8">
        <f t="shared" si="116"/>
        <v>97</v>
      </c>
      <c r="BV124" s="8"/>
      <c r="BW124" s="78">
        <f>IF(BU124&lt;&gt;"",ROUND(IF($F$11="raty równe",-PMT(W124/12,$F$4-BU123+SUM($BV$28:BV124)-$CB$43,BZ123,2),BX124+BY124),2),"")</f>
        <v>3522.1</v>
      </c>
      <c r="BX124" s="78">
        <f>IF(BU124&lt;&gt;"",IF($F$11="raty malejące",MIN(BZ123/($F$4-BU123+SUM($BV$28:BV123)-SUM($CB$28:CB123)),BZ123),MIN(BW124-BY124,BZ123)),"")</f>
        <v>1548.9042234136102</v>
      </c>
      <c r="BY124" s="78">
        <f t="shared" si="123"/>
        <v>1973.1957765863897</v>
      </c>
      <c r="BZ124" s="79">
        <f t="shared" si="124"/>
        <v>270616.03047815734</v>
      </c>
      <c r="CA124" s="11"/>
      <c r="CB124" s="33"/>
      <c r="CC124" s="33">
        <f t="shared" si="117"/>
        <v>-9.9999999997635314E-3</v>
      </c>
      <c r="CD124" s="33">
        <f t="shared" si="129"/>
        <v>0.32311510651061115</v>
      </c>
      <c r="CE124" s="33">
        <f>IF(O124&lt;&gt;"",CD124-SUM($CC$44:CC124),"")</f>
        <v>6.3115106516759334E-2</v>
      </c>
      <c r="CF124" s="11">
        <f t="shared" si="91"/>
        <v>20</v>
      </c>
      <c r="CG124" s="11">
        <f>IF(BU124&lt;&gt;"",IF($B$16=listy!$K$8,'RZĄDOWY PROGRAM'!$F$3*'RZĄDOWY PROGRAM'!$F$15,BZ123*$F$15),"")</f>
        <v>50</v>
      </c>
      <c r="CH124" s="11">
        <f t="shared" si="92"/>
        <v>70</v>
      </c>
      <c r="CJ124" s="48">
        <f t="shared" si="93"/>
        <v>0.06</v>
      </c>
      <c r="CK124" s="18">
        <f t="shared" si="94"/>
        <v>4.8675505653430484E-3</v>
      </c>
      <c r="CL124" s="11">
        <f t="shared" si="125"/>
        <v>0</v>
      </c>
      <c r="CM124" s="11">
        <f t="shared" si="95"/>
        <v>40078.836167065208</v>
      </c>
      <c r="CN124" s="11">
        <f>IF(AB124&lt;&gt;"",CM124-SUM($CL$28:CL124),"")</f>
        <v>11902.076167065214</v>
      </c>
    </row>
    <row r="125" spans="1:92" x14ac:dyDescent="0.45">
      <c r="A125" s="68">
        <f t="shared" si="118"/>
        <v>47696</v>
      </c>
      <c r="B125" s="8">
        <f t="shared" si="78"/>
        <v>98</v>
      </c>
      <c r="C125" s="11">
        <f t="shared" si="79"/>
        <v>3522.1</v>
      </c>
      <c r="D125" s="11">
        <f t="shared" si="80"/>
        <v>1253.6436431785351</v>
      </c>
      <c r="E125" s="11">
        <f t="shared" si="81"/>
        <v>2268.4563568214649</v>
      </c>
      <c r="F125" s="9">
        <f t="shared" si="96"/>
        <v>311636.88833219593</v>
      </c>
      <c r="G125" s="10">
        <f t="shared" si="82"/>
        <v>7.0000000000000007E-2</v>
      </c>
      <c r="H125" s="10">
        <f t="shared" si="83"/>
        <v>1.7000000000000001E-2</v>
      </c>
      <c r="I125" s="48">
        <f t="shared" si="97"/>
        <v>8.7000000000000008E-2</v>
      </c>
      <c r="J125" s="11">
        <f t="shared" si="84"/>
        <v>20</v>
      </c>
      <c r="K125" s="11">
        <f>IF(B125&lt;&gt;"",IF($B$16=listy!$K$8,'RZĄDOWY PROGRAM'!$F$3*'RZĄDOWY PROGRAM'!$F$15,F124*$F$15),"")</f>
        <v>50</v>
      </c>
      <c r="L125" s="11">
        <f t="shared" si="98"/>
        <v>70</v>
      </c>
      <c r="N125" s="54">
        <f t="shared" si="119"/>
        <v>47696</v>
      </c>
      <c r="O125" s="8">
        <f t="shared" si="99"/>
        <v>98</v>
      </c>
      <c r="P125" s="8"/>
      <c r="Q125" s="11">
        <f>IF(O125&lt;&gt;"",ROUND(IF($F$11="raty równe",-PMT(W125/12,$F$4-O124+SUM($P$28:P125),T124,2),R125+S125),2),"")</f>
        <v>3522.1</v>
      </c>
      <c r="R125" s="11">
        <f>IF(O125&lt;&gt;"",IF($F$11="raty malejące",T124/($F$4-O124+SUM($P$28:P125)),IF(Q125-S125&gt;T124,T124,Q125-S125)),"")</f>
        <v>1183.2485938703403</v>
      </c>
      <c r="S125" s="11">
        <f t="shared" si="121"/>
        <v>2338.8514061296596</v>
      </c>
      <c r="T125" s="9">
        <f t="shared" si="100"/>
        <v>321416.94535504823</v>
      </c>
      <c r="U125" s="10">
        <f t="shared" si="85"/>
        <v>7.0000000000000007E-2</v>
      </c>
      <c r="V125" s="10">
        <f t="shared" si="86"/>
        <v>1.7000000000000001E-2</v>
      </c>
      <c r="W125" s="48">
        <f t="shared" si="101"/>
        <v>8.7000000000000008E-2</v>
      </c>
      <c r="X125" s="11">
        <f t="shared" si="87"/>
        <v>20</v>
      </c>
      <c r="Y125" s="11">
        <f>IF(O125&lt;&gt;"",IF($B$16=listy!$K$8,'RZĄDOWY PROGRAM'!$F$3*'RZĄDOWY PROGRAM'!$F$15,T124*$F$15),"")</f>
        <v>50</v>
      </c>
      <c r="Z125" s="11">
        <f t="shared" si="102"/>
        <v>70</v>
      </c>
      <c r="AB125" s="8">
        <f t="shared" si="103"/>
        <v>98</v>
      </c>
      <c r="AC125" s="8"/>
      <c r="AD125" s="11">
        <f>IF(AB125&lt;&gt;"",ROUND(IF($F$11="raty równe",-PMT(W125/12,$F$4-AB124+SUM($AC$28:AC125),AG124,2),AE125+AF125),2),"")</f>
        <v>3280.39</v>
      </c>
      <c r="AE125" s="11">
        <f>IF(AB125&lt;&gt;"",IF($F$11="raty malejące",AG124/($F$4-AB124+SUM($AC$28:AC124)),MIN(AD125-AF125,AG124)),"")</f>
        <v>1102.0414880689573</v>
      </c>
      <c r="AF125" s="11">
        <f t="shared" si="122"/>
        <v>2178.3485119310426</v>
      </c>
      <c r="AG125" s="9">
        <f t="shared" si="120"/>
        <v>299359.82222655759</v>
      </c>
      <c r="AH125" s="11"/>
      <c r="AI125" s="33">
        <f>IF(AB125&lt;&gt;"",ROUND(IF($F$11="raty równe",-PMT(W125/12,($F$4-AB124+SUM($AC$27:AC124)),AG124,2),AG124/($F$4-AB124+SUM($AC$27:AC124))+AG124*W125/12),2),"")</f>
        <v>3280.39</v>
      </c>
      <c r="AJ125" s="33">
        <f t="shared" si="104"/>
        <v>241.71000000000004</v>
      </c>
      <c r="AK125" s="33">
        <f t="shared" si="88"/>
        <v>26264.656307196899</v>
      </c>
      <c r="AL125" s="33">
        <f>IF(AB125&lt;&gt;"",AK125-SUM($AJ$28:AJ125),"")</f>
        <v>4372.4063071969031</v>
      </c>
      <c r="AM125" s="11">
        <f t="shared" si="105"/>
        <v>20</v>
      </c>
      <c r="AN125" s="11">
        <f>IF(AB125&lt;&gt;"",IF($B$16=listy!$K$8,'RZĄDOWY PROGRAM'!$F$3*'RZĄDOWY PROGRAM'!$F$15,AG124*$F$15),"")</f>
        <v>50</v>
      </c>
      <c r="AO125" s="11">
        <f t="shared" si="106"/>
        <v>70</v>
      </c>
      <c r="AQ125" s="8">
        <f t="shared" si="107"/>
        <v>98</v>
      </c>
      <c r="AR125" s="8"/>
      <c r="AS125" s="78">
        <f>IF(AQ125&lt;&gt;"",ROUND(IF($F$11="raty równe",-PMT(W125/12,$F$4-AQ124+SUM($AR$28:AR125),AV124,2),AT125+AU125),2),"")</f>
        <v>3263.83</v>
      </c>
      <c r="AT125" s="78">
        <f>IF(AQ125&lt;&gt;"",IF($F$11="raty malejące",AV124/($F$4-AQ124+SUM($AR$28:AR124)),MIN(AS125-AU125,AV124)),"")</f>
        <v>1096.4834568193578</v>
      </c>
      <c r="AU125" s="78">
        <f t="shared" si="108"/>
        <v>2167.3465431806421</v>
      </c>
      <c r="AV125" s="79">
        <f t="shared" si="109"/>
        <v>297847.86732671747</v>
      </c>
      <c r="AW125" s="11"/>
      <c r="AX125" s="33">
        <f>IF(AQ125&lt;&gt;"",ROUND(IF($F$11="raty równe",-PMT(W125/12,($F$4-AQ124+SUM($AR$27:AR124)),AV124,2),AV124/($F$4-AQ124+SUM($AR$27:AR124))+AV124*W125/12),2),"")</f>
        <v>3263.83</v>
      </c>
      <c r="AY125" s="33">
        <f t="shared" si="110"/>
        <v>258.27</v>
      </c>
      <c r="AZ125" s="33">
        <f t="shared" si="126"/>
        <v>24944.882283741972</v>
      </c>
      <c r="BA125" s="33">
        <f>IF(AQ125&lt;&gt;"",AZ125-SUM($AY$44:AY125),"")</f>
        <v>3766.7522837419456</v>
      </c>
      <c r="BB125" s="11">
        <f t="shared" si="111"/>
        <v>20</v>
      </c>
      <c r="BC125" s="11">
        <f>IF(AQ125&lt;&gt;"",IF($B$16=listy!$K$8,'RZĄDOWY PROGRAM'!$F$3*'RZĄDOWY PROGRAM'!$F$15,AV124*$F$15),"")</f>
        <v>50</v>
      </c>
      <c r="BD125" s="11">
        <f t="shared" si="112"/>
        <v>70</v>
      </c>
      <c r="BF125" s="8">
        <f t="shared" si="113"/>
        <v>98</v>
      </c>
      <c r="BG125" s="8"/>
      <c r="BH125" s="78">
        <f>IF(BF125&lt;&gt;"",ROUND(IF($F$11="raty równe",-PMT(W125/12,$F$4-BF124+SUM(BV$28:$BV125)-SUM($BM$29:BM125),BK124,2),BI125+BJ125),2),"")</f>
        <v>3522.09</v>
      </c>
      <c r="BI125" s="78">
        <f>IF(BF125&lt;&gt;"",IF($F$11="raty malejące",MIN(BK124/($F$4-BF124+SUM($BG$27:BG125)-SUM($BM$27:BM125)),BK124),MIN(BH125-BJ125,BK124)),"")</f>
        <v>1563.5240571407583</v>
      </c>
      <c r="BJ125" s="78">
        <f t="shared" si="114"/>
        <v>1958.5659428592419</v>
      </c>
      <c r="BK125" s="79">
        <f t="shared" si="115"/>
        <v>268583.50254413398</v>
      </c>
      <c r="BL125" s="11"/>
      <c r="BM125" s="33"/>
      <c r="BN125" s="33">
        <f t="shared" si="127"/>
        <v>9.9999999997635314E-3</v>
      </c>
      <c r="BO125" s="33">
        <f t="shared" si="128"/>
        <v>-0.10853845723481194</v>
      </c>
      <c r="BP125" s="33">
        <f>IF(O125&lt;&gt;"",BO125-SUM($BN$44:BN125),"")</f>
        <v>-2.8538457236703688E-2</v>
      </c>
      <c r="BQ125" s="11">
        <f t="shared" si="89"/>
        <v>20</v>
      </c>
      <c r="BR125" s="11">
        <f>IF(BF125&lt;&gt;"",IF($B$16=listy!$K$8,'RZĄDOWY PROGRAM'!$F$3*'RZĄDOWY PROGRAM'!$F$15,BK124*$F$15),"")</f>
        <v>50</v>
      </c>
      <c r="BS125" s="11">
        <f t="shared" si="90"/>
        <v>70</v>
      </c>
      <c r="BU125" s="8">
        <f t="shared" si="116"/>
        <v>98</v>
      </c>
      <c r="BV125" s="8"/>
      <c r="BW125" s="78">
        <f>IF(BU125&lt;&gt;"",ROUND(IF($F$11="raty równe",-PMT(W125/12,$F$4-BU124+SUM($BV$28:BV125)-$CB$43,BZ124,2),BX125+BY125),2),"")</f>
        <v>3522.09</v>
      </c>
      <c r="BX125" s="78">
        <f>IF(BU125&lt;&gt;"",IF($F$11="raty malejące",MIN(BZ124/($F$4-BU124+SUM($BV$28:BV124)-SUM($CB$28:CB124)),BZ124),MIN(BW125-BY125,BZ124)),"")</f>
        <v>1560.1237790333591</v>
      </c>
      <c r="BY125" s="78">
        <f t="shared" si="123"/>
        <v>1961.966220966641</v>
      </c>
      <c r="BZ125" s="79">
        <f t="shared" si="124"/>
        <v>269055.90669912397</v>
      </c>
      <c r="CA125" s="11"/>
      <c r="CB125" s="33"/>
      <c r="CC125" s="33">
        <f t="shared" si="117"/>
        <v>9.9999999997635314E-3</v>
      </c>
      <c r="CD125" s="33">
        <f t="shared" si="129"/>
        <v>0.33438905759706167</v>
      </c>
      <c r="CE125" s="33">
        <f>IF(O125&lt;&gt;"",CD125-SUM($CC$44:CC125),"")</f>
        <v>6.438905760344632E-2</v>
      </c>
      <c r="CF125" s="11">
        <f t="shared" si="91"/>
        <v>20</v>
      </c>
      <c r="CG125" s="11">
        <f>IF(BU125&lt;&gt;"",IF($B$16=listy!$K$8,'RZĄDOWY PROGRAM'!$F$3*'RZĄDOWY PROGRAM'!$F$15,BZ124*$F$15),"")</f>
        <v>50</v>
      </c>
      <c r="CH125" s="11">
        <f t="shared" si="92"/>
        <v>70</v>
      </c>
      <c r="CJ125" s="48">
        <f t="shared" si="93"/>
        <v>0.06</v>
      </c>
      <c r="CK125" s="18">
        <f t="shared" si="94"/>
        <v>4.8675505653430484E-3</v>
      </c>
      <c r="CL125" s="11">
        <f t="shared" si="125"/>
        <v>0</v>
      </c>
      <c r="CM125" s="11">
        <f t="shared" si="95"/>
        <v>40236.855633996274</v>
      </c>
      <c r="CN125" s="11">
        <f>IF(AB125&lt;&gt;"",CM125-SUM($CL$28:CL125),"")</f>
        <v>12060.09563399628</v>
      </c>
    </row>
    <row r="126" spans="1:92" x14ac:dyDescent="0.45">
      <c r="A126" s="68">
        <f t="shared" si="118"/>
        <v>47727</v>
      </c>
      <c r="B126" s="8">
        <f t="shared" si="78"/>
        <v>99</v>
      </c>
      <c r="C126" s="11">
        <f t="shared" si="79"/>
        <v>3522.09</v>
      </c>
      <c r="D126" s="11">
        <f t="shared" si="80"/>
        <v>1262.7225595915793</v>
      </c>
      <c r="E126" s="11">
        <f t="shared" si="81"/>
        <v>2259.3674404084209</v>
      </c>
      <c r="F126" s="9">
        <f t="shared" si="96"/>
        <v>310374.16577260435</v>
      </c>
      <c r="G126" s="10">
        <f t="shared" si="82"/>
        <v>7.0000000000000007E-2</v>
      </c>
      <c r="H126" s="10">
        <f t="shared" si="83"/>
        <v>1.7000000000000001E-2</v>
      </c>
      <c r="I126" s="48">
        <f t="shared" si="97"/>
        <v>8.7000000000000008E-2</v>
      </c>
      <c r="J126" s="11">
        <f t="shared" si="84"/>
        <v>20</v>
      </c>
      <c r="K126" s="11">
        <f>IF(B126&lt;&gt;"",IF($B$16=listy!$K$8,'RZĄDOWY PROGRAM'!$F$3*'RZĄDOWY PROGRAM'!$F$15,F125*$F$15),"")</f>
        <v>50</v>
      </c>
      <c r="L126" s="11">
        <f t="shared" si="98"/>
        <v>70</v>
      </c>
      <c r="N126" s="54">
        <f t="shared" si="119"/>
        <v>47727</v>
      </c>
      <c r="O126" s="8">
        <f t="shared" si="99"/>
        <v>99</v>
      </c>
      <c r="P126" s="8"/>
      <c r="Q126" s="11">
        <f>IF(O126&lt;&gt;"",ROUND(IF($F$11="raty równe",-PMT(W126/12,$F$4-O125+SUM($P$28:P126),T125,2),R126+S126),2),"")</f>
        <v>3522.09</v>
      </c>
      <c r="R126" s="11">
        <f>IF(O126&lt;&gt;"",IF($F$11="raty malejące",T125/($F$4-O125+SUM($P$28:P126)),IF(Q126-S126&gt;T125,T125,Q126-S126)),"")</f>
        <v>1191.8171461759002</v>
      </c>
      <c r="S126" s="11">
        <f t="shared" si="121"/>
        <v>2330.2728538240999</v>
      </c>
      <c r="T126" s="9">
        <f t="shared" si="100"/>
        <v>320225.12820887234</v>
      </c>
      <c r="U126" s="10">
        <f t="shared" si="85"/>
        <v>7.0000000000000007E-2</v>
      </c>
      <c r="V126" s="10">
        <f t="shared" si="86"/>
        <v>1.7000000000000001E-2</v>
      </c>
      <c r="W126" s="48">
        <f t="shared" si="101"/>
        <v>8.7000000000000008E-2</v>
      </c>
      <c r="X126" s="11">
        <f t="shared" si="87"/>
        <v>20</v>
      </c>
      <c r="Y126" s="11">
        <f>IF(O126&lt;&gt;"",IF($B$16=listy!$K$8,'RZĄDOWY PROGRAM'!$F$3*'RZĄDOWY PROGRAM'!$F$15,T125*$F$15),"")</f>
        <v>50</v>
      </c>
      <c r="Z126" s="11">
        <f t="shared" si="102"/>
        <v>70</v>
      </c>
      <c r="AB126" s="8">
        <f t="shared" si="103"/>
        <v>99</v>
      </c>
      <c r="AC126" s="8"/>
      <c r="AD126" s="11">
        <f>IF(AB126&lt;&gt;"",ROUND(IF($F$11="raty równe",-PMT(W126/12,$F$4-AB125+SUM($AC$28:AC126),AG125,2),AE126+AF126),2),"")</f>
        <v>3280.39</v>
      </c>
      <c r="AE126" s="11">
        <f>IF(AB126&lt;&gt;"",IF($F$11="raty malejące",AG125/($F$4-AB125+SUM($AC$28:AC125)),MIN(AD126-AF126,AG125)),"")</f>
        <v>1110.0312888574572</v>
      </c>
      <c r="AF126" s="11">
        <f t="shared" si="122"/>
        <v>2170.3587111425427</v>
      </c>
      <c r="AG126" s="9">
        <f t="shared" si="120"/>
        <v>298249.79093770013</v>
      </c>
      <c r="AH126" s="11"/>
      <c r="AI126" s="33">
        <f>IF(AB126&lt;&gt;"",ROUND(IF($F$11="raty równe",-PMT(W126/12,($F$4-AB125+SUM($AC$27:AC125)),AG125,2),AG125/($F$4-AB125+SUM($AC$27:AC125))+AG125*W126/12),2),"")</f>
        <v>3280.39</v>
      </c>
      <c r="AJ126" s="33">
        <f t="shared" si="104"/>
        <v>241.70000000000027</v>
      </c>
      <c r="AK126" s="33">
        <f t="shared" si="88"/>
        <v>26609.910386748779</v>
      </c>
      <c r="AL126" s="33">
        <f>IF(AB126&lt;&gt;"",AK126-SUM($AJ$28:AJ126),"")</f>
        <v>4475.9603867487822</v>
      </c>
      <c r="AM126" s="11">
        <f t="shared" si="105"/>
        <v>20</v>
      </c>
      <c r="AN126" s="11">
        <f>IF(AB126&lt;&gt;"",IF($B$16=listy!$K$8,'RZĄDOWY PROGRAM'!$F$3*'RZĄDOWY PROGRAM'!$F$15,AG125*$F$15),"")</f>
        <v>50</v>
      </c>
      <c r="AO126" s="11">
        <f t="shared" si="106"/>
        <v>70</v>
      </c>
      <c r="AQ126" s="8">
        <f t="shared" si="107"/>
        <v>99</v>
      </c>
      <c r="AR126" s="8"/>
      <c r="AS126" s="78">
        <f>IF(AQ126&lt;&gt;"",ROUND(IF($F$11="raty równe",-PMT(W126/12,$F$4-AQ125+SUM($AR$28:AR126),AV125,2),AT126+AU126),2),"")</f>
        <v>3263.82</v>
      </c>
      <c r="AT126" s="78">
        <f>IF(AQ126&lt;&gt;"",IF($F$11="raty malejące",AV125/($F$4-AQ125+SUM($AR$28:AR125)),MIN(AS126-AU126,AV125)),"")</f>
        <v>1104.4229618812983</v>
      </c>
      <c r="AU126" s="78">
        <f t="shared" si="108"/>
        <v>2159.3970381187019</v>
      </c>
      <c r="AV126" s="79">
        <f t="shared" si="109"/>
        <v>296743.44436483615</v>
      </c>
      <c r="AW126" s="11"/>
      <c r="AX126" s="33">
        <f>IF(AQ126&lt;&gt;"",ROUND(IF($F$11="raty równe",-PMT(W126/12,($F$4-AQ125+SUM($AR$27:AR125)),AV125,2),AV125/($F$4-AQ125+SUM($AR$27:AR125))+AV125*W126/12),2),"")</f>
        <v>3263.82</v>
      </c>
      <c r="AY126" s="33">
        <f t="shared" si="110"/>
        <v>258.27</v>
      </c>
      <c r="AZ126" s="33">
        <f t="shared" si="126"/>
        <v>25301.502869190717</v>
      </c>
      <c r="BA126" s="33">
        <f>IF(AQ126&lt;&gt;"",AZ126-SUM($AY$44:AY126),"")</f>
        <v>3865.1028691906904</v>
      </c>
      <c r="BB126" s="11">
        <f t="shared" si="111"/>
        <v>20</v>
      </c>
      <c r="BC126" s="11">
        <f>IF(AQ126&lt;&gt;"",IF($B$16=listy!$K$8,'RZĄDOWY PROGRAM'!$F$3*'RZĄDOWY PROGRAM'!$F$15,AV125*$F$15),"")</f>
        <v>50</v>
      </c>
      <c r="BD126" s="11">
        <f t="shared" si="112"/>
        <v>70</v>
      </c>
      <c r="BF126" s="8">
        <f t="shared" si="113"/>
        <v>99</v>
      </c>
      <c r="BG126" s="8"/>
      <c r="BH126" s="78">
        <f>IF(BF126&lt;&gt;"",ROUND(IF($F$11="raty równe",-PMT(W126/12,$F$4-BF125+SUM(BV$28:$BV126)-SUM($BM$29:BM126),BK125,2),BI126+BJ126),2),"")</f>
        <v>3522.1</v>
      </c>
      <c r="BI126" s="78">
        <f>IF(BF126&lt;&gt;"",IF($F$11="raty malejące",MIN(BK125/($F$4-BF125+SUM($BG$27:BG126)-SUM($BM$27:BM126)),BK125),MIN(BH126-BJ126,BK125)),"")</f>
        <v>1574.8696065550282</v>
      </c>
      <c r="BJ126" s="78">
        <f t="shared" si="114"/>
        <v>1947.2303934449717</v>
      </c>
      <c r="BK126" s="79">
        <f t="shared" si="115"/>
        <v>267008.63293757895</v>
      </c>
      <c r="BL126" s="11"/>
      <c r="BM126" s="33"/>
      <c r="BN126" s="33">
        <f t="shared" si="127"/>
        <v>-9.9999999997635314E-3</v>
      </c>
      <c r="BO126" s="33">
        <f t="shared" si="128"/>
        <v>-0.11896639354196405</v>
      </c>
      <c r="BP126" s="33">
        <f>IF(O126&lt;&gt;"",BO126-SUM($BN$44:BN126),"")</f>
        <v>-2.8966393544092264E-2</v>
      </c>
      <c r="BQ126" s="11">
        <f t="shared" si="89"/>
        <v>20</v>
      </c>
      <c r="BR126" s="11">
        <f>IF(BF126&lt;&gt;"",IF($B$16=listy!$K$8,'RZĄDOWY PROGRAM'!$F$3*'RZĄDOWY PROGRAM'!$F$15,BK125*$F$15),"")</f>
        <v>50</v>
      </c>
      <c r="BS126" s="11">
        <f t="shared" si="90"/>
        <v>70</v>
      </c>
      <c r="BU126" s="8">
        <f t="shared" si="116"/>
        <v>99</v>
      </c>
      <c r="BV126" s="8"/>
      <c r="BW126" s="78">
        <f>IF(BU126&lt;&gt;"",ROUND(IF($F$11="raty równe",-PMT(W126/12,$F$4-BU125+SUM($BV$28:BV126)-$CB$43,BZ125,2),BX126+BY126),2),"")</f>
        <v>3522.09</v>
      </c>
      <c r="BX126" s="78">
        <f>IF(BU126&lt;&gt;"",IF($F$11="raty malejące",MIN(BZ125/($F$4-BU125+SUM($BV$28:BV125)-SUM($CB$28:CB125)),BZ125),MIN(BW126-BY126,BZ125)),"")</f>
        <v>1571.4346764313511</v>
      </c>
      <c r="BY126" s="78">
        <f t="shared" si="123"/>
        <v>1950.655323568649</v>
      </c>
      <c r="BZ126" s="79">
        <f t="shared" si="124"/>
        <v>267484.47202269261</v>
      </c>
      <c r="CA126" s="11"/>
      <c r="CB126" s="33"/>
      <c r="CC126" s="33">
        <f t="shared" si="117"/>
        <v>0</v>
      </c>
      <c r="CD126" s="33">
        <f t="shared" si="129"/>
        <v>0.33570745867060608</v>
      </c>
      <c r="CE126" s="33">
        <f>IF(O126&lt;&gt;"",CD126-SUM($CC$44:CC126),"")</f>
        <v>6.5707458676990738E-2</v>
      </c>
      <c r="CF126" s="11">
        <f t="shared" si="91"/>
        <v>20</v>
      </c>
      <c r="CG126" s="11">
        <f>IF(BU126&lt;&gt;"",IF($B$16=listy!$K$8,'RZĄDOWY PROGRAM'!$F$3*'RZĄDOWY PROGRAM'!$F$15,BZ125*$F$15),"")</f>
        <v>50</v>
      </c>
      <c r="CH126" s="11">
        <f t="shared" si="92"/>
        <v>70</v>
      </c>
      <c r="CJ126" s="48">
        <f t="shared" si="93"/>
        <v>0.06</v>
      </c>
      <c r="CK126" s="18">
        <f t="shared" si="94"/>
        <v>4.8675505653430484E-3</v>
      </c>
      <c r="CL126" s="11">
        <f t="shared" si="125"/>
        <v>0</v>
      </c>
      <c r="CM126" s="11">
        <f t="shared" si="95"/>
        <v>40395.498126801271</v>
      </c>
      <c r="CN126" s="11">
        <f>IF(AB126&lt;&gt;"",CM126-SUM($CL$28:CL126),"")</f>
        <v>12218.738126801276</v>
      </c>
    </row>
    <row r="127" spans="1:92" x14ac:dyDescent="0.45">
      <c r="A127" s="68">
        <f t="shared" si="118"/>
        <v>47757</v>
      </c>
      <c r="B127" s="8">
        <f t="shared" si="78"/>
        <v>100</v>
      </c>
      <c r="C127" s="11">
        <f t="shared" si="79"/>
        <v>3522.1</v>
      </c>
      <c r="D127" s="11">
        <f t="shared" si="80"/>
        <v>1271.8872981486184</v>
      </c>
      <c r="E127" s="11">
        <f t="shared" si="81"/>
        <v>2250.2127018513816</v>
      </c>
      <c r="F127" s="9">
        <f t="shared" si="96"/>
        <v>309102.27847445576</v>
      </c>
      <c r="G127" s="10">
        <f t="shared" si="82"/>
        <v>7.0000000000000007E-2</v>
      </c>
      <c r="H127" s="10">
        <f t="shared" si="83"/>
        <v>1.7000000000000001E-2</v>
      </c>
      <c r="I127" s="48">
        <f t="shared" si="97"/>
        <v>8.7000000000000008E-2</v>
      </c>
      <c r="J127" s="11">
        <f t="shared" si="84"/>
        <v>20</v>
      </c>
      <c r="K127" s="11">
        <f>IF(B127&lt;&gt;"",IF($B$16=listy!$K$8,'RZĄDOWY PROGRAM'!$F$3*'RZĄDOWY PROGRAM'!$F$15,F126*$F$15),"")</f>
        <v>50</v>
      </c>
      <c r="L127" s="11">
        <f t="shared" si="98"/>
        <v>70</v>
      </c>
      <c r="N127" s="54">
        <f t="shared" si="119"/>
        <v>47757</v>
      </c>
      <c r="O127" s="8">
        <f t="shared" si="99"/>
        <v>100</v>
      </c>
      <c r="P127" s="8"/>
      <c r="Q127" s="11">
        <f>IF(O127&lt;&gt;"",ROUND(IF($F$11="raty równe",-PMT(W127/12,$F$4-O126+SUM($P$28:P127),T126,2),R127+S127),2),"")</f>
        <v>3522.1</v>
      </c>
      <c r="R127" s="11">
        <f>IF(O127&lt;&gt;"",IF($F$11="raty malejące",T126/($F$4-O126+SUM($P$28:P127)),IF(Q127-S127&gt;T126,T126,Q127-S127)),"")</f>
        <v>1200.4678204856755</v>
      </c>
      <c r="S127" s="11">
        <f t="shared" si="121"/>
        <v>2321.6321795143244</v>
      </c>
      <c r="T127" s="9">
        <f t="shared" si="100"/>
        <v>319024.66038838669</v>
      </c>
      <c r="U127" s="10">
        <f t="shared" si="85"/>
        <v>7.0000000000000007E-2</v>
      </c>
      <c r="V127" s="10">
        <f t="shared" si="86"/>
        <v>1.7000000000000001E-2</v>
      </c>
      <c r="W127" s="48">
        <f t="shared" si="101"/>
        <v>8.7000000000000008E-2</v>
      </c>
      <c r="X127" s="11">
        <f t="shared" si="87"/>
        <v>20</v>
      </c>
      <c r="Y127" s="11">
        <f>IF(O127&lt;&gt;"",IF($B$16=listy!$K$8,'RZĄDOWY PROGRAM'!$F$3*'RZĄDOWY PROGRAM'!$F$15,T126*$F$15),"")</f>
        <v>50</v>
      </c>
      <c r="Z127" s="11">
        <f t="shared" si="102"/>
        <v>70</v>
      </c>
      <c r="AB127" s="8">
        <f t="shared" si="103"/>
        <v>100</v>
      </c>
      <c r="AC127" s="8"/>
      <c r="AD127" s="11">
        <f>IF(AB127&lt;&gt;"",ROUND(IF($F$11="raty równe",-PMT(W127/12,$F$4-AB126+SUM($AC$28:AC127),AG126,2),AE127+AF127),2),"")</f>
        <v>3280.39</v>
      </c>
      <c r="AE127" s="11">
        <f>IF(AB127&lt;&gt;"",IF($F$11="raty malejące",AG126/($F$4-AB126+SUM($AC$28:AC126)),MIN(AD127-AF127,AG126)),"")</f>
        <v>1118.0790157016736</v>
      </c>
      <c r="AF127" s="11">
        <f t="shared" si="122"/>
        <v>2162.3109842983263</v>
      </c>
      <c r="AG127" s="9">
        <f t="shared" si="120"/>
        <v>297131.71192199847</v>
      </c>
      <c r="AH127" s="11"/>
      <c r="AI127" s="33">
        <f>IF(AB127&lt;&gt;"",ROUND(IF($F$11="raty równe",-PMT(W127/12,($F$4-AB126+SUM($AC$27:AC126)),AG126,2),AG126/($F$4-AB126+SUM($AC$27:AC126))+AG126*W127/12),2),"")</f>
        <v>3280.39</v>
      </c>
      <c r="AJ127" s="33">
        <f t="shared" si="104"/>
        <v>241.71000000000004</v>
      </c>
      <c r="AK127" s="33">
        <f t="shared" si="88"/>
        <v>26956.535705069644</v>
      </c>
      <c r="AL127" s="33">
        <f>IF(AB127&lt;&gt;"",AK127-SUM($AJ$28:AJ127),"")</f>
        <v>4580.8757050696477</v>
      </c>
      <c r="AM127" s="11">
        <f t="shared" si="105"/>
        <v>20</v>
      </c>
      <c r="AN127" s="11">
        <f>IF(AB127&lt;&gt;"",IF($B$16=listy!$K$8,'RZĄDOWY PROGRAM'!$F$3*'RZĄDOWY PROGRAM'!$F$15,AG126*$F$15),"")</f>
        <v>50</v>
      </c>
      <c r="AO127" s="11">
        <f t="shared" si="106"/>
        <v>70</v>
      </c>
      <c r="AQ127" s="8">
        <f t="shared" si="107"/>
        <v>100</v>
      </c>
      <c r="AR127" s="8"/>
      <c r="AS127" s="78">
        <f>IF(AQ127&lt;&gt;"",ROUND(IF($F$11="raty równe",-PMT(W127/12,$F$4-AQ126+SUM($AR$28:AR127),AV126,2),AT127+AU127),2),"")</f>
        <v>3263.83</v>
      </c>
      <c r="AT127" s="78">
        <f>IF(AQ127&lt;&gt;"",IF($F$11="raty malejące",AV126/($F$4-AQ126+SUM($AR$28:AR126)),MIN(AS127-AU127,AV126)),"")</f>
        <v>1112.4400283549376</v>
      </c>
      <c r="AU127" s="78">
        <f t="shared" si="108"/>
        <v>2151.3899716450624</v>
      </c>
      <c r="AV127" s="79">
        <f t="shared" si="109"/>
        <v>295631.00433648122</v>
      </c>
      <c r="AW127" s="11"/>
      <c r="AX127" s="33">
        <f>IF(AQ127&lt;&gt;"",ROUND(IF($F$11="raty równe",-PMT(W127/12,($F$4-AQ126+SUM($AR$27:AR126)),AV126,2),AV126/($F$4-AQ126+SUM($AR$27:AR126))+AV126*W127/12),2),"")</f>
        <v>3263.83</v>
      </c>
      <c r="AY127" s="33">
        <f t="shared" si="110"/>
        <v>258.27</v>
      </c>
      <c r="AZ127" s="33">
        <f t="shared" si="126"/>
        <v>25659.529508312637</v>
      </c>
      <c r="BA127" s="33">
        <f>IF(AQ127&lt;&gt;"",AZ127-SUM($AY$44:AY127),"")</f>
        <v>3964.8595083126093</v>
      </c>
      <c r="BB127" s="11">
        <f t="shared" si="111"/>
        <v>20</v>
      </c>
      <c r="BC127" s="11">
        <f>IF(AQ127&lt;&gt;"",IF($B$16=listy!$K$8,'RZĄDOWY PROGRAM'!$F$3*'RZĄDOWY PROGRAM'!$F$15,AV126*$F$15),"")</f>
        <v>50</v>
      </c>
      <c r="BD127" s="11">
        <f t="shared" si="112"/>
        <v>70</v>
      </c>
      <c r="BF127" s="8">
        <f t="shared" si="113"/>
        <v>100</v>
      </c>
      <c r="BG127" s="8"/>
      <c r="BH127" s="78">
        <f>IF(BF127&lt;&gt;"",ROUND(IF($F$11="raty równe",-PMT(W127/12,$F$4-BF126+SUM(BV$28:$BV127)-SUM($BM$29:BM127),BK126,2),BI127+BJ127),2),"")</f>
        <v>3522.09</v>
      </c>
      <c r="BI127" s="78">
        <f>IF(BF127&lt;&gt;"",IF($F$11="raty malejące",MIN(BK126/($F$4-BF126+SUM($BG$27:BG127)-SUM($BM$27:BM127)),BK126),MIN(BH127-BJ127,BK126)),"")</f>
        <v>1586.2774112025527</v>
      </c>
      <c r="BJ127" s="78">
        <f t="shared" si="114"/>
        <v>1935.8125887974475</v>
      </c>
      <c r="BK127" s="79">
        <f t="shared" si="115"/>
        <v>265422.3555263764</v>
      </c>
      <c r="BL127" s="11"/>
      <c r="BM127" s="33"/>
      <c r="BN127" s="33">
        <f t="shared" si="127"/>
        <v>9.9999999997635314E-3</v>
      </c>
      <c r="BO127" s="33">
        <f t="shared" si="128"/>
        <v>-0.10943544424047555</v>
      </c>
      <c r="BP127" s="33">
        <f>IF(O127&lt;&gt;"",BO127-SUM($BN$44:BN127),"")</f>
        <v>-2.9435444242367298E-2</v>
      </c>
      <c r="BQ127" s="11">
        <f t="shared" si="89"/>
        <v>20</v>
      </c>
      <c r="BR127" s="11">
        <f>IF(BF127&lt;&gt;"",IF($B$16=listy!$K$8,'RZĄDOWY PROGRAM'!$F$3*'RZĄDOWY PROGRAM'!$F$15,BK126*$F$15),"")</f>
        <v>50</v>
      </c>
      <c r="BS127" s="11">
        <f t="shared" si="90"/>
        <v>70</v>
      </c>
      <c r="BU127" s="8">
        <f t="shared" si="116"/>
        <v>100</v>
      </c>
      <c r="BV127" s="8"/>
      <c r="BW127" s="78">
        <f>IF(BU127&lt;&gt;"",ROUND(IF($F$11="raty równe",-PMT(W127/12,$F$4-BU126+SUM($BV$28:BV127)-$CB$43,BZ126,2),BX127+BY127),2),"")</f>
        <v>3522.1</v>
      </c>
      <c r="BX127" s="78">
        <f>IF(BU127&lt;&gt;"",IF($F$11="raty malejące",MIN(BZ126/($F$4-BU126+SUM($BV$28:BV126)-SUM($CB$28:CB126)),BZ126),MIN(BW127-BY127,BZ126)),"")</f>
        <v>1582.8375778354782</v>
      </c>
      <c r="BY127" s="78">
        <f t="shared" si="123"/>
        <v>1939.2624221645217</v>
      </c>
      <c r="BZ127" s="79">
        <f t="shared" si="124"/>
        <v>265901.63444485713</v>
      </c>
      <c r="CA127" s="11"/>
      <c r="CB127" s="33"/>
      <c r="CC127" s="33">
        <f t="shared" si="117"/>
        <v>0</v>
      </c>
      <c r="CD127" s="33">
        <f t="shared" si="129"/>
        <v>0.33703105782510212</v>
      </c>
      <c r="CE127" s="33">
        <f>IF(O127&lt;&gt;"",CD127-SUM($CC$44:CC127),"")</f>
        <v>6.7031057831486773E-2</v>
      </c>
      <c r="CF127" s="11">
        <f t="shared" si="91"/>
        <v>20</v>
      </c>
      <c r="CG127" s="11">
        <f>IF(BU127&lt;&gt;"",IF($B$16=listy!$K$8,'RZĄDOWY PROGRAM'!$F$3*'RZĄDOWY PROGRAM'!$F$15,BZ126*$F$15),"")</f>
        <v>50</v>
      </c>
      <c r="CH127" s="11">
        <f t="shared" si="92"/>
        <v>70</v>
      </c>
      <c r="CJ127" s="48">
        <f t="shared" si="93"/>
        <v>0.06</v>
      </c>
      <c r="CK127" s="18">
        <f t="shared" si="94"/>
        <v>4.8675505653430484E-3</v>
      </c>
      <c r="CL127" s="11">
        <f t="shared" si="125"/>
        <v>0</v>
      </c>
      <c r="CM127" s="11">
        <f t="shared" si="95"/>
        <v>40554.76610189426</v>
      </c>
      <c r="CN127" s="11">
        <f>IF(AB127&lt;&gt;"",CM127-SUM($CL$28:CL127),"")</f>
        <v>12378.006101894265</v>
      </c>
    </row>
    <row r="128" spans="1:92" x14ac:dyDescent="0.45">
      <c r="A128" s="68">
        <f t="shared" si="118"/>
        <v>47788</v>
      </c>
      <c r="B128" s="8">
        <f t="shared" si="78"/>
        <v>101</v>
      </c>
      <c r="C128" s="11">
        <f t="shared" si="79"/>
        <v>3522.09</v>
      </c>
      <c r="D128" s="11">
        <f t="shared" si="80"/>
        <v>1281.0984810601958</v>
      </c>
      <c r="E128" s="11">
        <f t="shared" si="81"/>
        <v>2240.9915189398043</v>
      </c>
      <c r="F128" s="9">
        <f t="shared" si="96"/>
        <v>307821.17999339558</v>
      </c>
      <c r="G128" s="10">
        <f t="shared" si="82"/>
        <v>7.0000000000000007E-2</v>
      </c>
      <c r="H128" s="10">
        <f t="shared" si="83"/>
        <v>1.7000000000000001E-2</v>
      </c>
      <c r="I128" s="48">
        <f t="shared" si="97"/>
        <v>8.7000000000000008E-2</v>
      </c>
      <c r="J128" s="11">
        <f t="shared" si="84"/>
        <v>20</v>
      </c>
      <c r="K128" s="11">
        <f>IF(B128&lt;&gt;"",IF($B$16=listy!$K$8,'RZĄDOWY PROGRAM'!$F$3*'RZĄDOWY PROGRAM'!$F$15,F127*$F$15),"")</f>
        <v>50</v>
      </c>
      <c r="L128" s="11">
        <f t="shared" si="98"/>
        <v>70</v>
      </c>
      <c r="N128" s="54">
        <f t="shared" si="119"/>
        <v>47788</v>
      </c>
      <c r="O128" s="8">
        <f t="shared" si="99"/>
        <v>101</v>
      </c>
      <c r="P128" s="8"/>
      <c r="Q128" s="11">
        <f>IF(O128&lt;&gt;"",ROUND(IF($F$11="raty równe",-PMT(W128/12,$F$4-O127+SUM($P$28:P128),T127,2),R128+S128),2),"")</f>
        <v>3522.09</v>
      </c>
      <c r="R128" s="11">
        <f>IF(O128&lt;&gt;"",IF($F$11="raty malejące",T127/($F$4-O127+SUM($P$28:P128)),IF(Q128-S128&gt;T127,T127,Q128-S128)),"")</f>
        <v>1209.1612121841963</v>
      </c>
      <c r="S128" s="11">
        <f t="shared" si="121"/>
        <v>2312.9287878158038</v>
      </c>
      <c r="T128" s="9">
        <f t="shared" si="100"/>
        <v>317815.49917620252</v>
      </c>
      <c r="U128" s="10">
        <f t="shared" si="85"/>
        <v>7.0000000000000007E-2</v>
      </c>
      <c r="V128" s="10">
        <f t="shared" si="86"/>
        <v>1.7000000000000001E-2</v>
      </c>
      <c r="W128" s="48">
        <f t="shared" si="101"/>
        <v>8.7000000000000008E-2</v>
      </c>
      <c r="X128" s="11">
        <f t="shared" si="87"/>
        <v>20</v>
      </c>
      <c r="Y128" s="11">
        <f>IF(O128&lt;&gt;"",IF($B$16=listy!$K$8,'RZĄDOWY PROGRAM'!$F$3*'RZĄDOWY PROGRAM'!$F$15,T127*$F$15),"")</f>
        <v>50</v>
      </c>
      <c r="Z128" s="11">
        <f t="shared" si="102"/>
        <v>70</v>
      </c>
      <c r="AB128" s="8">
        <f t="shared" si="103"/>
        <v>101</v>
      </c>
      <c r="AC128" s="8"/>
      <c r="AD128" s="11">
        <f>IF(AB128&lt;&gt;"",ROUND(IF($F$11="raty równe",-PMT(W128/12,$F$4-AB127+SUM($AC$28:AC128),AG127,2),AE128+AF128),2),"")</f>
        <v>3280.39</v>
      </c>
      <c r="AE128" s="11">
        <f>IF(AB128&lt;&gt;"",IF($F$11="raty malejące",AG127/($F$4-AB127+SUM($AC$28:AC127)),MIN(AD128-AF128,AG127)),"")</f>
        <v>1126.1850885655108</v>
      </c>
      <c r="AF128" s="11">
        <f t="shared" si="122"/>
        <v>2154.2049114344891</v>
      </c>
      <c r="AG128" s="9">
        <f t="shared" si="120"/>
        <v>296005.52683343296</v>
      </c>
      <c r="AH128" s="11"/>
      <c r="AI128" s="33">
        <f>IF(AB128&lt;&gt;"",ROUND(IF($F$11="raty równe",-PMT(W128/12,($F$4-AB127+SUM($AC$27:AC127)),AG127,2),AG127/($F$4-AB127+SUM($AC$27:AC127))+AG127*W128/12),2),"")</f>
        <v>3280.39</v>
      </c>
      <c r="AJ128" s="33">
        <f t="shared" si="104"/>
        <v>241.70000000000027</v>
      </c>
      <c r="AK128" s="33">
        <f t="shared" si="88"/>
        <v>27304.517668564476</v>
      </c>
      <c r="AL128" s="33">
        <f>IF(AB128&lt;&gt;"",AK128-SUM($AJ$28:AJ128),"")</f>
        <v>4687.1576685644795</v>
      </c>
      <c r="AM128" s="11">
        <f t="shared" si="105"/>
        <v>20</v>
      </c>
      <c r="AN128" s="11">
        <f>IF(AB128&lt;&gt;"",IF($B$16=listy!$K$8,'RZĄDOWY PROGRAM'!$F$3*'RZĄDOWY PROGRAM'!$F$15,AG127*$F$15),"")</f>
        <v>50</v>
      </c>
      <c r="AO128" s="11">
        <f t="shared" si="106"/>
        <v>70</v>
      </c>
      <c r="AQ128" s="8">
        <f t="shared" si="107"/>
        <v>101</v>
      </c>
      <c r="AR128" s="8"/>
      <c r="AS128" s="78">
        <f>IF(AQ128&lt;&gt;"",ROUND(IF($F$11="raty równe",-PMT(W128/12,$F$4-AQ127+SUM($AR$28:AR128),AV127,2),AT128+AU128),2),"")</f>
        <v>3263.82</v>
      </c>
      <c r="AT128" s="78">
        <f>IF(AQ128&lt;&gt;"",IF($F$11="raty malejące",AV127/($F$4-AQ127+SUM($AR$28:AR127)),MIN(AS128-AU128,AV127)),"")</f>
        <v>1120.4952185605111</v>
      </c>
      <c r="AU128" s="78">
        <f t="shared" si="108"/>
        <v>2143.324781439489</v>
      </c>
      <c r="AV128" s="79">
        <f t="shared" si="109"/>
        <v>294510.50911792071</v>
      </c>
      <c r="AW128" s="11"/>
      <c r="AX128" s="33">
        <f>IF(AQ128&lt;&gt;"",ROUND(IF($F$11="raty równe",-PMT(W128/12,($F$4-AQ127+SUM($AR$27:AR127)),AV127,2),AV127/($F$4-AQ127+SUM($AR$27:AR127))+AV127*W128/12),2),"")</f>
        <v>3263.82</v>
      </c>
      <c r="AY128" s="33">
        <f t="shared" si="110"/>
        <v>258.27</v>
      </c>
      <c r="AZ128" s="33">
        <f t="shared" si="126"/>
        <v>26018.967744777983</v>
      </c>
      <c r="BA128" s="33">
        <f>IF(AQ128&lt;&gt;"",AZ128-SUM($AY$44:AY128),"")</f>
        <v>4066.0277447779554</v>
      </c>
      <c r="BB128" s="11">
        <f t="shared" si="111"/>
        <v>20</v>
      </c>
      <c r="BC128" s="11">
        <f>IF(AQ128&lt;&gt;"",IF($B$16=listy!$K$8,'RZĄDOWY PROGRAM'!$F$3*'RZĄDOWY PROGRAM'!$F$15,AV127*$F$15),"")</f>
        <v>50</v>
      </c>
      <c r="BD128" s="11">
        <f t="shared" si="112"/>
        <v>70</v>
      </c>
      <c r="BF128" s="8">
        <f t="shared" si="113"/>
        <v>101</v>
      </c>
      <c r="BG128" s="8"/>
      <c r="BH128" s="78">
        <f>IF(BF128&lt;&gt;"",ROUND(IF($F$11="raty równe",-PMT(W128/12,$F$4-BF127+SUM(BV$28:$BV128)-SUM($BM$29:BM128),BK127,2),BI128+BJ128),2),"")</f>
        <v>3522.1</v>
      </c>
      <c r="BI128" s="78">
        <f>IF(BF128&lt;&gt;"",IF($F$11="raty malejące",MIN(BK127/($F$4-BF127+SUM($BG$27:BG128)-SUM($BM$27:BM128)),BK127),MIN(BH128-BJ128,BK127)),"")</f>
        <v>1597.7879224337707</v>
      </c>
      <c r="BJ128" s="78">
        <f t="shared" si="114"/>
        <v>1924.3120775662292</v>
      </c>
      <c r="BK128" s="79">
        <f t="shared" si="115"/>
        <v>263824.56760394265</v>
      </c>
      <c r="BL128" s="11"/>
      <c r="BM128" s="33"/>
      <c r="BN128" s="33">
        <f t="shared" si="127"/>
        <v>-9.9999999997635314E-3</v>
      </c>
      <c r="BO128" s="33">
        <f t="shared" si="128"/>
        <v>-0.11986691711260894</v>
      </c>
      <c r="BP128" s="33">
        <f>IF(O128&lt;&gt;"",BO128-SUM($BN$44:BN128),"")</f>
        <v>-2.9866917114737157E-2</v>
      </c>
      <c r="BQ128" s="11">
        <f t="shared" si="89"/>
        <v>20</v>
      </c>
      <c r="BR128" s="11">
        <f>IF(BF128&lt;&gt;"",IF($B$16=listy!$K$8,'RZĄDOWY PROGRAM'!$F$3*'RZĄDOWY PROGRAM'!$F$15,BK127*$F$15),"")</f>
        <v>50</v>
      </c>
      <c r="BS128" s="11">
        <f t="shared" si="90"/>
        <v>70</v>
      </c>
      <c r="BU128" s="8">
        <f t="shared" si="116"/>
        <v>101</v>
      </c>
      <c r="BV128" s="8"/>
      <c r="BW128" s="78">
        <f>IF(BU128&lt;&gt;"",ROUND(IF($F$11="raty równe",-PMT(W128/12,$F$4-BU127+SUM($BV$28:BV128)-$CB$43,BZ127,2),BX128+BY128),2),"")</f>
        <v>3522.1</v>
      </c>
      <c r="BX128" s="78">
        <f>IF(BU128&lt;&gt;"",IF($F$11="raty malejące",MIN(BZ127/($F$4-BU127+SUM($BV$28:BV127)-SUM($CB$28:CB127)),BZ127),MIN(BW128-BY128,BZ127)),"")</f>
        <v>1594.3131502747854</v>
      </c>
      <c r="BY128" s="78">
        <f t="shared" si="123"/>
        <v>1927.7868497252146</v>
      </c>
      <c r="BZ128" s="79">
        <f t="shared" si="124"/>
        <v>264307.32129458233</v>
      </c>
      <c r="CA128" s="11"/>
      <c r="CB128" s="33"/>
      <c r="CC128" s="33">
        <f t="shared" si="117"/>
        <v>-9.9999999997635314E-3</v>
      </c>
      <c r="CD128" s="33">
        <f t="shared" si="129"/>
        <v>0.32835987555534296</v>
      </c>
      <c r="CE128" s="33">
        <f>IF(O128&lt;&gt;"",CD128-SUM($CC$44:CC128),"")</f>
        <v>6.8359875561491146E-2</v>
      </c>
      <c r="CF128" s="11">
        <f t="shared" si="91"/>
        <v>20</v>
      </c>
      <c r="CG128" s="11">
        <f>IF(BU128&lt;&gt;"",IF($B$16=listy!$K$8,'RZĄDOWY PROGRAM'!$F$3*'RZĄDOWY PROGRAM'!$F$15,BZ127*$F$15),"")</f>
        <v>50</v>
      </c>
      <c r="CH128" s="11">
        <f t="shared" si="92"/>
        <v>70</v>
      </c>
      <c r="CJ128" s="48">
        <f t="shared" si="93"/>
        <v>0.06</v>
      </c>
      <c r="CK128" s="18">
        <f t="shared" si="94"/>
        <v>4.8675505653430484E-3</v>
      </c>
      <c r="CL128" s="11">
        <f t="shared" si="125"/>
        <v>0</v>
      </c>
      <c r="CM128" s="11">
        <f t="shared" si="95"/>
        <v>40714.662025374237</v>
      </c>
      <c r="CN128" s="11">
        <f>IF(AB128&lt;&gt;"",CM128-SUM($CL$28:CL128),"")</f>
        <v>12537.902025374242</v>
      </c>
    </row>
    <row r="129" spans="1:92" x14ac:dyDescent="0.45">
      <c r="A129" s="68">
        <f t="shared" si="118"/>
        <v>47818</v>
      </c>
      <c r="B129" s="8">
        <f t="shared" si="78"/>
        <v>102</v>
      </c>
      <c r="C129" s="11">
        <f t="shared" si="79"/>
        <v>3522.1</v>
      </c>
      <c r="D129" s="11">
        <f t="shared" si="80"/>
        <v>1290.3964450478816</v>
      </c>
      <c r="E129" s="11">
        <f t="shared" si="81"/>
        <v>2231.7035549521183</v>
      </c>
      <c r="F129" s="9">
        <f t="shared" si="96"/>
        <v>306530.78354834771</v>
      </c>
      <c r="G129" s="10">
        <f t="shared" si="82"/>
        <v>7.0000000000000007E-2</v>
      </c>
      <c r="H129" s="10">
        <f t="shared" si="83"/>
        <v>1.7000000000000001E-2</v>
      </c>
      <c r="I129" s="48">
        <f t="shared" si="97"/>
        <v>8.7000000000000008E-2</v>
      </c>
      <c r="J129" s="11">
        <f t="shared" si="84"/>
        <v>20</v>
      </c>
      <c r="K129" s="11">
        <f>IF(B129&lt;&gt;"",IF($B$16=listy!$K$8,'RZĄDOWY PROGRAM'!$F$3*'RZĄDOWY PROGRAM'!$F$15,F128*$F$15),"")</f>
        <v>50</v>
      </c>
      <c r="L129" s="11">
        <f t="shared" si="98"/>
        <v>70</v>
      </c>
      <c r="N129" s="54">
        <f t="shared" si="119"/>
        <v>47818</v>
      </c>
      <c r="O129" s="8">
        <f t="shared" si="99"/>
        <v>102</v>
      </c>
      <c r="P129" s="8"/>
      <c r="Q129" s="11">
        <f>IF(O129&lt;&gt;"",ROUND(IF($F$11="raty równe",-PMT(W129/12,$F$4-O128+SUM($P$28:P129),T128,2),R129+S129),2),"")</f>
        <v>3522.1</v>
      </c>
      <c r="R129" s="11">
        <f>IF(O129&lt;&gt;"",IF($F$11="raty malejące",T128/($F$4-O128+SUM($P$28:P129)),IF(Q129-S129&gt;T128,T128,Q129-S129)),"")</f>
        <v>1217.9376309725312</v>
      </c>
      <c r="S129" s="11">
        <f t="shared" si="121"/>
        <v>2304.1623690274687</v>
      </c>
      <c r="T129" s="9">
        <f t="shared" si="100"/>
        <v>316597.56154522998</v>
      </c>
      <c r="U129" s="10">
        <f t="shared" si="85"/>
        <v>7.0000000000000007E-2</v>
      </c>
      <c r="V129" s="10">
        <f t="shared" si="86"/>
        <v>1.7000000000000001E-2</v>
      </c>
      <c r="W129" s="48">
        <f t="shared" si="101"/>
        <v>8.7000000000000008E-2</v>
      </c>
      <c r="X129" s="11">
        <f t="shared" si="87"/>
        <v>20</v>
      </c>
      <c r="Y129" s="11">
        <f>IF(O129&lt;&gt;"",IF($B$16=listy!$K$8,'RZĄDOWY PROGRAM'!$F$3*'RZĄDOWY PROGRAM'!$F$15,T128*$F$15),"")</f>
        <v>50</v>
      </c>
      <c r="Z129" s="11">
        <f t="shared" si="102"/>
        <v>70</v>
      </c>
      <c r="AB129" s="8">
        <f t="shared" si="103"/>
        <v>102</v>
      </c>
      <c r="AC129" s="8"/>
      <c r="AD129" s="11">
        <f>IF(AB129&lt;&gt;"",ROUND(IF($F$11="raty równe",-PMT(W129/12,$F$4-AB128+SUM($AC$28:AC129),AG128,2),AE129+AF129),2),"")</f>
        <v>3280.39</v>
      </c>
      <c r="AE129" s="11">
        <f>IF(AB129&lt;&gt;"",IF($F$11="raty malejące",AG128/($F$4-AB128+SUM($AC$28:AC128)),MIN(AD129-AF129,AG128)),"")</f>
        <v>1134.3499304576108</v>
      </c>
      <c r="AF129" s="11">
        <f t="shared" si="122"/>
        <v>2146.0400695423891</v>
      </c>
      <c r="AG129" s="9">
        <f t="shared" si="120"/>
        <v>294871.17690297536</v>
      </c>
      <c r="AH129" s="11"/>
      <c r="AI129" s="33">
        <f>IF(AB129&lt;&gt;"",ROUND(IF($F$11="raty równe",-PMT(W129/12,($F$4-AB128+SUM($AC$27:AC128)),AG128,2),AG128/($F$4-AB128+SUM($AC$27:AC128))+AG128*W129/12),2),"")</f>
        <v>3280.39</v>
      </c>
      <c r="AJ129" s="33">
        <f t="shared" si="104"/>
        <v>241.71000000000004</v>
      </c>
      <c r="AK129" s="33">
        <f t="shared" si="88"/>
        <v>27653.88162609985</v>
      </c>
      <c r="AL129" s="33">
        <f>IF(AB129&lt;&gt;"",AK129-SUM($AJ$28:AJ129),"")</f>
        <v>4794.811626099854</v>
      </c>
      <c r="AM129" s="11">
        <f t="shared" si="105"/>
        <v>20</v>
      </c>
      <c r="AN129" s="11">
        <f>IF(AB129&lt;&gt;"",IF($B$16=listy!$K$8,'RZĄDOWY PROGRAM'!$F$3*'RZĄDOWY PROGRAM'!$F$15,AG128*$F$15),"")</f>
        <v>50</v>
      </c>
      <c r="AO129" s="11">
        <f t="shared" si="106"/>
        <v>70</v>
      </c>
      <c r="AQ129" s="8">
        <f t="shared" si="107"/>
        <v>102</v>
      </c>
      <c r="AR129" s="8"/>
      <c r="AS129" s="78">
        <f>IF(AQ129&lt;&gt;"",ROUND(IF($F$11="raty równe",-PMT(W129/12,$F$4-AQ128+SUM($AR$28:AR129),AV128,2),AT129+AU129),2),"")</f>
        <v>3263.83</v>
      </c>
      <c r="AT129" s="78">
        <f>IF(AQ129&lt;&gt;"",IF($F$11="raty malejące",AV128/($F$4-AQ128+SUM($AR$28:AR128)),MIN(AS129-AU129,AV128)),"")</f>
        <v>1128.6288088950746</v>
      </c>
      <c r="AU129" s="78">
        <f t="shared" si="108"/>
        <v>2135.2011911049253</v>
      </c>
      <c r="AV129" s="79">
        <f t="shared" si="109"/>
        <v>293381.88030902564</v>
      </c>
      <c r="AW129" s="11"/>
      <c r="AX129" s="33">
        <f>IF(AQ129&lt;&gt;"",ROUND(IF($F$11="raty równe",-PMT(W129/12,($F$4-AQ128+SUM($AR$27:AR128)),AV128,2),AV128/($F$4-AQ128+SUM($AR$27:AR128))+AV128*W129/12),2),"")</f>
        <v>3263.83</v>
      </c>
      <c r="AY129" s="33">
        <f t="shared" si="110"/>
        <v>258.27</v>
      </c>
      <c r="AZ129" s="33">
        <f t="shared" si="126"/>
        <v>26379.823144114132</v>
      </c>
      <c r="BA129" s="33">
        <f>IF(AQ129&lt;&gt;"",AZ129-SUM($AY$44:AY129),"")</f>
        <v>4168.6131441141042</v>
      </c>
      <c r="BB129" s="11">
        <f t="shared" si="111"/>
        <v>20</v>
      </c>
      <c r="BC129" s="11">
        <f>IF(AQ129&lt;&gt;"",IF($B$16=listy!$K$8,'RZĄDOWY PROGRAM'!$F$3*'RZĄDOWY PROGRAM'!$F$15,AV128*$F$15),"")</f>
        <v>50</v>
      </c>
      <c r="BD129" s="11">
        <f t="shared" si="112"/>
        <v>70</v>
      </c>
      <c r="BF129" s="8">
        <f t="shared" si="113"/>
        <v>102</v>
      </c>
      <c r="BG129" s="8"/>
      <c r="BH129" s="78">
        <f>IF(BF129&lt;&gt;"",ROUND(IF($F$11="raty równe",-PMT(W129/12,$F$4-BF128+SUM(BV$28:$BV129)-SUM($BM$29:BM129),BK128,2),BI129+BJ129),2),"")</f>
        <v>3522.09</v>
      </c>
      <c r="BI129" s="78">
        <f>IF(BF129&lt;&gt;"",IF($F$11="raty malejące",MIN(BK128/($F$4-BF128+SUM($BG$27:BG129)-SUM($BM$27:BM129)),BK128),MIN(BH129-BJ129,BK128)),"")</f>
        <v>1609.3618848714159</v>
      </c>
      <c r="BJ129" s="78">
        <f t="shared" si="114"/>
        <v>1912.7281151285842</v>
      </c>
      <c r="BK129" s="79">
        <f t="shared" si="115"/>
        <v>262215.20571907121</v>
      </c>
      <c r="BL129" s="11"/>
      <c r="BM129" s="33"/>
      <c r="BN129" s="33">
        <f t="shared" si="127"/>
        <v>9.9999999997635314E-3</v>
      </c>
      <c r="BO129" s="33">
        <f t="shared" si="128"/>
        <v>-0.11033951831977291</v>
      </c>
      <c r="BP129" s="33">
        <f>IF(O129&lt;&gt;"",BO129-SUM($BN$44:BN129),"")</f>
        <v>-3.0339518321664663E-2</v>
      </c>
      <c r="BQ129" s="11">
        <f t="shared" si="89"/>
        <v>20</v>
      </c>
      <c r="BR129" s="11">
        <f>IF(BF129&lt;&gt;"",IF($B$16=listy!$K$8,'RZĄDOWY PROGRAM'!$F$3*'RZĄDOWY PROGRAM'!$F$15,BK128*$F$15),"")</f>
        <v>50</v>
      </c>
      <c r="BS129" s="11">
        <f t="shared" si="90"/>
        <v>70</v>
      </c>
      <c r="BU129" s="8">
        <f t="shared" si="116"/>
        <v>102</v>
      </c>
      <c r="BV129" s="8"/>
      <c r="BW129" s="78">
        <f>IF(BU129&lt;&gt;"",ROUND(IF($F$11="raty równe",-PMT(W129/12,$F$4-BU128+SUM($BV$28:BV129)-$CB$43,BZ128,2),BX129+BY129),2),"")</f>
        <v>3522.09</v>
      </c>
      <c r="BX129" s="78">
        <f>IF(BU129&lt;&gt;"",IF($F$11="raty malejące",MIN(BZ128/($F$4-BU128+SUM($BV$28:BV128)-SUM($CB$28:CB128)),BZ128),MIN(BW129-BY129,BZ128)),"")</f>
        <v>1605.8619206142782</v>
      </c>
      <c r="BY129" s="78">
        <f t="shared" si="123"/>
        <v>1916.2280793857219</v>
      </c>
      <c r="BZ129" s="79">
        <f t="shared" si="124"/>
        <v>262701.45937396807</v>
      </c>
      <c r="CA129" s="11"/>
      <c r="CB129" s="33"/>
      <c r="CC129" s="33">
        <f t="shared" si="117"/>
        <v>9.9999999997635314E-3</v>
      </c>
      <c r="CD129" s="33">
        <f t="shared" si="129"/>
        <v>0.33965450527640179</v>
      </c>
      <c r="CE129" s="33">
        <f>IF(O129&lt;&gt;"",CD129-SUM($CC$44:CC129),"")</f>
        <v>6.9654505282786439E-2</v>
      </c>
      <c r="CF129" s="11">
        <f t="shared" si="91"/>
        <v>20</v>
      </c>
      <c r="CG129" s="11">
        <f>IF(BU129&lt;&gt;"",IF($B$16=listy!$K$8,'RZĄDOWY PROGRAM'!$F$3*'RZĄDOWY PROGRAM'!$F$15,BZ128*$F$15),"")</f>
        <v>50</v>
      </c>
      <c r="CH129" s="11">
        <f t="shared" si="92"/>
        <v>70</v>
      </c>
      <c r="CJ129" s="48">
        <f t="shared" si="93"/>
        <v>0.06</v>
      </c>
      <c r="CK129" s="18">
        <f t="shared" si="94"/>
        <v>4.8675505653430484E-3</v>
      </c>
      <c r="CL129" s="11">
        <f t="shared" si="125"/>
        <v>0</v>
      </c>
      <c r="CM129" s="11">
        <f t="shared" si="95"/>
        <v>40875.18837306332</v>
      </c>
      <c r="CN129" s="11">
        <f>IF(AB129&lt;&gt;"",CM129-SUM($CL$28:CL129),"")</f>
        <v>12698.428373063325</v>
      </c>
    </row>
    <row r="130" spans="1:92" x14ac:dyDescent="0.45">
      <c r="A130" s="68">
        <f t="shared" si="118"/>
        <v>47849</v>
      </c>
      <c r="B130" s="8">
        <f t="shared" si="78"/>
        <v>103</v>
      </c>
      <c r="C130" s="11">
        <f t="shared" si="79"/>
        <v>3522.09</v>
      </c>
      <c r="D130" s="11">
        <f t="shared" si="80"/>
        <v>1299.741819274479</v>
      </c>
      <c r="E130" s="11">
        <f t="shared" si="81"/>
        <v>2222.3481807255212</v>
      </c>
      <c r="F130" s="9">
        <f t="shared" si="96"/>
        <v>305231.04172907321</v>
      </c>
      <c r="G130" s="10">
        <f t="shared" si="82"/>
        <v>7.0000000000000007E-2</v>
      </c>
      <c r="H130" s="10">
        <f t="shared" si="83"/>
        <v>1.7000000000000001E-2</v>
      </c>
      <c r="I130" s="48">
        <f t="shared" si="97"/>
        <v>8.7000000000000008E-2</v>
      </c>
      <c r="J130" s="11">
        <f t="shared" si="84"/>
        <v>20</v>
      </c>
      <c r="K130" s="11">
        <f>IF(B130&lt;&gt;"",IF($B$16=listy!$K$8,'RZĄDOWY PROGRAM'!$F$3*'RZĄDOWY PROGRAM'!$F$15,F129*$F$15),"")</f>
        <v>50</v>
      </c>
      <c r="L130" s="11">
        <f t="shared" si="98"/>
        <v>70</v>
      </c>
      <c r="N130" s="54">
        <f t="shared" si="119"/>
        <v>47849</v>
      </c>
      <c r="O130" s="8">
        <f t="shared" si="99"/>
        <v>103</v>
      </c>
      <c r="P130" s="8"/>
      <c r="Q130" s="11">
        <f>IF(O130&lt;&gt;"",ROUND(IF($F$11="raty równe",-PMT(W130/12,$F$4-O129+SUM($P$28:P130),T129,2),R130+S130),2),"")</f>
        <v>3522.09</v>
      </c>
      <c r="R130" s="11">
        <f>IF(O130&lt;&gt;"",IF($F$11="raty malejące",T129/($F$4-O129+SUM($P$28:P130)),IF(Q130-S130&gt;T129,T129,Q130-S130)),"")</f>
        <v>1226.7576787970825</v>
      </c>
      <c r="S130" s="11">
        <f t="shared" si="121"/>
        <v>2295.3323212029177</v>
      </c>
      <c r="T130" s="9">
        <f t="shared" si="100"/>
        <v>315370.80386643292</v>
      </c>
      <c r="U130" s="10">
        <f t="shared" si="85"/>
        <v>7.0000000000000007E-2</v>
      </c>
      <c r="V130" s="10">
        <f t="shared" si="86"/>
        <v>1.7000000000000001E-2</v>
      </c>
      <c r="W130" s="48">
        <f t="shared" si="101"/>
        <v>8.7000000000000008E-2</v>
      </c>
      <c r="X130" s="11">
        <f t="shared" si="87"/>
        <v>20</v>
      </c>
      <c r="Y130" s="11">
        <f>IF(O130&lt;&gt;"",IF($B$16=listy!$K$8,'RZĄDOWY PROGRAM'!$F$3*'RZĄDOWY PROGRAM'!$F$15,T129*$F$15),"")</f>
        <v>50</v>
      </c>
      <c r="Z130" s="11">
        <f t="shared" si="102"/>
        <v>70</v>
      </c>
      <c r="AB130" s="8">
        <f t="shared" si="103"/>
        <v>103</v>
      </c>
      <c r="AC130" s="8"/>
      <c r="AD130" s="11">
        <f>IF(AB130&lt;&gt;"",ROUND(IF($F$11="raty równe",-PMT(W130/12,$F$4-AB129+SUM($AC$28:AC130),AG129,2),AE130+AF130),2),"")</f>
        <v>3280.39</v>
      </c>
      <c r="AE130" s="11">
        <f>IF(AB130&lt;&gt;"",IF($F$11="raty malejące",AG129/($F$4-AB129+SUM($AC$28:AC129)),MIN(AD130-AF130,AG129)),"")</f>
        <v>1142.5739674534284</v>
      </c>
      <c r="AF130" s="11">
        <f t="shared" si="122"/>
        <v>2137.8160325465715</v>
      </c>
      <c r="AG130" s="9">
        <f t="shared" si="120"/>
        <v>293728.60293552192</v>
      </c>
      <c r="AH130" s="11"/>
      <c r="AI130" s="33">
        <f>IF(AB130&lt;&gt;"",ROUND(IF($F$11="raty równe",-PMT(W130/12,($F$4-AB129+SUM($AC$27:AC129)),AG129,2),AG129/($F$4-AB129+SUM($AC$27:AC129))+AG129*W130/12),2),"")</f>
        <v>3280.39</v>
      </c>
      <c r="AJ130" s="33">
        <f t="shared" si="104"/>
        <v>241.70000000000027</v>
      </c>
      <c r="AK130" s="33">
        <f t="shared" si="88"/>
        <v>28004.613026485724</v>
      </c>
      <c r="AL130" s="33">
        <f>IF(AB130&lt;&gt;"",AK130-SUM($AJ$28:AJ130),"")</f>
        <v>4903.843026485727</v>
      </c>
      <c r="AM130" s="11">
        <f t="shared" si="105"/>
        <v>20</v>
      </c>
      <c r="AN130" s="11">
        <f>IF(AB130&lt;&gt;"",IF($B$16=listy!$K$8,'RZĄDOWY PROGRAM'!$F$3*'RZĄDOWY PROGRAM'!$F$15,AG129*$F$15),"")</f>
        <v>50</v>
      </c>
      <c r="AO130" s="11">
        <f t="shared" si="106"/>
        <v>70</v>
      </c>
      <c r="AQ130" s="8">
        <f t="shared" si="107"/>
        <v>103</v>
      </c>
      <c r="AR130" s="8"/>
      <c r="AS130" s="78">
        <f>IF(AQ130&lt;&gt;"",ROUND(IF($F$11="raty równe",-PMT(W130/12,$F$4-AQ129+SUM($AR$28:AR130),AV129,2),AT130+AU130),2),"")</f>
        <v>3263.82</v>
      </c>
      <c r="AT130" s="78">
        <f>IF(AQ130&lt;&gt;"",IF($F$11="raty malejące",AV129/($F$4-AQ129+SUM($AR$28:AR129)),MIN(AS130-AU130,AV129)),"")</f>
        <v>1136.8013677595641</v>
      </c>
      <c r="AU130" s="78">
        <f t="shared" si="108"/>
        <v>2127.0186322404361</v>
      </c>
      <c r="AV130" s="79">
        <f t="shared" si="109"/>
        <v>292245.07894126605</v>
      </c>
      <c r="AW130" s="11"/>
      <c r="AX130" s="33">
        <f>IF(AQ130&lt;&gt;"",ROUND(IF($F$11="raty równe",-PMT(W130/12,($F$4-AQ129+SUM($AR$27:AR129)),AV129,2),AV129/($F$4-AQ129+SUM($AR$27:AR129))+AV129*W130/12),2),"")</f>
        <v>3263.82</v>
      </c>
      <c r="AY130" s="33">
        <f t="shared" si="110"/>
        <v>258.27</v>
      </c>
      <c r="AZ130" s="33">
        <f t="shared" si="126"/>
        <v>26742.101293791748</v>
      </c>
      <c r="BA130" s="33">
        <f>IF(AQ130&lt;&gt;"",AZ130-SUM($AY$44:AY130),"")</f>
        <v>4272.6212937917189</v>
      </c>
      <c r="BB130" s="11">
        <f t="shared" si="111"/>
        <v>20</v>
      </c>
      <c r="BC130" s="11">
        <f>IF(AQ130&lt;&gt;"",IF($B$16=listy!$K$8,'RZĄDOWY PROGRAM'!$F$3*'RZĄDOWY PROGRAM'!$F$15,AV129*$F$15),"")</f>
        <v>50</v>
      </c>
      <c r="BD130" s="11">
        <f t="shared" si="112"/>
        <v>70</v>
      </c>
      <c r="BF130" s="8">
        <f t="shared" si="113"/>
        <v>103</v>
      </c>
      <c r="BG130" s="8"/>
      <c r="BH130" s="78">
        <f>IF(BF130&lt;&gt;"",ROUND(IF($F$11="raty równe",-PMT(W130/12,$F$4-BF129+SUM(BV$28:$BV130)-SUM($BM$29:BM130),BK129,2),BI130+BJ130),2),"")</f>
        <v>3522.1</v>
      </c>
      <c r="BI130" s="78">
        <f>IF(BF130&lt;&gt;"",IF($F$11="raty malejące",MIN(BK129/($F$4-BF129+SUM($BG$27:BG130)-SUM($BM$27:BM130)),BK129),MIN(BH130-BJ130,BK129)),"")</f>
        <v>1621.0397585367334</v>
      </c>
      <c r="BJ130" s="78">
        <f t="shared" si="114"/>
        <v>1901.0602414632665</v>
      </c>
      <c r="BK130" s="79">
        <f t="shared" si="115"/>
        <v>260594.16596053448</v>
      </c>
      <c r="BL130" s="11"/>
      <c r="BM130" s="33"/>
      <c r="BN130" s="33">
        <f t="shared" si="127"/>
        <v>-9.9999999997635314E-3</v>
      </c>
      <c r="BO130" s="33">
        <f t="shared" si="128"/>
        <v>-0.12077455569920589</v>
      </c>
      <c r="BP130" s="33">
        <f>IF(O130&lt;&gt;"",BO130-SUM($BN$44:BN130),"")</f>
        <v>-3.0774555701334111E-2</v>
      </c>
      <c r="BQ130" s="11">
        <f t="shared" si="89"/>
        <v>20</v>
      </c>
      <c r="BR130" s="11">
        <f>IF(BF130&lt;&gt;"",IF($B$16=listy!$K$8,'RZĄDOWY PROGRAM'!$F$3*'RZĄDOWY PROGRAM'!$F$15,BK129*$F$15),"")</f>
        <v>50</v>
      </c>
      <c r="BS130" s="11">
        <f t="shared" si="90"/>
        <v>70</v>
      </c>
      <c r="BU130" s="8">
        <f t="shared" si="116"/>
        <v>103</v>
      </c>
      <c r="BV130" s="8"/>
      <c r="BW130" s="78">
        <f>IF(BU130&lt;&gt;"",ROUND(IF($F$11="raty równe",-PMT(W130/12,$F$4-BU129+SUM($BV$28:BV130)-$CB$43,BZ129,2),BX130+BY130),2),"")</f>
        <v>3522.09</v>
      </c>
      <c r="BX130" s="78">
        <f>IF(BU130&lt;&gt;"",IF($F$11="raty malejące",MIN(BZ129/($F$4-BU129+SUM($BV$28:BV129)-SUM($CB$28:CB129)),BZ129),MIN(BW130-BY130,BZ129)),"")</f>
        <v>1617.5044195387316</v>
      </c>
      <c r="BY130" s="78">
        <f t="shared" si="123"/>
        <v>1904.5855804612686</v>
      </c>
      <c r="BZ130" s="79">
        <f t="shared" si="124"/>
        <v>261083.95495442933</v>
      </c>
      <c r="CA130" s="11"/>
      <c r="CB130" s="33"/>
      <c r="CC130" s="33">
        <f t="shared" si="117"/>
        <v>0</v>
      </c>
      <c r="CD130" s="33">
        <f t="shared" si="129"/>
        <v>0.34099366651453716</v>
      </c>
      <c r="CE130" s="33">
        <f>IF(O130&lt;&gt;"",CD130-SUM($CC$44:CC130),"")</f>
        <v>7.0993666520921817E-2</v>
      </c>
      <c r="CF130" s="11">
        <f t="shared" si="91"/>
        <v>20</v>
      </c>
      <c r="CG130" s="11">
        <f>IF(BU130&lt;&gt;"",IF($B$16=listy!$K$8,'RZĄDOWY PROGRAM'!$F$3*'RZĄDOWY PROGRAM'!$F$15,BZ129*$F$15),"")</f>
        <v>50</v>
      </c>
      <c r="CH130" s="11">
        <f t="shared" si="92"/>
        <v>70</v>
      </c>
      <c r="CJ130" s="48">
        <f t="shared" si="93"/>
        <v>0.06</v>
      </c>
      <c r="CK130" s="18">
        <f t="shared" si="94"/>
        <v>4.8675505653430484E-3</v>
      </c>
      <c r="CL130" s="11">
        <f t="shared" si="125"/>
        <v>0</v>
      </c>
      <c r="CM130" s="11">
        <f t="shared" si="95"/>
        <v>41036.347630545104</v>
      </c>
      <c r="CN130" s="11">
        <f>IF(AB130&lt;&gt;"",CM130-SUM($CL$28:CL130),"")</f>
        <v>12859.587630545109</v>
      </c>
    </row>
    <row r="131" spans="1:92" x14ac:dyDescent="0.45">
      <c r="A131" s="68">
        <f t="shared" si="118"/>
        <v>47880</v>
      </c>
      <c r="B131" s="8">
        <f t="shared" si="78"/>
        <v>104</v>
      </c>
      <c r="C131" s="11">
        <f t="shared" si="79"/>
        <v>3522.1</v>
      </c>
      <c r="D131" s="11">
        <f t="shared" si="80"/>
        <v>1309.1749474642188</v>
      </c>
      <c r="E131" s="11">
        <f t="shared" si="81"/>
        <v>2212.9250525357811</v>
      </c>
      <c r="F131" s="9">
        <f t="shared" si="96"/>
        <v>303921.86678160902</v>
      </c>
      <c r="G131" s="10">
        <f t="shared" si="82"/>
        <v>7.0000000000000007E-2</v>
      </c>
      <c r="H131" s="10">
        <f t="shared" si="83"/>
        <v>1.7000000000000001E-2</v>
      </c>
      <c r="I131" s="48">
        <f t="shared" si="97"/>
        <v>8.7000000000000008E-2</v>
      </c>
      <c r="J131" s="11">
        <f t="shared" si="84"/>
        <v>20</v>
      </c>
      <c r="K131" s="11">
        <f>IF(B131&lt;&gt;"",IF($B$16=listy!$K$8,'RZĄDOWY PROGRAM'!$F$3*'RZĄDOWY PROGRAM'!$F$15,F130*$F$15),"")</f>
        <v>50</v>
      </c>
      <c r="L131" s="11">
        <f t="shared" si="98"/>
        <v>70</v>
      </c>
      <c r="N131" s="54">
        <f t="shared" si="119"/>
        <v>47880</v>
      </c>
      <c r="O131" s="8">
        <f t="shared" si="99"/>
        <v>104</v>
      </c>
      <c r="P131" s="8"/>
      <c r="Q131" s="11">
        <f>IF(O131&lt;&gt;"",ROUND(IF($F$11="raty równe",-PMT(W131/12,$F$4-O130+SUM($P$28:P131),T130,2),R131+S131),2),"")</f>
        <v>3522.1</v>
      </c>
      <c r="R131" s="11">
        <f>IF(O131&lt;&gt;"",IF($F$11="raty malejące",T130/($F$4-O130+SUM($P$28:P131)),IF(Q131-S131&gt;T130,T130,Q131-S131)),"")</f>
        <v>1235.6616719683611</v>
      </c>
      <c r="S131" s="11">
        <f t="shared" si="121"/>
        <v>2286.4383280316388</v>
      </c>
      <c r="T131" s="9">
        <f t="shared" si="100"/>
        <v>314135.14219446457</v>
      </c>
      <c r="U131" s="10">
        <f t="shared" si="85"/>
        <v>7.0000000000000007E-2</v>
      </c>
      <c r="V131" s="10">
        <f t="shared" si="86"/>
        <v>1.7000000000000001E-2</v>
      </c>
      <c r="W131" s="48">
        <f t="shared" si="101"/>
        <v>8.7000000000000008E-2</v>
      </c>
      <c r="X131" s="11">
        <f t="shared" si="87"/>
        <v>20</v>
      </c>
      <c r="Y131" s="11">
        <f>IF(O131&lt;&gt;"",IF($B$16=listy!$K$8,'RZĄDOWY PROGRAM'!$F$3*'RZĄDOWY PROGRAM'!$F$15,T130*$F$15),"")</f>
        <v>50</v>
      </c>
      <c r="Z131" s="11">
        <f t="shared" si="102"/>
        <v>70</v>
      </c>
      <c r="AB131" s="8">
        <f t="shared" si="103"/>
        <v>104</v>
      </c>
      <c r="AC131" s="8"/>
      <c r="AD131" s="11">
        <f>IF(AB131&lt;&gt;"",ROUND(IF($F$11="raty równe",-PMT(W131/12,$F$4-AB130+SUM($AC$28:AC131),AG130,2),AE131+AF131),2),"")</f>
        <v>3280.39</v>
      </c>
      <c r="AE131" s="11">
        <f>IF(AB131&lt;&gt;"",IF($F$11="raty malejące",AG130/($F$4-AB130+SUM($AC$28:AC130)),MIN(AD131-AF131,AG130)),"")</f>
        <v>1150.8576287174656</v>
      </c>
      <c r="AF131" s="11">
        <f t="shared" si="122"/>
        <v>2129.5323712825343</v>
      </c>
      <c r="AG131" s="9">
        <f t="shared" si="120"/>
        <v>292577.74530680443</v>
      </c>
      <c r="AH131" s="11"/>
      <c r="AI131" s="33">
        <f>IF(AB131&lt;&gt;"",ROUND(IF($F$11="raty równe",-PMT(W131/12,($F$4-AB130+SUM($AC$27:AC130)),AG130,2),AG130/($F$4-AB130+SUM($AC$27:AC130))+AG130*W131/12),2),"")</f>
        <v>3280.39</v>
      </c>
      <c r="AJ131" s="33">
        <f t="shared" si="104"/>
        <v>241.71000000000004</v>
      </c>
      <c r="AK131" s="33">
        <f t="shared" si="88"/>
        <v>28356.737261160844</v>
      </c>
      <c r="AL131" s="33">
        <f>IF(AB131&lt;&gt;"",AK131-SUM($AJ$28:AJ131),"")</f>
        <v>5014.2572611608484</v>
      </c>
      <c r="AM131" s="11">
        <f t="shared" si="105"/>
        <v>20</v>
      </c>
      <c r="AN131" s="11">
        <f>IF(AB131&lt;&gt;"",IF($B$16=listy!$K$8,'RZĄDOWY PROGRAM'!$F$3*'RZĄDOWY PROGRAM'!$F$15,AG130*$F$15),"")</f>
        <v>50</v>
      </c>
      <c r="AO131" s="11">
        <f t="shared" si="106"/>
        <v>70</v>
      </c>
      <c r="AQ131" s="8">
        <f t="shared" si="107"/>
        <v>104</v>
      </c>
      <c r="AR131" s="8"/>
      <c r="AS131" s="78">
        <f>IF(AQ131&lt;&gt;"",ROUND(IF($F$11="raty równe",-PMT(W131/12,$F$4-AQ130+SUM($AR$28:AR131),AV130,2),AT131+AU131),2),"")</f>
        <v>3263.83</v>
      </c>
      <c r="AT131" s="78">
        <f>IF(AQ131&lt;&gt;"",IF($F$11="raty malejące",AV130/($F$4-AQ130+SUM($AR$28:AR130)),MIN(AS131-AU131,AV130)),"")</f>
        <v>1145.0531776758207</v>
      </c>
      <c r="AU131" s="78">
        <f t="shared" si="108"/>
        <v>2118.7768223241792</v>
      </c>
      <c r="AV131" s="79">
        <f t="shared" si="109"/>
        <v>291100.02576359024</v>
      </c>
      <c r="AW131" s="11"/>
      <c r="AX131" s="33">
        <f>IF(AQ131&lt;&gt;"",ROUND(IF($F$11="raty równe",-PMT(W131/12,($F$4-AQ130+SUM($AR$27:AR130)),AV130,2),AV130/($F$4-AQ130+SUM($AR$27:AR130))+AV130*W131/12),2),"")</f>
        <v>3263.83</v>
      </c>
      <c r="AY131" s="33">
        <f t="shared" si="110"/>
        <v>258.27</v>
      </c>
      <c r="AZ131" s="33">
        <f t="shared" si="126"/>
        <v>27105.807803311305</v>
      </c>
      <c r="BA131" s="33">
        <f>IF(AQ131&lt;&gt;"",AZ131-SUM($AY$44:AY131),"")</f>
        <v>4378.0578033112761</v>
      </c>
      <c r="BB131" s="11">
        <f t="shared" si="111"/>
        <v>20</v>
      </c>
      <c r="BC131" s="11">
        <f>IF(AQ131&lt;&gt;"",IF($B$16=listy!$K$8,'RZĄDOWY PROGRAM'!$F$3*'RZĄDOWY PROGRAM'!$F$15,AV130*$F$15),"")</f>
        <v>50</v>
      </c>
      <c r="BD131" s="11">
        <f t="shared" si="112"/>
        <v>70</v>
      </c>
      <c r="BF131" s="8">
        <f t="shared" si="113"/>
        <v>104</v>
      </c>
      <c r="BG131" s="8"/>
      <c r="BH131" s="78">
        <f>IF(BF131&lt;&gt;"",ROUND(IF($F$11="raty równe",-PMT(W131/12,$F$4-BF130+SUM(BV$28:$BV131)-SUM($BM$29:BM131),BK130,2),BI131+BJ131),2),"")</f>
        <v>3522.09</v>
      </c>
      <c r="BI131" s="78">
        <f>IF(BF131&lt;&gt;"",IF($F$11="raty malejące",MIN(BK130/($F$4-BF130+SUM($BG$27:BG131)-SUM($BM$27:BM131)),BK130),MIN(BH131-BJ131,BK130)),"")</f>
        <v>1632.782296786125</v>
      </c>
      <c r="BJ131" s="78">
        <f t="shared" si="114"/>
        <v>1889.3077032138751</v>
      </c>
      <c r="BK131" s="79">
        <f t="shared" si="115"/>
        <v>258961.38366374836</v>
      </c>
      <c r="BL131" s="11"/>
      <c r="BM131" s="33"/>
      <c r="BN131" s="33">
        <f t="shared" si="127"/>
        <v>9.9999999997635314E-3</v>
      </c>
      <c r="BO131" s="33">
        <f t="shared" si="128"/>
        <v>-0.11125073546750928</v>
      </c>
      <c r="BP131" s="33">
        <f>IF(O131&lt;&gt;"",BO131-SUM($BN$44:BN131),"")</f>
        <v>-3.1250735469401034E-2</v>
      </c>
      <c r="BQ131" s="11">
        <f t="shared" si="89"/>
        <v>20</v>
      </c>
      <c r="BR131" s="11">
        <f>IF(BF131&lt;&gt;"",IF($B$16=listy!$K$8,'RZĄDOWY PROGRAM'!$F$3*'RZĄDOWY PROGRAM'!$F$15,BK130*$F$15),"")</f>
        <v>50</v>
      </c>
      <c r="BS131" s="11">
        <f t="shared" si="90"/>
        <v>70</v>
      </c>
      <c r="BU131" s="8">
        <f t="shared" si="116"/>
        <v>104</v>
      </c>
      <c r="BV131" s="8"/>
      <c r="BW131" s="78">
        <f>IF(BU131&lt;&gt;"",ROUND(IF($F$11="raty równe",-PMT(W131/12,$F$4-BU130+SUM($BV$28:BV131)-$CB$43,BZ130,2),BX131+BY131),2),"")</f>
        <v>3522.1</v>
      </c>
      <c r="BX131" s="78">
        <f>IF(BU131&lt;&gt;"",IF($F$11="raty malejące",MIN(BZ130/($F$4-BU130+SUM($BV$28:BV130)-SUM($CB$28:CB130)),BZ130),MIN(BW131-BY131,BZ130)),"")</f>
        <v>1629.2413265803873</v>
      </c>
      <c r="BY131" s="78">
        <f t="shared" si="123"/>
        <v>1892.8586734196126</v>
      </c>
      <c r="BZ131" s="79">
        <f t="shared" si="124"/>
        <v>259454.71362784895</v>
      </c>
      <c r="CA131" s="11"/>
      <c r="CB131" s="33"/>
      <c r="CC131" s="33">
        <f t="shared" si="117"/>
        <v>0</v>
      </c>
      <c r="CD131" s="33">
        <f t="shared" si="129"/>
        <v>0.3423381076850564</v>
      </c>
      <c r="CE131" s="33">
        <f>IF(O131&lt;&gt;"",CD131-SUM($CC$44:CC131),"")</f>
        <v>7.2338107691441056E-2</v>
      </c>
      <c r="CF131" s="11">
        <f t="shared" si="91"/>
        <v>20</v>
      </c>
      <c r="CG131" s="11">
        <f>IF(BU131&lt;&gt;"",IF($B$16=listy!$K$8,'RZĄDOWY PROGRAM'!$F$3*'RZĄDOWY PROGRAM'!$F$15,BZ130*$F$15),"")</f>
        <v>50</v>
      </c>
      <c r="CH131" s="11">
        <f t="shared" si="92"/>
        <v>70</v>
      </c>
      <c r="CJ131" s="48">
        <f t="shared" si="93"/>
        <v>0.06</v>
      </c>
      <c r="CK131" s="18">
        <f t="shared" si="94"/>
        <v>4.8675505653430484E-3</v>
      </c>
      <c r="CL131" s="11">
        <f t="shared" si="125"/>
        <v>0</v>
      </c>
      <c r="CM131" s="11">
        <f t="shared" si="95"/>
        <v>41198.142293203135</v>
      </c>
      <c r="CN131" s="11">
        <f>IF(AB131&lt;&gt;"",CM131-SUM($CL$28:CL131),"")</f>
        <v>13021.38229320314</v>
      </c>
    </row>
    <row r="132" spans="1:92" x14ac:dyDescent="0.45">
      <c r="A132" s="68">
        <f t="shared" si="118"/>
        <v>47908</v>
      </c>
      <c r="B132" s="8">
        <f t="shared" si="78"/>
        <v>105</v>
      </c>
      <c r="C132" s="11">
        <f t="shared" si="79"/>
        <v>3522.09</v>
      </c>
      <c r="D132" s="11">
        <f t="shared" si="80"/>
        <v>1318.6564658333346</v>
      </c>
      <c r="E132" s="11">
        <f t="shared" si="81"/>
        <v>2203.4335341666656</v>
      </c>
      <c r="F132" s="9">
        <f t="shared" si="96"/>
        <v>302603.21031577571</v>
      </c>
      <c r="G132" s="10">
        <f t="shared" si="82"/>
        <v>7.0000000000000007E-2</v>
      </c>
      <c r="H132" s="10">
        <f t="shared" si="83"/>
        <v>1.7000000000000001E-2</v>
      </c>
      <c r="I132" s="48">
        <f t="shared" si="97"/>
        <v>8.7000000000000008E-2</v>
      </c>
      <c r="J132" s="11">
        <f t="shared" si="84"/>
        <v>20</v>
      </c>
      <c r="K132" s="11">
        <f>IF(B132&lt;&gt;"",IF($B$16=listy!$K$8,'RZĄDOWY PROGRAM'!$F$3*'RZĄDOWY PROGRAM'!$F$15,F131*$F$15),"")</f>
        <v>50</v>
      </c>
      <c r="L132" s="11">
        <f t="shared" si="98"/>
        <v>70</v>
      </c>
      <c r="N132" s="54">
        <f t="shared" si="119"/>
        <v>47908</v>
      </c>
      <c r="O132" s="8">
        <f t="shared" si="99"/>
        <v>105</v>
      </c>
      <c r="P132" s="8"/>
      <c r="Q132" s="11">
        <f>IF(O132&lt;&gt;"",ROUND(IF($F$11="raty równe",-PMT(W132/12,$F$4-O131+SUM($P$28:P132),T131,2),R132+S132),2),"")</f>
        <v>3522.09</v>
      </c>
      <c r="R132" s="11">
        <f>IF(O132&lt;&gt;"",IF($F$11="raty malejące",T131/($F$4-O131+SUM($P$28:P132)),IF(Q132-S132&gt;T131,T131,Q132-S132)),"")</f>
        <v>1244.6102190901315</v>
      </c>
      <c r="S132" s="11">
        <f t="shared" si="121"/>
        <v>2277.4797809098686</v>
      </c>
      <c r="T132" s="9">
        <f t="shared" si="100"/>
        <v>312890.53197537444</v>
      </c>
      <c r="U132" s="10">
        <f t="shared" si="85"/>
        <v>7.0000000000000007E-2</v>
      </c>
      <c r="V132" s="10">
        <f t="shared" si="86"/>
        <v>1.7000000000000001E-2</v>
      </c>
      <c r="W132" s="48">
        <f t="shared" si="101"/>
        <v>8.7000000000000008E-2</v>
      </c>
      <c r="X132" s="11">
        <f t="shared" si="87"/>
        <v>20</v>
      </c>
      <c r="Y132" s="11">
        <f>IF(O132&lt;&gt;"",IF($B$16=listy!$K$8,'RZĄDOWY PROGRAM'!$F$3*'RZĄDOWY PROGRAM'!$F$15,T131*$F$15),"")</f>
        <v>50</v>
      </c>
      <c r="Z132" s="11">
        <f t="shared" si="102"/>
        <v>70</v>
      </c>
      <c r="AB132" s="8">
        <f t="shared" si="103"/>
        <v>105</v>
      </c>
      <c r="AC132" s="8"/>
      <c r="AD132" s="11">
        <f>IF(AB132&lt;&gt;"",ROUND(IF($F$11="raty równe",-PMT(W132/12,$F$4-AB131+SUM($AC$28:AC132),AG131,2),AE132+AF132),2),"")</f>
        <v>3280.39</v>
      </c>
      <c r="AE132" s="11">
        <f>IF(AB132&lt;&gt;"",IF($F$11="raty malejące",AG131/($F$4-AB131+SUM($AC$28:AC131)),MIN(AD132-AF132,AG131)),"")</f>
        <v>1159.2013465256678</v>
      </c>
      <c r="AF132" s="11">
        <f t="shared" si="122"/>
        <v>2121.1886534743321</v>
      </c>
      <c r="AG132" s="9">
        <f t="shared" si="120"/>
        <v>291418.54396027874</v>
      </c>
      <c r="AH132" s="11"/>
      <c r="AI132" s="33">
        <f>IF(AB132&lt;&gt;"",ROUND(IF($F$11="raty równe",-PMT(W132/12,($F$4-AB131+SUM($AC$27:AC131)),AG131,2),AG131/($F$4-AB131+SUM($AC$27:AC131))+AG131*W132/12),2),"")</f>
        <v>3280.39</v>
      </c>
      <c r="AJ132" s="33">
        <f t="shared" si="104"/>
        <v>241.70000000000027</v>
      </c>
      <c r="AK132" s="33">
        <f t="shared" si="88"/>
        <v>28710.239821675194</v>
      </c>
      <c r="AL132" s="33">
        <f>IF(AB132&lt;&gt;"",AK132-SUM($AJ$28:AJ132),"")</f>
        <v>5126.0598216751969</v>
      </c>
      <c r="AM132" s="11">
        <f t="shared" si="105"/>
        <v>20</v>
      </c>
      <c r="AN132" s="11">
        <f>IF(AB132&lt;&gt;"",IF($B$16=listy!$K$8,'RZĄDOWY PROGRAM'!$F$3*'RZĄDOWY PROGRAM'!$F$15,AG131*$F$15),"")</f>
        <v>50</v>
      </c>
      <c r="AO132" s="11">
        <f t="shared" si="106"/>
        <v>70</v>
      </c>
      <c r="AQ132" s="8">
        <f t="shared" si="107"/>
        <v>105</v>
      </c>
      <c r="AR132" s="8"/>
      <c r="AS132" s="78">
        <f>IF(AQ132&lt;&gt;"",ROUND(IF($F$11="raty równe",-PMT(W132/12,$F$4-AQ131+SUM($AR$28:AR132),AV131,2),AT132+AU132),2),"")</f>
        <v>3263.82</v>
      </c>
      <c r="AT132" s="78">
        <f>IF(AQ132&lt;&gt;"",IF($F$11="raty malejące",AV131/($F$4-AQ131+SUM($AR$28:AR131)),MIN(AS132-AU132,AV131)),"")</f>
        <v>1153.3448132139706</v>
      </c>
      <c r="AU132" s="78">
        <f t="shared" si="108"/>
        <v>2110.4751867860296</v>
      </c>
      <c r="AV132" s="79">
        <f t="shared" si="109"/>
        <v>289946.68095037626</v>
      </c>
      <c r="AW132" s="11"/>
      <c r="AX132" s="33">
        <f>IF(AQ132&lt;&gt;"",ROUND(IF($F$11="raty równe",-PMT(W132/12,($F$4-AQ131+SUM($AR$27:AR131)),AV131,2),AV131/($F$4-AQ131+SUM($AR$27:AR131))+AV131*W132/12),2),"")</f>
        <v>3263.82</v>
      </c>
      <c r="AY132" s="33">
        <f t="shared" si="110"/>
        <v>258.27</v>
      </c>
      <c r="AZ132" s="33">
        <f t="shared" si="126"/>
        <v>27470.948304289948</v>
      </c>
      <c r="BA132" s="33">
        <f>IF(AQ132&lt;&gt;"",AZ132-SUM($AY$44:AY132),"")</f>
        <v>4484.9283042899187</v>
      </c>
      <c r="BB132" s="11">
        <f t="shared" si="111"/>
        <v>20</v>
      </c>
      <c r="BC132" s="11">
        <f>IF(AQ132&lt;&gt;"",IF($B$16=listy!$K$8,'RZĄDOWY PROGRAM'!$F$3*'RZĄDOWY PROGRAM'!$F$15,AV131*$F$15),"")</f>
        <v>50</v>
      </c>
      <c r="BD132" s="11">
        <f t="shared" si="112"/>
        <v>70</v>
      </c>
      <c r="BF132" s="8">
        <f t="shared" si="113"/>
        <v>105</v>
      </c>
      <c r="BG132" s="8"/>
      <c r="BH132" s="78">
        <f>IF(BF132&lt;&gt;"",ROUND(IF($F$11="raty równe",-PMT(W132/12,$F$4-BF131+SUM(BV$28:$BV132)-SUM($BM$29:BM132),BK131,2),BI132+BJ132),2),"")</f>
        <v>3522.1</v>
      </c>
      <c r="BI132" s="78">
        <f>IF(BF132&lt;&gt;"",IF($F$11="raty malejące",MIN(BK131/($F$4-BF131+SUM($BG$27:BG132)-SUM($BM$27:BM132)),BK131),MIN(BH132-BJ132,BK131)),"")</f>
        <v>1644.6299684378241</v>
      </c>
      <c r="BJ132" s="78">
        <f t="shared" si="114"/>
        <v>1877.4700315621758</v>
      </c>
      <c r="BK132" s="79">
        <f t="shared" si="115"/>
        <v>257316.75369531053</v>
      </c>
      <c r="BL132" s="11"/>
      <c r="BM132" s="33"/>
      <c r="BN132" s="33">
        <f t="shared" si="127"/>
        <v>-9.9999999997635314E-3</v>
      </c>
      <c r="BO132" s="33">
        <f t="shared" si="128"/>
        <v>-0.12168936551733178</v>
      </c>
      <c r="BP132" s="33">
        <f>IF(O132&lt;&gt;"",BO132-SUM($BN$44:BN132),"")</f>
        <v>-3.168936551946E-2</v>
      </c>
      <c r="BQ132" s="11">
        <f t="shared" si="89"/>
        <v>20</v>
      </c>
      <c r="BR132" s="11">
        <f>IF(BF132&lt;&gt;"",IF($B$16=listy!$K$8,'RZĄDOWY PROGRAM'!$F$3*'RZĄDOWY PROGRAM'!$F$15,BK131*$F$15),"")</f>
        <v>50</v>
      </c>
      <c r="BS132" s="11">
        <f t="shared" si="90"/>
        <v>70</v>
      </c>
      <c r="BU132" s="8">
        <f t="shared" si="116"/>
        <v>105</v>
      </c>
      <c r="BV132" s="8"/>
      <c r="BW132" s="78">
        <f>IF(BU132&lt;&gt;"",ROUND(IF($F$11="raty równe",-PMT(W132/12,$F$4-BU131+SUM($BV$28:BV132)-$CB$43,BZ131,2),BX132+BY132),2),"")</f>
        <v>3522.1</v>
      </c>
      <c r="BX132" s="78">
        <f>IF(BU132&lt;&gt;"",IF($F$11="raty malejące",MIN(BZ131/($F$4-BU131+SUM($BV$28:BV131)-SUM($CB$28:CB131)),BZ131),MIN(BW132-BY132,BZ131)),"")</f>
        <v>1641.053326198095</v>
      </c>
      <c r="BY132" s="78">
        <f t="shared" si="123"/>
        <v>1881.0466738019049</v>
      </c>
      <c r="BZ132" s="79">
        <f t="shared" si="124"/>
        <v>257813.66030165085</v>
      </c>
      <c r="CA132" s="11"/>
      <c r="CB132" s="33"/>
      <c r="CC132" s="33">
        <f t="shared" si="117"/>
        <v>-9.9999999997635314E-3</v>
      </c>
      <c r="CD132" s="33">
        <f t="shared" si="129"/>
        <v>0.3336878496054696</v>
      </c>
      <c r="CE132" s="33">
        <f>IF(O132&lt;&gt;"",CD132-SUM($CC$44:CC132),"")</f>
        <v>7.3687849611617784E-2</v>
      </c>
      <c r="CF132" s="11">
        <f t="shared" si="91"/>
        <v>20</v>
      </c>
      <c r="CG132" s="11">
        <f>IF(BU132&lt;&gt;"",IF($B$16=listy!$K$8,'RZĄDOWY PROGRAM'!$F$3*'RZĄDOWY PROGRAM'!$F$15,BZ131*$F$15),"")</f>
        <v>50</v>
      </c>
      <c r="CH132" s="11">
        <f t="shared" si="92"/>
        <v>70</v>
      </c>
      <c r="CJ132" s="48">
        <f t="shared" si="93"/>
        <v>0.06</v>
      </c>
      <c r="CK132" s="18">
        <f t="shared" si="94"/>
        <v>4.8675505653430484E-3</v>
      </c>
      <c r="CL132" s="11">
        <f t="shared" si="125"/>
        <v>0</v>
      </c>
      <c r="CM132" s="11">
        <f t="shared" si="95"/>
        <v>41360.574866259536</v>
      </c>
      <c r="CN132" s="11">
        <f>IF(AB132&lt;&gt;"",CM132-SUM($CL$28:CL132),"")</f>
        <v>13183.814866259541</v>
      </c>
    </row>
    <row r="133" spans="1:92" x14ac:dyDescent="0.45">
      <c r="A133" s="68">
        <f t="shared" si="118"/>
        <v>47939</v>
      </c>
      <c r="B133" s="8">
        <f t="shared" si="78"/>
        <v>106</v>
      </c>
      <c r="C133" s="11">
        <f t="shared" si="79"/>
        <v>3522.1</v>
      </c>
      <c r="D133" s="11">
        <f t="shared" si="80"/>
        <v>1328.2267252106258</v>
      </c>
      <c r="E133" s="11">
        <f t="shared" si="81"/>
        <v>2193.8732747893741</v>
      </c>
      <c r="F133" s="9">
        <f t="shared" si="96"/>
        <v>301274.9835905651</v>
      </c>
      <c r="G133" s="10">
        <f t="shared" si="82"/>
        <v>7.0000000000000007E-2</v>
      </c>
      <c r="H133" s="10">
        <f t="shared" si="83"/>
        <v>1.7000000000000001E-2</v>
      </c>
      <c r="I133" s="48">
        <f t="shared" si="97"/>
        <v>8.7000000000000008E-2</v>
      </c>
      <c r="J133" s="11">
        <f t="shared" si="84"/>
        <v>20</v>
      </c>
      <c r="K133" s="11">
        <f>IF(B133&lt;&gt;"",IF($B$16=listy!$K$8,'RZĄDOWY PROGRAM'!$F$3*'RZĄDOWY PROGRAM'!$F$15,F132*$F$15),"")</f>
        <v>50</v>
      </c>
      <c r="L133" s="11">
        <f t="shared" si="98"/>
        <v>70</v>
      </c>
      <c r="N133" s="54">
        <f t="shared" si="119"/>
        <v>47939</v>
      </c>
      <c r="O133" s="8">
        <f t="shared" si="99"/>
        <v>106</v>
      </c>
      <c r="P133" s="8"/>
      <c r="Q133" s="11">
        <f>IF(O133&lt;&gt;"",ROUND(IF($F$11="raty równe",-PMT(W133/12,$F$4-O132+SUM($P$28:P133),T132,2),R133+S133),2),"")</f>
        <v>3522.1</v>
      </c>
      <c r="R133" s="11">
        <f>IF(O133&lt;&gt;"",IF($F$11="raty malejące",T132/($F$4-O132+SUM($P$28:P133)),IF(Q133-S133&gt;T132,T132,Q133-S133)),"")</f>
        <v>1253.6436431785351</v>
      </c>
      <c r="S133" s="11">
        <f t="shared" si="121"/>
        <v>2268.4563568214649</v>
      </c>
      <c r="T133" s="9">
        <f t="shared" si="100"/>
        <v>311636.88833219593</v>
      </c>
      <c r="U133" s="10">
        <f t="shared" si="85"/>
        <v>7.0000000000000007E-2</v>
      </c>
      <c r="V133" s="10">
        <f t="shared" si="86"/>
        <v>1.7000000000000001E-2</v>
      </c>
      <c r="W133" s="48">
        <f t="shared" si="101"/>
        <v>8.7000000000000008E-2</v>
      </c>
      <c r="X133" s="11">
        <f t="shared" si="87"/>
        <v>20</v>
      </c>
      <c r="Y133" s="11">
        <f>IF(O133&lt;&gt;"",IF($B$16=listy!$K$8,'RZĄDOWY PROGRAM'!$F$3*'RZĄDOWY PROGRAM'!$F$15,T132*$F$15),"")</f>
        <v>50</v>
      </c>
      <c r="Z133" s="11">
        <f t="shared" si="102"/>
        <v>70</v>
      </c>
      <c r="AB133" s="8">
        <f t="shared" si="103"/>
        <v>106</v>
      </c>
      <c r="AC133" s="8"/>
      <c r="AD133" s="11">
        <f>IF(AB133&lt;&gt;"",ROUND(IF($F$11="raty równe",-PMT(W133/12,$F$4-AB132+SUM($AC$28:AC133),AG132,2),AE133+AF133),2),"")</f>
        <v>3280.39</v>
      </c>
      <c r="AE133" s="11">
        <f>IF(AB133&lt;&gt;"",IF($F$11="raty malejące",AG132/($F$4-AB132+SUM($AC$28:AC132)),MIN(AD133-AF133,AG132)),"")</f>
        <v>1167.6055562879787</v>
      </c>
      <c r="AF133" s="11">
        <f t="shared" si="122"/>
        <v>2112.7844437120211</v>
      </c>
      <c r="AG133" s="9">
        <f t="shared" si="120"/>
        <v>290250.93840399076</v>
      </c>
      <c r="AH133" s="11"/>
      <c r="AI133" s="33">
        <f>IF(AB133&lt;&gt;"",ROUND(IF($F$11="raty równe",-PMT(W133/12,($F$4-AB132+SUM($AC$27:AC132)),AG132,2),AG132/($F$4-AB132+SUM($AC$27:AC132))+AG132*W133/12),2),"")</f>
        <v>3280.39</v>
      </c>
      <c r="AJ133" s="33">
        <f t="shared" si="104"/>
        <v>241.71000000000004</v>
      </c>
      <c r="AK133" s="33">
        <f t="shared" si="88"/>
        <v>29065.146142376048</v>
      </c>
      <c r="AL133" s="33">
        <f>IF(AB133&lt;&gt;"",AK133-SUM($AJ$28:AJ133),"")</f>
        <v>5239.2561423760526</v>
      </c>
      <c r="AM133" s="11">
        <f t="shared" si="105"/>
        <v>20</v>
      </c>
      <c r="AN133" s="11">
        <f>IF(AB133&lt;&gt;"",IF($B$16=listy!$K$8,'RZĄDOWY PROGRAM'!$F$3*'RZĄDOWY PROGRAM'!$F$15,AG132*$F$15),"")</f>
        <v>50</v>
      </c>
      <c r="AO133" s="11">
        <f t="shared" si="106"/>
        <v>70</v>
      </c>
      <c r="AQ133" s="8">
        <f t="shared" si="107"/>
        <v>106</v>
      </c>
      <c r="AR133" s="8"/>
      <c r="AS133" s="78">
        <f>IF(AQ133&lt;&gt;"",ROUND(IF($F$11="raty równe",-PMT(W133/12,$F$4-AQ132+SUM($AR$28:AR133),AV132,2),AT133+AU133),2),"")</f>
        <v>3263.83</v>
      </c>
      <c r="AT133" s="78">
        <f>IF(AQ133&lt;&gt;"",IF($F$11="raty malejące",AV132/($F$4-AQ132+SUM($AR$28:AR132)),MIN(AS133-AU133,AV132)),"")</f>
        <v>1161.7165631097719</v>
      </c>
      <c r="AU133" s="78">
        <f t="shared" si="108"/>
        <v>2102.1134368902281</v>
      </c>
      <c r="AV133" s="79">
        <f t="shared" si="109"/>
        <v>288784.96438726649</v>
      </c>
      <c r="AW133" s="11"/>
      <c r="AX133" s="33">
        <f>IF(AQ133&lt;&gt;"",ROUND(IF($F$11="raty równe",-PMT(W133/12,($F$4-AQ132+SUM($AR$27:AR132)),AV132,2),AV132/($F$4-AQ132+SUM($AR$27:AR132))+AV132*W133/12),2),"")</f>
        <v>3263.83</v>
      </c>
      <c r="AY133" s="33">
        <f t="shared" si="110"/>
        <v>258.27</v>
      </c>
      <c r="AZ133" s="33">
        <f t="shared" si="126"/>
        <v>27837.528450548685</v>
      </c>
      <c r="BA133" s="33">
        <f>IF(AQ133&lt;&gt;"",AZ133-SUM($AY$44:AY133),"")</f>
        <v>4593.2384505486552</v>
      </c>
      <c r="BB133" s="11">
        <f t="shared" si="111"/>
        <v>20</v>
      </c>
      <c r="BC133" s="11">
        <f>IF(AQ133&lt;&gt;"",IF($B$16=listy!$K$8,'RZĄDOWY PROGRAM'!$F$3*'RZĄDOWY PROGRAM'!$F$15,AV132*$F$15),"")</f>
        <v>50</v>
      </c>
      <c r="BD133" s="11">
        <f t="shared" si="112"/>
        <v>70</v>
      </c>
      <c r="BF133" s="8">
        <f t="shared" si="113"/>
        <v>106</v>
      </c>
      <c r="BG133" s="8"/>
      <c r="BH133" s="78">
        <f>IF(BF133&lt;&gt;"",ROUND(IF($F$11="raty równe",-PMT(W133/12,$F$4-BF132+SUM(BV$28:$BV133)-SUM($BM$29:BM133),BK132,2),BI133+BJ133),2),"")</f>
        <v>3522.09</v>
      </c>
      <c r="BI133" s="78">
        <f>IF(BF133&lt;&gt;"",IF($F$11="raty malejące",MIN(BK132/($F$4-BF132+SUM($BG$27:BG133)-SUM($BM$27:BM133)),BK132),MIN(BH133-BJ133,BK132)),"")</f>
        <v>1656.5435357089984</v>
      </c>
      <c r="BJ133" s="78">
        <f t="shared" si="114"/>
        <v>1865.5464642910017</v>
      </c>
      <c r="BK133" s="79">
        <f t="shared" si="115"/>
        <v>255660.21015960153</v>
      </c>
      <c r="BL133" s="11"/>
      <c r="BM133" s="33"/>
      <c r="BN133" s="33">
        <f t="shared" si="127"/>
        <v>9.9999999997635314E-3</v>
      </c>
      <c r="BO133" s="33">
        <f t="shared" si="128"/>
        <v>-0.11216915212090356</v>
      </c>
      <c r="BP133" s="33">
        <f>IF(O133&lt;&gt;"",BO133-SUM($BN$44:BN133),"")</f>
        <v>-3.2169152122795308E-2</v>
      </c>
      <c r="BQ133" s="11">
        <f t="shared" si="89"/>
        <v>20</v>
      </c>
      <c r="BR133" s="11">
        <f>IF(BF133&lt;&gt;"",IF($B$16=listy!$K$8,'RZĄDOWY PROGRAM'!$F$3*'RZĄDOWY PROGRAM'!$F$15,BK132*$F$15),"")</f>
        <v>50</v>
      </c>
      <c r="BS133" s="11">
        <f t="shared" si="90"/>
        <v>70</v>
      </c>
      <c r="BU133" s="8">
        <f t="shared" si="116"/>
        <v>106</v>
      </c>
      <c r="BV133" s="8"/>
      <c r="BW133" s="78">
        <f>IF(BU133&lt;&gt;"",ROUND(IF($F$11="raty równe",-PMT(W133/12,$F$4-BU132+SUM($BV$28:BV133)-$CB$43,BZ132,2),BX133+BY133),2),"")</f>
        <v>3522.09</v>
      </c>
      <c r="BX133" s="78">
        <f>IF(BU133&lt;&gt;"",IF($F$11="raty malejące",MIN(BZ132/($F$4-BU132+SUM($BV$28:BV132)-SUM($CB$28:CB132)),BZ132),MIN(BW133-BY133,BZ132)),"")</f>
        <v>1652.9409628130313</v>
      </c>
      <c r="BY133" s="78">
        <f t="shared" si="123"/>
        <v>1869.1490371869688</v>
      </c>
      <c r="BZ133" s="79">
        <f t="shared" si="124"/>
        <v>256160.71933883781</v>
      </c>
      <c r="CA133" s="11"/>
      <c r="CB133" s="33"/>
      <c r="CC133" s="33">
        <f t="shared" si="117"/>
        <v>9.9999999997635314E-3</v>
      </c>
      <c r="CD133" s="33">
        <f t="shared" si="129"/>
        <v>0.34500348601483927</v>
      </c>
      <c r="CE133" s="33">
        <f>IF(O133&lt;&gt;"",CD133-SUM($CC$44:CC133),"")</f>
        <v>7.500348602122392E-2</v>
      </c>
      <c r="CF133" s="11">
        <f t="shared" si="91"/>
        <v>20</v>
      </c>
      <c r="CG133" s="11">
        <f>IF(BU133&lt;&gt;"",IF($B$16=listy!$K$8,'RZĄDOWY PROGRAM'!$F$3*'RZĄDOWY PROGRAM'!$F$15,BZ132*$F$15),"")</f>
        <v>50</v>
      </c>
      <c r="CH133" s="11">
        <f t="shared" si="92"/>
        <v>70</v>
      </c>
      <c r="CJ133" s="48">
        <f t="shared" si="93"/>
        <v>0.06</v>
      </c>
      <c r="CK133" s="18">
        <f t="shared" si="94"/>
        <v>4.8675505653430484E-3</v>
      </c>
      <c r="CL133" s="11">
        <f t="shared" si="125"/>
        <v>0</v>
      </c>
      <c r="CM133" s="11">
        <f t="shared" si="95"/>
        <v>41523.647864813815</v>
      </c>
      <c r="CN133" s="11">
        <f>IF(AB133&lt;&gt;"",CM133-SUM($CL$28:CL133),"")</f>
        <v>13346.88786481382</v>
      </c>
    </row>
    <row r="134" spans="1:92" x14ac:dyDescent="0.45">
      <c r="A134" s="68">
        <f t="shared" si="118"/>
        <v>47969</v>
      </c>
      <c r="B134" s="8">
        <f t="shared" si="78"/>
        <v>107</v>
      </c>
      <c r="C134" s="11">
        <f t="shared" si="79"/>
        <v>3522.09</v>
      </c>
      <c r="D134" s="11">
        <f t="shared" si="80"/>
        <v>1337.8463689684031</v>
      </c>
      <c r="E134" s="11">
        <f t="shared" si="81"/>
        <v>2184.243631031597</v>
      </c>
      <c r="F134" s="9">
        <f t="shared" si="96"/>
        <v>299937.13722159667</v>
      </c>
      <c r="G134" s="10">
        <f t="shared" si="82"/>
        <v>7.0000000000000007E-2</v>
      </c>
      <c r="H134" s="10">
        <f t="shared" si="83"/>
        <v>1.7000000000000001E-2</v>
      </c>
      <c r="I134" s="48">
        <f t="shared" si="97"/>
        <v>8.7000000000000008E-2</v>
      </c>
      <c r="J134" s="11">
        <f t="shared" si="84"/>
        <v>20</v>
      </c>
      <c r="K134" s="11">
        <f>IF(B134&lt;&gt;"",IF($B$16=listy!$K$8,'RZĄDOWY PROGRAM'!$F$3*'RZĄDOWY PROGRAM'!$F$15,F133*$F$15),"")</f>
        <v>50</v>
      </c>
      <c r="L134" s="11">
        <f t="shared" si="98"/>
        <v>70</v>
      </c>
      <c r="N134" s="54">
        <f t="shared" si="119"/>
        <v>47969</v>
      </c>
      <c r="O134" s="8">
        <f t="shared" si="99"/>
        <v>107</v>
      </c>
      <c r="P134" s="8"/>
      <c r="Q134" s="11">
        <f>IF(O134&lt;&gt;"",ROUND(IF($F$11="raty równe",-PMT(W134/12,$F$4-O133+SUM($P$28:P134),T133,2),R134+S134),2),"")</f>
        <v>3522.09</v>
      </c>
      <c r="R134" s="11">
        <f>IF(O134&lt;&gt;"",IF($F$11="raty malejące",T133/($F$4-O133+SUM($P$28:P134)),IF(Q134-S134&gt;T133,T133,Q134-S134)),"")</f>
        <v>1262.7225595915793</v>
      </c>
      <c r="S134" s="11">
        <f t="shared" si="121"/>
        <v>2259.3674404084209</v>
      </c>
      <c r="T134" s="9">
        <f t="shared" si="100"/>
        <v>310374.16577260435</v>
      </c>
      <c r="U134" s="10">
        <f t="shared" si="85"/>
        <v>7.0000000000000007E-2</v>
      </c>
      <c r="V134" s="10">
        <f t="shared" si="86"/>
        <v>1.7000000000000001E-2</v>
      </c>
      <c r="W134" s="48">
        <f t="shared" si="101"/>
        <v>8.7000000000000008E-2</v>
      </c>
      <c r="X134" s="11">
        <f t="shared" si="87"/>
        <v>20</v>
      </c>
      <c r="Y134" s="11">
        <f>IF(O134&lt;&gt;"",IF($B$16=listy!$K$8,'RZĄDOWY PROGRAM'!$F$3*'RZĄDOWY PROGRAM'!$F$15,T133*$F$15),"")</f>
        <v>50</v>
      </c>
      <c r="Z134" s="11">
        <f t="shared" si="102"/>
        <v>70</v>
      </c>
      <c r="AB134" s="8">
        <f t="shared" si="103"/>
        <v>107</v>
      </c>
      <c r="AC134" s="8"/>
      <c r="AD134" s="11">
        <f>IF(AB134&lt;&gt;"",ROUND(IF($F$11="raty równe",-PMT(W134/12,$F$4-AB133+SUM($AC$28:AC134),AG133,2),AE134+AF134),2),"")</f>
        <v>3280.39</v>
      </c>
      <c r="AE134" s="11">
        <f>IF(AB134&lt;&gt;"",IF($F$11="raty malejące",AG133/($F$4-AB133+SUM($AC$28:AC133)),MIN(AD134-AF134,AG133)),"")</f>
        <v>1176.0706965710669</v>
      </c>
      <c r="AF134" s="11">
        <f t="shared" si="122"/>
        <v>2104.3193034289329</v>
      </c>
      <c r="AG134" s="9">
        <f t="shared" si="120"/>
        <v>289074.86770741967</v>
      </c>
      <c r="AH134" s="11"/>
      <c r="AI134" s="33">
        <f>IF(AB134&lt;&gt;"",ROUND(IF($F$11="raty równe",-PMT(W134/12,($F$4-AB133+SUM($AC$27:AC133)),AG133,2),AG133/($F$4-AB133+SUM($AC$27:AC133))+AG133*W134/12),2),"")</f>
        <v>3280.39</v>
      </c>
      <c r="AJ134" s="33">
        <f t="shared" si="104"/>
        <v>241.70000000000027</v>
      </c>
      <c r="AK134" s="33">
        <f t="shared" si="88"/>
        <v>29421.441757891102</v>
      </c>
      <c r="AL134" s="33">
        <f>IF(AB134&lt;&gt;"",AK134-SUM($AJ$28:AJ134),"")</f>
        <v>5353.8517578911051</v>
      </c>
      <c r="AM134" s="11">
        <f t="shared" si="105"/>
        <v>20</v>
      </c>
      <c r="AN134" s="11">
        <f>IF(AB134&lt;&gt;"",IF($B$16=listy!$K$8,'RZĄDOWY PROGRAM'!$F$3*'RZĄDOWY PROGRAM'!$F$15,AG133*$F$15),"")</f>
        <v>50</v>
      </c>
      <c r="AO134" s="11">
        <f t="shared" si="106"/>
        <v>70</v>
      </c>
      <c r="AQ134" s="8">
        <f t="shared" si="107"/>
        <v>107</v>
      </c>
      <c r="AR134" s="8"/>
      <c r="AS134" s="78">
        <f>IF(AQ134&lt;&gt;"",ROUND(IF($F$11="raty równe",-PMT(W134/12,$F$4-AQ133+SUM($AR$28:AR134),AV133,2),AT134+AU134),2),"")</f>
        <v>3263.82</v>
      </c>
      <c r="AT134" s="78">
        <f>IF(AQ134&lt;&gt;"",IF($F$11="raty malejące",AV133/($F$4-AQ133+SUM($AR$28:AR133)),MIN(AS134-AU134,AV133)),"")</f>
        <v>1170.129008192318</v>
      </c>
      <c r="AU134" s="78">
        <f t="shared" si="108"/>
        <v>2093.6909918076822</v>
      </c>
      <c r="AV134" s="79">
        <f t="shared" si="109"/>
        <v>287614.83537907415</v>
      </c>
      <c r="AW134" s="11"/>
      <c r="AX134" s="33">
        <f>IF(AQ134&lt;&gt;"",ROUND(IF($F$11="raty równe",-PMT(W134/12,($F$4-AQ133+SUM($AR$27:AR133)),AV133,2),AV133/($F$4-AQ133+SUM($AR$27:AR133))+AV133*W134/12),2),"")</f>
        <v>3263.82</v>
      </c>
      <c r="AY134" s="33">
        <f t="shared" si="110"/>
        <v>258.27</v>
      </c>
      <c r="AZ134" s="33">
        <f t="shared" si="126"/>
        <v>28205.553918199937</v>
      </c>
      <c r="BA134" s="33">
        <f>IF(AQ134&lt;&gt;"",AZ134-SUM($AY$44:AY134),"")</f>
        <v>4702.9939181999071</v>
      </c>
      <c r="BB134" s="11">
        <f t="shared" si="111"/>
        <v>20</v>
      </c>
      <c r="BC134" s="11">
        <f>IF(AQ134&lt;&gt;"",IF($B$16=listy!$K$8,'RZĄDOWY PROGRAM'!$F$3*'RZĄDOWY PROGRAM'!$F$15,AV133*$F$15),"")</f>
        <v>50</v>
      </c>
      <c r="BD134" s="11">
        <f t="shared" si="112"/>
        <v>70</v>
      </c>
      <c r="BF134" s="8">
        <f t="shared" si="113"/>
        <v>107</v>
      </c>
      <c r="BG134" s="8"/>
      <c r="BH134" s="78">
        <f>IF(BF134&lt;&gt;"",ROUND(IF($F$11="raty równe",-PMT(W134/12,$F$4-BF133+SUM(BV$28:$BV134)-SUM($BM$29:BM134),BK133,2),BI134+BJ134),2),"")</f>
        <v>3522.1</v>
      </c>
      <c r="BI134" s="78">
        <f>IF(BF134&lt;&gt;"",IF($F$11="raty malejące",MIN(BK133/($F$4-BF133+SUM($BG$27:BG134)-SUM($BM$27:BM134)),BK133),MIN(BH134-BJ134,BK133)),"")</f>
        <v>1668.5634763428886</v>
      </c>
      <c r="BJ134" s="78">
        <f t="shared" si="114"/>
        <v>1853.5365236571113</v>
      </c>
      <c r="BK134" s="79">
        <f t="shared" si="115"/>
        <v>253991.64668325864</v>
      </c>
      <c r="BL134" s="11"/>
      <c r="BM134" s="33"/>
      <c r="BN134" s="33">
        <f t="shared" si="127"/>
        <v>-9.9999999997635314E-3</v>
      </c>
      <c r="BO134" s="33">
        <f t="shared" si="128"/>
        <v>-0.12261140322672143</v>
      </c>
      <c r="BP134" s="33">
        <f>IF(O134&lt;&gt;"",BO134-SUM($BN$44:BN134),"")</f>
        <v>-3.2611403228849645E-2</v>
      </c>
      <c r="BQ134" s="11">
        <f t="shared" si="89"/>
        <v>20</v>
      </c>
      <c r="BR134" s="11">
        <f>IF(BF134&lt;&gt;"",IF($B$16=listy!$K$8,'RZĄDOWY PROGRAM'!$F$3*'RZĄDOWY PROGRAM'!$F$15,BK133*$F$15),"")</f>
        <v>50</v>
      </c>
      <c r="BS134" s="11">
        <f t="shared" si="90"/>
        <v>70</v>
      </c>
      <c r="BU134" s="8">
        <f t="shared" si="116"/>
        <v>107</v>
      </c>
      <c r="BV134" s="8"/>
      <c r="BW134" s="78">
        <f>IF(BU134&lt;&gt;"",ROUND(IF($F$11="raty równe",-PMT(W134/12,$F$4-BU133+SUM($BV$28:BV134)-$CB$43,BZ133,2),BX134+BY134),2),"")</f>
        <v>3522.09</v>
      </c>
      <c r="BX134" s="78">
        <f>IF(BU134&lt;&gt;"",IF($F$11="raty malejące",MIN(BZ133/($F$4-BU133+SUM($BV$28:BV133)-SUM($CB$28:CB133)),BZ133),MIN(BW134-BY134,BZ133)),"")</f>
        <v>1664.9247847934259</v>
      </c>
      <c r="BY134" s="78">
        <f t="shared" si="123"/>
        <v>1857.1652152065742</v>
      </c>
      <c r="BZ134" s="79">
        <f t="shared" si="124"/>
        <v>254495.79455404438</v>
      </c>
      <c r="CA134" s="11"/>
      <c r="CB134" s="33"/>
      <c r="CC134" s="33">
        <f t="shared" si="117"/>
        <v>0</v>
      </c>
      <c r="CD134" s="33">
        <f t="shared" si="129"/>
        <v>0.34636373676469073</v>
      </c>
      <c r="CE134" s="33">
        <f>IF(O134&lt;&gt;"",CD134-SUM($CC$44:CC134),"")</f>
        <v>7.6363736771075386E-2</v>
      </c>
      <c r="CF134" s="11">
        <f t="shared" si="91"/>
        <v>20</v>
      </c>
      <c r="CG134" s="11">
        <f>IF(BU134&lt;&gt;"",IF($B$16=listy!$K$8,'RZĄDOWY PROGRAM'!$F$3*'RZĄDOWY PROGRAM'!$F$15,BZ133*$F$15),"")</f>
        <v>50</v>
      </c>
      <c r="CH134" s="11">
        <f t="shared" si="92"/>
        <v>70</v>
      </c>
      <c r="CJ134" s="48">
        <f t="shared" si="93"/>
        <v>0.06</v>
      </c>
      <c r="CK134" s="18">
        <f t="shared" si="94"/>
        <v>4.8675505653430484E-3</v>
      </c>
      <c r="CL134" s="11">
        <f t="shared" si="125"/>
        <v>0</v>
      </c>
      <c r="CM134" s="11">
        <f t="shared" si="95"/>
        <v>41687.363813881799</v>
      </c>
      <c r="CN134" s="11">
        <f>IF(AB134&lt;&gt;"",CM134-SUM($CL$28:CL134),"")</f>
        <v>13510.603813881804</v>
      </c>
    </row>
    <row r="135" spans="1:92" x14ac:dyDescent="0.45">
      <c r="A135" s="68">
        <f t="shared" si="118"/>
        <v>48000</v>
      </c>
      <c r="B135" s="8">
        <f t="shared" si="78"/>
        <v>108</v>
      </c>
      <c r="C135" s="11">
        <f t="shared" si="79"/>
        <v>3522.1</v>
      </c>
      <c r="D135" s="11">
        <f t="shared" si="80"/>
        <v>1347.555755143424</v>
      </c>
      <c r="E135" s="11">
        <f t="shared" si="81"/>
        <v>2174.5442448565759</v>
      </c>
      <c r="F135" s="9">
        <f t="shared" si="96"/>
        <v>298589.58146645327</v>
      </c>
      <c r="G135" s="10">
        <f t="shared" si="82"/>
        <v>7.0000000000000007E-2</v>
      </c>
      <c r="H135" s="10">
        <f t="shared" si="83"/>
        <v>1.7000000000000001E-2</v>
      </c>
      <c r="I135" s="48">
        <f t="shared" si="97"/>
        <v>8.7000000000000008E-2</v>
      </c>
      <c r="J135" s="11">
        <f t="shared" si="84"/>
        <v>20</v>
      </c>
      <c r="K135" s="11">
        <f>IF(B135&lt;&gt;"",IF($B$16=listy!$K$8,'RZĄDOWY PROGRAM'!$F$3*'RZĄDOWY PROGRAM'!$F$15,F134*$F$15),"")</f>
        <v>50</v>
      </c>
      <c r="L135" s="11">
        <f t="shared" si="98"/>
        <v>70</v>
      </c>
      <c r="N135" s="54">
        <f t="shared" si="119"/>
        <v>48000</v>
      </c>
      <c r="O135" s="8">
        <f t="shared" si="99"/>
        <v>108</v>
      </c>
      <c r="P135" s="8"/>
      <c r="Q135" s="11">
        <f>IF(O135&lt;&gt;"",ROUND(IF($F$11="raty równe",-PMT(W135/12,$F$4-O134+SUM($P$28:P135),T134,2),R135+S135),2),"")</f>
        <v>3522.1</v>
      </c>
      <c r="R135" s="11">
        <f>IF(O135&lt;&gt;"",IF($F$11="raty malejące",T134/($F$4-O134+SUM($P$28:P135)),IF(Q135-S135&gt;T134,T134,Q135-S135)),"")</f>
        <v>1271.8872981486184</v>
      </c>
      <c r="S135" s="11">
        <f t="shared" si="121"/>
        <v>2250.2127018513816</v>
      </c>
      <c r="T135" s="9">
        <f t="shared" si="100"/>
        <v>309102.27847445576</v>
      </c>
      <c r="U135" s="10">
        <f t="shared" si="85"/>
        <v>7.0000000000000007E-2</v>
      </c>
      <c r="V135" s="10">
        <f t="shared" si="86"/>
        <v>1.7000000000000001E-2</v>
      </c>
      <c r="W135" s="48">
        <f t="shared" si="101"/>
        <v>8.7000000000000008E-2</v>
      </c>
      <c r="X135" s="11">
        <f t="shared" si="87"/>
        <v>20</v>
      </c>
      <c r="Y135" s="11">
        <f>IF(O135&lt;&gt;"",IF($B$16=listy!$K$8,'RZĄDOWY PROGRAM'!$F$3*'RZĄDOWY PROGRAM'!$F$15,T134*$F$15),"")</f>
        <v>50</v>
      </c>
      <c r="Z135" s="11">
        <f t="shared" si="102"/>
        <v>70</v>
      </c>
      <c r="AB135" s="8">
        <f t="shared" si="103"/>
        <v>108</v>
      </c>
      <c r="AC135" s="8"/>
      <c r="AD135" s="11">
        <f>IF(AB135&lt;&gt;"",ROUND(IF($F$11="raty równe",-PMT(W135/12,$F$4-AB134+SUM($AC$28:AC135),AG134,2),AE135+AF135),2),"")</f>
        <v>3280.39</v>
      </c>
      <c r="AE135" s="11">
        <f>IF(AB135&lt;&gt;"",IF($F$11="raty malejące",AG134/($F$4-AB134+SUM($AC$28:AC134)),MIN(AD135-AF135,AG134)),"")</f>
        <v>1184.597209121207</v>
      </c>
      <c r="AF135" s="11">
        <f t="shared" si="122"/>
        <v>2095.7927908787929</v>
      </c>
      <c r="AG135" s="9">
        <f t="shared" si="120"/>
        <v>287890.27049829846</v>
      </c>
      <c r="AH135" s="11"/>
      <c r="AI135" s="33">
        <f>IF(AB135&lt;&gt;"",ROUND(IF($F$11="raty równe",-PMT(W135/12,($F$4-AB134+SUM($AC$27:AC134)),AG134,2),AG134/($F$4-AB134+SUM($AC$27:AC134))+AG134*W135/12),2),"")</f>
        <v>3280.39</v>
      </c>
      <c r="AJ135" s="33">
        <f t="shared" si="104"/>
        <v>241.71000000000004</v>
      </c>
      <c r="AK135" s="33">
        <f t="shared" si="88"/>
        <v>29779.152145815184</v>
      </c>
      <c r="AL135" s="33">
        <f>IF(AB135&lt;&gt;"",AK135-SUM($AJ$28:AJ135),"")</f>
        <v>5469.8521458151881</v>
      </c>
      <c r="AM135" s="11">
        <f t="shared" si="105"/>
        <v>20</v>
      </c>
      <c r="AN135" s="11">
        <f>IF(AB135&lt;&gt;"",IF($B$16=listy!$K$8,'RZĄDOWY PROGRAM'!$F$3*'RZĄDOWY PROGRAM'!$F$15,AG134*$F$15),"")</f>
        <v>50</v>
      </c>
      <c r="AO135" s="11">
        <f t="shared" si="106"/>
        <v>70</v>
      </c>
      <c r="AQ135" s="8">
        <f t="shared" si="107"/>
        <v>108</v>
      </c>
      <c r="AR135" s="8"/>
      <c r="AS135" s="78">
        <f>IF(AQ135&lt;&gt;"",ROUND(IF($F$11="raty równe",-PMT(W135/12,$F$4-AQ134+SUM($AR$28:AR135),AV134,2),AT135+AU135),2),"")</f>
        <v>3263.83</v>
      </c>
      <c r="AT135" s="78">
        <f>IF(AQ135&lt;&gt;"",IF($F$11="raty malejące",AV134/($F$4-AQ134+SUM($AR$28:AR134)),MIN(AS135-AU135,AV134)),"")</f>
        <v>1178.622443501712</v>
      </c>
      <c r="AU135" s="78">
        <f t="shared" si="108"/>
        <v>2085.2075564982879</v>
      </c>
      <c r="AV135" s="79">
        <f t="shared" si="109"/>
        <v>286436.21293557243</v>
      </c>
      <c r="AW135" s="11"/>
      <c r="AX135" s="33">
        <f>IF(AQ135&lt;&gt;"",ROUND(IF($F$11="raty równe",-PMT(W135/12,($F$4-AQ134+SUM($AR$27:AR134)),AV134,2),AV134/($F$4-AQ134+SUM($AR$27:AR134))+AV134*W135/12),2),"")</f>
        <v>3263.83</v>
      </c>
      <c r="AY135" s="33">
        <f t="shared" si="110"/>
        <v>258.27</v>
      </c>
      <c r="AZ135" s="33">
        <f t="shared" si="126"/>
        <v>28575.030405735422</v>
      </c>
      <c r="BA135" s="33">
        <f>IF(AQ135&lt;&gt;"",AZ135-SUM($AY$44:AY135),"")</f>
        <v>4814.2004057353915</v>
      </c>
      <c r="BB135" s="11">
        <f t="shared" si="111"/>
        <v>20</v>
      </c>
      <c r="BC135" s="11">
        <f>IF(AQ135&lt;&gt;"",IF($B$16=listy!$K$8,'RZĄDOWY PROGRAM'!$F$3*'RZĄDOWY PROGRAM'!$F$15,AV134*$F$15),"")</f>
        <v>50</v>
      </c>
      <c r="BD135" s="11">
        <f t="shared" si="112"/>
        <v>70</v>
      </c>
      <c r="BF135" s="8">
        <f t="shared" si="113"/>
        <v>108</v>
      </c>
      <c r="BG135" s="8"/>
      <c r="BH135" s="78">
        <f>IF(BF135&lt;&gt;"",ROUND(IF($F$11="raty równe",-PMT(W135/12,$F$4-BF134+SUM(BV$28:$BV135)-SUM($BM$29:BM135),BK134,2),BI135+BJ135),2),"")</f>
        <v>3522.09</v>
      </c>
      <c r="BI135" s="78">
        <f>IF(BF135&lt;&gt;"",IF($F$11="raty malejące",MIN(BK134/($F$4-BF134+SUM($BG$27:BG135)-SUM($BM$27:BM135)),BK134),MIN(BH135-BJ135,BK134)),"")</f>
        <v>1680.6505615463748</v>
      </c>
      <c r="BJ135" s="78">
        <f t="shared" si="114"/>
        <v>1841.4394384536254</v>
      </c>
      <c r="BK135" s="79">
        <f t="shared" si="115"/>
        <v>252310.99612171226</v>
      </c>
      <c r="BL135" s="11"/>
      <c r="BM135" s="33"/>
      <c r="BN135" s="33">
        <f t="shared" si="127"/>
        <v>9.9999999997635314E-3</v>
      </c>
      <c r="BO135" s="33">
        <f t="shared" si="128"/>
        <v>-0.11309482516308383</v>
      </c>
      <c r="BP135" s="33">
        <f>IF(O135&lt;&gt;"",BO135-SUM($BN$44:BN135),"")</f>
        <v>-3.3094825164975583E-2</v>
      </c>
      <c r="BQ135" s="11">
        <f t="shared" si="89"/>
        <v>20</v>
      </c>
      <c r="BR135" s="11">
        <f>IF(BF135&lt;&gt;"",IF($B$16=listy!$K$8,'RZĄDOWY PROGRAM'!$F$3*'RZĄDOWY PROGRAM'!$F$15,BK134*$F$15),"")</f>
        <v>50</v>
      </c>
      <c r="BS135" s="11">
        <f t="shared" si="90"/>
        <v>70</v>
      </c>
      <c r="BU135" s="8">
        <f t="shared" si="116"/>
        <v>108</v>
      </c>
      <c r="BV135" s="8"/>
      <c r="BW135" s="78">
        <f>IF(BU135&lt;&gt;"",ROUND(IF($F$11="raty równe",-PMT(W135/12,$F$4-BU134+SUM($BV$28:BV135)-$CB$43,BZ134,2),BX135+BY135),2),"")</f>
        <v>3522.1</v>
      </c>
      <c r="BX135" s="78">
        <f>IF(BU135&lt;&gt;"",IF($F$11="raty malejące",MIN(BZ134/($F$4-BU134+SUM($BV$28:BV134)-SUM($CB$28:CB134)),BZ134),MIN(BW135-BY135,BZ134)),"")</f>
        <v>1677.0054894831781</v>
      </c>
      <c r="BY135" s="78">
        <f t="shared" si="123"/>
        <v>1845.0945105168219</v>
      </c>
      <c r="BZ135" s="79">
        <f t="shared" si="124"/>
        <v>252818.78906456119</v>
      </c>
      <c r="CA135" s="11"/>
      <c r="CB135" s="33"/>
      <c r="CC135" s="33">
        <f t="shared" si="117"/>
        <v>0</v>
      </c>
      <c r="CD135" s="33">
        <f t="shared" si="129"/>
        <v>0.34772935059688043</v>
      </c>
      <c r="CE135" s="33">
        <f>IF(O135&lt;&gt;"",CD135-SUM($CC$44:CC135),"")</f>
        <v>7.7729350603265079E-2</v>
      </c>
      <c r="CF135" s="11">
        <f t="shared" si="91"/>
        <v>20</v>
      </c>
      <c r="CG135" s="11">
        <f>IF(BU135&lt;&gt;"",IF($B$16=listy!$K$8,'RZĄDOWY PROGRAM'!$F$3*'RZĄDOWY PROGRAM'!$F$15,BZ134*$F$15),"")</f>
        <v>50</v>
      </c>
      <c r="CH135" s="11">
        <f t="shared" si="92"/>
        <v>70</v>
      </c>
      <c r="CJ135" s="48">
        <f t="shared" si="93"/>
        <v>0.06</v>
      </c>
      <c r="CK135" s="18">
        <f t="shared" si="94"/>
        <v>4.8675505653430484E-3</v>
      </c>
      <c r="CL135" s="11">
        <f t="shared" si="125"/>
        <v>0</v>
      </c>
      <c r="CM135" s="11">
        <f t="shared" si="95"/>
        <v>41851.725248434741</v>
      </c>
      <c r="CN135" s="11">
        <f>IF(AB135&lt;&gt;"",CM135-SUM($CL$28:CL135),"")</f>
        <v>13674.965248434746</v>
      </c>
    </row>
    <row r="136" spans="1:92" x14ac:dyDescent="0.45">
      <c r="A136" s="68">
        <f t="shared" si="118"/>
        <v>48030</v>
      </c>
      <c r="B136" s="8">
        <f t="shared" si="78"/>
        <v>109</v>
      </c>
      <c r="C136" s="11">
        <f t="shared" si="79"/>
        <v>3522.09</v>
      </c>
      <c r="D136" s="11">
        <f t="shared" si="80"/>
        <v>1357.3155343682138</v>
      </c>
      <c r="E136" s="11">
        <f t="shared" si="81"/>
        <v>2164.7744656317864</v>
      </c>
      <c r="F136" s="9">
        <f t="shared" si="96"/>
        <v>297232.26593208505</v>
      </c>
      <c r="G136" s="10">
        <f t="shared" si="82"/>
        <v>7.0000000000000007E-2</v>
      </c>
      <c r="H136" s="10">
        <f t="shared" si="83"/>
        <v>1.7000000000000001E-2</v>
      </c>
      <c r="I136" s="48">
        <f t="shared" si="97"/>
        <v>8.7000000000000008E-2</v>
      </c>
      <c r="J136" s="11">
        <f t="shared" si="84"/>
        <v>20</v>
      </c>
      <c r="K136" s="11">
        <f>IF(B136&lt;&gt;"",IF($B$16=listy!$K$8,'RZĄDOWY PROGRAM'!$F$3*'RZĄDOWY PROGRAM'!$F$15,F135*$F$15),"")</f>
        <v>50</v>
      </c>
      <c r="L136" s="11">
        <f t="shared" si="98"/>
        <v>70</v>
      </c>
      <c r="N136" s="54">
        <f t="shared" si="119"/>
        <v>48030</v>
      </c>
      <c r="O136" s="8">
        <f t="shared" si="99"/>
        <v>109</v>
      </c>
      <c r="P136" s="8"/>
      <c r="Q136" s="11">
        <f>IF(O136&lt;&gt;"",ROUND(IF($F$11="raty równe",-PMT(W136/12,$F$4-O135+SUM($P$28:P136),T135,2),R136+S136),2),"")</f>
        <v>3522.09</v>
      </c>
      <c r="R136" s="11">
        <f>IF(O136&lt;&gt;"",IF($F$11="raty malejące",T135/($F$4-O135+SUM($P$28:P136)),IF(Q136-S136&gt;T135,T135,Q136-S136)),"")</f>
        <v>1281.0984810601958</v>
      </c>
      <c r="S136" s="11">
        <f t="shared" si="121"/>
        <v>2240.9915189398043</v>
      </c>
      <c r="T136" s="9">
        <f t="shared" si="100"/>
        <v>307821.17999339558</v>
      </c>
      <c r="U136" s="10">
        <f t="shared" si="85"/>
        <v>7.0000000000000007E-2</v>
      </c>
      <c r="V136" s="10">
        <f t="shared" si="86"/>
        <v>1.7000000000000001E-2</v>
      </c>
      <c r="W136" s="48">
        <f t="shared" si="101"/>
        <v>8.7000000000000008E-2</v>
      </c>
      <c r="X136" s="11">
        <f t="shared" si="87"/>
        <v>20</v>
      </c>
      <c r="Y136" s="11">
        <f>IF(O136&lt;&gt;"",IF($B$16=listy!$K$8,'RZĄDOWY PROGRAM'!$F$3*'RZĄDOWY PROGRAM'!$F$15,T135*$F$15),"")</f>
        <v>50</v>
      </c>
      <c r="Z136" s="11">
        <f t="shared" si="102"/>
        <v>70</v>
      </c>
      <c r="AB136" s="8">
        <f t="shared" si="103"/>
        <v>109</v>
      </c>
      <c r="AC136" s="8"/>
      <c r="AD136" s="11">
        <f>IF(AB136&lt;&gt;"",ROUND(IF($F$11="raty równe",-PMT(W136/12,$F$4-AB135+SUM($AC$28:AC136),AG135,2),AE136+AF136),2),"")</f>
        <v>3280.39</v>
      </c>
      <c r="AE136" s="11">
        <f>IF(AB136&lt;&gt;"",IF($F$11="raty malejące",AG135/($F$4-AB135+SUM($AC$28:AC135)),MIN(AD136-AF136,AG135)),"")</f>
        <v>1193.185538887336</v>
      </c>
      <c r="AF136" s="11">
        <f t="shared" si="122"/>
        <v>2087.2044611126639</v>
      </c>
      <c r="AG136" s="9">
        <f t="shared" si="120"/>
        <v>286697.08495941112</v>
      </c>
      <c r="AH136" s="11"/>
      <c r="AI136" s="33">
        <f>IF(AB136&lt;&gt;"",ROUND(IF($F$11="raty równe",-PMT(W136/12,($F$4-AB135+SUM($AC$27:AC135)),AG135,2),AG135/($F$4-AB135+SUM($AC$27:AC135))+AG135*W136/12),2),"")</f>
        <v>3280.39</v>
      </c>
      <c r="AJ136" s="33">
        <f t="shared" si="104"/>
        <v>241.70000000000027</v>
      </c>
      <c r="AK136" s="33">
        <f t="shared" si="88"/>
        <v>30138.262884194053</v>
      </c>
      <c r="AL136" s="33">
        <f>IF(AB136&lt;&gt;"",AK136-SUM($AJ$28:AJ136),"")</f>
        <v>5587.2628841940568</v>
      </c>
      <c r="AM136" s="11">
        <f t="shared" si="105"/>
        <v>20</v>
      </c>
      <c r="AN136" s="11">
        <f>IF(AB136&lt;&gt;"",IF($B$16=listy!$K$8,'RZĄDOWY PROGRAM'!$F$3*'RZĄDOWY PROGRAM'!$F$15,AG135*$F$15),"")</f>
        <v>50</v>
      </c>
      <c r="AO136" s="11">
        <f t="shared" si="106"/>
        <v>70</v>
      </c>
      <c r="AQ136" s="8">
        <f t="shared" si="107"/>
        <v>109</v>
      </c>
      <c r="AR136" s="8"/>
      <c r="AS136" s="78">
        <f>IF(AQ136&lt;&gt;"",ROUND(IF($F$11="raty równe",-PMT(W136/12,$F$4-AQ135+SUM($AR$28:AR136),AV135,2),AT136+AU136),2),"")</f>
        <v>3263.82</v>
      </c>
      <c r="AT136" s="78">
        <f>IF(AQ136&lt;&gt;"",IF($F$11="raty malejące",AV135/($F$4-AQ135+SUM($AR$28:AR135)),MIN(AS136-AU136,AV135)),"")</f>
        <v>1187.1574562170999</v>
      </c>
      <c r="AU136" s="78">
        <f t="shared" si="108"/>
        <v>2076.6625437829002</v>
      </c>
      <c r="AV136" s="79">
        <f t="shared" si="109"/>
        <v>285249.05547935533</v>
      </c>
      <c r="AW136" s="11"/>
      <c r="AX136" s="33">
        <f>IF(AQ136&lt;&gt;"",ROUND(IF($F$11="raty równe",-PMT(W136/12,($F$4-AQ135+SUM($AR$27:AR135)),AV135,2),AV135/($F$4-AQ135+SUM($AR$27:AR135))+AV135*W136/12),2),"")</f>
        <v>3263.82</v>
      </c>
      <c r="AY136" s="33">
        <f t="shared" si="110"/>
        <v>258.27</v>
      </c>
      <c r="AZ136" s="33">
        <f t="shared" si="126"/>
        <v>28945.963634114392</v>
      </c>
      <c r="BA136" s="33">
        <f>IF(AQ136&lt;&gt;"",AZ136-SUM($AY$44:AY136),"")</f>
        <v>4926.863634114361</v>
      </c>
      <c r="BB136" s="11">
        <f t="shared" si="111"/>
        <v>20</v>
      </c>
      <c r="BC136" s="11">
        <f>IF(AQ136&lt;&gt;"",IF($B$16=listy!$K$8,'RZĄDOWY PROGRAM'!$F$3*'RZĄDOWY PROGRAM'!$F$15,AV135*$F$15),"")</f>
        <v>50</v>
      </c>
      <c r="BD136" s="11">
        <f t="shared" si="112"/>
        <v>70</v>
      </c>
      <c r="BF136" s="8">
        <f t="shared" si="113"/>
        <v>109</v>
      </c>
      <c r="BG136" s="8"/>
      <c r="BH136" s="78">
        <f>IF(BF136&lt;&gt;"",ROUND(IF($F$11="raty równe",-PMT(W136/12,$F$4-BF135+SUM(BV$28:$BV136)-SUM($BM$29:BM136),BK135,2),BI136+BJ136),2),"")</f>
        <v>3522.1</v>
      </c>
      <c r="BI136" s="78">
        <f>IF(BF136&lt;&gt;"",IF($F$11="raty malejące",MIN(BK135/($F$4-BF135+SUM($BG$27:BG136)-SUM($BM$27:BM136)),BK135),MIN(BH136-BJ136,BK135)),"")</f>
        <v>1692.8452781175858</v>
      </c>
      <c r="BJ136" s="78">
        <f t="shared" si="114"/>
        <v>1829.2547218824141</v>
      </c>
      <c r="BK136" s="79">
        <f t="shared" si="115"/>
        <v>250618.15084359469</v>
      </c>
      <c r="BL136" s="11"/>
      <c r="BM136" s="33"/>
      <c r="BN136" s="33">
        <f t="shared" si="127"/>
        <v>-9.9999999997635314E-3</v>
      </c>
      <c r="BO136" s="33">
        <f t="shared" si="128"/>
        <v>-0.12354072593477693</v>
      </c>
      <c r="BP136" s="33">
        <f>IF(O136&lt;&gt;"",BO136-SUM($BN$44:BN136),"")</f>
        <v>-3.3540725936905144E-2</v>
      </c>
      <c r="BQ136" s="11">
        <f t="shared" si="89"/>
        <v>20</v>
      </c>
      <c r="BR136" s="11">
        <f>IF(BF136&lt;&gt;"",IF($B$16=listy!$K$8,'RZĄDOWY PROGRAM'!$F$3*'RZĄDOWY PROGRAM'!$F$15,BK135*$F$15),"")</f>
        <v>50</v>
      </c>
      <c r="BS136" s="11">
        <f t="shared" si="90"/>
        <v>70</v>
      </c>
      <c r="BU136" s="8">
        <f t="shared" si="116"/>
        <v>109</v>
      </c>
      <c r="BV136" s="8"/>
      <c r="BW136" s="78">
        <f>IF(BU136&lt;&gt;"",ROUND(IF($F$11="raty równe",-PMT(W136/12,$F$4-BU135+SUM($BV$28:BV136)-$CB$43,BZ135,2),BX136+BY136),2),"")</f>
        <v>3522.1</v>
      </c>
      <c r="BX136" s="78">
        <f>IF(BU136&lt;&gt;"",IF($F$11="raty malejące",MIN(BZ135/($F$4-BU135+SUM($BV$28:BV135)-SUM($CB$28:CB135)),BZ135),MIN(BW136-BY136,BZ135)),"")</f>
        <v>1689.1637792819313</v>
      </c>
      <c r="BY136" s="78">
        <f t="shared" si="123"/>
        <v>1832.9362207180686</v>
      </c>
      <c r="BZ136" s="79">
        <f t="shared" si="124"/>
        <v>251129.62528527927</v>
      </c>
      <c r="CA136" s="11"/>
      <c r="CB136" s="33"/>
      <c r="CC136" s="33">
        <f t="shared" si="117"/>
        <v>-9.9999999997635314E-3</v>
      </c>
      <c r="CD136" s="33">
        <f t="shared" si="129"/>
        <v>0.33910034865675515</v>
      </c>
      <c r="CE136" s="33">
        <f>IF(O136&lt;&gt;"",CD136-SUM($CC$44:CC136),"")</f>
        <v>7.910034866290333E-2</v>
      </c>
      <c r="CF136" s="11">
        <f t="shared" si="91"/>
        <v>20</v>
      </c>
      <c r="CG136" s="11">
        <f>IF(BU136&lt;&gt;"",IF($B$16=listy!$K$8,'RZĄDOWY PROGRAM'!$F$3*'RZĄDOWY PROGRAM'!$F$15,BZ135*$F$15),"")</f>
        <v>50</v>
      </c>
      <c r="CH136" s="11">
        <f t="shared" si="92"/>
        <v>70</v>
      </c>
      <c r="CJ136" s="48">
        <f t="shared" si="93"/>
        <v>0.06</v>
      </c>
      <c r="CK136" s="18">
        <f t="shared" si="94"/>
        <v>4.8675505653430484E-3</v>
      </c>
      <c r="CL136" s="11">
        <f t="shared" si="125"/>
        <v>0</v>
      </c>
      <c r="CM136" s="11">
        <f t="shared" si="95"/>
        <v>42016.734713438564</v>
      </c>
      <c r="CN136" s="11">
        <f>IF(AB136&lt;&gt;"",CM136-SUM($CL$28:CL136),"")</f>
        <v>13839.974713438569</v>
      </c>
    </row>
    <row r="137" spans="1:92" x14ac:dyDescent="0.45">
      <c r="A137" s="68">
        <f t="shared" si="118"/>
        <v>48061</v>
      </c>
      <c r="B137" s="8">
        <f t="shared" si="78"/>
        <v>110</v>
      </c>
      <c r="C137" s="11">
        <f t="shared" si="79"/>
        <v>3522.1</v>
      </c>
      <c r="D137" s="11">
        <f t="shared" si="80"/>
        <v>1367.166071992383</v>
      </c>
      <c r="E137" s="11">
        <f t="shared" si="81"/>
        <v>2154.9339280076169</v>
      </c>
      <c r="F137" s="9">
        <f t="shared" si="96"/>
        <v>295865.09986009268</v>
      </c>
      <c r="G137" s="10">
        <f t="shared" si="82"/>
        <v>7.0000000000000007E-2</v>
      </c>
      <c r="H137" s="10">
        <f t="shared" si="83"/>
        <v>1.7000000000000001E-2</v>
      </c>
      <c r="I137" s="48">
        <f t="shared" si="97"/>
        <v>8.7000000000000008E-2</v>
      </c>
      <c r="J137" s="11">
        <f t="shared" si="84"/>
        <v>20</v>
      </c>
      <c r="K137" s="11">
        <f>IF(B137&lt;&gt;"",IF($B$16=listy!$K$8,'RZĄDOWY PROGRAM'!$F$3*'RZĄDOWY PROGRAM'!$F$15,F136*$F$15),"")</f>
        <v>50</v>
      </c>
      <c r="L137" s="11">
        <f t="shared" si="98"/>
        <v>70</v>
      </c>
      <c r="N137" s="54">
        <f t="shared" si="119"/>
        <v>48061</v>
      </c>
      <c r="O137" s="8">
        <f t="shared" si="99"/>
        <v>110</v>
      </c>
      <c r="P137" s="8"/>
      <c r="Q137" s="11">
        <f>IF(O137&lt;&gt;"",ROUND(IF($F$11="raty równe",-PMT(W137/12,$F$4-O136+SUM($P$28:P137),T136,2),R137+S137),2),"")</f>
        <v>3522.1</v>
      </c>
      <c r="R137" s="11">
        <f>IF(O137&lt;&gt;"",IF($F$11="raty malejące",T136/($F$4-O136+SUM($P$28:P137)),IF(Q137-S137&gt;T136,T136,Q137-S137)),"")</f>
        <v>1290.3964450478816</v>
      </c>
      <c r="S137" s="11">
        <f t="shared" si="121"/>
        <v>2231.7035549521183</v>
      </c>
      <c r="T137" s="9">
        <f t="shared" si="100"/>
        <v>306530.78354834771</v>
      </c>
      <c r="U137" s="10">
        <f t="shared" si="85"/>
        <v>7.0000000000000007E-2</v>
      </c>
      <c r="V137" s="10">
        <f t="shared" si="86"/>
        <v>1.7000000000000001E-2</v>
      </c>
      <c r="W137" s="48">
        <f t="shared" si="101"/>
        <v>8.7000000000000008E-2</v>
      </c>
      <c r="X137" s="11">
        <f t="shared" si="87"/>
        <v>20</v>
      </c>
      <c r="Y137" s="11">
        <f>IF(O137&lt;&gt;"",IF($B$16=listy!$K$8,'RZĄDOWY PROGRAM'!$F$3*'RZĄDOWY PROGRAM'!$F$15,T136*$F$15),"")</f>
        <v>50</v>
      </c>
      <c r="Z137" s="11">
        <f t="shared" si="102"/>
        <v>70</v>
      </c>
      <c r="AB137" s="8">
        <f t="shared" si="103"/>
        <v>110</v>
      </c>
      <c r="AC137" s="8"/>
      <c r="AD137" s="11">
        <f>IF(AB137&lt;&gt;"",ROUND(IF($F$11="raty równe",-PMT(W137/12,$F$4-AB136+SUM($AC$28:AC137),AG136,2),AE137+AF137),2),"")</f>
        <v>3280.39</v>
      </c>
      <c r="AE137" s="11">
        <f>IF(AB137&lt;&gt;"",IF($F$11="raty malejące",AG136/($F$4-AB136+SUM($AC$28:AC136)),MIN(AD137-AF137,AG136)),"")</f>
        <v>1201.8361340442689</v>
      </c>
      <c r="AF137" s="11">
        <f t="shared" si="122"/>
        <v>2078.553865955731</v>
      </c>
      <c r="AG137" s="9">
        <f t="shared" si="120"/>
        <v>285495.24882536684</v>
      </c>
      <c r="AH137" s="11"/>
      <c r="AI137" s="33">
        <f>IF(AB137&lt;&gt;"",ROUND(IF($F$11="raty równe",-PMT(W137/12,($F$4-AB136+SUM($AC$27:AC136)),AG136,2),AG136/($F$4-AB136+SUM($AC$27:AC136))+AG136*W137/12),2),"")</f>
        <v>3280.39</v>
      </c>
      <c r="AJ137" s="33">
        <f t="shared" si="104"/>
        <v>241.71000000000004</v>
      </c>
      <c r="AK137" s="33">
        <f t="shared" si="88"/>
        <v>30498.799494211791</v>
      </c>
      <c r="AL137" s="33">
        <f>IF(AB137&lt;&gt;"",AK137-SUM($AJ$28:AJ137),"")</f>
        <v>5706.0894942117957</v>
      </c>
      <c r="AM137" s="11">
        <f t="shared" si="105"/>
        <v>20</v>
      </c>
      <c r="AN137" s="11">
        <f>IF(AB137&lt;&gt;"",IF($B$16=listy!$K$8,'RZĄDOWY PROGRAM'!$F$3*'RZĄDOWY PROGRAM'!$F$15,AG136*$F$15),"")</f>
        <v>50</v>
      </c>
      <c r="AO137" s="11">
        <f t="shared" si="106"/>
        <v>70</v>
      </c>
      <c r="AQ137" s="8">
        <f t="shared" si="107"/>
        <v>110</v>
      </c>
      <c r="AR137" s="8"/>
      <c r="AS137" s="78">
        <f>IF(AQ137&lt;&gt;"",ROUND(IF($F$11="raty równe",-PMT(W137/12,$F$4-AQ136+SUM($AR$28:AR137),AV136,2),AT137+AU137),2),"")</f>
        <v>3263.83</v>
      </c>
      <c r="AT137" s="78">
        <f>IF(AQ137&lt;&gt;"",IF($F$11="raty malejące",AV136/($F$4-AQ136+SUM($AR$28:AR136)),MIN(AS137-AU137,AV136)),"")</f>
        <v>1195.7743477746735</v>
      </c>
      <c r="AU137" s="78">
        <f t="shared" si="108"/>
        <v>2068.0556522253264</v>
      </c>
      <c r="AV137" s="79">
        <f t="shared" si="109"/>
        <v>284053.28113158065</v>
      </c>
      <c r="AW137" s="11"/>
      <c r="AX137" s="33">
        <f>IF(AQ137&lt;&gt;"",ROUND(IF($F$11="raty równe",-PMT(W137/12,($F$4-AQ136+SUM($AR$27:AR136)),AV136,2),AV136/($F$4-AQ136+SUM($AR$27:AR136))+AV136*W137/12),2),"")</f>
        <v>3263.83</v>
      </c>
      <c r="AY137" s="33">
        <f t="shared" si="110"/>
        <v>258.27</v>
      </c>
      <c r="AZ137" s="33">
        <f t="shared" si="126"/>
        <v>29318.359346852216</v>
      </c>
      <c r="BA137" s="33">
        <f>IF(AQ137&lt;&gt;"",AZ137-SUM($AY$44:AY137),"")</f>
        <v>5040.9893468521841</v>
      </c>
      <c r="BB137" s="11">
        <f t="shared" si="111"/>
        <v>20</v>
      </c>
      <c r="BC137" s="11">
        <f>IF(AQ137&lt;&gt;"",IF($B$16=listy!$K$8,'RZĄDOWY PROGRAM'!$F$3*'RZĄDOWY PROGRAM'!$F$15,AV136*$F$15),"")</f>
        <v>50</v>
      </c>
      <c r="BD137" s="11">
        <f t="shared" si="112"/>
        <v>70</v>
      </c>
      <c r="BF137" s="8">
        <f t="shared" si="113"/>
        <v>110</v>
      </c>
      <c r="BG137" s="8"/>
      <c r="BH137" s="78">
        <f>IF(BF137&lt;&gt;"",ROUND(IF($F$11="raty równe",-PMT(W137/12,$F$4-BF136+SUM(BV$28:$BV137)-SUM($BM$29:BM137),BK136,2),BI137+BJ137),2),"")</f>
        <v>3522.09</v>
      </c>
      <c r="BI137" s="78">
        <f>IF(BF137&lt;&gt;"",IF($F$11="raty malejące",MIN(BK136/($F$4-BF136+SUM($BG$27:BG137)-SUM($BM$27:BM137)),BK136),MIN(BH137-BJ137,BK136)),"")</f>
        <v>1705.1084063839387</v>
      </c>
      <c r="BJ137" s="78">
        <f t="shared" si="114"/>
        <v>1816.9815936160614</v>
      </c>
      <c r="BK137" s="79">
        <f t="shared" si="115"/>
        <v>248913.04243721074</v>
      </c>
      <c r="BL137" s="11"/>
      <c r="BM137" s="33"/>
      <c r="BN137" s="33">
        <f t="shared" si="127"/>
        <v>9.9999999997635314E-3</v>
      </c>
      <c r="BO137" s="33">
        <f t="shared" si="128"/>
        <v>-0.11402781192661045</v>
      </c>
      <c r="BP137" s="33">
        <f>IF(O137&lt;&gt;"",BO137-SUM($BN$44:BN137),"")</f>
        <v>-3.4027811928502197E-2</v>
      </c>
      <c r="BQ137" s="11">
        <f t="shared" si="89"/>
        <v>20</v>
      </c>
      <c r="BR137" s="11">
        <f>IF(BF137&lt;&gt;"",IF($B$16=listy!$K$8,'RZĄDOWY PROGRAM'!$F$3*'RZĄDOWY PROGRAM'!$F$15,BK136*$F$15),"")</f>
        <v>50</v>
      </c>
      <c r="BS137" s="11">
        <f t="shared" si="90"/>
        <v>70</v>
      </c>
      <c r="BU137" s="8">
        <f t="shared" si="116"/>
        <v>110</v>
      </c>
      <c r="BV137" s="8"/>
      <c r="BW137" s="78">
        <f>IF(BU137&lt;&gt;"",ROUND(IF($F$11="raty równe",-PMT(W137/12,$F$4-BU136+SUM($BV$28:BV137)-$CB$43,BZ136,2),BX137+BY137),2),"")</f>
        <v>3522.09</v>
      </c>
      <c r="BX137" s="78">
        <f>IF(BU137&lt;&gt;"",IF($F$11="raty malejące",MIN(BZ136/($F$4-BU136+SUM($BV$28:BV136)-SUM($CB$28:CB136)),BZ136),MIN(BW137-BY137,BZ136)),"")</f>
        <v>1701.4002166817254</v>
      </c>
      <c r="BY137" s="78">
        <f t="shared" si="123"/>
        <v>1820.6897833182747</v>
      </c>
      <c r="BZ137" s="79">
        <f t="shared" si="124"/>
        <v>249428.22506859753</v>
      </c>
      <c r="CA137" s="11"/>
      <c r="CB137" s="33"/>
      <c r="CC137" s="33">
        <f t="shared" si="117"/>
        <v>9.9999999997635314E-3</v>
      </c>
      <c r="CD137" s="33">
        <f t="shared" si="129"/>
        <v>0.35043732501250657</v>
      </c>
      <c r="CE137" s="33">
        <f>IF(O137&lt;&gt;"",CD137-SUM($CC$44:CC137),"")</f>
        <v>8.0437325018891226E-2</v>
      </c>
      <c r="CF137" s="11">
        <f t="shared" si="91"/>
        <v>20</v>
      </c>
      <c r="CG137" s="11">
        <f>IF(BU137&lt;&gt;"",IF($B$16=listy!$K$8,'RZĄDOWY PROGRAM'!$F$3*'RZĄDOWY PROGRAM'!$F$15,BZ136*$F$15),"")</f>
        <v>50</v>
      </c>
      <c r="CH137" s="11">
        <f t="shared" si="92"/>
        <v>70</v>
      </c>
      <c r="CJ137" s="48">
        <f t="shared" si="93"/>
        <v>0.06</v>
      </c>
      <c r="CK137" s="18">
        <f t="shared" si="94"/>
        <v>4.8675505653430484E-3</v>
      </c>
      <c r="CL137" s="11">
        <f t="shared" si="125"/>
        <v>0</v>
      </c>
      <c r="CM137" s="11">
        <f t="shared" si="95"/>
        <v>42182.394763893266</v>
      </c>
      <c r="CN137" s="11">
        <f>IF(AB137&lt;&gt;"",CM137-SUM($CL$28:CL137),"")</f>
        <v>14005.634763893271</v>
      </c>
    </row>
    <row r="138" spans="1:92" x14ac:dyDescent="0.45">
      <c r="A138" s="68">
        <f t="shared" si="118"/>
        <v>48092</v>
      </c>
      <c r="B138" s="8">
        <f t="shared" si="78"/>
        <v>111</v>
      </c>
      <c r="C138" s="11">
        <f t="shared" si="79"/>
        <v>3522.09</v>
      </c>
      <c r="D138" s="11">
        <f t="shared" si="80"/>
        <v>1377.0680260143281</v>
      </c>
      <c r="E138" s="11">
        <f t="shared" si="81"/>
        <v>2145.021973985672</v>
      </c>
      <c r="F138" s="9">
        <f t="shared" si="96"/>
        <v>294488.03183407837</v>
      </c>
      <c r="G138" s="10">
        <f t="shared" si="82"/>
        <v>7.0000000000000007E-2</v>
      </c>
      <c r="H138" s="10">
        <f t="shared" si="83"/>
        <v>1.7000000000000001E-2</v>
      </c>
      <c r="I138" s="48">
        <f t="shared" si="97"/>
        <v>8.7000000000000008E-2</v>
      </c>
      <c r="J138" s="11">
        <f t="shared" si="84"/>
        <v>20</v>
      </c>
      <c r="K138" s="11">
        <f>IF(B138&lt;&gt;"",IF($B$16=listy!$K$8,'RZĄDOWY PROGRAM'!$F$3*'RZĄDOWY PROGRAM'!$F$15,F137*$F$15),"")</f>
        <v>50</v>
      </c>
      <c r="L138" s="11">
        <f t="shared" si="98"/>
        <v>70</v>
      </c>
      <c r="N138" s="54">
        <f t="shared" si="119"/>
        <v>48092</v>
      </c>
      <c r="O138" s="8">
        <f t="shared" si="99"/>
        <v>111</v>
      </c>
      <c r="P138" s="8"/>
      <c r="Q138" s="11">
        <f>IF(O138&lt;&gt;"",ROUND(IF($F$11="raty równe",-PMT(W138/12,$F$4-O137+SUM($P$28:P138),T137,2),R138+S138),2),"")</f>
        <v>3522.09</v>
      </c>
      <c r="R138" s="11">
        <f>IF(O138&lt;&gt;"",IF($F$11="raty malejące",T137/($F$4-O137+SUM($P$28:P138)),IF(Q138-S138&gt;T137,T137,Q138-S138)),"")</f>
        <v>1299.741819274479</v>
      </c>
      <c r="S138" s="11">
        <f t="shared" si="121"/>
        <v>2222.3481807255212</v>
      </c>
      <c r="T138" s="9">
        <f t="shared" si="100"/>
        <v>305231.04172907321</v>
      </c>
      <c r="U138" s="10">
        <f t="shared" si="85"/>
        <v>7.0000000000000007E-2</v>
      </c>
      <c r="V138" s="10">
        <f t="shared" si="86"/>
        <v>1.7000000000000001E-2</v>
      </c>
      <c r="W138" s="48">
        <f t="shared" si="101"/>
        <v>8.7000000000000008E-2</v>
      </c>
      <c r="X138" s="11">
        <f t="shared" si="87"/>
        <v>20</v>
      </c>
      <c r="Y138" s="11">
        <f>IF(O138&lt;&gt;"",IF($B$16=listy!$K$8,'RZĄDOWY PROGRAM'!$F$3*'RZĄDOWY PROGRAM'!$F$15,T137*$F$15),"")</f>
        <v>50</v>
      </c>
      <c r="Z138" s="11">
        <f t="shared" si="102"/>
        <v>70</v>
      </c>
      <c r="AB138" s="8">
        <f t="shared" si="103"/>
        <v>111</v>
      </c>
      <c r="AC138" s="8"/>
      <c r="AD138" s="11">
        <f>IF(AB138&lt;&gt;"",ROUND(IF($F$11="raty równe",-PMT(W138/12,$F$4-AB137+SUM($AC$28:AC138),AG137,2),AE138+AF138),2),"")</f>
        <v>3280.39</v>
      </c>
      <c r="AE138" s="11">
        <f>IF(AB138&lt;&gt;"",IF($F$11="raty malejące",AG137/($F$4-AB137+SUM($AC$28:AC137)),MIN(AD138-AF138,AG137)),"")</f>
        <v>1210.5494460160899</v>
      </c>
      <c r="AF138" s="11">
        <f t="shared" si="122"/>
        <v>2069.84055398391</v>
      </c>
      <c r="AG138" s="9">
        <f t="shared" si="120"/>
        <v>284284.69937935076</v>
      </c>
      <c r="AH138" s="11"/>
      <c r="AI138" s="33">
        <f>IF(AB138&lt;&gt;"",ROUND(IF($F$11="raty równe",-PMT(W138/12,($F$4-AB137+SUM($AC$27:AC137)),AG137,2),AG137/($F$4-AB137+SUM($AC$27:AC137))+AG137*W138/12),2),"")</f>
        <v>3280.39</v>
      </c>
      <c r="AJ138" s="33">
        <f t="shared" si="104"/>
        <v>241.70000000000027</v>
      </c>
      <c r="AK138" s="33">
        <f t="shared" si="88"/>
        <v>30860.747597675265</v>
      </c>
      <c r="AL138" s="33">
        <f>IF(AB138&lt;&gt;"",AK138-SUM($AJ$28:AJ138),"")</f>
        <v>5826.3375976752686</v>
      </c>
      <c r="AM138" s="11">
        <f t="shared" si="105"/>
        <v>20</v>
      </c>
      <c r="AN138" s="11">
        <f>IF(AB138&lt;&gt;"",IF($B$16=listy!$K$8,'RZĄDOWY PROGRAM'!$F$3*'RZĄDOWY PROGRAM'!$F$15,AG137*$F$15),"")</f>
        <v>50</v>
      </c>
      <c r="AO138" s="11">
        <f t="shared" si="106"/>
        <v>70</v>
      </c>
      <c r="AQ138" s="8">
        <f t="shared" si="107"/>
        <v>111</v>
      </c>
      <c r="AR138" s="8"/>
      <c r="AS138" s="78">
        <f>IF(AQ138&lt;&gt;"",ROUND(IF($F$11="raty równe",-PMT(W138/12,$F$4-AQ137+SUM($AR$28:AR138),AV137,2),AT138+AU138),2),"")</f>
        <v>3263.82</v>
      </c>
      <c r="AT138" s="78">
        <f>IF(AQ138&lt;&gt;"",IF($F$11="raty malejące",AV137/($F$4-AQ137+SUM($AR$28:AR137)),MIN(AS138-AU138,AV137)),"")</f>
        <v>1204.4337117960404</v>
      </c>
      <c r="AU138" s="78">
        <f t="shared" si="108"/>
        <v>2059.3862882039598</v>
      </c>
      <c r="AV138" s="79">
        <f t="shared" si="109"/>
        <v>282848.84741978458</v>
      </c>
      <c r="AW138" s="11"/>
      <c r="AX138" s="33">
        <f>IF(AQ138&lt;&gt;"",ROUND(IF($F$11="raty równe",-PMT(W138/12,($F$4-AQ137+SUM($AR$27:AR137)),AV137,2),AV137/($F$4-AQ137+SUM($AR$27:AR137))+AV137*W138/12),2),"")</f>
        <v>3263.82</v>
      </c>
      <c r="AY138" s="33">
        <f t="shared" si="110"/>
        <v>258.27</v>
      </c>
      <c r="AZ138" s="33">
        <f t="shared" si="126"/>
        <v>29692.223310109315</v>
      </c>
      <c r="BA138" s="33">
        <f>IF(AQ138&lt;&gt;"",AZ138-SUM($AY$44:AY138),"")</f>
        <v>5156.583310109283</v>
      </c>
      <c r="BB138" s="11">
        <f t="shared" si="111"/>
        <v>20</v>
      </c>
      <c r="BC138" s="11">
        <f>IF(AQ138&lt;&gt;"",IF($B$16=listy!$K$8,'RZĄDOWY PROGRAM'!$F$3*'RZĄDOWY PROGRAM'!$F$15,AV137*$F$15),"")</f>
        <v>50</v>
      </c>
      <c r="BD138" s="11">
        <f t="shared" si="112"/>
        <v>70</v>
      </c>
      <c r="BF138" s="8">
        <f t="shared" si="113"/>
        <v>111</v>
      </c>
      <c r="BG138" s="8"/>
      <c r="BH138" s="78">
        <f>IF(BF138&lt;&gt;"",ROUND(IF($F$11="raty równe",-PMT(W138/12,$F$4-BF137+SUM(BV$28:$BV138)-SUM($BM$29:BM138),BK137,2),BI138+BJ138),2),"")</f>
        <v>3522.1</v>
      </c>
      <c r="BI138" s="78">
        <f>IF(BF138&lt;&gt;"",IF($F$11="raty malejące",MIN(BK137/($F$4-BF137+SUM($BG$27:BG138)-SUM($BM$27:BM138)),BK137),MIN(BH138-BJ138,BK137)),"")</f>
        <v>1717.4804423302219</v>
      </c>
      <c r="BJ138" s="78">
        <f t="shared" si="114"/>
        <v>1804.619557669778</v>
      </c>
      <c r="BK138" s="79">
        <f t="shared" si="115"/>
        <v>247195.56199488053</v>
      </c>
      <c r="BL138" s="11"/>
      <c r="BM138" s="33"/>
      <c r="BN138" s="33">
        <f t="shared" si="127"/>
        <v>-9.9999999997635314E-3</v>
      </c>
      <c r="BO138" s="33">
        <f t="shared" si="128"/>
        <v>-0.12447739120010463</v>
      </c>
      <c r="BP138" s="33">
        <f>IF(O138&lt;&gt;"",BO138-SUM($BN$44:BN138),"")</f>
        <v>-3.4477391202232852E-2</v>
      </c>
      <c r="BQ138" s="11">
        <f t="shared" si="89"/>
        <v>20</v>
      </c>
      <c r="BR138" s="11">
        <f>IF(BF138&lt;&gt;"",IF($B$16=listy!$K$8,'RZĄDOWY PROGRAM'!$F$3*'RZĄDOWY PROGRAM'!$F$15,BK137*$F$15),"")</f>
        <v>50</v>
      </c>
      <c r="BS138" s="11">
        <f t="shared" si="90"/>
        <v>70</v>
      </c>
      <c r="BU138" s="8">
        <f t="shared" si="116"/>
        <v>111</v>
      </c>
      <c r="BV138" s="8"/>
      <c r="BW138" s="78">
        <f>IF(BU138&lt;&gt;"",ROUND(IF($F$11="raty równe",-PMT(W138/12,$F$4-BU137+SUM($BV$28:BV138)-$CB$43,BZ137,2),BX138+BY138),2),"")</f>
        <v>3522.09</v>
      </c>
      <c r="BX138" s="78">
        <f>IF(BU138&lt;&gt;"",IF($F$11="raty malejące",MIN(BZ137/($F$4-BU137+SUM($BV$28:BV137)-SUM($CB$28:CB137)),BZ137),MIN(BW138-BY138,BZ137)),"")</f>
        <v>1713.735368252668</v>
      </c>
      <c r="BY138" s="78">
        <f t="shared" si="123"/>
        <v>1808.3546317473322</v>
      </c>
      <c r="BZ138" s="79">
        <f t="shared" si="124"/>
        <v>247714.48970034486</v>
      </c>
      <c r="CA138" s="11"/>
      <c r="CB138" s="33"/>
      <c r="CC138" s="33">
        <f t="shared" si="117"/>
        <v>0</v>
      </c>
      <c r="CD138" s="33">
        <f t="shared" si="129"/>
        <v>0.35181899984608694</v>
      </c>
      <c r="CE138" s="33">
        <f>IF(O138&lt;&gt;"",CD138-SUM($CC$44:CC138),"")</f>
        <v>8.1818999852471597E-2</v>
      </c>
      <c r="CF138" s="11">
        <f t="shared" si="91"/>
        <v>20</v>
      </c>
      <c r="CG138" s="11">
        <f>IF(BU138&lt;&gt;"",IF($B$16=listy!$K$8,'RZĄDOWY PROGRAM'!$F$3*'RZĄDOWY PROGRAM'!$F$15,BZ137*$F$15),"")</f>
        <v>50</v>
      </c>
      <c r="CH138" s="11">
        <f t="shared" si="92"/>
        <v>70</v>
      </c>
      <c r="CJ138" s="48">
        <f t="shared" si="93"/>
        <v>0.06</v>
      </c>
      <c r="CK138" s="18">
        <f t="shared" si="94"/>
        <v>4.8675505653430484E-3</v>
      </c>
      <c r="CL138" s="11">
        <f t="shared" si="125"/>
        <v>0</v>
      </c>
      <c r="CM138" s="11">
        <f t="shared" si="95"/>
        <v>42348.707964872483</v>
      </c>
      <c r="CN138" s="11">
        <f>IF(AB138&lt;&gt;"",CM138-SUM($CL$28:CL138),"")</f>
        <v>14171.947964872488</v>
      </c>
    </row>
    <row r="139" spans="1:92" x14ac:dyDescent="0.45">
      <c r="A139" s="68">
        <f t="shared" si="118"/>
        <v>48122</v>
      </c>
      <c r="B139" s="8">
        <f t="shared" si="78"/>
        <v>112</v>
      </c>
      <c r="C139" s="11">
        <f t="shared" si="79"/>
        <v>3522.1</v>
      </c>
      <c r="D139" s="11">
        <f t="shared" si="80"/>
        <v>1387.0617692029318</v>
      </c>
      <c r="E139" s="11">
        <f t="shared" si="81"/>
        <v>2135.0382307970681</v>
      </c>
      <c r="F139" s="9">
        <f t="shared" si="96"/>
        <v>293100.97006487544</v>
      </c>
      <c r="G139" s="10">
        <f t="shared" si="82"/>
        <v>7.0000000000000007E-2</v>
      </c>
      <c r="H139" s="10">
        <f t="shared" si="83"/>
        <v>1.7000000000000001E-2</v>
      </c>
      <c r="I139" s="48">
        <f t="shared" si="97"/>
        <v>8.7000000000000008E-2</v>
      </c>
      <c r="J139" s="11">
        <f t="shared" si="84"/>
        <v>20</v>
      </c>
      <c r="K139" s="11">
        <f>IF(B139&lt;&gt;"",IF($B$16=listy!$K$8,'RZĄDOWY PROGRAM'!$F$3*'RZĄDOWY PROGRAM'!$F$15,F138*$F$15),"")</f>
        <v>50</v>
      </c>
      <c r="L139" s="11">
        <f t="shared" si="98"/>
        <v>70</v>
      </c>
      <c r="N139" s="54">
        <f t="shared" si="119"/>
        <v>48122</v>
      </c>
      <c r="O139" s="8">
        <f t="shared" si="99"/>
        <v>112</v>
      </c>
      <c r="P139" s="8"/>
      <c r="Q139" s="11">
        <f>IF(O139&lt;&gt;"",ROUND(IF($F$11="raty równe",-PMT(W139/12,$F$4-O138+SUM($P$28:P139),T138,2),R139+S139),2),"")</f>
        <v>3522.1</v>
      </c>
      <c r="R139" s="11">
        <f>IF(O139&lt;&gt;"",IF($F$11="raty malejące",T138/($F$4-O138+SUM($P$28:P139)),IF(Q139-S139&gt;T138,T138,Q139-S139)),"")</f>
        <v>1309.1749474642188</v>
      </c>
      <c r="S139" s="11">
        <f t="shared" si="121"/>
        <v>2212.9250525357811</v>
      </c>
      <c r="T139" s="9">
        <f t="shared" si="100"/>
        <v>303921.86678160902</v>
      </c>
      <c r="U139" s="10">
        <f t="shared" si="85"/>
        <v>7.0000000000000007E-2</v>
      </c>
      <c r="V139" s="10">
        <f t="shared" si="86"/>
        <v>1.7000000000000001E-2</v>
      </c>
      <c r="W139" s="48">
        <f t="shared" si="101"/>
        <v>8.7000000000000008E-2</v>
      </c>
      <c r="X139" s="11">
        <f t="shared" si="87"/>
        <v>20</v>
      </c>
      <c r="Y139" s="11">
        <f>IF(O139&lt;&gt;"",IF($B$16=listy!$K$8,'RZĄDOWY PROGRAM'!$F$3*'RZĄDOWY PROGRAM'!$F$15,T138*$F$15),"")</f>
        <v>50</v>
      </c>
      <c r="Z139" s="11">
        <f t="shared" si="102"/>
        <v>70</v>
      </c>
      <c r="AB139" s="8">
        <f t="shared" si="103"/>
        <v>112</v>
      </c>
      <c r="AC139" s="8"/>
      <c r="AD139" s="11">
        <f>IF(AB139&lt;&gt;"",ROUND(IF($F$11="raty równe",-PMT(W139/12,$F$4-AB138+SUM($AC$28:AC139),AG138,2),AE139+AF139),2),"")</f>
        <v>3280.39</v>
      </c>
      <c r="AE139" s="11">
        <f>IF(AB139&lt;&gt;"",IF($F$11="raty malejące",AG138/($F$4-AB138+SUM($AC$28:AC138)),MIN(AD139-AF139,AG138)),"")</f>
        <v>1219.3259294997069</v>
      </c>
      <c r="AF139" s="11">
        <f t="shared" si="122"/>
        <v>2061.0640705002929</v>
      </c>
      <c r="AG139" s="9">
        <f t="shared" si="120"/>
        <v>283065.37344985106</v>
      </c>
      <c r="AH139" s="11"/>
      <c r="AI139" s="33">
        <f>IF(AB139&lt;&gt;"",ROUND(IF($F$11="raty równe",-PMT(W139/12,($F$4-AB138+SUM($AC$27:AC138)),AG138,2),AG138/($F$4-AB138+SUM($AC$27:AC138))+AG138*W139/12),2),"")</f>
        <v>3280.39</v>
      </c>
      <c r="AJ139" s="33">
        <f t="shared" si="104"/>
        <v>241.71000000000004</v>
      </c>
      <c r="AK139" s="33">
        <f t="shared" si="88"/>
        <v>31224.132759702206</v>
      </c>
      <c r="AL139" s="33">
        <f>IF(AB139&lt;&gt;"",AK139-SUM($AJ$28:AJ139),"")</f>
        <v>5948.012759702211</v>
      </c>
      <c r="AM139" s="11">
        <f t="shared" si="105"/>
        <v>20</v>
      </c>
      <c r="AN139" s="11">
        <f>IF(AB139&lt;&gt;"",IF($B$16=listy!$K$8,'RZĄDOWY PROGRAM'!$F$3*'RZĄDOWY PROGRAM'!$F$15,AG138*$F$15),"")</f>
        <v>50</v>
      </c>
      <c r="AO139" s="11">
        <f t="shared" si="106"/>
        <v>70</v>
      </c>
      <c r="AQ139" s="8">
        <f t="shared" si="107"/>
        <v>112</v>
      </c>
      <c r="AR139" s="8"/>
      <c r="AS139" s="78">
        <f>IF(AQ139&lt;&gt;"",ROUND(IF($F$11="raty równe",-PMT(W139/12,$F$4-AQ138+SUM($AR$28:AR139),AV138,2),AT139+AU139),2),"")</f>
        <v>3263.83</v>
      </c>
      <c r="AT139" s="78">
        <f>IF(AQ139&lt;&gt;"",IF($F$11="raty malejące",AV138/($F$4-AQ138+SUM($AR$28:AR138)),MIN(AS139-AU139,AV138)),"")</f>
        <v>1213.1758562065615</v>
      </c>
      <c r="AU139" s="78">
        <f t="shared" si="108"/>
        <v>2050.6541437934384</v>
      </c>
      <c r="AV139" s="79">
        <f t="shared" si="109"/>
        <v>281635.67156357801</v>
      </c>
      <c r="AW139" s="11"/>
      <c r="AX139" s="33">
        <f>IF(AQ139&lt;&gt;"",ROUND(IF($F$11="raty równe",-PMT(W139/12,($F$4-AQ138+SUM($AR$27:AR138)),AV138,2),AV138/($F$4-AQ138+SUM($AR$27:AR138))+AV138*W139/12),2),"")</f>
        <v>3263.83</v>
      </c>
      <c r="AY139" s="33">
        <f t="shared" si="110"/>
        <v>258.27</v>
      </c>
      <c r="AZ139" s="33">
        <f t="shared" si="126"/>
        <v>30067.561312780443</v>
      </c>
      <c r="BA139" s="33">
        <f>IF(AQ139&lt;&gt;"",AZ139-SUM($AY$44:AY139),"")</f>
        <v>5273.6513127804101</v>
      </c>
      <c r="BB139" s="11">
        <f t="shared" si="111"/>
        <v>20</v>
      </c>
      <c r="BC139" s="11">
        <f>IF(AQ139&lt;&gt;"",IF($B$16=listy!$K$8,'RZĄDOWY PROGRAM'!$F$3*'RZĄDOWY PROGRAM'!$F$15,AV138*$F$15),"")</f>
        <v>50</v>
      </c>
      <c r="BD139" s="11">
        <f t="shared" si="112"/>
        <v>70</v>
      </c>
      <c r="BF139" s="8">
        <f t="shared" si="113"/>
        <v>112</v>
      </c>
      <c r="BG139" s="8"/>
      <c r="BH139" s="78">
        <f>IF(BF139&lt;&gt;"",ROUND(IF($F$11="raty równe",-PMT(W139/12,$F$4-BF138+SUM(BV$28:$BV139)-SUM($BM$29:BM139),BK138,2),BI139+BJ139),2),"")</f>
        <v>3522.09</v>
      </c>
      <c r="BI139" s="78">
        <f>IF(BF139&lt;&gt;"",IF($F$11="raty malejące",MIN(BK138/($F$4-BF138+SUM($BG$27:BG139)-SUM($BM$27:BM139)),BK138),MIN(BH139-BJ139,BK138)),"")</f>
        <v>1729.9221755371161</v>
      </c>
      <c r="BJ139" s="78">
        <f t="shared" si="114"/>
        <v>1792.167824462884</v>
      </c>
      <c r="BK139" s="79">
        <f t="shared" si="115"/>
        <v>245465.6398193434</v>
      </c>
      <c r="BL139" s="11"/>
      <c r="BM139" s="33"/>
      <c r="BN139" s="33">
        <f t="shared" si="127"/>
        <v>9.9999999997635314E-3</v>
      </c>
      <c r="BO139" s="33">
        <f t="shared" si="128"/>
        <v>-0.114968170197027</v>
      </c>
      <c r="BP139" s="33">
        <f>IF(O139&lt;&gt;"",BO139-SUM($BN$44:BN139),"")</f>
        <v>-3.4968170198918749E-2</v>
      </c>
      <c r="BQ139" s="11">
        <f t="shared" si="89"/>
        <v>20</v>
      </c>
      <c r="BR139" s="11">
        <f>IF(BF139&lt;&gt;"",IF($B$16=listy!$K$8,'RZĄDOWY PROGRAM'!$F$3*'RZĄDOWY PROGRAM'!$F$15,BK138*$F$15),"")</f>
        <v>50</v>
      </c>
      <c r="BS139" s="11">
        <f t="shared" si="90"/>
        <v>70</v>
      </c>
      <c r="BU139" s="8">
        <f t="shared" si="116"/>
        <v>112</v>
      </c>
      <c r="BV139" s="8"/>
      <c r="BW139" s="78">
        <f>IF(BU139&lt;&gt;"",ROUND(IF($F$11="raty równe",-PMT(W139/12,$F$4-BU138+SUM($BV$28:BV139)-$CB$43,BZ138,2),BX139+BY139),2),"")</f>
        <v>3522.1</v>
      </c>
      <c r="BX139" s="78">
        <f>IF(BU139&lt;&gt;"",IF($F$11="raty malejące",MIN(BZ138/($F$4-BU138+SUM($BV$28:BV138)-SUM($CB$28:CB138)),BZ138),MIN(BW139-BY139,BZ138)),"")</f>
        <v>1726.1699496724993</v>
      </c>
      <c r="BY139" s="78">
        <f t="shared" si="123"/>
        <v>1795.9300503275006</v>
      </c>
      <c r="BZ139" s="79">
        <f t="shared" si="124"/>
        <v>245988.31975067235</v>
      </c>
      <c r="CA139" s="11"/>
      <c r="CB139" s="33"/>
      <c r="CC139" s="33">
        <f t="shared" si="117"/>
        <v>0</v>
      </c>
      <c r="CD139" s="33">
        <f t="shared" si="129"/>
        <v>0.35320612223108239</v>
      </c>
      <c r="CE139" s="33">
        <f>IF(O139&lt;&gt;"",CD139-SUM($CC$44:CC139),"")</f>
        <v>8.320612223746704E-2</v>
      </c>
      <c r="CF139" s="11">
        <f t="shared" si="91"/>
        <v>20</v>
      </c>
      <c r="CG139" s="11">
        <f>IF(BU139&lt;&gt;"",IF($B$16=listy!$K$8,'RZĄDOWY PROGRAM'!$F$3*'RZĄDOWY PROGRAM'!$F$15,BZ138*$F$15),"")</f>
        <v>50</v>
      </c>
      <c r="CH139" s="11">
        <f t="shared" si="92"/>
        <v>70</v>
      </c>
      <c r="CJ139" s="48">
        <f t="shared" si="93"/>
        <v>0.06</v>
      </c>
      <c r="CK139" s="18">
        <f t="shared" si="94"/>
        <v>4.8675505653430484E-3</v>
      </c>
      <c r="CL139" s="11">
        <f t="shared" si="125"/>
        <v>0</v>
      </c>
      <c r="CM139" s="11">
        <f t="shared" si="95"/>
        <v>42515.676891563213</v>
      </c>
      <c r="CN139" s="11">
        <f>IF(AB139&lt;&gt;"",CM139-SUM($CL$28:CL139),"")</f>
        <v>14338.916891563218</v>
      </c>
    </row>
    <row r="140" spans="1:92" x14ac:dyDescent="0.45">
      <c r="A140" s="68">
        <f t="shared" si="118"/>
        <v>48153</v>
      </c>
      <c r="B140" s="8">
        <f t="shared" si="78"/>
        <v>113</v>
      </c>
      <c r="C140" s="11">
        <f t="shared" si="79"/>
        <v>3522.09</v>
      </c>
      <c r="D140" s="11">
        <f t="shared" si="80"/>
        <v>1397.1079670296531</v>
      </c>
      <c r="E140" s="11">
        <f t="shared" si="81"/>
        <v>2124.9820329703471</v>
      </c>
      <c r="F140" s="9">
        <f t="shared" si="96"/>
        <v>291703.86209784576</v>
      </c>
      <c r="G140" s="10">
        <f t="shared" si="82"/>
        <v>7.0000000000000007E-2</v>
      </c>
      <c r="H140" s="10">
        <f t="shared" si="83"/>
        <v>1.7000000000000001E-2</v>
      </c>
      <c r="I140" s="48">
        <f t="shared" si="97"/>
        <v>8.7000000000000008E-2</v>
      </c>
      <c r="J140" s="11">
        <f t="shared" si="84"/>
        <v>20</v>
      </c>
      <c r="K140" s="11">
        <f>IF(B140&lt;&gt;"",IF($B$16=listy!$K$8,'RZĄDOWY PROGRAM'!$F$3*'RZĄDOWY PROGRAM'!$F$15,F139*$F$15),"")</f>
        <v>50</v>
      </c>
      <c r="L140" s="11">
        <f t="shared" si="98"/>
        <v>70</v>
      </c>
      <c r="N140" s="54">
        <f t="shared" si="119"/>
        <v>48153</v>
      </c>
      <c r="O140" s="8">
        <f t="shared" si="99"/>
        <v>113</v>
      </c>
      <c r="P140" s="8"/>
      <c r="Q140" s="11">
        <f>IF(O140&lt;&gt;"",ROUND(IF($F$11="raty równe",-PMT(W140/12,$F$4-O139+SUM($P$28:P140),T139,2),R140+S140),2),"")</f>
        <v>3522.09</v>
      </c>
      <c r="R140" s="11">
        <f>IF(O140&lt;&gt;"",IF($F$11="raty malejące",T139/($F$4-O139+SUM($P$28:P140)),IF(Q140-S140&gt;T139,T139,Q140-S140)),"")</f>
        <v>1318.6564658333346</v>
      </c>
      <c r="S140" s="11">
        <f t="shared" si="121"/>
        <v>2203.4335341666656</v>
      </c>
      <c r="T140" s="9">
        <f t="shared" si="100"/>
        <v>302603.21031577571</v>
      </c>
      <c r="U140" s="10">
        <f t="shared" si="85"/>
        <v>7.0000000000000007E-2</v>
      </c>
      <c r="V140" s="10">
        <f t="shared" si="86"/>
        <v>1.7000000000000001E-2</v>
      </c>
      <c r="W140" s="48">
        <f t="shared" si="101"/>
        <v>8.7000000000000008E-2</v>
      </c>
      <c r="X140" s="11">
        <f t="shared" si="87"/>
        <v>20</v>
      </c>
      <c r="Y140" s="11">
        <f>IF(O140&lt;&gt;"",IF($B$16=listy!$K$8,'RZĄDOWY PROGRAM'!$F$3*'RZĄDOWY PROGRAM'!$F$15,T139*$F$15),"")</f>
        <v>50</v>
      </c>
      <c r="Z140" s="11">
        <f t="shared" si="102"/>
        <v>70</v>
      </c>
      <c r="AB140" s="8">
        <f t="shared" si="103"/>
        <v>113</v>
      </c>
      <c r="AC140" s="8"/>
      <c r="AD140" s="11">
        <f>IF(AB140&lt;&gt;"",ROUND(IF($F$11="raty równe",-PMT(W140/12,$F$4-AB139+SUM($AC$28:AC140),AG139,2),AE140+AF140),2),"")</f>
        <v>3280.39</v>
      </c>
      <c r="AE140" s="11">
        <f>IF(AB140&lt;&gt;"",IF($F$11="raty malejące",AG139/($F$4-AB139+SUM($AC$28:AC139)),MIN(AD140-AF140,AG139)),"")</f>
        <v>1228.1660424885795</v>
      </c>
      <c r="AF140" s="11">
        <f t="shared" si="122"/>
        <v>2052.2239575114204</v>
      </c>
      <c r="AG140" s="9">
        <f t="shared" si="120"/>
        <v>281837.20740736247</v>
      </c>
      <c r="AH140" s="11"/>
      <c r="AI140" s="33">
        <f>IF(AB140&lt;&gt;"",ROUND(IF($F$11="raty równe",-PMT(W140/12,($F$4-AB139+SUM($AC$27:AC139)),AG139,2),AG139/($F$4-AB139+SUM($AC$27:AC139))+AG139*W140/12),2),"")</f>
        <v>3280.39</v>
      </c>
      <c r="AJ140" s="33">
        <f t="shared" si="104"/>
        <v>241.70000000000027</v>
      </c>
      <c r="AK140" s="33">
        <f t="shared" si="88"/>
        <v>31588.940646206345</v>
      </c>
      <c r="AL140" s="33">
        <f>IF(AB140&lt;&gt;"",AK140-SUM($AJ$28:AJ140),"")</f>
        <v>6071.1206462063492</v>
      </c>
      <c r="AM140" s="11">
        <f t="shared" si="105"/>
        <v>20</v>
      </c>
      <c r="AN140" s="11">
        <f>IF(AB140&lt;&gt;"",IF($B$16=listy!$K$8,'RZĄDOWY PROGRAM'!$F$3*'RZĄDOWY PROGRAM'!$F$15,AG139*$F$15),"")</f>
        <v>50</v>
      </c>
      <c r="AO140" s="11">
        <f t="shared" si="106"/>
        <v>70</v>
      </c>
      <c r="AQ140" s="8">
        <f t="shared" si="107"/>
        <v>113</v>
      </c>
      <c r="AR140" s="8"/>
      <c r="AS140" s="78">
        <f>IF(AQ140&lt;&gt;"",ROUND(IF($F$11="raty równe",-PMT(W140/12,$F$4-AQ139+SUM($AR$28:AR140),AV139,2),AT140+AU140),2),"")</f>
        <v>3263.82</v>
      </c>
      <c r="AT140" s="78">
        <f>IF(AQ140&lt;&gt;"",IF($F$11="raty malejące",AV139/($F$4-AQ139+SUM($AR$28:AR139)),MIN(AS140-AU140,AV139)),"")</f>
        <v>1221.9613811640595</v>
      </c>
      <c r="AU140" s="78">
        <f t="shared" si="108"/>
        <v>2041.8586188359407</v>
      </c>
      <c r="AV140" s="79">
        <f t="shared" si="109"/>
        <v>280413.71018241392</v>
      </c>
      <c r="AW140" s="11"/>
      <c r="AX140" s="33">
        <f>IF(AQ140&lt;&gt;"",ROUND(IF($F$11="raty równe",-PMT(W140/12,($F$4-AQ139+SUM($AR$27:AR139)),AV139,2),AV139/($F$4-AQ139+SUM($AR$27:AR139))+AV139*W140/12),2),"")</f>
        <v>3263.82</v>
      </c>
      <c r="AY140" s="33">
        <f t="shared" si="110"/>
        <v>258.27</v>
      </c>
      <c r="AZ140" s="33">
        <f t="shared" si="126"/>
        <v>30444.37916658432</v>
      </c>
      <c r="BA140" s="33">
        <f>IF(AQ140&lt;&gt;"",AZ140-SUM($AY$44:AY140),"")</f>
        <v>5392.199166584287</v>
      </c>
      <c r="BB140" s="11">
        <f t="shared" si="111"/>
        <v>20</v>
      </c>
      <c r="BC140" s="11">
        <f>IF(AQ140&lt;&gt;"",IF($B$16=listy!$K$8,'RZĄDOWY PROGRAM'!$F$3*'RZĄDOWY PROGRAM'!$F$15,AV139*$F$15),"")</f>
        <v>50</v>
      </c>
      <c r="BD140" s="11">
        <f t="shared" si="112"/>
        <v>70</v>
      </c>
      <c r="BF140" s="8">
        <f t="shared" si="113"/>
        <v>113</v>
      </c>
      <c r="BG140" s="8"/>
      <c r="BH140" s="78">
        <f>IF(BF140&lt;&gt;"",ROUND(IF($F$11="raty równe",-PMT(W140/12,$F$4-BF139+SUM(BV$28:$BV140)-SUM($BM$29:BM140),BK139,2),BI140+BJ140),2),"")</f>
        <v>3522.1</v>
      </c>
      <c r="BI140" s="78">
        <f>IF(BF140&lt;&gt;"",IF($F$11="raty malejące",MIN(BK139/($F$4-BF139+SUM($BG$27:BG140)-SUM($BM$27:BM140)),BK139),MIN(BH140-BJ140,BK139)),"")</f>
        <v>1742.4741113097602</v>
      </c>
      <c r="BJ140" s="78">
        <f t="shared" si="114"/>
        <v>1779.6258886902397</v>
      </c>
      <c r="BK140" s="79">
        <f t="shared" si="115"/>
        <v>243723.16570803363</v>
      </c>
      <c r="BL140" s="11"/>
      <c r="BM140" s="33"/>
      <c r="BN140" s="33">
        <f t="shared" si="127"/>
        <v>-9.9999999997635314E-3</v>
      </c>
      <c r="BO140" s="33">
        <f t="shared" si="128"/>
        <v>-0.12542145703608013</v>
      </c>
      <c r="BP140" s="33">
        <f>IF(O140&lt;&gt;"",BO140-SUM($BN$44:BN140),"")</f>
        <v>-3.5421457038208343E-2</v>
      </c>
      <c r="BQ140" s="11">
        <f t="shared" si="89"/>
        <v>20</v>
      </c>
      <c r="BR140" s="11">
        <f>IF(BF140&lt;&gt;"",IF($B$16=listy!$K$8,'RZĄDOWY PROGRAM'!$F$3*'RZĄDOWY PROGRAM'!$F$15,BK139*$F$15),"")</f>
        <v>50</v>
      </c>
      <c r="BS140" s="11">
        <f t="shared" si="90"/>
        <v>70</v>
      </c>
      <c r="BU140" s="8">
        <f t="shared" si="116"/>
        <v>113</v>
      </c>
      <c r="BV140" s="8"/>
      <c r="BW140" s="78">
        <f>IF(BU140&lt;&gt;"",ROUND(IF($F$11="raty równe",-PMT(W140/12,$F$4-BU139+SUM($BV$28:BV140)-$CB$43,BZ139,2),BX140+BY140),2),"")</f>
        <v>3522.1</v>
      </c>
      <c r="BX140" s="78">
        <f>IF(BU140&lt;&gt;"",IF($F$11="raty malejące",MIN(BZ139/($F$4-BU139+SUM($BV$28:BV139)-SUM($CB$28:CB139)),BZ139),MIN(BW140-BY140,BZ139)),"")</f>
        <v>1738.6846818076251</v>
      </c>
      <c r="BY140" s="78">
        <f t="shared" ref="BY140:BY171" si="130">IF(BU140&lt;&gt;"",BZ139*W140/12,"")</f>
        <v>1783.4153181923748</v>
      </c>
      <c r="BZ140" s="79">
        <f t="shared" si="124"/>
        <v>244249.63506886474</v>
      </c>
      <c r="CA140" s="11"/>
      <c r="CB140" s="33"/>
      <c r="CC140" s="33">
        <f t="shared" si="117"/>
        <v>-9.9999999997635314E-3</v>
      </c>
      <c r="CD140" s="33">
        <f t="shared" si="129"/>
        <v>0.34459871364587719</v>
      </c>
      <c r="CE140" s="33">
        <f>IF(O140&lt;&gt;"",CD140-SUM($CC$44:CC140),"")</f>
        <v>8.459871365202537E-2</v>
      </c>
      <c r="CF140" s="11">
        <f t="shared" si="91"/>
        <v>20</v>
      </c>
      <c r="CG140" s="11">
        <f>IF(BU140&lt;&gt;"",IF($B$16=listy!$K$8,'RZĄDOWY PROGRAM'!$F$3*'RZĄDOWY PROGRAM'!$F$15,BZ139*$F$15),"")</f>
        <v>50</v>
      </c>
      <c r="CH140" s="11">
        <f t="shared" si="92"/>
        <v>70</v>
      </c>
      <c r="CJ140" s="48">
        <f t="shared" si="93"/>
        <v>0.06</v>
      </c>
      <c r="CK140" s="18">
        <f t="shared" si="94"/>
        <v>4.8675505653430484E-3</v>
      </c>
      <c r="CL140" s="11">
        <f t="shared" ref="CL140:CL171" si="131">IF(N140&lt;&gt;"",IF(ISNUMBER(C140),C140,0)-Q140,"")</f>
        <v>0</v>
      </c>
      <c r="CM140" s="11">
        <f t="shared" si="95"/>
        <v>42683.304129305689</v>
      </c>
      <c r="CN140" s="11">
        <f>IF(AB140&lt;&gt;"",CM140-SUM($CL$28:CL140),"")</f>
        <v>14506.544129305694</v>
      </c>
    </row>
    <row r="141" spans="1:92" x14ac:dyDescent="0.45">
      <c r="A141" s="68">
        <f t="shared" si="118"/>
        <v>48183</v>
      </c>
      <c r="B141" s="8">
        <f t="shared" si="78"/>
        <v>114</v>
      </c>
      <c r="C141" s="11">
        <f t="shared" si="79"/>
        <v>3522.1</v>
      </c>
      <c r="D141" s="11">
        <f t="shared" si="80"/>
        <v>1407.2469997906178</v>
      </c>
      <c r="E141" s="11">
        <f t="shared" si="81"/>
        <v>2114.8530002093821</v>
      </c>
      <c r="F141" s="9">
        <f t="shared" si="96"/>
        <v>290296.61509805516</v>
      </c>
      <c r="G141" s="10">
        <f t="shared" si="82"/>
        <v>7.0000000000000007E-2</v>
      </c>
      <c r="H141" s="10">
        <f t="shared" si="83"/>
        <v>1.7000000000000001E-2</v>
      </c>
      <c r="I141" s="48">
        <f t="shared" si="97"/>
        <v>8.7000000000000008E-2</v>
      </c>
      <c r="J141" s="11">
        <f t="shared" si="84"/>
        <v>20</v>
      </c>
      <c r="K141" s="11">
        <f>IF(B141&lt;&gt;"",IF($B$16=listy!$K$8,'RZĄDOWY PROGRAM'!$F$3*'RZĄDOWY PROGRAM'!$F$15,F140*$F$15),"")</f>
        <v>50</v>
      </c>
      <c r="L141" s="11">
        <f t="shared" si="98"/>
        <v>70</v>
      </c>
      <c r="N141" s="54">
        <f t="shared" si="119"/>
        <v>48183</v>
      </c>
      <c r="O141" s="8">
        <f t="shared" si="99"/>
        <v>114</v>
      </c>
      <c r="P141" s="8"/>
      <c r="Q141" s="11">
        <f>IF(O141&lt;&gt;"",ROUND(IF($F$11="raty równe",-PMT(W141/12,$F$4-O140+SUM($P$28:P141),T140,2),R141+S141),2),"")</f>
        <v>3522.1</v>
      </c>
      <c r="R141" s="11">
        <f>IF(O141&lt;&gt;"",IF($F$11="raty malejące",T140/($F$4-O140+SUM($P$28:P141)),IF(Q141-S141&gt;T140,T140,Q141-S141)),"")</f>
        <v>1328.2267252106258</v>
      </c>
      <c r="S141" s="11">
        <f t="shared" si="121"/>
        <v>2193.8732747893741</v>
      </c>
      <c r="T141" s="9">
        <f t="shared" si="100"/>
        <v>301274.9835905651</v>
      </c>
      <c r="U141" s="10">
        <f t="shared" si="85"/>
        <v>7.0000000000000007E-2</v>
      </c>
      <c r="V141" s="10">
        <f t="shared" si="86"/>
        <v>1.7000000000000001E-2</v>
      </c>
      <c r="W141" s="48">
        <f t="shared" si="101"/>
        <v>8.7000000000000008E-2</v>
      </c>
      <c r="X141" s="11">
        <f t="shared" si="87"/>
        <v>20</v>
      </c>
      <c r="Y141" s="11">
        <f>IF(O141&lt;&gt;"",IF($B$16=listy!$K$8,'RZĄDOWY PROGRAM'!$F$3*'RZĄDOWY PROGRAM'!$F$15,T140*$F$15),"")</f>
        <v>50</v>
      </c>
      <c r="Z141" s="11">
        <f t="shared" si="102"/>
        <v>70</v>
      </c>
      <c r="AB141" s="8">
        <f t="shared" si="103"/>
        <v>114</v>
      </c>
      <c r="AC141" s="8"/>
      <c r="AD141" s="11">
        <f>IF(AB141&lt;&gt;"",ROUND(IF($F$11="raty równe",-PMT(W141/12,$F$4-AB140+SUM($AC$28:AC141),AG140,2),AE141+AF141),2),"")</f>
        <v>3280.39</v>
      </c>
      <c r="AE141" s="11">
        <f>IF(AB141&lt;&gt;"",IF($F$11="raty malejące",AG140/($F$4-AB140+SUM($AC$28:AC140)),MIN(AD141-AF141,AG140)),"")</f>
        <v>1237.0702462966217</v>
      </c>
      <c r="AF141" s="11">
        <f t="shared" si="122"/>
        <v>2043.3197537033782</v>
      </c>
      <c r="AG141" s="9">
        <f t="shared" si="120"/>
        <v>280600.13716106582</v>
      </c>
      <c r="AH141" s="11"/>
      <c r="AI141" s="33">
        <f>IF(AB141&lt;&gt;"",ROUND(IF($F$11="raty równe",-PMT(W141/12,($F$4-AB140+SUM($AC$27:AC140)),AG140,2),AG140/($F$4-AB140+SUM($AC$27:AC140))+AG140*W141/12),2),"")</f>
        <v>3280.39</v>
      </c>
      <c r="AJ141" s="33">
        <f t="shared" si="104"/>
        <v>241.71000000000004</v>
      </c>
      <c r="AK141" s="33">
        <f t="shared" si="88"/>
        <v>31955.196866586182</v>
      </c>
      <c r="AL141" s="33">
        <f>IF(AB141&lt;&gt;"",AK141-SUM($AJ$28:AJ141),"")</f>
        <v>6195.6668665861871</v>
      </c>
      <c r="AM141" s="11">
        <f t="shared" si="105"/>
        <v>20</v>
      </c>
      <c r="AN141" s="11">
        <f>IF(AB141&lt;&gt;"",IF($B$16=listy!$K$8,'RZĄDOWY PROGRAM'!$F$3*'RZĄDOWY PROGRAM'!$F$15,AG140*$F$15),"")</f>
        <v>50</v>
      </c>
      <c r="AO141" s="11">
        <f t="shared" si="106"/>
        <v>70</v>
      </c>
      <c r="AQ141" s="8">
        <f t="shared" si="107"/>
        <v>114</v>
      </c>
      <c r="AR141" s="8"/>
      <c r="AS141" s="78">
        <f>IF(AQ141&lt;&gt;"",ROUND(IF($F$11="raty równe",-PMT(W141/12,$F$4-AQ140+SUM($AR$28:AR141),AV140,2),AT141+AU141),2),"")</f>
        <v>3263.83</v>
      </c>
      <c r="AT141" s="78">
        <f>IF(AQ141&lt;&gt;"",IF($F$11="raty malejące",AV140/($F$4-AQ140+SUM($AR$28:AR140)),MIN(AS141-AU141,AV140)),"")</f>
        <v>1230.8306011774987</v>
      </c>
      <c r="AU141" s="78">
        <f t="shared" si="108"/>
        <v>2032.9993988225012</v>
      </c>
      <c r="AV141" s="79">
        <f t="shared" si="109"/>
        <v>279182.8795812364</v>
      </c>
      <c r="AW141" s="11"/>
      <c r="AX141" s="33">
        <f>IF(AQ141&lt;&gt;"",ROUND(IF($F$11="raty równe",-PMT(W141/12,($F$4-AQ140+SUM($AR$27:AR140)),AV140,2),AV140/($F$4-AQ140+SUM($AR$27:AR140))+AV140*W141/12),2),"")</f>
        <v>3263.83</v>
      </c>
      <c r="AY141" s="33">
        <f t="shared" si="110"/>
        <v>258.27</v>
      </c>
      <c r="AZ141" s="33">
        <f t="shared" si="126"/>
        <v>30822.682706153621</v>
      </c>
      <c r="BA141" s="33">
        <f>IF(AQ141&lt;&gt;"",AZ141-SUM($AY$44:AY141),"")</f>
        <v>5512.2327061535871</v>
      </c>
      <c r="BB141" s="11">
        <f t="shared" si="111"/>
        <v>20</v>
      </c>
      <c r="BC141" s="11">
        <f>IF(AQ141&lt;&gt;"",IF($B$16=listy!$K$8,'RZĄDOWY PROGRAM'!$F$3*'RZĄDOWY PROGRAM'!$F$15,AV140*$F$15),"")</f>
        <v>50</v>
      </c>
      <c r="BD141" s="11">
        <f t="shared" si="112"/>
        <v>70</v>
      </c>
      <c r="BF141" s="8">
        <f t="shared" si="113"/>
        <v>114</v>
      </c>
      <c r="BG141" s="8"/>
      <c r="BH141" s="78">
        <f>IF(BF141&lt;&gt;"",ROUND(IF($F$11="raty równe",-PMT(W141/12,$F$4-BF140+SUM(BV$28:$BV141)-SUM($BM$29:BM141),BK140,2),BI141+BJ141),2),"")</f>
        <v>3522.09</v>
      </c>
      <c r="BI141" s="78">
        <f>IF(BF141&lt;&gt;"",IF($F$11="raty malejące",MIN(BK140/($F$4-BF140+SUM($BG$27:BG141)-SUM($BM$27:BM141)),BK140),MIN(BH141-BJ141,BK140)),"")</f>
        <v>1755.0970486167562</v>
      </c>
      <c r="BJ141" s="78">
        <f t="shared" si="114"/>
        <v>1766.992951383244</v>
      </c>
      <c r="BK141" s="79">
        <f t="shared" si="115"/>
        <v>241968.06865941687</v>
      </c>
      <c r="BL141" s="11"/>
      <c r="BM141" s="33"/>
      <c r="BN141" s="33">
        <f t="shared" si="127"/>
        <v>9.9999999997635314E-3</v>
      </c>
      <c r="BO141" s="33">
        <f t="shared" si="128"/>
        <v>-0.11591595821643932</v>
      </c>
      <c r="BP141" s="33">
        <f>IF(O141&lt;&gt;"",BO141-SUM($BN$44:BN141),"")</f>
        <v>-3.5915958218331073E-2</v>
      </c>
      <c r="BQ141" s="11">
        <f t="shared" si="89"/>
        <v>20</v>
      </c>
      <c r="BR141" s="11">
        <f>IF(BF141&lt;&gt;"",IF($B$16=listy!$K$8,'RZĄDOWY PROGRAM'!$F$3*'RZĄDOWY PROGRAM'!$F$15,BK140*$F$15),"")</f>
        <v>50</v>
      </c>
      <c r="BS141" s="11">
        <f t="shared" si="90"/>
        <v>70</v>
      </c>
      <c r="BU141" s="8">
        <f t="shared" si="116"/>
        <v>114</v>
      </c>
      <c r="BV141" s="8"/>
      <c r="BW141" s="78">
        <f>IF(BU141&lt;&gt;"",ROUND(IF($F$11="raty równe",-PMT(W141/12,$F$4-BU140+SUM($BV$28:BV141)-$CB$43,BZ140,2),BX141+BY141),2),"")</f>
        <v>3522.09</v>
      </c>
      <c r="BX141" s="78">
        <f>IF(BU141&lt;&gt;"",IF($F$11="raty malejące",MIN(BZ140/($F$4-BU140+SUM($BV$28:BV140)-SUM($CB$28:CB140)),BZ140),MIN(BW141-BY141,BZ140)),"")</f>
        <v>1751.2801457507305</v>
      </c>
      <c r="BY141" s="78">
        <f t="shared" si="130"/>
        <v>1770.8098542492696</v>
      </c>
      <c r="BZ141" s="79">
        <f t="shared" si="124"/>
        <v>242498.35492311401</v>
      </c>
      <c r="CA141" s="11"/>
      <c r="CB141" s="33"/>
      <c r="CC141" s="33">
        <f t="shared" si="117"/>
        <v>9.9999999997635314E-3</v>
      </c>
      <c r="CD141" s="33">
        <f t="shared" si="129"/>
        <v>0.35595736849301374</v>
      </c>
      <c r="CE141" s="33">
        <f>IF(O141&lt;&gt;"",CD141-SUM($CC$44:CC141),"")</f>
        <v>8.595736849939839E-2</v>
      </c>
      <c r="CF141" s="11">
        <f t="shared" si="91"/>
        <v>20</v>
      </c>
      <c r="CG141" s="11">
        <f>IF(BU141&lt;&gt;"",IF($B$16=listy!$K$8,'RZĄDOWY PROGRAM'!$F$3*'RZĄDOWY PROGRAM'!$F$15,BZ140*$F$15),"")</f>
        <v>50</v>
      </c>
      <c r="CH141" s="11">
        <f t="shared" si="92"/>
        <v>70</v>
      </c>
      <c r="CJ141" s="48">
        <f t="shared" si="93"/>
        <v>0.06</v>
      </c>
      <c r="CK141" s="18">
        <f t="shared" si="94"/>
        <v>4.8675505653430484E-3</v>
      </c>
      <c r="CL141" s="11">
        <f t="shared" si="131"/>
        <v>0</v>
      </c>
      <c r="CM141" s="11">
        <f t="shared" si="95"/>
        <v>42851.592273633396</v>
      </c>
      <c r="CN141" s="11">
        <f>IF(AB141&lt;&gt;"",CM141-SUM($CL$28:CL141),"")</f>
        <v>14674.832273633401</v>
      </c>
    </row>
    <row r="142" spans="1:92" x14ac:dyDescent="0.45">
      <c r="A142" s="68">
        <f t="shared" si="118"/>
        <v>48214</v>
      </c>
      <c r="B142" s="8">
        <f t="shared" si="78"/>
        <v>115</v>
      </c>
      <c r="C142" s="11">
        <f t="shared" si="79"/>
        <v>3522.09</v>
      </c>
      <c r="D142" s="11">
        <f t="shared" si="80"/>
        <v>1417.4395405391001</v>
      </c>
      <c r="E142" s="11">
        <f t="shared" si="81"/>
        <v>2104.6504594609</v>
      </c>
      <c r="F142" s="9">
        <f t="shared" si="96"/>
        <v>288879.17555751605</v>
      </c>
      <c r="G142" s="10">
        <f t="shared" si="82"/>
        <v>7.0000000000000007E-2</v>
      </c>
      <c r="H142" s="10">
        <f t="shared" si="83"/>
        <v>1.7000000000000001E-2</v>
      </c>
      <c r="I142" s="48">
        <f t="shared" si="97"/>
        <v>8.7000000000000008E-2</v>
      </c>
      <c r="J142" s="11">
        <f t="shared" si="84"/>
        <v>20</v>
      </c>
      <c r="K142" s="11">
        <f>IF(B142&lt;&gt;"",IF($B$16=listy!$K$8,'RZĄDOWY PROGRAM'!$F$3*'RZĄDOWY PROGRAM'!$F$15,F141*$F$15),"")</f>
        <v>50</v>
      </c>
      <c r="L142" s="11">
        <f t="shared" si="98"/>
        <v>70</v>
      </c>
      <c r="N142" s="54">
        <f t="shared" si="119"/>
        <v>48214</v>
      </c>
      <c r="O142" s="8">
        <f t="shared" si="99"/>
        <v>115</v>
      </c>
      <c r="P142" s="8"/>
      <c r="Q142" s="11">
        <f>IF(O142&lt;&gt;"",ROUND(IF($F$11="raty równe",-PMT(W142/12,$F$4-O141+SUM($P$28:P142),T141,2),R142+S142),2),"")</f>
        <v>3522.09</v>
      </c>
      <c r="R142" s="11">
        <f>IF(O142&lt;&gt;"",IF($F$11="raty malejące",T141/($F$4-O141+SUM($P$28:P142)),IF(Q142-S142&gt;T141,T141,Q142-S142)),"")</f>
        <v>1337.8463689684031</v>
      </c>
      <c r="S142" s="11">
        <f t="shared" si="121"/>
        <v>2184.243631031597</v>
      </c>
      <c r="T142" s="9">
        <f t="shared" si="100"/>
        <v>299937.13722159667</v>
      </c>
      <c r="U142" s="10">
        <f t="shared" si="85"/>
        <v>7.0000000000000007E-2</v>
      </c>
      <c r="V142" s="10">
        <f t="shared" si="86"/>
        <v>1.7000000000000001E-2</v>
      </c>
      <c r="W142" s="48">
        <f t="shared" si="101"/>
        <v>8.7000000000000008E-2</v>
      </c>
      <c r="X142" s="11">
        <f t="shared" si="87"/>
        <v>20</v>
      </c>
      <c r="Y142" s="11">
        <f>IF(O142&lt;&gt;"",IF($B$16=listy!$K$8,'RZĄDOWY PROGRAM'!$F$3*'RZĄDOWY PROGRAM'!$F$15,T141*$F$15),"")</f>
        <v>50</v>
      </c>
      <c r="Z142" s="11">
        <f t="shared" si="102"/>
        <v>70</v>
      </c>
      <c r="AB142" s="8">
        <f t="shared" si="103"/>
        <v>115</v>
      </c>
      <c r="AC142" s="8"/>
      <c r="AD142" s="11">
        <f>IF(AB142&lt;&gt;"",ROUND(IF($F$11="raty równe",-PMT(W142/12,$F$4-AB141+SUM($AC$28:AC142),AG141,2),AE142+AF142),2),"")</f>
        <v>3280.39</v>
      </c>
      <c r="AE142" s="11">
        <f>IF(AB142&lt;&gt;"",IF($F$11="raty malejące",AG141/($F$4-AB141+SUM($AC$28:AC141)),MIN(AD142-AF142,AG141)),"")</f>
        <v>1246.0390055822725</v>
      </c>
      <c r="AF142" s="11">
        <f t="shared" si="122"/>
        <v>2034.3509944177274</v>
      </c>
      <c r="AG142" s="9">
        <f t="shared" si="120"/>
        <v>279354.09815548355</v>
      </c>
      <c r="AH142" s="11"/>
      <c r="AI142" s="33">
        <f>IF(AB142&lt;&gt;"",ROUND(IF($F$11="raty równe",-PMT(W142/12,($F$4-AB141+SUM($AC$27:AC141)),AG141,2),AG141/($F$4-AB141+SUM($AC$27:AC141))+AG141*W142/12),2),"")</f>
        <v>3280.39</v>
      </c>
      <c r="AJ142" s="33">
        <f t="shared" si="104"/>
        <v>241.70000000000027</v>
      </c>
      <c r="AK142" s="33">
        <f t="shared" si="88"/>
        <v>32322.887131210802</v>
      </c>
      <c r="AL142" s="33">
        <f>IF(AB142&lt;&gt;"",AK142-SUM($AJ$28:AJ142),"")</f>
        <v>6321.6571312108063</v>
      </c>
      <c r="AM142" s="11">
        <f t="shared" si="105"/>
        <v>20</v>
      </c>
      <c r="AN142" s="11">
        <f>IF(AB142&lt;&gt;"",IF($B$16=listy!$K$8,'RZĄDOWY PROGRAM'!$F$3*'RZĄDOWY PROGRAM'!$F$15,AG141*$F$15),"")</f>
        <v>50</v>
      </c>
      <c r="AO142" s="11">
        <f t="shared" si="106"/>
        <v>70</v>
      </c>
      <c r="AQ142" s="8">
        <f t="shared" si="107"/>
        <v>115</v>
      </c>
      <c r="AR142" s="8"/>
      <c r="AS142" s="78">
        <f>IF(AQ142&lt;&gt;"",ROUND(IF($F$11="raty równe",-PMT(W142/12,$F$4-AQ141+SUM($AR$28:AR142),AV141,2),AT142+AU142),2),"")</f>
        <v>3263.82</v>
      </c>
      <c r="AT142" s="78">
        <f>IF(AQ142&lt;&gt;"",IF($F$11="raty malejące",AV141/($F$4-AQ141+SUM($AR$28:AR141)),MIN(AS142-AU142,AV141)),"")</f>
        <v>1239.7441230360362</v>
      </c>
      <c r="AU142" s="78">
        <f t="shared" si="108"/>
        <v>2024.075876963964</v>
      </c>
      <c r="AV142" s="79">
        <f t="shared" si="109"/>
        <v>277943.13545820036</v>
      </c>
      <c r="AW142" s="11"/>
      <c r="AX142" s="33">
        <f>IF(AQ142&lt;&gt;"",ROUND(IF($F$11="raty równe",-PMT(W142/12,($F$4-AQ141+SUM($AR$27:AR141)),AV141,2),AV141/($F$4-AQ141+SUM($AR$27:AR141))+AV141*W142/12),2),"")</f>
        <v>3263.82</v>
      </c>
      <c r="AY142" s="33">
        <f t="shared" si="110"/>
        <v>258.27</v>
      </c>
      <c r="AZ142" s="33">
        <f t="shared" si="126"/>
        <v>31202.477789125322</v>
      </c>
      <c r="BA142" s="33">
        <f>IF(AQ142&lt;&gt;"",AZ142-SUM($AY$44:AY142),"")</f>
        <v>5633.7577891252877</v>
      </c>
      <c r="BB142" s="11">
        <f t="shared" si="111"/>
        <v>20</v>
      </c>
      <c r="BC142" s="11">
        <f>IF(AQ142&lt;&gt;"",IF($B$16=listy!$K$8,'RZĄDOWY PROGRAM'!$F$3*'RZĄDOWY PROGRAM'!$F$15,AV141*$F$15),"")</f>
        <v>50</v>
      </c>
      <c r="BD142" s="11">
        <f t="shared" si="112"/>
        <v>70</v>
      </c>
      <c r="BF142" s="8">
        <f t="shared" si="113"/>
        <v>115</v>
      </c>
      <c r="BG142" s="8"/>
      <c r="BH142" s="78">
        <f>IF(BF142&lt;&gt;"",ROUND(IF($F$11="raty równe",-PMT(W142/12,$F$4-BF141+SUM(BV$28:$BV142)-SUM($BM$29:BM142),BK141,2),BI142+BJ142),2),"")</f>
        <v>3522.1</v>
      </c>
      <c r="BI142" s="78">
        <f>IF(BF142&lt;&gt;"",IF($F$11="raty malejące",MIN(BK141/($F$4-BF141+SUM($BG$27:BG142)-SUM($BM$27:BM142)),BK141),MIN(BH142-BJ142,BK141)),"")</f>
        <v>1767.8315022192276</v>
      </c>
      <c r="BJ142" s="78">
        <f t="shared" si="114"/>
        <v>1754.2684977807723</v>
      </c>
      <c r="BK142" s="79">
        <f t="shared" si="115"/>
        <v>240200.23715719764</v>
      </c>
      <c r="BL142" s="11"/>
      <c r="BM142" s="33"/>
      <c r="BN142" s="33">
        <f t="shared" si="127"/>
        <v>-9.9999999997635314E-3</v>
      </c>
      <c r="BO142" s="33">
        <f t="shared" si="128"/>
        <v>-0.12637298191444132</v>
      </c>
      <c r="BP142" s="33">
        <f>IF(O142&lt;&gt;"",BO142-SUM($BN$44:BN142),"")</f>
        <v>-3.6372981916569541E-2</v>
      </c>
      <c r="BQ142" s="11">
        <f t="shared" si="89"/>
        <v>20</v>
      </c>
      <c r="BR142" s="11">
        <f>IF(BF142&lt;&gt;"",IF($B$16=listy!$K$8,'RZĄDOWY PROGRAM'!$F$3*'RZĄDOWY PROGRAM'!$F$15,BK141*$F$15),"")</f>
        <v>50</v>
      </c>
      <c r="BS142" s="11">
        <f t="shared" si="90"/>
        <v>70</v>
      </c>
      <c r="BU142" s="8">
        <f t="shared" si="116"/>
        <v>115</v>
      </c>
      <c r="BV142" s="8"/>
      <c r="BW142" s="78">
        <f>IF(BU142&lt;&gt;"",ROUND(IF($F$11="raty równe",-PMT(W142/12,$F$4-BU141+SUM($BV$28:BV142)-$CB$43,BZ141,2),BX142+BY142),2),"")</f>
        <v>3522.09</v>
      </c>
      <c r="BX142" s="78">
        <f>IF(BU142&lt;&gt;"",IF($F$11="raty malejące",MIN(BZ141/($F$4-BU141+SUM($BV$28:BV141)-SUM($CB$28:CB141)),BZ141),MIN(BW142-BY142,BZ141)),"")</f>
        <v>1763.9769268074233</v>
      </c>
      <c r="BY142" s="78">
        <f t="shared" si="130"/>
        <v>1758.1130731925768</v>
      </c>
      <c r="BZ142" s="79">
        <f t="shared" si="124"/>
        <v>240734.37799630658</v>
      </c>
      <c r="CA142" s="11"/>
      <c r="CB142" s="33"/>
      <c r="CC142" s="33">
        <f t="shared" si="117"/>
        <v>0</v>
      </c>
      <c r="CD142" s="33">
        <f t="shared" si="129"/>
        <v>0.35736080729011316</v>
      </c>
      <c r="CE142" s="33">
        <f>IF(O142&lt;&gt;"",CD142-SUM($CC$44:CC142),"")</f>
        <v>8.7360807296497811E-2</v>
      </c>
      <c r="CF142" s="11">
        <f t="shared" si="91"/>
        <v>20</v>
      </c>
      <c r="CG142" s="11">
        <f>IF(BU142&lt;&gt;"",IF($B$16=listy!$K$8,'RZĄDOWY PROGRAM'!$F$3*'RZĄDOWY PROGRAM'!$F$15,BZ141*$F$15),"")</f>
        <v>50</v>
      </c>
      <c r="CH142" s="11">
        <f t="shared" si="92"/>
        <v>70</v>
      </c>
      <c r="CJ142" s="48">
        <f t="shared" si="93"/>
        <v>0.06</v>
      </c>
      <c r="CK142" s="18">
        <f t="shared" si="94"/>
        <v>4.8675505653430484E-3</v>
      </c>
      <c r="CL142" s="11">
        <f t="shared" si="131"/>
        <v>0</v>
      </c>
      <c r="CM142" s="11">
        <f t="shared" si="95"/>
        <v>43020.543930313273</v>
      </c>
      <c r="CN142" s="11">
        <f>IF(AB142&lt;&gt;"",CM142-SUM($CL$28:CL142),"")</f>
        <v>14843.783930313279</v>
      </c>
    </row>
    <row r="143" spans="1:92" x14ac:dyDescent="0.45">
      <c r="A143" s="68">
        <f t="shared" si="118"/>
        <v>48245</v>
      </c>
      <c r="B143" s="8">
        <f t="shared" si="78"/>
        <v>116</v>
      </c>
      <c r="C143" s="11">
        <f t="shared" si="79"/>
        <v>3522.1</v>
      </c>
      <c r="D143" s="11">
        <f t="shared" si="80"/>
        <v>1427.7259772080083</v>
      </c>
      <c r="E143" s="11">
        <f t="shared" si="81"/>
        <v>2094.3740227919916</v>
      </c>
      <c r="F143" s="9">
        <f t="shared" si="96"/>
        <v>287451.44958030805</v>
      </c>
      <c r="G143" s="10">
        <f t="shared" si="82"/>
        <v>7.0000000000000007E-2</v>
      </c>
      <c r="H143" s="10">
        <f t="shared" si="83"/>
        <v>1.7000000000000001E-2</v>
      </c>
      <c r="I143" s="48">
        <f t="shared" si="97"/>
        <v>8.7000000000000008E-2</v>
      </c>
      <c r="J143" s="11">
        <f t="shared" si="84"/>
        <v>20</v>
      </c>
      <c r="K143" s="11">
        <f>IF(B143&lt;&gt;"",IF($B$16=listy!$K$8,'RZĄDOWY PROGRAM'!$F$3*'RZĄDOWY PROGRAM'!$F$15,F142*$F$15),"")</f>
        <v>50</v>
      </c>
      <c r="L143" s="11">
        <f t="shared" si="98"/>
        <v>70</v>
      </c>
      <c r="N143" s="54">
        <f t="shared" si="119"/>
        <v>48245</v>
      </c>
      <c r="O143" s="8">
        <f t="shared" si="99"/>
        <v>116</v>
      </c>
      <c r="P143" s="8"/>
      <c r="Q143" s="11">
        <f>IF(O143&lt;&gt;"",ROUND(IF($F$11="raty równe",-PMT(W143/12,$F$4-O142+SUM($P$28:P143),T142,2),R143+S143),2),"")</f>
        <v>3522.1</v>
      </c>
      <c r="R143" s="11">
        <f>IF(O143&lt;&gt;"",IF($F$11="raty malejące",T142/($F$4-O142+SUM($P$28:P143)),IF(Q143-S143&gt;T142,T142,Q143-S143)),"")</f>
        <v>1347.555755143424</v>
      </c>
      <c r="S143" s="11">
        <f t="shared" si="121"/>
        <v>2174.5442448565759</v>
      </c>
      <c r="T143" s="9">
        <f t="shared" si="100"/>
        <v>298589.58146645327</v>
      </c>
      <c r="U143" s="10">
        <f t="shared" si="85"/>
        <v>7.0000000000000007E-2</v>
      </c>
      <c r="V143" s="10">
        <f t="shared" si="86"/>
        <v>1.7000000000000001E-2</v>
      </c>
      <c r="W143" s="48">
        <f t="shared" si="101"/>
        <v>8.7000000000000008E-2</v>
      </c>
      <c r="X143" s="11">
        <f t="shared" si="87"/>
        <v>20</v>
      </c>
      <c r="Y143" s="11">
        <f>IF(O143&lt;&gt;"",IF($B$16=listy!$K$8,'RZĄDOWY PROGRAM'!$F$3*'RZĄDOWY PROGRAM'!$F$15,T142*$F$15),"")</f>
        <v>50</v>
      </c>
      <c r="Z143" s="11">
        <f t="shared" si="102"/>
        <v>70</v>
      </c>
      <c r="AB143" s="8">
        <f t="shared" si="103"/>
        <v>116</v>
      </c>
      <c r="AC143" s="8"/>
      <c r="AD143" s="11">
        <f>IF(AB143&lt;&gt;"",ROUND(IF($F$11="raty równe",-PMT(W143/12,$F$4-AB142+SUM($AC$28:AC143),AG142,2),AE143+AF143),2),"")</f>
        <v>3280.39</v>
      </c>
      <c r="AE143" s="11">
        <f>IF(AB143&lt;&gt;"",IF($F$11="raty malejące",AG142/($F$4-AB142+SUM($AC$28:AC142)),MIN(AD143-AF143,AG142)),"")</f>
        <v>1255.0727883727438</v>
      </c>
      <c r="AF143" s="11">
        <f t="shared" si="122"/>
        <v>2025.317211627256</v>
      </c>
      <c r="AG143" s="9">
        <f t="shared" si="120"/>
        <v>278099.02536711079</v>
      </c>
      <c r="AH143" s="11"/>
      <c r="AI143" s="33">
        <f>IF(AB143&lt;&gt;"",ROUND(IF($F$11="raty równe",-PMT(W143/12,($F$4-AB142+SUM($AC$27:AC142)),AG142,2),AG142/($F$4-AB142+SUM($AC$27:AC142))+AG142*W143/12),2),"")</f>
        <v>3280.39</v>
      </c>
      <c r="AJ143" s="33">
        <f t="shared" si="104"/>
        <v>241.71000000000004</v>
      </c>
      <c r="AK143" s="33">
        <f t="shared" si="88"/>
        <v>32692.037094109332</v>
      </c>
      <c r="AL143" s="33">
        <f>IF(AB143&lt;&gt;"",AK143-SUM($AJ$28:AJ143),"")</f>
        <v>6449.0970941093365</v>
      </c>
      <c r="AM143" s="11">
        <f t="shared" si="105"/>
        <v>20</v>
      </c>
      <c r="AN143" s="11">
        <f>IF(AB143&lt;&gt;"",IF($B$16=listy!$K$8,'RZĄDOWY PROGRAM'!$F$3*'RZĄDOWY PROGRAM'!$F$15,AG142*$F$15),"")</f>
        <v>50</v>
      </c>
      <c r="AO143" s="11">
        <f t="shared" si="106"/>
        <v>70</v>
      </c>
      <c r="AQ143" s="8">
        <f t="shared" si="107"/>
        <v>116</v>
      </c>
      <c r="AR143" s="8"/>
      <c r="AS143" s="78">
        <f>IF(AQ143&lt;&gt;"",ROUND(IF($F$11="raty równe",-PMT(W143/12,$F$4-AQ142+SUM($AR$28:AR143),AV142,2),AT143+AU143),2),"")</f>
        <v>3263.83</v>
      </c>
      <c r="AT143" s="78">
        <f>IF(AQ143&lt;&gt;"",IF($F$11="raty malejące",AV142/($F$4-AQ142+SUM($AR$28:AR142)),MIN(AS143-AU143,AV142)),"")</f>
        <v>1248.7422679280471</v>
      </c>
      <c r="AU143" s="78">
        <f t="shared" si="108"/>
        <v>2015.0877320719528</v>
      </c>
      <c r="AV143" s="79">
        <f t="shared" si="109"/>
        <v>276694.39319027233</v>
      </c>
      <c r="AW143" s="11"/>
      <c r="AX143" s="33">
        <f>IF(AQ143&lt;&gt;"",ROUND(IF($F$11="raty równe",-PMT(W143/12,($F$4-AQ142+SUM($AR$27:AR142)),AV142,2),AV142/($F$4-AQ142+SUM($AR$27:AR142))+AV142*W143/12),2),"")</f>
        <v>3263.83</v>
      </c>
      <c r="AY143" s="33">
        <f t="shared" si="110"/>
        <v>258.27</v>
      </c>
      <c r="AZ143" s="33">
        <f t="shared" si="126"/>
        <v>31583.7702962314</v>
      </c>
      <c r="BA143" s="33">
        <f>IF(AQ143&lt;&gt;"",AZ143-SUM($AY$44:AY143),"")</f>
        <v>5756.7802962313654</v>
      </c>
      <c r="BB143" s="11">
        <f t="shared" si="111"/>
        <v>20</v>
      </c>
      <c r="BC143" s="11">
        <f>IF(AQ143&lt;&gt;"",IF($B$16=listy!$K$8,'RZĄDOWY PROGRAM'!$F$3*'RZĄDOWY PROGRAM'!$F$15,AV142*$F$15),"")</f>
        <v>50</v>
      </c>
      <c r="BD143" s="11">
        <f t="shared" si="112"/>
        <v>70</v>
      </c>
      <c r="BF143" s="8">
        <f t="shared" si="113"/>
        <v>116</v>
      </c>
      <c r="BG143" s="8"/>
      <c r="BH143" s="78">
        <f>IF(BF143&lt;&gt;"",ROUND(IF($F$11="raty równe",-PMT(W143/12,$F$4-BF142+SUM(BV$28:$BV143)-SUM($BM$29:BM143),BK142,2),BI143+BJ143),2),"")</f>
        <v>3522.09</v>
      </c>
      <c r="BI143" s="78">
        <f>IF(BF143&lt;&gt;"",IF($F$11="raty malejące",MIN(BK142/($F$4-BF142+SUM($BG$27:BG143)-SUM($BM$27:BM143)),BK142),MIN(BH143-BJ143,BK142)),"")</f>
        <v>1780.6382806103172</v>
      </c>
      <c r="BJ143" s="78">
        <f t="shared" si="114"/>
        <v>1741.4517193896829</v>
      </c>
      <c r="BK143" s="79">
        <f t="shared" si="115"/>
        <v>238419.59887658732</v>
      </c>
      <c r="BL143" s="11"/>
      <c r="BM143" s="33"/>
      <c r="BN143" s="33">
        <f t="shared" si="127"/>
        <v>9.9999999997635314E-3</v>
      </c>
      <c r="BO143" s="33">
        <f t="shared" si="128"/>
        <v>-0.11687123468712279</v>
      </c>
      <c r="BP143" s="33">
        <f>IF(O143&lt;&gt;"",BO143-SUM($BN$44:BN143),"")</f>
        <v>-3.6871234689014543E-2</v>
      </c>
      <c r="BQ143" s="11">
        <f t="shared" si="89"/>
        <v>20</v>
      </c>
      <c r="BR143" s="11">
        <f>IF(BF143&lt;&gt;"",IF($B$16=listy!$K$8,'RZĄDOWY PROGRAM'!$F$3*'RZĄDOWY PROGRAM'!$F$15,BK142*$F$15),"")</f>
        <v>50</v>
      </c>
      <c r="BS143" s="11">
        <f t="shared" si="90"/>
        <v>70</v>
      </c>
      <c r="BU143" s="8">
        <f t="shared" si="116"/>
        <v>116</v>
      </c>
      <c r="BV143" s="8"/>
      <c r="BW143" s="78">
        <f>IF(BU143&lt;&gt;"",ROUND(IF($F$11="raty równe",-PMT(W143/12,$F$4-BU142+SUM($BV$28:BV143)-$CB$43,BZ142,2),BX143+BY143),2),"")</f>
        <v>3522.1</v>
      </c>
      <c r="BX143" s="78">
        <f>IF(BU143&lt;&gt;"",IF($F$11="raty malejące",MIN(BZ142/($F$4-BU142+SUM($BV$28:BV142)-SUM($CB$28:CB142)),BZ142),MIN(BW143-BY143,BZ142)),"")</f>
        <v>1776.7757595267772</v>
      </c>
      <c r="BY143" s="78">
        <f t="shared" si="130"/>
        <v>1745.3242404732227</v>
      </c>
      <c r="BZ143" s="79">
        <f t="shared" si="124"/>
        <v>238957.60223677979</v>
      </c>
      <c r="CA143" s="11"/>
      <c r="CB143" s="33"/>
      <c r="CC143" s="33">
        <f t="shared" si="117"/>
        <v>0</v>
      </c>
      <c r="CD143" s="33">
        <f t="shared" si="129"/>
        <v>0.3587697794477539</v>
      </c>
      <c r="CE143" s="33">
        <f>IF(O143&lt;&gt;"",CD143-SUM($CC$44:CC143),"")</f>
        <v>8.8769779454138553E-2</v>
      </c>
      <c r="CF143" s="11">
        <f t="shared" si="91"/>
        <v>20</v>
      </c>
      <c r="CG143" s="11">
        <f>IF(BU143&lt;&gt;"",IF($B$16=listy!$K$8,'RZĄDOWY PROGRAM'!$F$3*'RZĄDOWY PROGRAM'!$F$15,BZ142*$F$15),"")</f>
        <v>50</v>
      </c>
      <c r="CH143" s="11">
        <f t="shared" si="92"/>
        <v>70</v>
      </c>
      <c r="CJ143" s="48">
        <f t="shared" si="93"/>
        <v>0.06</v>
      </c>
      <c r="CK143" s="18">
        <f t="shared" si="94"/>
        <v>4.8675505653430484E-3</v>
      </c>
      <c r="CL143" s="11">
        <f t="shared" si="131"/>
        <v>0</v>
      </c>
      <c r="CM143" s="11">
        <f t="shared" si="95"/>
        <v>43190.161715386057</v>
      </c>
      <c r="CN143" s="11">
        <f>IF(AB143&lt;&gt;"",CM143-SUM($CL$28:CL143),"")</f>
        <v>15013.401715386062</v>
      </c>
    </row>
    <row r="144" spans="1:92" x14ac:dyDescent="0.45">
      <c r="A144" s="68">
        <f t="shared" si="118"/>
        <v>48274</v>
      </c>
      <c r="B144" s="8">
        <f t="shared" si="78"/>
        <v>117</v>
      </c>
      <c r="C144" s="11">
        <f t="shared" si="79"/>
        <v>3522.09</v>
      </c>
      <c r="D144" s="11">
        <f t="shared" si="80"/>
        <v>1438.0669905427667</v>
      </c>
      <c r="E144" s="11">
        <f t="shared" si="81"/>
        <v>2084.0230094572335</v>
      </c>
      <c r="F144" s="9">
        <f t="shared" si="96"/>
        <v>286013.3825897653</v>
      </c>
      <c r="G144" s="10">
        <f t="shared" si="82"/>
        <v>7.0000000000000007E-2</v>
      </c>
      <c r="H144" s="10">
        <f t="shared" si="83"/>
        <v>1.7000000000000001E-2</v>
      </c>
      <c r="I144" s="48">
        <f t="shared" si="97"/>
        <v>8.7000000000000008E-2</v>
      </c>
      <c r="J144" s="11">
        <f t="shared" si="84"/>
        <v>20</v>
      </c>
      <c r="K144" s="11">
        <f>IF(B144&lt;&gt;"",IF($B$16=listy!$K$8,'RZĄDOWY PROGRAM'!$F$3*'RZĄDOWY PROGRAM'!$F$15,F143*$F$15),"")</f>
        <v>50</v>
      </c>
      <c r="L144" s="11">
        <f t="shared" si="98"/>
        <v>70</v>
      </c>
      <c r="N144" s="54">
        <f t="shared" si="119"/>
        <v>48274</v>
      </c>
      <c r="O144" s="8">
        <f t="shared" si="99"/>
        <v>117</v>
      </c>
      <c r="P144" s="8"/>
      <c r="Q144" s="11">
        <f>IF(O144&lt;&gt;"",ROUND(IF($F$11="raty równe",-PMT(W144/12,$F$4-O143+SUM($P$28:P144),T143,2),R144+S144),2),"")</f>
        <v>3522.09</v>
      </c>
      <c r="R144" s="11">
        <f>IF(O144&lt;&gt;"",IF($F$11="raty malejące",T143/($F$4-O143+SUM($P$28:P144)),IF(Q144-S144&gt;T143,T143,Q144-S144)),"")</f>
        <v>1357.3155343682138</v>
      </c>
      <c r="S144" s="11">
        <f t="shared" si="121"/>
        <v>2164.7744656317864</v>
      </c>
      <c r="T144" s="9">
        <f t="shared" si="100"/>
        <v>297232.26593208505</v>
      </c>
      <c r="U144" s="10">
        <f t="shared" si="85"/>
        <v>7.0000000000000007E-2</v>
      </c>
      <c r="V144" s="10">
        <f t="shared" si="86"/>
        <v>1.7000000000000001E-2</v>
      </c>
      <c r="W144" s="48">
        <f t="shared" si="101"/>
        <v>8.7000000000000008E-2</v>
      </c>
      <c r="X144" s="11">
        <f t="shared" si="87"/>
        <v>20</v>
      </c>
      <c r="Y144" s="11">
        <f>IF(O144&lt;&gt;"",IF($B$16=listy!$K$8,'RZĄDOWY PROGRAM'!$F$3*'RZĄDOWY PROGRAM'!$F$15,T143*$F$15),"")</f>
        <v>50</v>
      </c>
      <c r="Z144" s="11">
        <f t="shared" si="102"/>
        <v>70</v>
      </c>
      <c r="AB144" s="8">
        <f t="shared" si="103"/>
        <v>117</v>
      </c>
      <c r="AC144" s="8"/>
      <c r="AD144" s="11">
        <f>IF(AB144&lt;&gt;"",ROUND(IF($F$11="raty równe",-PMT(W144/12,$F$4-AB143+SUM($AC$28:AC144),AG143,2),AE144+AF144),2),"")</f>
        <v>3280.39</v>
      </c>
      <c r="AE144" s="11">
        <f>IF(AB144&lt;&gt;"",IF($F$11="raty malejące",AG143/($F$4-AB143+SUM($AC$28:AC143)),MIN(AD144-AF144,AG143)),"")</f>
        <v>1264.1720660884464</v>
      </c>
      <c r="AF144" s="11">
        <f t="shared" si="122"/>
        <v>2016.2179339115535</v>
      </c>
      <c r="AG144" s="9">
        <f t="shared" si="120"/>
        <v>276834.85330102232</v>
      </c>
      <c r="AH144" s="11"/>
      <c r="AI144" s="33">
        <f>IF(AB144&lt;&gt;"",ROUND(IF($F$11="raty równe",-PMT(W144/12,($F$4-AB143+SUM($AC$27:AC143)),AG143,2),AG143/($F$4-AB143+SUM($AC$27:AC143))+AG143*W144/12),2),"")</f>
        <v>3280.39</v>
      </c>
      <c r="AJ144" s="33">
        <f t="shared" si="104"/>
        <v>241.70000000000027</v>
      </c>
      <c r="AK144" s="33">
        <f t="shared" si="88"/>
        <v>33062.632510457443</v>
      </c>
      <c r="AL144" s="33">
        <f>IF(AB144&lt;&gt;"",AK144-SUM($AJ$28:AJ144),"")</f>
        <v>6577.9925104574468</v>
      </c>
      <c r="AM144" s="11">
        <f t="shared" si="105"/>
        <v>20</v>
      </c>
      <c r="AN144" s="11">
        <f>IF(AB144&lt;&gt;"",IF($B$16=listy!$K$8,'RZĄDOWY PROGRAM'!$F$3*'RZĄDOWY PROGRAM'!$F$15,AG143*$F$15),"")</f>
        <v>50</v>
      </c>
      <c r="AO144" s="11">
        <f t="shared" si="106"/>
        <v>70</v>
      </c>
      <c r="AQ144" s="8">
        <f t="shared" si="107"/>
        <v>117</v>
      </c>
      <c r="AR144" s="8"/>
      <c r="AS144" s="78">
        <f>IF(AQ144&lt;&gt;"",ROUND(IF($F$11="raty równe",-PMT(W144/12,$F$4-AQ143+SUM($AR$28:AR144),AV143,2),AT144+AU144),2),"")</f>
        <v>3263.82</v>
      </c>
      <c r="AT144" s="78">
        <f>IF(AQ144&lt;&gt;"",IF($F$11="raty malejące",AV143/($F$4-AQ143+SUM($AR$28:AR143)),MIN(AS144-AU144,AV143)),"")</f>
        <v>1257.7856493705256</v>
      </c>
      <c r="AU144" s="78">
        <f t="shared" si="108"/>
        <v>2006.0343506294746</v>
      </c>
      <c r="AV144" s="79">
        <f t="shared" si="109"/>
        <v>275436.60754090181</v>
      </c>
      <c r="AW144" s="11"/>
      <c r="AX144" s="33">
        <f>IF(AQ144&lt;&gt;"",ROUND(IF($F$11="raty równe",-PMT(W144/12,($F$4-AQ143+SUM($AR$27:AR143)),AV143,2),AV143/($F$4-AQ143+SUM($AR$27:AR143))+AV143*W144/12),2),"")</f>
        <v>3263.82</v>
      </c>
      <c r="AY144" s="33">
        <f t="shared" si="110"/>
        <v>258.27</v>
      </c>
      <c r="AZ144" s="33">
        <f t="shared" si="126"/>
        <v>31966.566131389882</v>
      </c>
      <c r="BA144" s="33">
        <f>IF(AQ144&lt;&gt;"",AZ144-SUM($AY$44:AY144),"")</f>
        <v>5881.306131389847</v>
      </c>
      <c r="BB144" s="11">
        <f t="shared" si="111"/>
        <v>20</v>
      </c>
      <c r="BC144" s="11">
        <f>IF(AQ144&lt;&gt;"",IF($B$16=listy!$K$8,'RZĄDOWY PROGRAM'!$F$3*'RZĄDOWY PROGRAM'!$F$15,AV143*$F$15),"")</f>
        <v>50</v>
      </c>
      <c r="BD144" s="11">
        <f t="shared" si="112"/>
        <v>70</v>
      </c>
      <c r="BF144" s="8">
        <f t="shared" si="113"/>
        <v>117</v>
      </c>
      <c r="BG144" s="8"/>
      <c r="BH144" s="78">
        <f>IF(BF144&lt;&gt;"",ROUND(IF($F$11="raty równe",-PMT(W144/12,$F$4-BF143+SUM(BV$28:$BV144)-SUM($BM$29:BM144),BK143,2),BI144+BJ144),2),"")</f>
        <v>3522.1</v>
      </c>
      <c r="BI144" s="78">
        <f>IF(BF144&lt;&gt;"",IF($F$11="raty malejące",MIN(BK143/($F$4-BF143+SUM($BG$27:BG144)-SUM($BM$27:BM144)),BK143),MIN(BH144-BJ144,BK143)),"")</f>
        <v>1793.5579081447418</v>
      </c>
      <c r="BJ144" s="78">
        <f t="shared" si="114"/>
        <v>1728.5420918552581</v>
      </c>
      <c r="BK144" s="79">
        <f t="shared" si="115"/>
        <v>236626.04096844257</v>
      </c>
      <c r="BL144" s="11"/>
      <c r="BM144" s="33"/>
      <c r="BN144" s="33">
        <f t="shared" si="127"/>
        <v>-9.9999999997635314E-3</v>
      </c>
      <c r="BO144" s="33">
        <f t="shared" si="128"/>
        <v>-0.12733202476890998</v>
      </c>
      <c r="BP144" s="33">
        <f>IF(O144&lt;&gt;"",BO144-SUM($BN$44:BN144),"")</f>
        <v>-3.7332024771038197E-2</v>
      </c>
      <c r="BQ144" s="11">
        <f t="shared" si="89"/>
        <v>20</v>
      </c>
      <c r="BR144" s="11">
        <f>IF(BF144&lt;&gt;"",IF($B$16=listy!$K$8,'RZĄDOWY PROGRAM'!$F$3*'RZĄDOWY PROGRAM'!$F$15,BK143*$F$15),"")</f>
        <v>50</v>
      </c>
      <c r="BS144" s="11">
        <f t="shared" si="90"/>
        <v>70</v>
      </c>
      <c r="BU144" s="8">
        <f t="shared" si="116"/>
        <v>117</v>
      </c>
      <c r="BV144" s="8"/>
      <c r="BW144" s="78">
        <f>IF(BU144&lt;&gt;"",ROUND(IF($F$11="raty równe",-PMT(W144/12,$F$4-BU143+SUM($BV$28:BV144)-$CB$43,BZ143,2),BX144+BY144),2),"")</f>
        <v>3522.1</v>
      </c>
      <c r="BX144" s="78">
        <f>IF(BU144&lt;&gt;"",IF($F$11="raty malejące",MIN(BZ143/($F$4-BU143+SUM($BV$28:BV143)-SUM($CB$28:CB143)),BZ143),MIN(BW144-BY144,BZ143)),"")</f>
        <v>1789.6573837833462</v>
      </c>
      <c r="BY144" s="78">
        <f t="shared" si="130"/>
        <v>1732.4426162166537</v>
      </c>
      <c r="BZ144" s="79">
        <f t="shared" si="124"/>
        <v>237167.94485299644</v>
      </c>
      <c r="CA144" s="11"/>
      <c r="CB144" s="33"/>
      <c r="CC144" s="33">
        <f t="shared" si="117"/>
        <v>-9.9999999997635314E-3</v>
      </c>
      <c r="CD144" s="33">
        <f t="shared" si="129"/>
        <v>0.35018430678264134</v>
      </c>
      <c r="CE144" s="33">
        <f>IF(O144&lt;&gt;"",CD144-SUM($CC$44:CC144),"")</f>
        <v>9.0184306788789526E-2</v>
      </c>
      <c r="CF144" s="11">
        <f t="shared" si="91"/>
        <v>20</v>
      </c>
      <c r="CG144" s="11">
        <f>IF(BU144&lt;&gt;"",IF($B$16=listy!$K$8,'RZĄDOWY PROGRAM'!$F$3*'RZĄDOWY PROGRAM'!$F$15,BZ143*$F$15),"")</f>
        <v>50</v>
      </c>
      <c r="CH144" s="11">
        <f t="shared" si="92"/>
        <v>70</v>
      </c>
      <c r="CJ144" s="48">
        <f t="shared" si="93"/>
        <v>0.06</v>
      </c>
      <c r="CK144" s="18">
        <f t="shared" si="94"/>
        <v>4.8675505653430484E-3</v>
      </c>
      <c r="CL144" s="11">
        <f t="shared" si="131"/>
        <v>0</v>
      </c>
      <c r="CM144" s="11">
        <f t="shared" si="95"/>
        <v>43360.4482552068</v>
      </c>
      <c r="CN144" s="11">
        <f>IF(AB144&lt;&gt;"",CM144-SUM($CL$28:CL144),"")</f>
        <v>15183.688255206805</v>
      </c>
    </row>
    <row r="145" spans="1:92" x14ac:dyDescent="0.45">
      <c r="A145" s="68">
        <f t="shared" si="118"/>
        <v>48305</v>
      </c>
      <c r="B145" s="8">
        <f t="shared" si="78"/>
        <v>118</v>
      </c>
      <c r="C145" s="11">
        <f t="shared" si="79"/>
        <v>3522.1</v>
      </c>
      <c r="D145" s="11">
        <f t="shared" si="80"/>
        <v>1448.5029762242011</v>
      </c>
      <c r="E145" s="11">
        <f t="shared" si="81"/>
        <v>2073.5970237757988</v>
      </c>
      <c r="F145" s="9">
        <f t="shared" si="96"/>
        <v>284564.87961354112</v>
      </c>
      <c r="G145" s="10">
        <f t="shared" si="82"/>
        <v>7.0000000000000007E-2</v>
      </c>
      <c r="H145" s="10">
        <f t="shared" si="83"/>
        <v>1.7000000000000001E-2</v>
      </c>
      <c r="I145" s="48">
        <f t="shared" si="97"/>
        <v>8.7000000000000008E-2</v>
      </c>
      <c r="J145" s="11">
        <f t="shared" si="84"/>
        <v>20</v>
      </c>
      <c r="K145" s="11">
        <f>IF(B145&lt;&gt;"",IF($B$16=listy!$K$8,'RZĄDOWY PROGRAM'!$F$3*'RZĄDOWY PROGRAM'!$F$15,F144*$F$15),"")</f>
        <v>50</v>
      </c>
      <c r="L145" s="11">
        <f t="shared" si="98"/>
        <v>70</v>
      </c>
      <c r="N145" s="54">
        <f t="shared" si="119"/>
        <v>48305</v>
      </c>
      <c r="O145" s="8">
        <f t="shared" si="99"/>
        <v>118</v>
      </c>
      <c r="P145" s="8"/>
      <c r="Q145" s="11">
        <f>IF(O145&lt;&gt;"",ROUND(IF($F$11="raty równe",-PMT(W145/12,$F$4-O144+SUM($P$28:P145),T144,2),R145+S145),2),"")</f>
        <v>3522.1</v>
      </c>
      <c r="R145" s="11">
        <f>IF(O145&lt;&gt;"",IF($F$11="raty malejące",T144/($F$4-O144+SUM($P$28:P145)),IF(Q145-S145&gt;T144,T144,Q145-S145)),"")</f>
        <v>1367.166071992383</v>
      </c>
      <c r="S145" s="11">
        <f t="shared" si="121"/>
        <v>2154.9339280076169</v>
      </c>
      <c r="T145" s="9">
        <f t="shared" si="100"/>
        <v>295865.09986009268</v>
      </c>
      <c r="U145" s="10">
        <f t="shared" si="85"/>
        <v>7.0000000000000007E-2</v>
      </c>
      <c r="V145" s="10">
        <f t="shared" si="86"/>
        <v>1.7000000000000001E-2</v>
      </c>
      <c r="W145" s="48">
        <f t="shared" si="101"/>
        <v>8.7000000000000008E-2</v>
      </c>
      <c r="X145" s="11">
        <f t="shared" si="87"/>
        <v>20</v>
      </c>
      <c r="Y145" s="11">
        <f>IF(O145&lt;&gt;"",IF($B$16=listy!$K$8,'RZĄDOWY PROGRAM'!$F$3*'RZĄDOWY PROGRAM'!$F$15,T144*$F$15),"")</f>
        <v>50</v>
      </c>
      <c r="Z145" s="11">
        <f t="shared" si="102"/>
        <v>70</v>
      </c>
      <c r="AB145" s="8">
        <f t="shared" si="103"/>
        <v>118</v>
      </c>
      <c r="AC145" s="8"/>
      <c r="AD145" s="11">
        <f>IF(AB145&lt;&gt;"",ROUND(IF($F$11="raty równe",-PMT(W145/12,$F$4-AB144+SUM($AC$28:AC145),AG144,2),AE145+AF145),2),"")</f>
        <v>3280.39</v>
      </c>
      <c r="AE145" s="11">
        <f>IF(AB145&lt;&gt;"",IF($F$11="raty malejące",AG144/($F$4-AB144+SUM($AC$28:AC144)),MIN(AD145-AF145,AG144)),"")</f>
        <v>1273.3373135675879</v>
      </c>
      <c r="AF145" s="11">
        <f t="shared" si="122"/>
        <v>2007.052686432412</v>
      </c>
      <c r="AG145" s="9">
        <f t="shared" si="120"/>
        <v>275561.51598745474</v>
      </c>
      <c r="AH145" s="11"/>
      <c r="AI145" s="33">
        <f>IF(AB145&lt;&gt;"",ROUND(IF($F$11="raty równe",-PMT(W145/12,($F$4-AB144+SUM($AC$27:AC144)),AG144,2),AG144/($F$4-AB144+SUM($AC$27:AC144))+AG144*W145/12),2),"")</f>
        <v>3280.39</v>
      </c>
      <c r="AJ145" s="33">
        <f t="shared" si="104"/>
        <v>241.71000000000004</v>
      </c>
      <c r="AK145" s="33">
        <f t="shared" si="88"/>
        <v>33434.699079267528</v>
      </c>
      <c r="AL145" s="33">
        <f>IF(AB145&lt;&gt;"",AK145-SUM($AJ$28:AJ145),"")</f>
        <v>6708.3490792675329</v>
      </c>
      <c r="AM145" s="11">
        <f t="shared" si="105"/>
        <v>20</v>
      </c>
      <c r="AN145" s="11">
        <f>IF(AB145&lt;&gt;"",IF($B$16=listy!$K$8,'RZĄDOWY PROGRAM'!$F$3*'RZĄDOWY PROGRAM'!$F$15,AG144*$F$15),"")</f>
        <v>50</v>
      </c>
      <c r="AO145" s="11">
        <f t="shared" si="106"/>
        <v>70</v>
      </c>
      <c r="AQ145" s="8">
        <f t="shared" si="107"/>
        <v>118</v>
      </c>
      <c r="AR145" s="8"/>
      <c r="AS145" s="78">
        <f>IF(AQ145&lt;&gt;"",ROUND(IF($F$11="raty równe",-PMT(W145/12,$F$4-AQ144+SUM($AR$28:AR145),AV144,2),AT145+AU145),2),"")</f>
        <v>3263.83</v>
      </c>
      <c r="AT145" s="78">
        <f>IF(AQ145&lt;&gt;"",IF($F$11="raty malejące",AV144/($F$4-AQ144+SUM($AR$28:AR144)),MIN(AS145-AU145,AV144)),"")</f>
        <v>1266.9145953284617</v>
      </c>
      <c r="AU145" s="78">
        <f t="shared" si="108"/>
        <v>1996.9154046715382</v>
      </c>
      <c r="AV145" s="79">
        <f t="shared" si="109"/>
        <v>274169.69294557336</v>
      </c>
      <c r="AW145" s="11"/>
      <c r="AX145" s="33">
        <f>IF(AQ145&lt;&gt;"",ROUND(IF($F$11="raty równe",-PMT(W145/12,($F$4-AQ144+SUM($AR$27:AR144)),AV144,2),AV144/($F$4-AQ144+SUM($AR$27:AR144))+AV144*W145/12),2),"")</f>
        <v>3263.83</v>
      </c>
      <c r="AY145" s="33">
        <f t="shared" si="110"/>
        <v>258.27</v>
      </c>
      <c r="AZ145" s="33">
        <f t="shared" si="126"/>
        <v>32350.871221796271</v>
      </c>
      <c r="BA145" s="33">
        <f>IF(AQ145&lt;&gt;"",AZ145-SUM($AY$44:AY145),"")</f>
        <v>6007.3412217962359</v>
      </c>
      <c r="BB145" s="11">
        <f t="shared" si="111"/>
        <v>20</v>
      </c>
      <c r="BC145" s="11">
        <f>IF(AQ145&lt;&gt;"",IF($B$16=listy!$K$8,'RZĄDOWY PROGRAM'!$F$3*'RZĄDOWY PROGRAM'!$F$15,AV144*$F$15),"")</f>
        <v>50</v>
      </c>
      <c r="BD145" s="11">
        <f t="shared" si="112"/>
        <v>70</v>
      </c>
      <c r="BF145" s="8">
        <f t="shared" si="113"/>
        <v>118</v>
      </c>
      <c r="BG145" s="8"/>
      <c r="BH145" s="78">
        <f>IF(BF145&lt;&gt;"",ROUND(IF($F$11="raty równe",-PMT(W145/12,$F$4-BF144+SUM(BV$28:$BV145)-SUM($BM$29:BM145),BK144,2),BI145+BJ145),2),"")</f>
        <v>3522.09</v>
      </c>
      <c r="BI145" s="78">
        <f>IF(BF145&lt;&gt;"",IF($F$11="raty malejące",MIN(BK144/($F$4-BF144+SUM($BG$27:BG145)-SUM($BM$27:BM145)),BK144),MIN(BH145-BJ145,BK144)),"")</f>
        <v>1806.5512029787915</v>
      </c>
      <c r="BJ145" s="78">
        <f t="shared" si="114"/>
        <v>1715.5387970212087</v>
      </c>
      <c r="BK145" s="79">
        <f t="shared" si="115"/>
        <v>234819.48976546378</v>
      </c>
      <c r="BL145" s="11"/>
      <c r="BM145" s="33"/>
      <c r="BN145" s="33">
        <f t="shared" si="127"/>
        <v>9.9999999997635314E-3</v>
      </c>
      <c r="BO145" s="33">
        <f t="shared" si="128"/>
        <v>-0.1178340587751581</v>
      </c>
      <c r="BP145" s="33">
        <f>IF(O145&lt;&gt;"",BO145-SUM($BN$44:BN145),"")</f>
        <v>-3.7834058777049845E-2</v>
      </c>
      <c r="BQ145" s="11">
        <f t="shared" si="89"/>
        <v>20</v>
      </c>
      <c r="BR145" s="11">
        <f>IF(BF145&lt;&gt;"",IF($B$16=listy!$K$8,'RZĄDOWY PROGRAM'!$F$3*'RZĄDOWY PROGRAM'!$F$15,BK144*$F$15),"")</f>
        <v>50</v>
      </c>
      <c r="BS145" s="11">
        <f t="shared" si="90"/>
        <v>70</v>
      </c>
      <c r="BU145" s="8">
        <f t="shared" si="116"/>
        <v>118</v>
      </c>
      <c r="BV145" s="8"/>
      <c r="BW145" s="78">
        <f>IF(BU145&lt;&gt;"",ROUND(IF($F$11="raty równe",-PMT(W145/12,$F$4-BU144+SUM($BV$28:BV145)-$CB$43,BZ144,2),BX145+BY145),2),"")</f>
        <v>3522.09</v>
      </c>
      <c r="BX145" s="78">
        <f>IF(BU145&lt;&gt;"",IF($F$11="raty malejące",MIN(BZ144/($F$4-BU144+SUM($BV$28:BV144)-SUM($CB$28:CB144)),BZ144),MIN(BW145-BY145,BZ144)),"")</f>
        <v>1802.6223998157757</v>
      </c>
      <c r="BY145" s="78">
        <f t="shared" si="130"/>
        <v>1719.4676001842245</v>
      </c>
      <c r="BZ145" s="79">
        <f t="shared" si="124"/>
        <v>235365.32245318068</v>
      </c>
      <c r="CA145" s="11"/>
      <c r="CB145" s="33"/>
      <c r="CC145" s="33">
        <f t="shared" si="117"/>
        <v>9.9999999997635314E-3</v>
      </c>
      <c r="CD145" s="33">
        <f t="shared" si="129"/>
        <v>0.36156498403697274</v>
      </c>
      <c r="CE145" s="33">
        <f>IF(O145&lt;&gt;"",CD145-SUM($CC$44:CC145),"")</f>
        <v>9.1564984043357389E-2</v>
      </c>
      <c r="CF145" s="11">
        <f t="shared" si="91"/>
        <v>20</v>
      </c>
      <c r="CG145" s="11">
        <f>IF(BU145&lt;&gt;"",IF($B$16=listy!$K$8,'RZĄDOWY PROGRAM'!$F$3*'RZĄDOWY PROGRAM'!$F$15,BZ144*$F$15),"")</f>
        <v>50</v>
      </c>
      <c r="CH145" s="11">
        <f t="shared" si="92"/>
        <v>70</v>
      </c>
      <c r="CJ145" s="48">
        <f t="shared" si="93"/>
        <v>0.06</v>
      </c>
      <c r="CK145" s="18">
        <f t="shared" si="94"/>
        <v>4.8675505653430484E-3</v>
      </c>
      <c r="CL145" s="11">
        <f t="shared" si="131"/>
        <v>0</v>
      </c>
      <c r="CM145" s="11">
        <f t="shared" si="95"/>
        <v>43531.40618648551</v>
      </c>
      <c r="CN145" s="11">
        <f>IF(AB145&lt;&gt;"",CM145-SUM($CL$28:CL145),"")</f>
        <v>15354.646186485515</v>
      </c>
    </row>
    <row r="146" spans="1:92" x14ac:dyDescent="0.45">
      <c r="A146" s="68">
        <f t="shared" si="118"/>
        <v>48335</v>
      </c>
      <c r="B146" s="8">
        <f t="shared" si="78"/>
        <v>119</v>
      </c>
      <c r="C146" s="11">
        <f t="shared" si="79"/>
        <v>3522.09</v>
      </c>
      <c r="D146" s="11">
        <f t="shared" si="80"/>
        <v>1458.9946228018266</v>
      </c>
      <c r="E146" s="11">
        <f t="shared" si="81"/>
        <v>2063.0953771981735</v>
      </c>
      <c r="F146" s="9">
        <f t="shared" si="96"/>
        <v>283105.88499073929</v>
      </c>
      <c r="G146" s="10">
        <f t="shared" si="82"/>
        <v>7.0000000000000007E-2</v>
      </c>
      <c r="H146" s="10">
        <f t="shared" si="83"/>
        <v>1.7000000000000001E-2</v>
      </c>
      <c r="I146" s="48">
        <f t="shared" si="97"/>
        <v>8.7000000000000008E-2</v>
      </c>
      <c r="J146" s="11">
        <f t="shared" si="84"/>
        <v>20</v>
      </c>
      <c r="K146" s="11">
        <f>IF(B146&lt;&gt;"",IF($B$16=listy!$K$8,'RZĄDOWY PROGRAM'!$F$3*'RZĄDOWY PROGRAM'!$F$15,F145*$F$15),"")</f>
        <v>50</v>
      </c>
      <c r="L146" s="11">
        <f t="shared" si="98"/>
        <v>70</v>
      </c>
      <c r="N146" s="54">
        <f t="shared" si="119"/>
        <v>48335</v>
      </c>
      <c r="O146" s="8">
        <f t="shared" si="99"/>
        <v>119</v>
      </c>
      <c r="P146" s="8"/>
      <c r="Q146" s="11">
        <f>IF(O146&lt;&gt;"",ROUND(IF($F$11="raty równe",-PMT(W146/12,$F$4-O145+SUM($P$28:P146),T145,2),R146+S146),2),"")</f>
        <v>3522.09</v>
      </c>
      <c r="R146" s="11">
        <f>IF(O146&lt;&gt;"",IF($F$11="raty malejące",T145/($F$4-O145+SUM($P$28:P146)),IF(Q146-S146&gt;T145,T145,Q146-S146)),"")</f>
        <v>1377.0680260143281</v>
      </c>
      <c r="S146" s="11">
        <f t="shared" si="121"/>
        <v>2145.021973985672</v>
      </c>
      <c r="T146" s="9">
        <f t="shared" si="100"/>
        <v>294488.03183407837</v>
      </c>
      <c r="U146" s="10">
        <f t="shared" si="85"/>
        <v>7.0000000000000007E-2</v>
      </c>
      <c r="V146" s="10">
        <f t="shared" si="86"/>
        <v>1.7000000000000001E-2</v>
      </c>
      <c r="W146" s="48">
        <f t="shared" si="101"/>
        <v>8.7000000000000008E-2</v>
      </c>
      <c r="X146" s="11">
        <f t="shared" si="87"/>
        <v>20</v>
      </c>
      <c r="Y146" s="11">
        <f>IF(O146&lt;&gt;"",IF($B$16=listy!$K$8,'RZĄDOWY PROGRAM'!$F$3*'RZĄDOWY PROGRAM'!$F$15,T145*$F$15),"")</f>
        <v>50</v>
      </c>
      <c r="Z146" s="11">
        <f t="shared" si="102"/>
        <v>70</v>
      </c>
      <c r="AB146" s="8">
        <f t="shared" si="103"/>
        <v>119</v>
      </c>
      <c r="AC146" s="8"/>
      <c r="AD146" s="11">
        <f>IF(AB146&lt;&gt;"",ROUND(IF($F$11="raty równe",-PMT(W146/12,$F$4-AB145+SUM($AC$28:AC146),AG145,2),AE146+AF146),2),"")</f>
        <v>3280.39</v>
      </c>
      <c r="AE146" s="11">
        <f>IF(AB146&lt;&gt;"",IF($F$11="raty malejące",AG145/($F$4-AB145+SUM($AC$28:AC145)),MIN(AD146-AF146,AG145)),"")</f>
        <v>1282.5690090909527</v>
      </c>
      <c r="AF146" s="11">
        <f t="shared" si="122"/>
        <v>1997.8209909090472</v>
      </c>
      <c r="AG146" s="9">
        <f t="shared" si="120"/>
        <v>274278.94697836379</v>
      </c>
      <c r="AH146" s="11"/>
      <c r="AI146" s="33">
        <f>IF(AB146&lt;&gt;"",ROUND(IF($F$11="raty równe",-PMT(W146/12,($F$4-AB145+SUM($AC$27:AC145)),AG145,2),AG145/($F$4-AB145+SUM($AC$27:AC145))+AG145*W146/12),2),"")</f>
        <v>3280.39</v>
      </c>
      <c r="AJ146" s="33">
        <f t="shared" si="104"/>
        <v>241.70000000000027</v>
      </c>
      <c r="AK146" s="33">
        <f t="shared" si="88"/>
        <v>33808.222600875873</v>
      </c>
      <c r="AL146" s="33">
        <f>IF(AB146&lt;&gt;"",AK146-SUM($AJ$28:AJ146),"")</f>
        <v>6840.1726008758778</v>
      </c>
      <c r="AM146" s="11">
        <f t="shared" si="105"/>
        <v>20</v>
      </c>
      <c r="AN146" s="11">
        <f>IF(AB146&lt;&gt;"",IF($B$16=listy!$K$8,'RZĄDOWY PROGRAM'!$F$3*'RZĄDOWY PROGRAM'!$F$15,AG145*$F$15),"")</f>
        <v>50</v>
      </c>
      <c r="AO146" s="11">
        <f t="shared" si="106"/>
        <v>70</v>
      </c>
      <c r="AQ146" s="8">
        <f t="shared" si="107"/>
        <v>119</v>
      </c>
      <c r="AR146" s="8"/>
      <c r="AS146" s="78">
        <f>IF(AQ146&lt;&gt;"",ROUND(IF($F$11="raty równe",-PMT(W146/12,$F$4-AQ145+SUM($AR$28:AR146),AV145,2),AT146+AU146),2),"")</f>
        <v>3263.82</v>
      </c>
      <c r="AT146" s="78">
        <f>IF(AQ146&lt;&gt;"",IF($F$11="raty malejące",AV145/($F$4-AQ145+SUM($AR$28:AR145)),MIN(AS146-AU146,AV145)),"")</f>
        <v>1276.089726144593</v>
      </c>
      <c r="AU146" s="78">
        <f t="shared" si="108"/>
        <v>1987.7302738554072</v>
      </c>
      <c r="AV146" s="79">
        <f t="shared" si="109"/>
        <v>272893.6032194288</v>
      </c>
      <c r="AW146" s="11"/>
      <c r="AX146" s="33">
        <f>IF(AQ146&lt;&gt;"",ROUND(IF($F$11="raty równe",-PMT(W146/12,($F$4-AQ145+SUM($AR$27:AR145)),AV145,2),AV145/($F$4-AQ145+SUM($AR$27:AR145))+AV145*W146/12),2),"")</f>
        <v>3263.82</v>
      </c>
      <c r="AY146" s="33">
        <f t="shared" si="110"/>
        <v>258.27</v>
      </c>
      <c r="AZ146" s="33">
        <f t="shared" si="126"/>
        <v>32736.691518015319</v>
      </c>
      <c r="BA146" s="33">
        <f>IF(AQ146&lt;&gt;"",AZ146-SUM($AY$44:AY146),"")</f>
        <v>6134.8915180152835</v>
      </c>
      <c r="BB146" s="11">
        <f t="shared" si="111"/>
        <v>20</v>
      </c>
      <c r="BC146" s="11">
        <f>IF(AQ146&lt;&gt;"",IF($B$16=listy!$K$8,'RZĄDOWY PROGRAM'!$F$3*'RZĄDOWY PROGRAM'!$F$15,AV145*$F$15),"")</f>
        <v>50</v>
      </c>
      <c r="BD146" s="11">
        <f t="shared" si="112"/>
        <v>70</v>
      </c>
      <c r="BF146" s="8">
        <f t="shared" si="113"/>
        <v>119</v>
      </c>
      <c r="BG146" s="8"/>
      <c r="BH146" s="78">
        <f>IF(BF146&lt;&gt;"",ROUND(IF($F$11="raty równe",-PMT(W146/12,$F$4-BF145+SUM(BV$28:$BV146)-SUM($BM$29:BM146),BK145,2),BI146+BJ146),2),"")</f>
        <v>3522.1</v>
      </c>
      <c r="BI146" s="78">
        <f>IF(BF146&lt;&gt;"",IF($F$11="raty malejące",MIN(BK145/($F$4-BF145+SUM($BG$27:BG146)-SUM($BM$27:BM146)),BK145),MIN(BH146-BJ146,BK145)),"")</f>
        <v>1819.6586992003874</v>
      </c>
      <c r="BJ146" s="78">
        <f t="shared" si="114"/>
        <v>1702.4413007996125</v>
      </c>
      <c r="BK146" s="79">
        <f t="shared" si="115"/>
        <v>232999.83106626337</v>
      </c>
      <c r="BL146" s="11"/>
      <c r="BM146" s="33"/>
      <c r="BN146" s="33">
        <f t="shared" si="127"/>
        <v>-9.9999999997635314E-3</v>
      </c>
      <c r="BO146" s="33">
        <f t="shared" si="128"/>
        <v>-0.12829864499884186</v>
      </c>
      <c r="BP146" s="33">
        <f>IF(O146&lt;&gt;"",BO146-SUM($BN$44:BN146),"")</f>
        <v>-3.8298645000970077E-2</v>
      </c>
      <c r="BQ146" s="11">
        <f t="shared" si="89"/>
        <v>20</v>
      </c>
      <c r="BR146" s="11">
        <f>IF(BF146&lt;&gt;"",IF($B$16=listy!$K$8,'RZĄDOWY PROGRAM'!$F$3*'RZĄDOWY PROGRAM'!$F$15,BK145*$F$15),"")</f>
        <v>50</v>
      </c>
      <c r="BS146" s="11">
        <f t="shared" si="90"/>
        <v>70</v>
      </c>
      <c r="BU146" s="8">
        <f t="shared" si="116"/>
        <v>119</v>
      </c>
      <c r="BV146" s="8"/>
      <c r="BW146" s="78">
        <f>IF(BU146&lt;&gt;"",ROUND(IF($F$11="raty równe",-PMT(W146/12,$F$4-BU145+SUM($BV$28:BV146)-$CB$43,BZ145,2),BX146+BY146),2),"")</f>
        <v>3522.09</v>
      </c>
      <c r="BX146" s="78">
        <f>IF(BU146&lt;&gt;"",IF($F$11="raty malejące",MIN(BZ145/($F$4-BU145+SUM($BV$28:BV145)-SUM($CB$28:CB145)),BZ145),MIN(BW146-BY146,BZ145)),"")</f>
        <v>1815.6914122144401</v>
      </c>
      <c r="BY146" s="78">
        <f t="shared" si="130"/>
        <v>1706.39858778556</v>
      </c>
      <c r="BZ146" s="79">
        <f t="shared" si="124"/>
        <v>233549.63104096623</v>
      </c>
      <c r="CA146" s="11"/>
      <c r="CB146" s="33"/>
      <c r="CC146" s="33">
        <f t="shared" si="117"/>
        <v>0</v>
      </c>
      <c r="CD146" s="33">
        <f t="shared" si="129"/>
        <v>0.36299053206936327</v>
      </c>
      <c r="CE146" s="33">
        <f>IF(O146&lt;&gt;"",CD146-SUM($CC$44:CC146),"")</f>
        <v>9.2990532075747923E-2</v>
      </c>
      <c r="CF146" s="11">
        <f t="shared" si="91"/>
        <v>20</v>
      </c>
      <c r="CG146" s="11">
        <f>IF(BU146&lt;&gt;"",IF($B$16=listy!$K$8,'RZĄDOWY PROGRAM'!$F$3*'RZĄDOWY PROGRAM'!$F$15,BZ145*$F$15),"")</f>
        <v>50</v>
      </c>
      <c r="CH146" s="11">
        <f t="shared" si="92"/>
        <v>70</v>
      </c>
      <c r="CJ146" s="48">
        <f t="shared" si="93"/>
        <v>0.06</v>
      </c>
      <c r="CK146" s="18">
        <f t="shared" si="94"/>
        <v>4.8675505653430484E-3</v>
      </c>
      <c r="CL146" s="11">
        <f t="shared" si="131"/>
        <v>0</v>
      </c>
      <c r="CM146" s="11">
        <f t="shared" si="95"/>
        <v>43703.03815632801</v>
      </c>
      <c r="CN146" s="11">
        <f>IF(AB146&lt;&gt;"",CM146-SUM($CL$28:CL146),"")</f>
        <v>15526.278156328015</v>
      </c>
    </row>
    <row r="147" spans="1:92" x14ac:dyDescent="0.45">
      <c r="A147" s="68">
        <f t="shared" si="118"/>
        <v>48366</v>
      </c>
      <c r="B147" s="8">
        <f t="shared" si="78"/>
        <v>120</v>
      </c>
      <c r="C147" s="11">
        <f t="shared" si="79"/>
        <v>3522.1</v>
      </c>
      <c r="D147" s="11">
        <f t="shared" si="80"/>
        <v>1469.5823338171399</v>
      </c>
      <c r="E147" s="11">
        <f t="shared" si="81"/>
        <v>2052.51766618286</v>
      </c>
      <c r="F147" s="9">
        <f t="shared" si="96"/>
        <v>281636.30265692214</v>
      </c>
      <c r="G147" s="10">
        <f t="shared" si="82"/>
        <v>7.0000000000000007E-2</v>
      </c>
      <c r="H147" s="10">
        <f t="shared" si="83"/>
        <v>1.7000000000000001E-2</v>
      </c>
      <c r="I147" s="48">
        <f t="shared" si="97"/>
        <v>8.7000000000000008E-2</v>
      </c>
      <c r="J147" s="11">
        <f t="shared" si="84"/>
        <v>20</v>
      </c>
      <c r="K147" s="11">
        <f>IF(B147&lt;&gt;"",IF($B$16=listy!$K$8,'RZĄDOWY PROGRAM'!$F$3*'RZĄDOWY PROGRAM'!$F$15,F146*$F$15),"")</f>
        <v>50</v>
      </c>
      <c r="L147" s="11">
        <f t="shared" si="98"/>
        <v>70</v>
      </c>
      <c r="N147" s="54">
        <f t="shared" si="119"/>
        <v>48366</v>
      </c>
      <c r="O147" s="8">
        <f t="shared" si="99"/>
        <v>120</v>
      </c>
      <c r="P147" s="8"/>
      <c r="Q147" s="11">
        <f>IF(O147&lt;&gt;"",ROUND(IF($F$11="raty równe",-PMT(W147/12,$F$4-O146+SUM($P$28:P147),T146,2),R147+S147),2),"")</f>
        <v>3522.1</v>
      </c>
      <c r="R147" s="11">
        <f>IF(O147&lt;&gt;"",IF($F$11="raty malejące",T146/($F$4-O146+SUM($P$28:P147)),IF(Q147-S147&gt;T146,T146,Q147-S147)),"")</f>
        <v>1387.0617692029318</v>
      </c>
      <c r="S147" s="11">
        <f t="shared" si="121"/>
        <v>2135.0382307970681</v>
      </c>
      <c r="T147" s="9">
        <f t="shared" si="100"/>
        <v>293100.97006487544</v>
      </c>
      <c r="U147" s="10">
        <f t="shared" si="85"/>
        <v>7.0000000000000007E-2</v>
      </c>
      <c r="V147" s="10">
        <f t="shared" si="86"/>
        <v>1.7000000000000001E-2</v>
      </c>
      <c r="W147" s="48">
        <f t="shared" si="101"/>
        <v>8.7000000000000008E-2</v>
      </c>
      <c r="X147" s="11">
        <f t="shared" si="87"/>
        <v>20</v>
      </c>
      <c r="Y147" s="11">
        <f>IF(O147&lt;&gt;"",IF($B$16=listy!$K$8,'RZĄDOWY PROGRAM'!$F$3*'RZĄDOWY PROGRAM'!$F$15,T146*$F$15),"")</f>
        <v>50</v>
      </c>
      <c r="Z147" s="11">
        <f t="shared" si="102"/>
        <v>70</v>
      </c>
      <c r="AB147" s="8">
        <f t="shared" si="103"/>
        <v>120</v>
      </c>
      <c r="AC147" s="8"/>
      <c r="AD147" s="11">
        <f>IF(AB147&lt;&gt;"",ROUND(IF($F$11="raty równe",-PMT(W147/12,$F$4-AB146+SUM($AC$28:AC147),AG146,2),AE147+AF147),2),"")</f>
        <v>3280.39</v>
      </c>
      <c r="AE147" s="11">
        <f>IF(AB147&lt;&gt;"",IF($F$11="raty malejące",AG146/($F$4-AB146+SUM($AC$28:AC146)),MIN(AD147-AF147,AG146)),"")</f>
        <v>1291.8676344068622</v>
      </c>
      <c r="AF147" s="11">
        <f t="shared" si="122"/>
        <v>1988.5223655931377</v>
      </c>
      <c r="AG147" s="9">
        <f t="shared" si="120"/>
        <v>272987.07934395695</v>
      </c>
      <c r="AH147" s="11"/>
      <c r="AI147" s="33">
        <f>IF(AB147&lt;&gt;"",ROUND(IF($F$11="raty równe",-PMT(W147/12,($F$4-AB146+SUM($AC$27:AC146)),AG146,2),AG146/($F$4-AB146+SUM($AC$27:AC146))+AG146*W147/12),2),"")</f>
        <v>3280.39</v>
      </c>
      <c r="AJ147" s="33">
        <f t="shared" si="104"/>
        <v>241.71000000000004</v>
      </c>
      <c r="AK147" s="33">
        <f t="shared" si="88"/>
        <v>34183.228819633528</v>
      </c>
      <c r="AL147" s="33">
        <f>IF(AB147&lt;&gt;"",AK147-SUM($AJ$28:AJ147),"")</f>
        <v>6973.4688196335337</v>
      </c>
      <c r="AM147" s="11">
        <f t="shared" si="105"/>
        <v>20</v>
      </c>
      <c r="AN147" s="11">
        <f>IF(AB147&lt;&gt;"",IF($B$16=listy!$K$8,'RZĄDOWY PROGRAM'!$F$3*'RZĄDOWY PROGRAM'!$F$15,AG146*$F$15),"")</f>
        <v>50</v>
      </c>
      <c r="AO147" s="11">
        <f t="shared" si="106"/>
        <v>70</v>
      </c>
      <c r="AQ147" s="8">
        <f t="shared" si="107"/>
        <v>120</v>
      </c>
      <c r="AR147" s="8"/>
      <c r="AS147" s="78">
        <f>IF(AQ147&lt;&gt;"",ROUND(IF($F$11="raty równe",-PMT(W147/12,$F$4-AQ146+SUM($AR$28:AR147),AV146,2),AT147+AU147),2),"")</f>
        <v>3263.83</v>
      </c>
      <c r="AT147" s="78">
        <f>IF(AQ147&lt;&gt;"",IF($F$11="raty malejące",AV146/($F$4-AQ146+SUM($AR$28:AR146)),MIN(AS147-AU147,AV146)),"")</f>
        <v>1285.3513766591411</v>
      </c>
      <c r="AU147" s="78">
        <f t="shared" si="108"/>
        <v>1978.4786233408588</v>
      </c>
      <c r="AV147" s="79">
        <f t="shared" si="109"/>
        <v>271608.25184276968</v>
      </c>
      <c r="AW147" s="11"/>
      <c r="AX147" s="33">
        <f>IF(AQ147&lt;&gt;"",ROUND(IF($F$11="raty równe",-PMT(W147/12,($F$4-AQ146+SUM($AR$27:AR146)),AV146,2),AV146/($F$4-AQ146+SUM($AR$27:AR146))+AV146*W147/12),2),"")</f>
        <v>3263.83</v>
      </c>
      <c r="AY147" s="33">
        <f t="shared" si="110"/>
        <v>258.27</v>
      </c>
      <c r="AZ147" s="33">
        <f t="shared" si="126"/>
        <v>33124.032994073161</v>
      </c>
      <c r="BA147" s="33">
        <f>IF(AQ147&lt;&gt;"",AZ147-SUM($AY$44:AY147),"")</f>
        <v>6263.9629940731247</v>
      </c>
      <c r="BB147" s="11">
        <f t="shared" si="111"/>
        <v>20</v>
      </c>
      <c r="BC147" s="11">
        <f>IF(AQ147&lt;&gt;"",IF($B$16=listy!$K$8,'RZĄDOWY PROGRAM'!$F$3*'RZĄDOWY PROGRAM'!$F$15,AV146*$F$15),"")</f>
        <v>50</v>
      </c>
      <c r="BD147" s="11">
        <f t="shared" si="112"/>
        <v>70</v>
      </c>
      <c r="BF147" s="8">
        <f t="shared" si="113"/>
        <v>120</v>
      </c>
      <c r="BG147" s="8"/>
      <c r="BH147" s="78">
        <f>IF(BF147&lt;&gt;"",ROUND(IF($F$11="raty równe",-PMT(W147/12,$F$4-BF146+SUM(BV$28:$BV147)-SUM($BM$29:BM147),BK146,2),BI147+BJ147),2),"")</f>
        <v>3522.09</v>
      </c>
      <c r="BI147" s="78">
        <f>IF(BF147&lt;&gt;"",IF($F$11="raty malejące",MIN(BK146/($F$4-BF146+SUM($BG$27:BG147)-SUM($BM$27:BM147)),BK146),MIN(BH147-BJ147,BK146)),"")</f>
        <v>1832.8412247695906</v>
      </c>
      <c r="BJ147" s="78">
        <f t="shared" si="114"/>
        <v>1689.2487752304096</v>
      </c>
      <c r="BK147" s="79">
        <f t="shared" si="115"/>
        <v>231166.98984149378</v>
      </c>
      <c r="BL147" s="11"/>
      <c r="BM147" s="33"/>
      <c r="BN147" s="33">
        <f t="shared" si="127"/>
        <v>9.9999999997635314E-3</v>
      </c>
      <c r="BO147" s="33">
        <f t="shared" si="128"/>
        <v>-0.1188044901140958</v>
      </c>
      <c r="BP147" s="33">
        <f>IF(O147&lt;&gt;"",BO147-SUM($BN$44:BN147),"")</f>
        <v>-3.880449011598755E-2</v>
      </c>
      <c r="BQ147" s="11">
        <f t="shared" si="89"/>
        <v>20</v>
      </c>
      <c r="BR147" s="11">
        <f>IF(BF147&lt;&gt;"",IF($B$16=listy!$K$8,'RZĄDOWY PROGRAM'!$F$3*'RZĄDOWY PROGRAM'!$F$15,BK146*$F$15),"")</f>
        <v>50</v>
      </c>
      <c r="BS147" s="11">
        <f t="shared" si="90"/>
        <v>70</v>
      </c>
      <c r="BU147" s="8">
        <f t="shared" si="116"/>
        <v>120</v>
      </c>
      <c r="BV147" s="8"/>
      <c r="BW147" s="78">
        <f>IF(BU147&lt;&gt;"",ROUND(IF($F$11="raty równe",-PMT(W147/12,$F$4-BU146+SUM($BV$28:BV147)-$CB$43,BZ146,2),BX147+BY147),2),"")</f>
        <v>3522.1</v>
      </c>
      <c r="BX147" s="78">
        <f>IF(BU147&lt;&gt;"",IF($F$11="raty malejące",MIN(BZ146/($F$4-BU146+SUM($BV$28:BV146)-SUM($CB$28:CB146)),BZ146),MIN(BW147-BY147,BZ146)),"")</f>
        <v>1828.8651749529947</v>
      </c>
      <c r="BY147" s="78">
        <f t="shared" si="130"/>
        <v>1693.2348250470052</v>
      </c>
      <c r="BZ147" s="79">
        <f t="shared" si="124"/>
        <v>231720.76586601324</v>
      </c>
      <c r="CA147" s="11"/>
      <c r="CB147" s="33"/>
      <c r="CC147" s="33">
        <f t="shared" si="117"/>
        <v>0</v>
      </c>
      <c r="CD147" s="33">
        <f t="shared" si="129"/>
        <v>0.36442170063272988</v>
      </c>
      <c r="CE147" s="33">
        <f>IF(O147&lt;&gt;"",CD147-SUM($CC$44:CC147),"")</f>
        <v>9.4421700639114536E-2</v>
      </c>
      <c r="CF147" s="11">
        <f t="shared" si="91"/>
        <v>20</v>
      </c>
      <c r="CG147" s="11">
        <f>IF(BU147&lt;&gt;"",IF($B$16=listy!$K$8,'RZĄDOWY PROGRAM'!$F$3*'RZĄDOWY PROGRAM'!$F$15,BZ146*$F$15),"")</f>
        <v>50</v>
      </c>
      <c r="CH147" s="11">
        <f t="shared" si="92"/>
        <v>70</v>
      </c>
      <c r="CJ147" s="48">
        <f t="shared" si="93"/>
        <v>0.06</v>
      </c>
      <c r="CK147" s="18">
        <f t="shared" si="94"/>
        <v>4.8675505653430484E-3</v>
      </c>
      <c r="CL147" s="11">
        <f t="shared" si="131"/>
        <v>0</v>
      </c>
      <c r="CM147" s="11">
        <f t="shared" si="95"/>
        <v>43875.346822276901</v>
      </c>
      <c r="CN147" s="11">
        <f>IF(AB147&lt;&gt;"",CM147-SUM($CL$28:CL147),"")</f>
        <v>15698.586822276906</v>
      </c>
    </row>
    <row r="148" spans="1:92" x14ac:dyDescent="0.45">
      <c r="A148" s="68">
        <f t="shared" si="118"/>
        <v>48396</v>
      </c>
      <c r="B148" s="8">
        <f t="shared" si="78"/>
        <v>121</v>
      </c>
      <c r="C148" s="11">
        <f t="shared" si="79"/>
        <v>3522.09</v>
      </c>
      <c r="D148" s="11">
        <f t="shared" si="80"/>
        <v>1480.2268057373146</v>
      </c>
      <c r="E148" s="11">
        <f t="shared" si="81"/>
        <v>2041.8631942626855</v>
      </c>
      <c r="F148" s="9">
        <f t="shared" si="96"/>
        <v>280156.07585118484</v>
      </c>
      <c r="G148" s="10">
        <f t="shared" si="82"/>
        <v>7.0000000000000007E-2</v>
      </c>
      <c r="H148" s="10">
        <f t="shared" si="83"/>
        <v>1.7000000000000001E-2</v>
      </c>
      <c r="I148" s="48">
        <f t="shared" si="97"/>
        <v>8.7000000000000008E-2</v>
      </c>
      <c r="J148" s="11">
        <f t="shared" si="84"/>
        <v>20</v>
      </c>
      <c r="K148" s="11">
        <f>IF(B148&lt;&gt;"",IF($B$16=listy!$K$8,'RZĄDOWY PROGRAM'!$F$3*'RZĄDOWY PROGRAM'!$F$15,F147*$F$15),"")</f>
        <v>50</v>
      </c>
      <c r="L148" s="11">
        <f t="shared" si="98"/>
        <v>70</v>
      </c>
      <c r="N148" s="54">
        <f t="shared" si="119"/>
        <v>48396</v>
      </c>
      <c r="O148" s="8">
        <f t="shared" si="99"/>
        <v>121</v>
      </c>
      <c r="P148" s="8"/>
      <c r="Q148" s="11">
        <f>IF(O148&lt;&gt;"",ROUND(IF($F$11="raty równe",-PMT(W148/12,$F$4-O147+SUM($P$28:P148),T147,2),R148+S148),2),"")</f>
        <v>3522.09</v>
      </c>
      <c r="R148" s="11">
        <f>IF(O148&lt;&gt;"",IF($F$11="raty malejące",T147/($F$4-O147+SUM($P$28:P148)),IF(Q148-S148&gt;T147,T147,Q148-S148)),"")</f>
        <v>1397.1079670296531</v>
      </c>
      <c r="S148" s="11">
        <f t="shared" si="121"/>
        <v>2124.9820329703471</v>
      </c>
      <c r="T148" s="9">
        <f t="shared" si="100"/>
        <v>291703.86209784576</v>
      </c>
      <c r="U148" s="10">
        <f t="shared" si="85"/>
        <v>7.0000000000000007E-2</v>
      </c>
      <c r="V148" s="10">
        <f t="shared" si="86"/>
        <v>1.7000000000000001E-2</v>
      </c>
      <c r="W148" s="48">
        <f t="shared" si="101"/>
        <v>8.7000000000000008E-2</v>
      </c>
      <c r="X148" s="11">
        <f t="shared" si="87"/>
        <v>20</v>
      </c>
      <c r="Y148" s="11">
        <f>IF(O148&lt;&gt;"",IF($B$16=listy!$K$8,'RZĄDOWY PROGRAM'!$F$3*'RZĄDOWY PROGRAM'!$F$15,T147*$F$15),"")</f>
        <v>50</v>
      </c>
      <c r="Z148" s="11">
        <f t="shared" si="102"/>
        <v>70</v>
      </c>
      <c r="AB148" s="8">
        <f t="shared" si="103"/>
        <v>121</v>
      </c>
      <c r="AC148" s="8"/>
      <c r="AD148" s="11">
        <f>IF(AB148&lt;&gt;"",ROUND(IF($F$11="raty równe",-PMT(W148/12,$F$4-AB147+SUM($AC$28:AC148),AG147,2),AE148+AF148),2),"")</f>
        <v>3280.39</v>
      </c>
      <c r="AE148" s="11">
        <f>IF(AB148&lt;&gt;"",IF($F$11="raty malejące",AG147/($F$4-AB147+SUM($AC$28:AC147)),MIN(AD148-AF148,AG147)),"")</f>
        <v>1301.2336747563118</v>
      </c>
      <c r="AF148" s="11">
        <f t="shared" si="122"/>
        <v>1979.1563252436881</v>
      </c>
      <c r="AG148" s="9">
        <f t="shared" si="120"/>
        <v>271685.84566920064</v>
      </c>
      <c r="AH148" s="11"/>
      <c r="AI148" s="33">
        <f>IF(AB148&lt;&gt;"",ROUND(IF($F$11="raty równe",-PMT(W148/12,($F$4-AB147+SUM($AC$27:AC147)),AG147,2),AG147/($F$4-AB147+SUM($AC$27:AC147))+AG147*W148/12),2),"")</f>
        <v>3280.39</v>
      </c>
      <c r="AJ148" s="33">
        <f t="shared" si="104"/>
        <v>241.70000000000027</v>
      </c>
      <c r="AK148" s="33">
        <f t="shared" si="88"/>
        <v>34559.703581394198</v>
      </c>
      <c r="AL148" s="33">
        <f>IF(AB148&lt;&gt;"",AK148-SUM($AJ$28:AJ148),"")</f>
        <v>7108.2435813942029</v>
      </c>
      <c r="AM148" s="11">
        <f t="shared" si="105"/>
        <v>20</v>
      </c>
      <c r="AN148" s="11">
        <f>IF(AB148&lt;&gt;"",IF($B$16=listy!$K$8,'RZĄDOWY PROGRAM'!$F$3*'RZĄDOWY PROGRAM'!$F$15,AG147*$F$15),"")</f>
        <v>50</v>
      </c>
      <c r="AO148" s="11">
        <f t="shared" si="106"/>
        <v>70</v>
      </c>
      <c r="AQ148" s="8">
        <f t="shared" si="107"/>
        <v>121</v>
      </c>
      <c r="AR148" s="8"/>
      <c r="AS148" s="78">
        <f>IF(AQ148&lt;&gt;"",ROUND(IF($F$11="raty równe",-PMT(W148/12,$F$4-AQ147+SUM($AR$28:AR148),AV147,2),AT148+AU148),2),"")</f>
        <v>3263.82</v>
      </c>
      <c r="AT148" s="78">
        <f>IF(AQ148&lt;&gt;"",IF($F$11="raty malejące",AV147/($F$4-AQ147+SUM($AR$28:AR147)),MIN(AS148-AU148,AV147)),"")</f>
        <v>1294.6601741399197</v>
      </c>
      <c r="AU148" s="78">
        <f t="shared" si="108"/>
        <v>1969.1598258600804</v>
      </c>
      <c r="AV148" s="79">
        <f t="shared" si="109"/>
        <v>270313.59166862979</v>
      </c>
      <c r="AW148" s="11"/>
      <c r="AX148" s="33">
        <f>IF(AQ148&lt;&gt;"",ROUND(IF($F$11="raty równe",-PMT(W148/12,($F$4-AQ147+SUM($AR$27:AR147)),AV147,2),AV147/($F$4-AQ147+SUM($AR$27:AR147))+AV147*W148/12),2),"")</f>
        <v>3263.82</v>
      </c>
      <c r="AY148" s="33">
        <f t="shared" si="110"/>
        <v>258.27</v>
      </c>
      <c r="AZ148" s="33">
        <f t="shared" si="126"/>
        <v>33512.901647549821</v>
      </c>
      <c r="BA148" s="33">
        <f>IF(AQ148&lt;&gt;"",AZ148-SUM($AY$44:AY148),"")</f>
        <v>6394.5616475497845</v>
      </c>
      <c r="BB148" s="11">
        <f t="shared" si="111"/>
        <v>20</v>
      </c>
      <c r="BC148" s="11">
        <f>IF(AQ148&lt;&gt;"",IF($B$16=listy!$K$8,'RZĄDOWY PROGRAM'!$F$3*'RZĄDOWY PROGRAM'!$F$15,AV147*$F$15),"")</f>
        <v>50</v>
      </c>
      <c r="BD148" s="11">
        <f t="shared" si="112"/>
        <v>70</v>
      </c>
      <c r="BF148" s="8">
        <f t="shared" si="113"/>
        <v>121</v>
      </c>
      <c r="BG148" s="8"/>
      <c r="BH148" s="78">
        <f>IF(BF148&lt;&gt;"",ROUND(IF($F$11="raty równe",-PMT(W148/12,$F$4-BF147+SUM(BV$28:$BV148)-SUM($BM$29:BM148),BK147,2),BI148+BJ148),2),"")</f>
        <v>3522.1</v>
      </c>
      <c r="BI148" s="78">
        <f>IF(BF148&lt;&gt;"",IF($F$11="raty malejące",MIN(BK147/($F$4-BF147+SUM($BG$27:BG148)-SUM($BM$27:BM148)),BK147),MIN(BH148-BJ148,BK147)),"")</f>
        <v>1846.1393236491699</v>
      </c>
      <c r="BJ148" s="78">
        <f t="shared" si="114"/>
        <v>1675.96067635083</v>
      </c>
      <c r="BK148" s="79">
        <f t="shared" si="115"/>
        <v>229320.85051784461</v>
      </c>
      <c r="BL148" s="11"/>
      <c r="BM148" s="33"/>
      <c r="BN148" s="33">
        <f t="shared" si="127"/>
        <v>-9.9999999997635314E-3</v>
      </c>
      <c r="BO148" s="33">
        <f t="shared" si="128"/>
        <v>-0.12927290247290568</v>
      </c>
      <c r="BP148" s="33">
        <f>IF(O148&lt;&gt;"",BO148-SUM($BN$44:BN148),"")</f>
        <v>-3.92729024750339E-2</v>
      </c>
      <c r="BQ148" s="11">
        <f t="shared" si="89"/>
        <v>20</v>
      </c>
      <c r="BR148" s="11">
        <f>IF(BF148&lt;&gt;"",IF($B$16=listy!$K$8,'RZĄDOWY PROGRAM'!$F$3*'RZĄDOWY PROGRAM'!$F$15,BK147*$F$15),"")</f>
        <v>50</v>
      </c>
      <c r="BS148" s="11">
        <f t="shared" si="90"/>
        <v>70</v>
      </c>
      <c r="BU148" s="8">
        <f t="shared" si="116"/>
        <v>121</v>
      </c>
      <c r="BV148" s="8"/>
      <c r="BW148" s="78">
        <f>IF(BU148&lt;&gt;"",ROUND(IF($F$11="raty równe",-PMT(W148/12,$F$4-BU147+SUM($BV$28:BV148)-$CB$43,BZ147,2),BX148+BY148),2),"")</f>
        <v>3522.1</v>
      </c>
      <c r="BX148" s="78">
        <f>IF(BU148&lt;&gt;"",IF($F$11="raty malejące",MIN(BZ147/($F$4-BU147+SUM($BV$28:BV147)-SUM($CB$28:CB147)),BZ147),MIN(BW148-BY148,BZ147)),"")</f>
        <v>1842.1244474714038</v>
      </c>
      <c r="BY148" s="78">
        <f t="shared" si="130"/>
        <v>1679.9755525285962</v>
      </c>
      <c r="BZ148" s="79">
        <f t="shared" si="124"/>
        <v>229878.64141854184</v>
      </c>
      <c r="CA148" s="11"/>
      <c r="CB148" s="33"/>
      <c r="CC148" s="33">
        <f t="shared" si="117"/>
        <v>-9.9999999997635314E-3</v>
      </c>
      <c r="CD148" s="33">
        <f t="shared" si="129"/>
        <v>0.35585851188746626</v>
      </c>
      <c r="CE148" s="33">
        <f>IF(O148&lt;&gt;"",CD148-SUM($CC$44:CC148),"")</f>
        <v>9.585851189361444E-2</v>
      </c>
      <c r="CF148" s="11">
        <f t="shared" si="91"/>
        <v>20</v>
      </c>
      <c r="CG148" s="11">
        <f>IF(BU148&lt;&gt;"",IF($B$16=listy!$K$8,'RZĄDOWY PROGRAM'!$F$3*'RZĄDOWY PROGRAM'!$F$15,BZ147*$F$15),"")</f>
        <v>50</v>
      </c>
      <c r="CH148" s="11">
        <f t="shared" si="92"/>
        <v>70</v>
      </c>
      <c r="CJ148" s="48">
        <f t="shared" si="93"/>
        <v>0.06</v>
      </c>
      <c r="CK148" s="18">
        <f t="shared" si="94"/>
        <v>4.8675505653430484E-3</v>
      </c>
      <c r="CL148" s="11">
        <f t="shared" si="131"/>
        <v>0</v>
      </c>
      <c r="CM148" s="11">
        <f t="shared" si="95"/>
        <v>44048.334852352717</v>
      </c>
      <c r="CN148" s="11">
        <f>IF(AB148&lt;&gt;"",CM148-SUM($CL$28:CL148),"")</f>
        <v>15871.574852352722</v>
      </c>
    </row>
    <row r="149" spans="1:92" x14ac:dyDescent="0.45">
      <c r="A149" s="68">
        <f t="shared" si="118"/>
        <v>48427</v>
      </c>
      <c r="B149" s="8">
        <f t="shared" si="78"/>
        <v>122</v>
      </c>
      <c r="C149" s="11">
        <f t="shared" si="79"/>
        <v>3522.1</v>
      </c>
      <c r="D149" s="11">
        <f t="shared" si="80"/>
        <v>1490.9684500789097</v>
      </c>
      <c r="E149" s="11">
        <f t="shared" si="81"/>
        <v>2031.1315499210903</v>
      </c>
      <c r="F149" s="9">
        <f t="shared" si="96"/>
        <v>278665.10740110592</v>
      </c>
      <c r="G149" s="10">
        <f t="shared" si="82"/>
        <v>7.0000000000000007E-2</v>
      </c>
      <c r="H149" s="10">
        <f t="shared" si="83"/>
        <v>1.7000000000000001E-2</v>
      </c>
      <c r="I149" s="48">
        <f t="shared" si="97"/>
        <v>8.7000000000000008E-2</v>
      </c>
      <c r="J149" s="11">
        <f t="shared" si="84"/>
        <v>20</v>
      </c>
      <c r="K149" s="11">
        <f>IF(B149&lt;&gt;"",IF($B$16=listy!$K$8,'RZĄDOWY PROGRAM'!$F$3*'RZĄDOWY PROGRAM'!$F$15,F148*$F$15),"")</f>
        <v>50</v>
      </c>
      <c r="L149" s="11">
        <f t="shared" si="98"/>
        <v>70</v>
      </c>
      <c r="N149" s="54">
        <f t="shared" si="119"/>
        <v>48427</v>
      </c>
      <c r="O149" s="8">
        <f t="shared" si="99"/>
        <v>122</v>
      </c>
      <c r="P149" s="8"/>
      <c r="Q149" s="11">
        <f>IF(O149&lt;&gt;"",ROUND(IF($F$11="raty równe",-PMT(W149/12,$F$4-O148+SUM($P$28:P149),T148,2),R149+S149),2),"")</f>
        <v>3522.1</v>
      </c>
      <c r="R149" s="11">
        <f>IF(O149&lt;&gt;"",IF($F$11="raty malejące",T148/($F$4-O148+SUM($P$28:P149)),IF(Q149-S149&gt;T148,T148,Q149-S149)),"")</f>
        <v>1407.2469997906178</v>
      </c>
      <c r="S149" s="11">
        <f t="shared" si="121"/>
        <v>2114.8530002093821</v>
      </c>
      <c r="T149" s="9">
        <f t="shared" si="100"/>
        <v>290296.61509805516</v>
      </c>
      <c r="U149" s="10">
        <f t="shared" si="85"/>
        <v>7.0000000000000007E-2</v>
      </c>
      <c r="V149" s="10">
        <f t="shared" si="86"/>
        <v>1.7000000000000001E-2</v>
      </c>
      <c r="W149" s="48">
        <f t="shared" si="101"/>
        <v>8.7000000000000008E-2</v>
      </c>
      <c r="X149" s="11">
        <f t="shared" si="87"/>
        <v>20</v>
      </c>
      <c r="Y149" s="11">
        <f>IF(O149&lt;&gt;"",IF($B$16=listy!$K$8,'RZĄDOWY PROGRAM'!$F$3*'RZĄDOWY PROGRAM'!$F$15,T148*$F$15),"")</f>
        <v>50</v>
      </c>
      <c r="Z149" s="11">
        <f t="shared" si="102"/>
        <v>70</v>
      </c>
      <c r="AB149" s="8">
        <f t="shared" si="103"/>
        <v>122</v>
      </c>
      <c r="AC149" s="8"/>
      <c r="AD149" s="11">
        <f>IF(AB149&lt;&gt;"",ROUND(IF($F$11="raty równe",-PMT(W149/12,$F$4-AB148+SUM($AC$28:AC149),AG148,2),AE149+AF149),2),"")</f>
        <v>3280.39</v>
      </c>
      <c r="AE149" s="11">
        <f>IF(AB149&lt;&gt;"",IF($F$11="raty malejące",AG148/($F$4-AB148+SUM($AC$28:AC148)),MIN(AD149-AF149,AG148)),"")</f>
        <v>1310.6676188982951</v>
      </c>
      <c r="AF149" s="11">
        <f t="shared" si="122"/>
        <v>1969.7223811017047</v>
      </c>
      <c r="AG149" s="9">
        <f t="shared" si="120"/>
        <v>270375.17805030238</v>
      </c>
      <c r="AH149" s="11"/>
      <c r="AI149" s="33">
        <f>IF(AB149&lt;&gt;"",ROUND(IF($F$11="raty równe",-PMT(W149/12,($F$4-AB148+SUM($AC$27:AC148)),AG148,2),AG148/($F$4-AB148+SUM($AC$27:AC148))+AG148*W149/12),2),"")</f>
        <v>3280.39</v>
      </c>
      <c r="AJ149" s="33">
        <f t="shared" si="104"/>
        <v>241.71000000000004</v>
      </c>
      <c r="AK149" s="33">
        <f t="shared" si="88"/>
        <v>34937.672676205817</v>
      </c>
      <c r="AL149" s="33">
        <f>IF(AB149&lt;&gt;"",AK149-SUM($AJ$28:AJ149),"")</f>
        <v>7244.5026762058224</v>
      </c>
      <c r="AM149" s="11">
        <f t="shared" si="105"/>
        <v>20</v>
      </c>
      <c r="AN149" s="11">
        <f>IF(AB149&lt;&gt;"",IF($B$16=listy!$K$8,'RZĄDOWY PROGRAM'!$F$3*'RZĄDOWY PROGRAM'!$F$15,AG148*$F$15),"")</f>
        <v>50</v>
      </c>
      <c r="AO149" s="11">
        <f t="shared" si="106"/>
        <v>70</v>
      </c>
      <c r="AQ149" s="8">
        <f t="shared" si="107"/>
        <v>122</v>
      </c>
      <c r="AR149" s="8"/>
      <c r="AS149" s="78">
        <f>IF(AQ149&lt;&gt;"",ROUND(IF($F$11="raty równe",-PMT(W149/12,$F$4-AQ148+SUM($AR$28:AR149),AV148,2),AT149+AU149),2),"")</f>
        <v>3263.83</v>
      </c>
      <c r="AT149" s="78">
        <f>IF(AQ149&lt;&gt;"",IF($F$11="raty malejące",AV148/($F$4-AQ148+SUM($AR$28:AR148)),MIN(AS149-AU149,AV148)),"")</f>
        <v>1304.0564604024339</v>
      </c>
      <c r="AU149" s="78">
        <f t="shared" si="108"/>
        <v>1959.773539597566</v>
      </c>
      <c r="AV149" s="79">
        <f t="shared" si="109"/>
        <v>269009.53520822735</v>
      </c>
      <c r="AW149" s="11"/>
      <c r="AX149" s="33">
        <f>IF(AQ149&lt;&gt;"",ROUND(IF($F$11="raty równe",-PMT(W149/12,($F$4-AQ148+SUM($AR$27:AR148)),AV148,2),AV148/($F$4-AQ148+SUM($AR$27:AR148))+AV148*W149/12),2),"")</f>
        <v>3263.83</v>
      </c>
      <c r="AY149" s="33">
        <f t="shared" si="110"/>
        <v>258.27</v>
      </c>
      <c r="AZ149" s="33">
        <f t="shared" si="126"/>
        <v>33903.303499672082</v>
      </c>
      <c r="BA149" s="33">
        <f>IF(AQ149&lt;&gt;"",AZ149-SUM($AY$44:AY149),"")</f>
        <v>6526.6934996720447</v>
      </c>
      <c r="BB149" s="11">
        <f t="shared" si="111"/>
        <v>20</v>
      </c>
      <c r="BC149" s="11">
        <f>IF(AQ149&lt;&gt;"",IF($B$16=listy!$K$8,'RZĄDOWY PROGRAM'!$F$3*'RZĄDOWY PROGRAM'!$F$15,AV148*$F$15),"")</f>
        <v>50</v>
      </c>
      <c r="BD149" s="11">
        <f t="shared" si="112"/>
        <v>70</v>
      </c>
      <c r="BF149" s="8">
        <f t="shared" si="113"/>
        <v>122</v>
      </c>
      <c r="BG149" s="8"/>
      <c r="BH149" s="78">
        <f>IF(BF149&lt;&gt;"",ROUND(IF($F$11="raty równe",-PMT(W149/12,$F$4-BF148+SUM(BV$28:$BV149)-SUM($BM$29:BM149),BK148,2),BI149+BJ149),2),"")</f>
        <v>3522.09</v>
      </c>
      <c r="BI149" s="78">
        <f>IF(BF149&lt;&gt;"",IF($F$11="raty malejące",MIN(BK148/($F$4-BF148+SUM($BG$27:BG149)-SUM($BM$27:BM149)),BK148),MIN(BH149-BJ149,BK148)),"")</f>
        <v>1859.5138337456265</v>
      </c>
      <c r="BJ149" s="78">
        <f t="shared" si="114"/>
        <v>1662.5761662543737</v>
      </c>
      <c r="BK149" s="79">
        <f t="shared" si="115"/>
        <v>227461.33668409899</v>
      </c>
      <c r="BL149" s="11"/>
      <c r="BM149" s="33"/>
      <c r="BN149" s="33">
        <f t="shared" si="127"/>
        <v>9.9999999997635314E-3</v>
      </c>
      <c r="BO149" s="33">
        <f t="shared" si="128"/>
        <v>-0.11978258880864973</v>
      </c>
      <c r="BP149" s="33">
        <f>IF(O149&lt;&gt;"",BO149-SUM($BN$44:BN149),"")</f>
        <v>-3.9782588810541475E-2</v>
      </c>
      <c r="BQ149" s="11">
        <f t="shared" si="89"/>
        <v>20</v>
      </c>
      <c r="BR149" s="11">
        <f>IF(BF149&lt;&gt;"",IF($B$16=listy!$K$8,'RZĄDOWY PROGRAM'!$F$3*'RZĄDOWY PROGRAM'!$F$15,BK148*$F$15),"")</f>
        <v>50</v>
      </c>
      <c r="BS149" s="11">
        <f t="shared" si="90"/>
        <v>70</v>
      </c>
      <c r="BU149" s="8">
        <f t="shared" si="116"/>
        <v>122</v>
      </c>
      <c r="BV149" s="8"/>
      <c r="BW149" s="78">
        <f>IF(BU149&lt;&gt;"",ROUND(IF($F$11="raty równe",-PMT(W149/12,$F$4-BU148+SUM($BV$28:BV149)-$CB$43,BZ148,2),BX149+BY149),2),"")</f>
        <v>3522.09</v>
      </c>
      <c r="BX149" s="78">
        <f>IF(BU149&lt;&gt;"",IF($F$11="raty malejące",MIN(BZ148/($F$4-BU148+SUM($BV$28:BV148)-SUM($CB$28:CB148)),BZ148),MIN(BW149-BY149,BZ148)),"")</f>
        <v>1855.4698497155716</v>
      </c>
      <c r="BY149" s="78">
        <f t="shared" si="130"/>
        <v>1666.6201502844285</v>
      </c>
      <c r="BZ149" s="79">
        <f t="shared" si="124"/>
        <v>228023.17156882628</v>
      </c>
      <c r="CA149" s="11"/>
      <c r="CB149" s="33"/>
      <c r="CC149" s="33">
        <f t="shared" si="117"/>
        <v>9.9999999997635314E-3</v>
      </c>
      <c r="CD149" s="33">
        <f t="shared" si="129"/>
        <v>0.36726156092081297</v>
      </c>
      <c r="CE149" s="33">
        <f>IF(O149&lt;&gt;"",CD149-SUM($CC$44:CC149),"")</f>
        <v>9.7261560927197621E-2</v>
      </c>
      <c r="CF149" s="11">
        <f t="shared" si="91"/>
        <v>20</v>
      </c>
      <c r="CG149" s="11">
        <f>IF(BU149&lt;&gt;"",IF($B$16=listy!$K$8,'RZĄDOWY PROGRAM'!$F$3*'RZĄDOWY PROGRAM'!$F$15,BZ148*$F$15),"")</f>
        <v>50</v>
      </c>
      <c r="CH149" s="11">
        <f t="shared" si="92"/>
        <v>70</v>
      </c>
      <c r="CJ149" s="48">
        <f t="shared" si="93"/>
        <v>0.06</v>
      </c>
      <c r="CK149" s="18">
        <f t="shared" si="94"/>
        <v>4.8675505653430484E-3</v>
      </c>
      <c r="CL149" s="11">
        <f t="shared" si="131"/>
        <v>0</v>
      </c>
      <c r="CM149" s="11">
        <f t="shared" si="95"/>
        <v>44222.004925095243</v>
      </c>
      <c r="CN149" s="11">
        <f>IF(AB149&lt;&gt;"",CM149-SUM($CL$28:CL149),"")</f>
        <v>16045.244925095249</v>
      </c>
    </row>
    <row r="150" spans="1:92" x14ac:dyDescent="0.45">
      <c r="A150" s="68">
        <f t="shared" si="118"/>
        <v>48458</v>
      </c>
      <c r="B150" s="8">
        <f t="shared" si="78"/>
        <v>123</v>
      </c>
      <c r="C150" s="11">
        <f t="shared" si="79"/>
        <v>3522.09</v>
      </c>
      <c r="D150" s="11">
        <f t="shared" si="80"/>
        <v>1501.767971341982</v>
      </c>
      <c r="E150" s="11">
        <f t="shared" si="81"/>
        <v>2020.3220286580181</v>
      </c>
      <c r="F150" s="9">
        <f t="shared" si="96"/>
        <v>277163.33942976396</v>
      </c>
      <c r="G150" s="10">
        <f t="shared" si="82"/>
        <v>7.0000000000000007E-2</v>
      </c>
      <c r="H150" s="10">
        <f t="shared" si="83"/>
        <v>1.7000000000000001E-2</v>
      </c>
      <c r="I150" s="48">
        <f t="shared" si="97"/>
        <v>8.7000000000000008E-2</v>
      </c>
      <c r="J150" s="11">
        <f t="shared" si="84"/>
        <v>20</v>
      </c>
      <c r="K150" s="11">
        <f>IF(B150&lt;&gt;"",IF($B$16=listy!$K$8,'RZĄDOWY PROGRAM'!$F$3*'RZĄDOWY PROGRAM'!$F$15,F149*$F$15),"")</f>
        <v>50</v>
      </c>
      <c r="L150" s="11">
        <f t="shared" si="98"/>
        <v>70</v>
      </c>
      <c r="N150" s="54">
        <f t="shared" si="119"/>
        <v>48458</v>
      </c>
      <c r="O150" s="8">
        <f t="shared" si="99"/>
        <v>123</v>
      </c>
      <c r="P150" s="8"/>
      <c r="Q150" s="11">
        <f>IF(O150&lt;&gt;"",ROUND(IF($F$11="raty równe",-PMT(W150/12,$F$4-O149+SUM($P$28:P150),T149,2),R150+S150),2),"")</f>
        <v>3522.09</v>
      </c>
      <c r="R150" s="11">
        <f>IF(O150&lt;&gt;"",IF($F$11="raty malejące",T149/($F$4-O149+SUM($P$28:P150)),IF(Q150-S150&gt;T149,T149,Q150-S150)),"")</f>
        <v>1417.4395405391001</v>
      </c>
      <c r="S150" s="11">
        <f t="shared" si="121"/>
        <v>2104.6504594609</v>
      </c>
      <c r="T150" s="9">
        <f t="shared" si="100"/>
        <v>288879.17555751605</v>
      </c>
      <c r="U150" s="10">
        <f t="shared" si="85"/>
        <v>7.0000000000000007E-2</v>
      </c>
      <c r="V150" s="10">
        <f t="shared" si="86"/>
        <v>1.7000000000000001E-2</v>
      </c>
      <c r="W150" s="48">
        <f t="shared" si="101"/>
        <v>8.7000000000000008E-2</v>
      </c>
      <c r="X150" s="11">
        <f t="shared" si="87"/>
        <v>20</v>
      </c>
      <c r="Y150" s="11">
        <f>IF(O150&lt;&gt;"",IF($B$16=listy!$K$8,'RZĄDOWY PROGRAM'!$F$3*'RZĄDOWY PROGRAM'!$F$15,T149*$F$15),"")</f>
        <v>50</v>
      </c>
      <c r="Z150" s="11">
        <f t="shared" si="102"/>
        <v>70</v>
      </c>
      <c r="AB150" s="8">
        <f t="shared" si="103"/>
        <v>123</v>
      </c>
      <c r="AC150" s="8"/>
      <c r="AD150" s="11">
        <f>IF(AB150&lt;&gt;"",ROUND(IF($F$11="raty równe",-PMT(W150/12,$F$4-AB149+SUM($AC$28:AC150),AG149,2),AE150+AF150),2),"")</f>
        <v>3280.39</v>
      </c>
      <c r="AE150" s="11">
        <f>IF(AB150&lt;&gt;"",IF($F$11="raty malejące",AG149/($F$4-AB149+SUM($AC$28:AC149)),MIN(AD150-AF150,AG149)),"")</f>
        <v>1320.1699591353074</v>
      </c>
      <c r="AF150" s="11">
        <f t="shared" si="122"/>
        <v>1960.2200408646925</v>
      </c>
      <c r="AG150" s="9">
        <f t="shared" si="120"/>
        <v>269055.00809116708</v>
      </c>
      <c r="AH150" s="11"/>
      <c r="AI150" s="33">
        <f>IF(AB150&lt;&gt;"",ROUND(IF($F$11="raty równe",-PMT(W150/12,($F$4-AB149+SUM($AC$27:AC149)),AG149,2),AG149/($F$4-AB149+SUM($AC$27:AC149))+AG149*W150/12),2),"")</f>
        <v>3280.39</v>
      </c>
      <c r="AJ150" s="33">
        <f t="shared" si="104"/>
        <v>241.70000000000027</v>
      </c>
      <c r="AK150" s="33">
        <f t="shared" si="88"/>
        <v>35317.121995799156</v>
      </c>
      <c r="AL150" s="33">
        <f>IF(AB150&lt;&gt;"",AK150-SUM($AJ$28:AJ150),"")</f>
        <v>7382.2519957991608</v>
      </c>
      <c r="AM150" s="11">
        <f t="shared" si="105"/>
        <v>20</v>
      </c>
      <c r="AN150" s="11">
        <f>IF(AB150&lt;&gt;"",IF($B$16=listy!$K$8,'RZĄDOWY PROGRAM'!$F$3*'RZĄDOWY PROGRAM'!$F$15,AG149*$F$15),"")</f>
        <v>50</v>
      </c>
      <c r="AO150" s="11">
        <f t="shared" si="106"/>
        <v>70</v>
      </c>
      <c r="AQ150" s="8">
        <f t="shared" si="107"/>
        <v>123</v>
      </c>
      <c r="AR150" s="8"/>
      <c r="AS150" s="78">
        <f>IF(AQ150&lt;&gt;"",ROUND(IF($F$11="raty równe",-PMT(W150/12,$F$4-AQ149+SUM($AR$28:AR150),AV149,2),AT150+AU150),2),"")</f>
        <v>3263.82</v>
      </c>
      <c r="AT150" s="78">
        <f>IF(AQ150&lt;&gt;"",IF($F$11="raty malejące",AV149/($F$4-AQ149+SUM($AR$28:AR149)),MIN(AS150-AU150,AV149)),"")</f>
        <v>1313.5008697403516</v>
      </c>
      <c r="AU150" s="78">
        <f t="shared" si="108"/>
        <v>1950.3191302596485</v>
      </c>
      <c r="AV150" s="79">
        <f t="shared" si="109"/>
        <v>267696.03433848702</v>
      </c>
      <c r="AW150" s="11"/>
      <c r="AX150" s="33">
        <f>IF(AQ150&lt;&gt;"",ROUND(IF($F$11="raty równe",-PMT(W150/12,($F$4-AQ149+SUM($AR$27:AR149)),AV149,2),AV149/($F$4-AQ149+SUM($AR$27:AR149))+AV149*W150/12),2),"")</f>
        <v>3263.82</v>
      </c>
      <c r="AY150" s="33">
        <f t="shared" si="110"/>
        <v>258.27</v>
      </c>
      <c r="AZ150" s="33">
        <f t="shared" si="126"/>
        <v>34295.244595406708</v>
      </c>
      <c r="BA150" s="33">
        <f>IF(AQ150&lt;&gt;"",AZ150-SUM($AY$44:AY150),"")</f>
        <v>6660.3645954066706</v>
      </c>
      <c r="BB150" s="11">
        <f t="shared" si="111"/>
        <v>20</v>
      </c>
      <c r="BC150" s="11">
        <f>IF(AQ150&lt;&gt;"",IF($B$16=listy!$K$8,'RZĄDOWY PROGRAM'!$F$3*'RZĄDOWY PROGRAM'!$F$15,AV149*$F$15),"")</f>
        <v>50</v>
      </c>
      <c r="BD150" s="11">
        <f t="shared" si="112"/>
        <v>70</v>
      </c>
      <c r="BF150" s="8">
        <f t="shared" si="113"/>
        <v>123</v>
      </c>
      <c r="BG150" s="8"/>
      <c r="BH150" s="78">
        <f>IF(BF150&lt;&gt;"",ROUND(IF($F$11="raty równe",-PMT(W150/12,$F$4-BF149+SUM(BV$28:$BV150)-SUM($BM$29:BM150),BK149,2),BI150+BJ150),2),"")</f>
        <v>3522.1</v>
      </c>
      <c r="BI150" s="78">
        <f>IF(BF150&lt;&gt;"",IF($F$11="raty malejące",MIN(BK149/($F$4-BF149+SUM($BG$27:BG150)-SUM($BM$27:BM150)),BK149),MIN(BH150-BJ150,BK149)),"")</f>
        <v>1873.0053090402821</v>
      </c>
      <c r="BJ150" s="78">
        <f t="shared" si="114"/>
        <v>1649.0946909597178</v>
      </c>
      <c r="BK150" s="79">
        <f t="shared" si="115"/>
        <v>225588.33137505871</v>
      </c>
      <c r="BL150" s="11"/>
      <c r="BM150" s="33"/>
      <c r="BN150" s="33">
        <f t="shared" si="127"/>
        <v>-9.9999999997635314E-3</v>
      </c>
      <c r="BO150" s="33">
        <f t="shared" si="128"/>
        <v>-0.13025485753279104</v>
      </c>
      <c r="BP150" s="33">
        <f>IF(O150&lt;&gt;"",BO150-SUM($BN$44:BN150),"")</f>
        <v>-4.0254857534919253E-2</v>
      </c>
      <c r="BQ150" s="11">
        <f t="shared" si="89"/>
        <v>20</v>
      </c>
      <c r="BR150" s="11">
        <f>IF(BF150&lt;&gt;"",IF($B$16=listy!$K$8,'RZĄDOWY PROGRAM'!$F$3*'RZĄDOWY PROGRAM'!$F$15,BK149*$F$15),"")</f>
        <v>50</v>
      </c>
      <c r="BS150" s="11">
        <f t="shared" si="90"/>
        <v>70</v>
      </c>
      <c r="BU150" s="8">
        <f t="shared" si="116"/>
        <v>123</v>
      </c>
      <c r="BV150" s="8"/>
      <c r="BW150" s="78">
        <f>IF(BU150&lt;&gt;"",ROUND(IF($F$11="raty równe",-PMT(W150/12,$F$4-BU149+SUM($BV$28:BV150)-$CB$43,BZ149,2),BX150+BY150),2),"")</f>
        <v>3522.09</v>
      </c>
      <c r="BX150" s="78">
        <f>IF(BU150&lt;&gt;"",IF($F$11="raty malejące",MIN(BZ149/($F$4-BU149+SUM($BV$28:BV149)-SUM($CB$28:CB149)),BZ149),MIN(BW150-BY150,BZ149)),"")</f>
        <v>1868.9220061260094</v>
      </c>
      <c r="BY150" s="78">
        <f t="shared" si="130"/>
        <v>1653.1679938739908</v>
      </c>
      <c r="BZ150" s="79">
        <f t="shared" si="124"/>
        <v>226154.24956270028</v>
      </c>
      <c r="CA150" s="11"/>
      <c r="CB150" s="33"/>
      <c r="CC150" s="33">
        <f t="shared" si="117"/>
        <v>0</v>
      </c>
      <c r="CD150" s="33">
        <f t="shared" si="129"/>
        <v>0.368709568937789</v>
      </c>
      <c r="CE150" s="33">
        <f>IF(O150&lt;&gt;"",CD150-SUM($CC$44:CC150),"")</f>
        <v>9.8709568944173653E-2</v>
      </c>
      <c r="CF150" s="11">
        <f t="shared" si="91"/>
        <v>20</v>
      </c>
      <c r="CG150" s="11">
        <f>IF(BU150&lt;&gt;"",IF($B$16=listy!$K$8,'RZĄDOWY PROGRAM'!$F$3*'RZĄDOWY PROGRAM'!$F$15,BZ149*$F$15),"")</f>
        <v>50</v>
      </c>
      <c r="CH150" s="11">
        <f t="shared" si="92"/>
        <v>70</v>
      </c>
      <c r="CJ150" s="48">
        <f t="shared" si="93"/>
        <v>0.06</v>
      </c>
      <c r="CK150" s="18">
        <f t="shared" si="94"/>
        <v>4.8675505653430484E-3</v>
      </c>
      <c r="CL150" s="11">
        <f t="shared" si="131"/>
        <v>0</v>
      </c>
      <c r="CM150" s="11">
        <f t="shared" si="95"/>
        <v>44396.359729604985</v>
      </c>
      <c r="CN150" s="11">
        <f>IF(AB150&lt;&gt;"",CM150-SUM($CL$28:CL150),"")</f>
        <v>16219.59972960499</v>
      </c>
    </row>
    <row r="151" spans="1:92" x14ac:dyDescent="0.45">
      <c r="A151" s="68">
        <f t="shared" si="118"/>
        <v>48488</v>
      </c>
      <c r="B151" s="8">
        <f t="shared" si="78"/>
        <v>124</v>
      </c>
      <c r="C151" s="11">
        <f t="shared" si="79"/>
        <v>3522.1</v>
      </c>
      <c r="D151" s="11">
        <f t="shared" si="80"/>
        <v>1512.6657891342109</v>
      </c>
      <c r="E151" s="11">
        <f t="shared" si="81"/>
        <v>2009.4342108657891</v>
      </c>
      <c r="F151" s="9">
        <f t="shared" si="96"/>
        <v>275650.67364062974</v>
      </c>
      <c r="G151" s="10">
        <f t="shared" si="82"/>
        <v>7.0000000000000007E-2</v>
      </c>
      <c r="H151" s="10">
        <f t="shared" si="83"/>
        <v>1.7000000000000001E-2</v>
      </c>
      <c r="I151" s="48">
        <f t="shared" si="97"/>
        <v>8.7000000000000008E-2</v>
      </c>
      <c r="J151" s="11">
        <f t="shared" si="84"/>
        <v>20</v>
      </c>
      <c r="K151" s="11">
        <f>IF(B151&lt;&gt;"",IF($B$16=listy!$K$8,'RZĄDOWY PROGRAM'!$F$3*'RZĄDOWY PROGRAM'!$F$15,F150*$F$15),"")</f>
        <v>50</v>
      </c>
      <c r="L151" s="11">
        <f t="shared" si="98"/>
        <v>70</v>
      </c>
      <c r="N151" s="54">
        <f t="shared" si="119"/>
        <v>48488</v>
      </c>
      <c r="O151" s="8">
        <f t="shared" si="99"/>
        <v>124</v>
      </c>
      <c r="P151" s="8"/>
      <c r="Q151" s="11">
        <f>IF(O151&lt;&gt;"",ROUND(IF($F$11="raty równe",-PMT(W151/12,$F$4-O150+SUM($P$28:P151),T150,2),R151+S151),2),"")</f>
        <v>3522.1</v>
      </c>
      <c r="R151" s="11">
        <f>IF(O151&lt;&gt;"",IF($F$11="raty malejące",T150/($F$4-O150+SUM($P$28:P151)),IF(Q151-S151&gt;T150,T150,Q151-S151)),"")</f>
        <v>1427.7259772080083</v>
      </c>
      <c r="S151" s="11">
        <f t="shared" si="121"/>
        <v>2094.3740227919916</v>
      </c>
      <c r="T151" s="9">
        <f t="shared" si="100"/>
        <v>287451.44958030805</v>
      </c>
      <c r="U151" s="10">
        <f t="shared" si="85"/>
        <v>7.0000000000000007E-2</v>
      </c>
      <c r="V151" s="10">
        <f t="shared" si="86"/>
        <v>1.7000000000000001E-2</v>
      </c>
      <c r="W151" s="48">
        <f t="shared" si="101"/>
        <v>8.7000000000000008E-2</v>
      </c>
      <c r="X151" s="11">
        <f t="shared" si="87"/>
        <v>20</v>
      </c>
      <c r="Y151" s="11">
        <f>IF(O151&lt;&gt;"",IF($B$16=listy!$K$8,'RZĄDOWY PROGRAM'!$F$3*'RZĄDOWY PROGRAM'!$F$15,T150*$F$15),"")</f>
        <v>50</v>
      </c>
      <c r="Z151" s="11">
        <f t="shared" si="102"/>
        <v>70</v>
      </c>
      <c r="AB151" s="8">
        <f t="shared" si="103"/>
        <v>124</v>
      </c>
      <c r="AC151" s="8"/>
      <c r="AD151" s="11">
        <f>IF(AB151&lt;&gt;"",ROUND(IF($F$11="raty równe",-PMT(W151/12,$F$4-AB150+SUM($AC$28:AC151),AG150,2),AE151+AF151),2),"")</f>
        <v>3280.39</v>
      </c>
      <c r="AE151" s="11">
        <f>IF(AB151&lt;&gt;"",IF($F$11="raty malejące",AG150/($F$4-AB150+SUM($AC$28:AC150)),MIN(AD151-AF151,AG150)),"")</f>
        <v>1329.7411913390383</v>
      </c>
      <c r="AF151" s="11">
        <f t="shared" si="122"/>
        <v>1950.6488086609615</v>
      </c>
      <c r="AG151" s="9">
        <f t="shared" si="120"/>
        <v>267725.26689982804</v>
      </c>
      <c r="AH151" s="11"/>
      <c r="AI151" s="33">
        <f>IF(AB151&lt;&gt;"",ROUND(IF($F$11="raty równe",-PMT(W151/12,($F$4-AB150+SUM($AC$27:AC150)),AG150,2),AG150/($F$4-AB150+SUM($AC$27:AC150))+AG150*W151/12),2),"")</f>
        <v>3280.39</v>
      </c>
      <c r="AJ151" s="33">
        <f t="shared" si="104"/>
        <v>241.71000000000004</v>
      </c>
      <c r="AK151" s="33">
        <f t="shared" si="88"/>
        <v>35698.077376280082</v>
      </c>
      <c r="AL151" s="33">
        <f>IF(AB151&lt;&gt;"",AK151-SUM($AJ$28:AJ151),"")</f>
        <v>7521.4973762800873</v>
      </c>
      <c r="AM151" s="11">
        <f t="shared" si="105"/>
        <v>20</v>
      </c>
      <c r="AN151" s="11">
        <f>IF(AB151&lt;&gt;"",IF($B$16=listy!$K$8,'RZĄDOWY PROGRAM'!$F$3*'RZĄDOWY PROGRAM'!$F$15,AG150*$F$15),"")</f>
        <v>50</v>
      </c>
      <c r="AO151" s="11">
        <f t="shared" si="106"/>
        <v>70</v>
      </c>
      <c r="AQ151" s="8">
        <f t="shared" si="107"/>
        <v>124</v>
      </c>
      <c r="AR151" s="8"/>
      <c r="AS151" s="78">
        <f>IF(AQ151&lt;&gt;"",ROUND(IF($F$11="raty równe",-PMT(W151/12,$F$4-AQ150+SUM($AR$28:AR151),AV150,2),AT151+AU151),2),"")</f>
        <v>3263.83</v>
      </c>
      <c r="AT151" s="78">
        <f>IF(AQ151&lt;&gt;"",IF($F$11="raty malejące",AV150/($F$4-AQ150+SUM($AR$28:AR150)),MIN(AS151-AU151,AV150)),"")</f>
        <v>1323.0337510459688</v>
      </c>
      <c r="AU151" s="78">
        <f t="shared" si="108"/>
        <v>1940.7962489540312</v>
      </c>
      <c r="AV151" s="79">
        <f t="shared" si="109"/>
        <v>266373.00058744103</v>
      </c>
      <c r="AW151" s="11"/>
      <c r="AX151" s="33">
        <f>IF(AQ151&lt;&gt;"",ROUND(IF($F$11="raty równe",-PMT(W151/12,($F$4-AQ150+SUM($AR$27:AR150)),AV150,2),AV150/($F$4-AQ150+SUM($AR$27:AR150))+AV150*W151/12),2),"")</f>
        <v>3263.83</v>
      </c>
      <c r="AY151" s="33">
        <f t="shared" si="110"/>
        <v>258.27</v>
      </c>
      <c r="AZ151" s="33">
        <f t="shared" si="126"/>
        <v>34688.731003554058</v>
      </c>
      <c r="BA151" s="33">
        <f>IF(AQ151&lt;&gt;"",AZ151-SUM($AY$44:AY151),"")</f>
        <v>6795.5810035540198</v>
      </c>
      <c r="BB151" s="11">
        <f t="shared" si="111"/>
        <v>20</v>
      </c>
      <c r="BC151" s="11">
        <f>IF(AQ151&lt;&gt;"",IF($B$16=listy!$K$8,'RZĄDOWY PROGRAM'!$F$3*'RZĄDOWY PROGRAM'!$F$15,AV150*$F$15),"")</f>
        <v>50</v>
      </c>
      <c r="BD151" s="11">
        <f t="shared" si="112"/>
        <v>70</v>
      </c>
      <c r="BF151" s="8">
        <f t="shared" si="113"/>
        <v>124</v>
      </c>
      <c r="BG151" s="8"/>
      <c r="BH151" s="78">
        <f>IF(BF151&lt;&gt;"",ROUND(IF($F$11="raty równe",-PMT(W151/12,$F$4-BF150+SUM(BV$28:$BV151)-SUM($BM$29:BM151),BK150,2),BI151+BJ151),2),"")</f>
        <v>3522.09</v>
      </c>
      <c r="BI151" s="78">
        <f>IF(BF151&lt;&gt;"",IF($F$11="raty malejące",MIN(BK150/($F$4-BF150+SUM($BG$27:BG151)-SUM($BM$27:BM151)),BK150),MIN(BH151-BJ151,BK150)),"")</f>
        <v>1886.5745975308243</v>
      </c>
      <c r="BJ151" s="78">
        <f t="shared" si="114"/>
        <v>1635.5154024691758</v>
      </c>
      <c r="BK151" s="79">
        <f t="shared" si="115"/>
        <v>223701.75677752789</v>
      </c>
      <c r="BL151" s="11"/>
      <c r="BM151" s="33"/>
      <c r="BN151" s="33">
        <f t="shared" si="127"/>
        <v>9.9999999997635314E-3</v>
      </c>
      <c r="BO151" s="33">
        <f t="shared" si="128"/>
        <v>-0.12076841543841968</v>
      </c>
      <c r="BP151" s="33">
        <f>IF(O151&lt;&gt;"",BO151-SUM($BN$44:BN151),"")</f>
        <v>-4.0768415440311428E-2</v>
      </c>
      <c r="BQ151" s="11">
        <f t="shared" si="89"/>
        <v>20</v>
      </c>
      <c r="BR151" s="11">
        <f>IF(BF151&lt;&gt;"",IF($B$16=listy!$K$8,'RZĄDOWY PROGRAM'!$F$3*'RZĄDOWY PROGRAM'!$F$15,BK150*$F$15),"")</f>
        <v>50</v>
      </c>
      <c r="BS151" s="11">
        <f t="shared" si="90"/>
        <v>70</v>
      </c>
      <c r="BU151" s="8">
        <f t="shared" si="116"/>
        <v>124</v>
      </c>
      <c r="BV151" s="8"/>
      <c r="BW151" s="78">
        <f>IF(BU151&lt;&gt;"",ROUND(IF($F$11="raty równe",-PMT(W151/12,$F$4-BU150+SUM($BV$28:BV151)-$CB$43,BZ150,2),BX151+BY151),2),"")</f>
        <v>3522.1</v>
      </c>
      <c r="BX151" s="78">
        <f>IF(BU151&lt;&gt;"",IF($F$11="raty malejące",MIN(BZ150/($F$4-BU150+SUM($BV$28:BV150)-SUM($CB$28:CB150)),BZ150),MIN(BW151-BY151,BZ150)),"")</f>
        <v>1882.4816906704229</v>
      </c>
      <c r="BY151" s="78">
        <f t="shared" si="130"/>
        <v>1639.618309329577</v>
      </c>
      <c r="BZ151" s="79">
        <f t="shared" si="124"/>
        <v>224271.76787202986</v>
      </c>
      <c r="CA151" s="11"/>
      <c r="CB151" s="33"/>
      <c r="CC151" s="33">
        <f t="shared" si="117"/>
        <v>0</v>
      </c>
      <c r="CD151" s="33">
        <f t="shared" si="129"/>
        <v>0.37016328603908077</v>
      </c>
      <c r="CE151" s="33">
        <f>IF(O151&lt;&gt;"",CD151-SUM($CC$44:CC151),"")</f>
        <v>0.10016328604546543</v>
      </c>
      <c r="CF151" s="11">
        <f t="shared" si="91"/>
        <v>20</v>
      </c>
      <c r="CG151" s="11">
        <f>IF(BU151&lt;&gt;"",IF($B$16=listy!$K$8,'RZĄDOWY PROGRAM'!$F$3*'RZĄDOWY PROGRAM'!$F$15,BZ150*$F$15),"")</f>
        <v>50</v>
      </c>
      <c r="CH151" s="11">
        <f t="shared" si="92"/>
        <v>70</v>
      </c>
      <c r="CJ151" s="48">
        <f t="shared" si="93"/>
        <v>0.06</v>
      </c>
      <c r="CK151" s="18">
        <f t="shared" si="94"/>
        <v>4.8675505653430484E-3</v>
      </c>
      <c r="CL151" s="11">
        <f t="shared" si="131"/>
        <v>0</v>
      </c>
      <c r="CM151" s="11">
        <f t="shared" si="95"/>
        <v>44571.40196558481</v>
      </c>
      <c r="CN151" s="11">
        <f>IF(AB151&lt;&gt;"",CM151-SUM($CL$28:CL151),"")</f>
        <v>16394.641965584815</v>
      </c>
    </row>
    <row r="152" spans="1:92" x14ac:dyDescent="0.45">
      <c r="A152" s="68">
        <f t="shared" si="118"/>
        <v>48519</v>
      </c>
      <c r="B152" s="8">
        <f t="shared" si="78"/>
        <v>125</v>
      </c>
      <c r="C152" s="11">
        <f t="shared" si="79"/>
        <v>3522.09</v>
      </c>
      <c r="D152" s="11">
        <f t="shared" si="80"/>
        <v>1523.6226161054344</v>
      </c>
      <c r="E152" s="11">
        <f t="shared" si="81"/>
        <v>1998.4673838945657</v>
      </c>
      <c r="F152" s="9">
        <f t="shared" si="96"/>
        <v>274127.05102452432</v>
      </c>
      <c r="G152" s="10">
        <f t="shared" si="82"/>
        <v>7.0000000000000007E-2</v>
      </c>
      <c r="H152" s="10">
        <f t="shared" si="83"/>
        <v>1.7000000000000001E-2</v>
      </c>
      <c r="I152" s="48">
        <f t="shared" si="97"/>
        <v>8.7000000000000008E-2</v>
      </c>
      <c r="J152" s="11">
        <f t="shared" si="84"/>
        <v>20</v>
      </c>
      <c r="K152" s="11">
        <f>IF(B152&lt;&gt;"",IF($B$16=listy!$K$8,'RZĄDOWY PROGRAM'!$F$3*'RZĄDOWY PROGRAM'!$F$15,F151*$F$15),"")</f>
        <v>50</v>
      </c>
      <c r="L152" s="11">
        <f t="shared" si="98"/>
        <v>70</v>
      </c>
      <c r="N152" s="54">
        <f t="shared" si="119"/>
        <v>48519</v>
      </c>
      <c r="O152" s="8">
        <f t="shared" si="99"/>
        <v>125</v>
      </c>
      <c r="P152" s="8"/>
      <c r="Q152" s="11">
        <f>IF(O152&lt;&gt;"",ROUND(IF($F$11="raty równe",-PMT(W152/12,$F$4-O151+SUM($P$28:P152),T151,2),R152+S152),2),"")</f>
        <v>3522.09</v>
      </c>
      <c r="R152" s="11">
        <f>IF(O152&lt;&gt;"",IF($F$11="raty malejące",T151/($F$4-O151+SUM($P$28:P152)),IF(Q152-S152&gt;T151,T151,Q152-S152)),"")</f>
        <v>1438.0669905427667</v>
      </c>
      <c r="S152" s="11">
        <f t="shared" si="121"/>
        <v>2084.0230094572335</v>
      </c>
      <c r="T152" s="9">
        <f t="shared" si="100"/>
        <v>286013.3825897653</v>
      </c>
      <c r="U152" s="10">
        <f t="shared" si="85"/>
        <v>7.0000000000000007E-2</v>
      </c>
      <c r="V152" s="10">
        <f t="shared" si="86"/>
        <v>1.7000000000000001E-2</v>
      </c>
      <c r="W152" s="48">
        <f t="shared" si="101"/>
        <v>8.7000000000000008E-2</v>
      </c>
      <c r="X152" s="11">
        <f t="shared" si="87"/>
        <v>20</v>
      </c>
      <c r="Y152" s="11">
        <f>IF(O152&lt;&gt;"",IF($B$16=listy!$K$8,'RZĄDOWY PROGRAM'!$F$3*'RZĄDOWY PROGRAM'!$F$15,T151*$F$15),"")</f>
        <v>50</v>
      </c>
      <c r="Z152" s="11">
        <f t="shared" si="102"/>
        <v>70</v>
      </c>
      <c r="AB152" s="8">
        <f t="shared" si="103"/>
        <v>125</v>
      </c>
      <c r="AC152" s="8"/>
      <c r="AD152" s="11">
        <f>IF(AB152&lt;&gt;"",ROUND(IF($F$11="raty równe",-PMT(W152/12,$F$4-AB151+SUM($AC$28:AC152),AG151,2),AE152+AF152),2),"")</f>
        <v>3280.39</v>
      </c>
      <c r="AE152" s="11">
        <f>IF(AB152&lt;&gt;"",IF($F$11="raty malejące",AG151/($F$4-AB151+SUM($AC$28:AC151)),MIN(AD152-AF152,AG151)),"")</f>
        <v>1339.3818149762462</v>
      </c>
      <c r="AF152" s="11">
        <f t="shared" si="122"/>
        <v>1941.0081850237536</v>
      </c>
      <c r="AG152" s="9">
        <f t="shared" si="120"/>
        <v>266385.88508485182</v>
      </c>
      <c r="AH152" s="11"/>
      <c r="AI152" s="33">
        <f>IF(AB152&lt;&gt;"",ROUND(IF($F$11="raty równe",-PMT(W152/12,($F$4-AB151+SUM($AC$27:AC151)),AG151,2),AG151/($F$4-AB151+SUM($AC$27:AC151))+AG151*W152/12),2),"")</f>
        <v>3280.39</v>
      </c>
      <c r="AJ152" s="33">
        <f t="shared" si="104"/>
        <v>241.70000000000027</v>
      </c>
      <c r="AK152" s="33">
        <f t="shared" si="88"/>
        <v>36080.524755618884</v>
      </c>
      <c r="AL152" s="33">
        <f>IF(AB152&lt;&gt;"",AK152-SUM($AJ$28:AJ152),"")</f>
        <v>7662.244755618889</v>
      </c>
      <c r="AM152" s="11">
        <f t="shared" si="105"/>
        <v>20</v>
      </c>
      <c r="AN152" s="11">
        <f>IF(AB152&lt;&gt;"",IF($B$16=listy!$K$8,'RZĄDOWY PROGRAM'!$F$3*'RZĄDOWY PROGRAM'!$F$15,AG151*$F$15),"")</f>
        <v>50</v>
      </c>
      <c r="AO152" s="11">
        <f t="shared" si="106"/>
        <v>70</v>
      </c>
      <c r="AQ152" s="8">
        <f t="shared" si="107"/>
        <v>125</v>
      </c>
      <c r="AR152" s="8"/>
      <c r="AS152" s="78">
        <f>IF(AQ152&lt;&gt;"",ROUND(IF($F$11="raty równe",-PMT(W152/12,$F$4-AQ151+SUM($AR$28:AR152),AV151,2),AT152+AU152),2),"")</f>
        <v>3263.82</v>
      </c>
      <c r="AT152" s="78">
        <f>IF(AQ152&lt;&gt;"",IF($F$11="raty malejące",AV151/($F$4-AQ151+SUM($AR$28:AR151)),MIN(AS152-AU152,AV151)),"")</f>
        <v>1332.6157457410525</v>
      </c>
      <c r="AU152" s="78">
        <f t="shared" si="108"/>
        <v>1931.2042542589477</v>
      </c>
      <c r="AV152" s="79">
        <f t="shared" si="109"/>
        <v>265040.38484169997</v>
      </c>
      <c r="AW152" s="11"/>
      <c r="AX152" s="33">
        <f>IF(AQ152&lt;&gt;"",ROUND(IF($F$11="raty równe",-PMT(W152/12,($F$4-AQ151+SUM($AR$27:AR151)),AV151,2),AV151/($F$4-AQ151+SUM($AR$27:AR151))+AV151*W152/12),2),"")</f>
        <v>3263.82</v>
      </c>
      <c r="AY152" s="33">
        <f t="shared" si="110"/>
        <v>258.27</v>
      </c>
      <c r="AZ152" s="33">
        <f t="shared" si="126"/>
        <v>35083.768816842035</v>
      </c>
      <c r="BA152" s="33">
        <f>IF(AQ152&lt;&gt;"",AZ152-SUM($AY$44:AY152),"")</f>
        <v>6932.3488168419972</v>
      </c>
      <c r="BB152" s="11">
        <f t="shared" si="111"/>
        <v>20</v>
      </c>
      <c r="BC152" s="11">
        <f>IF(AQ152&lt;&gt;"",IF($B$16=listy!$K$8,'RZĄDOWY PROGRAM'!$F$3*'RZĄDOWY PROGRAM'!$F$15,AV151*$F$15),"")</f>
        <v>50</v>
      </c>
      <c r="BD152" s="11">
        <f t="shared" si="112"/>
        <v>70</v>
      </c>
      <c r="BF152" s="8">
        <f t="shared" si="113"/>
        <v>125</v>
      </c>
      <c r="BG152" s="8"/>
      <c r="BH152" s="78">
        <f>IF(BF152&lt;&gt;"",ROUND(IF($F$11="raty równe",-PMT(W152/12,$F$4-BF151+SUM(BV$28:$BV152)-SUM($BM$29:BM152),BK151,2),BI152+BJ152),2),"")</f>
        <v>3522.1</v>
      </c>
      <c r="BI152" s="78">
        <f>IF(BF152&lt;&gt;"",IF($F$11="raty malejące",MIN(BK151/($F$4-BF151+SUM($BG$27:BG152)-SUM($BM$27:BM152)),BK151),MIN(BH152-BJ152,BK151)),"")</f>
        <v>1900.2622633629228</v>
      </c>
      <c r="BJ152" s="78">
        <f t="shared" si="114"/>
        <v>1621.8377366370771</v>
      </c>
      <c r="BK152" s="79">
        <f t="shared" si="115"/>
        <v>221801.49451416495</v>
      </c>
      <c r="BL152" s="11"/>
      <c r="BM152" s="33"/>
      <c r="BN152" s="33">
        <f t="shared" si="127"/>
        <v>-9.9999999997635314E-3</v>
      </c>
      <c r="BO152" s="33">
        <f t="shared" si="128"/>
        <v>-0.13124457099694592</v>
      </c>
      <c r="BP152" s="33">
        <f>IF(O152&lt;&gt;"",BO152-SUM($BN$44:BN152),"")</f>
        <v>-4.1244570999074137E-2</v>
      </c>
      <c r="BQ152" s="11">
        <f t="shared" si="89"/>
        <v>20</v>
      </c>
      <c r="BR152" s="11">
        <f>IF(BF152&lt;&gt;"",IF($B$16=listy!$K$8,'RZĄDOWY PROGRAM'!$F$3*'RZĄDOWY PROGRAM'!$F$15,BK151*$F$15),"")</f>
        <v>50</v>
      </c>
      <c r="BS152" s="11">
        <f t="shared" si="90"/>
        <v>70</v>
      </c>
      <c r="BU152" s="8">
        <f t="shared" si="116"/>
        <v>125</v>
      </c>
      <c r="BV152" s="8"/>
      <c r="BW152" s="78">
        <f>IF(BU152&lt;&gt;"",ROUND(IF($F$11="raty równe",-PMT(W152/12,$F$4-BU151+SUM($BV$28:BV152)-$CB$43,BZ151,2),BX152+BY152),2),"")</f>
        <v>3522.1</v>
      </c>
      <c r="BX152" s="78">
        <f>IF(BU152&lt;&gt;"",IF($F$11="raty malejące",MIN(BZ151/($F$4-BU151+SUM($BV$28:BV151)-SUM($CB$28:CB151)),BZ151),MIN(BW152-BY152,BZ151)),"")</f>
        <v>1896.1296829277833</v>
      </c>
      <c r="BY152" s="78">
        <f t="shared" si="130"/>
        <v>1625.9703170722166</v>
      </c>
      <c r="BZ152" s="79">
        <f t="shared" si="124"/>
        <v>222375.63818910209</v>
      </c>
      <c r="CA152" s="11"/>
      <c r="CB152" s="33"/>
      <c r="CC152" s="33">
        <f t="shared" si="117"/>
        <v>-9.9999999997635314E-3</v>
      </c>
      <c r="CD152" s="33">
        <f t="shared" si="129"/>
        <v>0.36162273473422257</v>
      </c>
      <c r="CE152" s="33">
        <f>IF(O152&lt;&gt;"",CD152-SUM($CC$44:CC152),"")</f>
        <v>0.10162273474037076</v>
      </c>
      <c r="CF152" s="11">
        <f t="shared" si="91"/>
        <v>20</v>
      </c>
      <c r="CG152" s="11">
        <f>IF(BU152&lt;&gt;"",IF($B$16=listy!$K$8,'RZĄDOWY PROGRAM'!$F$3*'RZĄDOWY PROGRAM'!$F$15,BZ151*$F$15),"")</f>
        <v>50</v>
      </c>
      <c r="CH152" s="11">
        <f t="shared" si="92"/>
        <v>70</v>
      </c>
      <c r="CJ152" s="48">
        <f t="shared" si="93"/>
        <v>0.06</v>
      </c>
      <c r="CK152" s="18">
        <f t="shared" si="94"/>
        <v>4.8675505653430484E-3</v>
      </c>
      <c r="CL152" s="11">
        <f t="shared" si="131"/>
        <v>0</v>
      </c>
      <c r="CM152" s="11">
        <f t="shared" si="95"/>
        <v>44747.134343381738</v>
      </c>
      <c r="CN152" s="11">
        <f>IF(AB152&lt;&gt;"",CM152-SUM($CL$28:CL152),"")</f>
        <v>16570.374343381744</v>
      </c>
    </row>
    <row r="153" spans="1:92" x14ac:dyDescent="0.45">
      <c r="A153" s="68">
        <f t="shared" si="118"/>
        <v>48549</v>
      </c>
      <c r="B153" s="8">
        <f t="shared" si="78"/>
        <v>126</v>
      </c>
      <c r="C153" s="11">
        <f t="shared" si="79"/>
        <v>3522.1</v>
      </c>
      <c r="D153" s="11">
        <f t="shared" si="80"/>
        <v>1534.6788800721984</v>
      </c>
      <c r="E153" s="11">
        <f t="shared" si="81"/>
        <v>1987.4211199278016</v>
      </c>
      <c r="F153" s="9">
        <f t="shared" si="96"/>
        <v>272592.37214445212</v>
      </c>
      <c r="G153" s="10">
        <f t="shared" si="82"/>
        <v>7.0000000000000007E-2</v>
      </c>
      <c r="H153" s="10">
        <f t="shared" si="83"/>
        <v>1.7000000000000001E-2</v>
      </c>
      <c r="I153" s="48">
        <f t="shared" si="97"/>
        <v>8.7000000000000008E-2</v>
      </c>
      <c r="J153" s="11">
        <f t="shared" si="84"/>
        <v>20</v>
      </c>
      <c r="K153" s="11">
        <f>IF(B153&lt;&gt;"",IF($B$16=listy!$K$8,'RZĄDOWY PROGRAM'!$F$3*'RZĄDOWY PROGRAM'!$F$15,F152*$F$15),"")</f>
        <v>50</v>
      </c>
      <c r="L153" s="11">
        <f t="shared" si="98"/>
        <v>70</v>
      </c>
      <c r="N153" s="54">
        <f t="shared" si="119"/>
        <v>48549</v>
      </c>
      <c r="O153" s="8">
        <f t="shared" si="99"/>
        <v>126</v>
      </c>
      <c r="P153" s="8"/>
      <c r="Q153" s="11">
        <f>IF(O153&lt;&gt;"",ROUND(IF($F$11="raty równe",-PMT(W153/12,$F$4-O152+SUM($P$28:P153),T152,2),R153+S153),2),"")</f>
        <v>3522.1</v>
      </c>
      <c r="R153" s="11">
        <f>IF(O153&lt;&gt;"",IF($F$11="raty malejące",T152/($F$4-O152+SUM($P$28:P153)),IF(Q153-S153&gt;T152,T152,Q153-S153)),"")</f>
        <v>1448.5029762242011</v>
      </c>
      <c r="S153" s="11">
        <f t="shared" si="121"/>
        <v>2073.5970237757988</v>
      </c>
      <c r="T153" s="9">
        <f t="shared" si="100"/>
        <v>284564.87961354112</v>
      </c>
      <c r="U153" s="10">
        <f t="shared" si="85"/>
        <v>7.0000000000000007E-2</v>
      </c>
      <c r="V153" s="10">
        <f t="shared" si="86"/>
        <v>1.7000000000000001E-2</v>
      </c>
      <c r="W153" s="48">
        <f t="shared" si="101"/>
        <v>8.7000000000000008E-2</v>
      </c>
      <c r="X153" s="11">
        <f t="shared" si="87"/>
        <v>20</v>
      </c>
      <c r="Y153" s="11">
        <f>IF(O153&lt;&gt;"",IF($B$16=listy!$K$8,'RZĄDOWY PROGRAM'!$F$3*'RZĄDOWY PROGRAM'!$F$15,T152*$F$15),"")</f>
        <v>50</v>
      </c>
      <c r="Z153" s="11">
        <f t="shared" si="102"/>
        <v>70</v>
      </c>
      <c r="AB153" s="8">
        <f t="shared" si="103"/>
        <v>126</v>
      </c>
      <c r="AC153" s="8"/>
      <c r="AD153" s="11">
        <f>IF(AB153&lt;&gt;"",ROUND(IF($F$11="raty równe",-PMT(W153/12,$F$4-AB152+SUM($AC$28:AC153),AG152,2),AE153+AF153),2),"")</f>
        <v>3280.39</v>
      </c>
      <c r="AE153" s="11">
        <f>IF(AB153&lt;&gt;"",IF($F$11="raty malejące",AG152/($F$4-AB152+SUM($AC$28:AC152)),MIN(AD153-AF153,AG152)),"")</f>
        <v>1349.0923331348242</v>
      </c>
      <c r="AF153" s="11">
        <f t="shared" si="122"/>
        <v>1931.2976668651756</v>
      </c>
      <c r="AG153" s="9">
        <f t="shared" si="120"/>
        <v>265036.79275171697</v>
      </c>
      <c r="AH153" s="11"/>
      <c r="AI153" s="33">
        <f>IF(AB153&lt;&gt;"",ROUND(IF($F$11="raty równe",-PMT(W153/12,($F$4-AB152+SUM($AC$27:AC152)),AG152,2),AG152/($F$4-AB152+SUM($AC$27:AC152))+AG152*W153/12),2),"")</f>
        <v>3280.39</v>
      </c>
      <c r="AJ153" s="33">
        <f t="shared" si="104"/>
        <v>241.71000000000004</v>
      </c>
      <c r="AK153" s="33">
        <f t="shared" si="88"/>
        <v>36464.490016343276</v>
      </c>
      <c r="AL153" s="33">
        <f>IF(AB153&lt;&gt;"",AK153-SUM($AJ$28:AJ153),"")</f>
        <v>7804.5000163432815</v>
      </c>
      <c r="AM153" s="11">
        <f t="shared" si="105"/>
        <v>20</v>
      </c>
      <c r="AN153" s="11">
        <f>IF(AB153&lt;&gt;"",IF($B$16=listy!$K$8,'RZĄDOWY PROGRAM'!$F$3*'RZĄDOWY PROGRAM'!$F$15,AG152*$F$15),"")</f>
        <v>50</v>
      </c>
      <c r="AO153" s="11">
        <f t="shared" si="106"/>
        <v>70</v>
      </c>
      <c r="AQ153" s="8">
        <f t="shared" si="107"/>
        <v>126</v>
      </c>
      <c r="AR153" s="8"/>
      <c r="AS153" s="78">
        <f>IF(AQ153&lt;&gt;"",ROUND(IF($F$11="raty równe",-PMT(W153/12,$F$4-AQ152+SUM($AR$28:AR153),AV152,2),AT153+AU153),2),"")</f>
        <v>3263.83</v>
      </c>
      <c r="AT153" s="78">
        <f>IF(AQ153&lt;&gt;"",IF($F$11="raty malejące",AV152/($F$4-AQ152+SUM($AR$28:AR152)),MIN(AS153-AU153,AV152)),"")</f>
        <v>1342.287209897675</v>
      </c>
      <c r="AU153" s="78">
        <f t="shared" si="108"/>
        <v>1921.5427901023249</v>
      </c>
      <c r="AV153" s="79">
        <f t="shared" si="109"/>
        <v>263698.09763180232</v>
      </c>
      <c r="AW153" s="11"/>
      <c r="AX153" s="33">
        <f>IF(AQ153&lt;&gt;"",ROUND(IF($F$11="raty równe",-PMT(W153/12,($F$4-AQ152+SUM($AR$27:AR152)),AV152,2),AV152/($F$4-AQ152+SUM($AR$27:AR152))+AV152*W153/12),2),"")</f>
        <v>3263.83</v>
      </c>
      <c r="AY153" s="33">
        <f t="shared" si="110"/>
        <v>258.27</v>
      </c>
      <c r="AZ153" s="33">
        <f t="shared" si="126"/>
        <v>35480.364152020447</v>
      </c>
      <c r="BA153" s="33">
        <f>IF(AQ153&lt;&gt;"",AZ153-SUM($AY$44:AY153),"")</f>
        <v>7070.6741520204087</v>
      </c>
      <c r="BB153" s="11">
        <f t="shared" si="111"/>
        <v>20</v>
      </c>
      <c r="BC153" s="11">
        <f>IF(AQ153&lt;&gt;"",IF($B$16=listy!$K$8,'RZĄDOWY PROGRAM'!$F$3*'RZĄDOWY PROGRAM'!$F$15,AV152*$F$15),"")</f>
        <v>50</v>
      </c>
      <c r="BD153" s="11">
        <f t="shared" si="112"/>
        <v>70</v>
      </c>
      <c r="BF153" s="8">
        <f t="shared" si="113"/>
        <v>126</v>
      </c>
      <c r="BG153" s="8"/>
      <c r="BH153" s="78">
        <f>IF(BF153&lt;&gt;"",ROUND(IF($F$11="raty równe",-PMT(W153/12,$F$4-BF152+SUM(BV$28:$BV153)-SUM($BM$29:BM153),BK152,2),BI153+BJ153),2),"")</f>
        <v>3522.09</v>
      </c>
      <c r="BI153" s="78">
        <f>IF(BF153&lt;&gt;"",IF($F$11="raty malejące",MIN(BK152/($F$4-BF152+SUM($BG$27:BG153)-SUM($BM$27:BM153)),BK152),MIN(BH153-BJ153,BK152)),"")</f>
        <v>1914.0291647723041</v>
      </c>
      <c r="BJ153" s="78">
        <f t="shared" si="114"/>
        <v>1608.0608352276961</v>
      </c>
      <c r="BK153" s="79">
        <f t="shared" si="115"/>
        <v>219887.46534939265</v>
      </c>
      <c r="BL153" s="11"/>
      <c r="BM153" s="33"/>
      <c r="BN153" s="33">
        <f t="shared" si="127"/>
        <v>9.9999999997635314E-3</v>
      </c>
      <c r="BO153" s="33">
        <f t="shared" si="128"/>
        <v>-0.12176203106164346</v>
      </c>
      <c r="BP153" s="33">
        <f>IF(O153&lt;&gt;"",BO153-SUM($BN$44:BN153),"")</f>
        <v>-4.176203106353521E-2</v>
      </c>
      <c r="BQ153" s="11">
        <f t="shared" si="89"/>
        <v>20</v>
      </c>
      <c r="BR153" s="11">
        <f>IF(BF153&lt;&gt;"",IF($B$16=listy!$K$8,'RZĄDOWY PROGRAM'!$F$3*'RZĄDOWY PROGRAM'!$F$15,BK152*$F$15),"")</f>
        <v>50</v>
      </c>
      <c r="BS153" s="11">
        <f t="shared" si="90"/>
        <v>70</v>
      </c>
      <c r="BU153" s="8">
        <f t="shared" si="116"/>
        <v>126</v>
      </c>
      <c r="BV153" s="8"/>
      <c r="BW153" s="78">
        <f>IF(BU153&lt;&gt;"",ROUND(IF($F$11="raty równe",-PMT(W153/12,$F$4-BU152+SUM($BV$28:BV153)-$CB$43,BZ152,2),BX153+BY153),2),"")</f>
        <v>3522.09</v>
      </c>
      <c r="BX153" s="78">
        <f>IF(BU153&lt;&gt;"",IF($F$11="raty malejące",MIN(BZ152/($F$4-BU152+SUM($BV$28:BV152)-SUM($CB$28:CB152)),BZ152),MIN(BW153-BY153,BZ152)),"")</f>
        <v>1909.8666231290099</v>
      </c>
      <c r="BY153" s="78">
        <f t="shared" si="130"/>
        <v>1612.2233768709903</v>
      </c>
      <c r="BZ153" s="79">
        <f t="shared" si="124"/>
        <v>220465.77156597309</v>
      </c>
      <c r="CA153" s="11"/>
      <c r="CB153" s="33"/>
      <c r="CC153" s="33">
        <f t="shared" si="117"/>
        <v>9.9999999997635314E-3</v>
      </c>
      <c r="CD153" s="33">
        <f t="shared" si="129"/>
        <v>0.37304851046097226</v>
      </c>
      <c r="CE153" s="33">
        <f>IF(O153&lt;&gt;"",CD153-SUM($CC$44:CC153),"")</f>
        <v>0.10304851046735691</v>
      </c>
      <c r="CF153" s="11">
        <f t="shared" si="91"/>
        <v>20</v>
      </c>
      <c r="CG153" s="11">
        <f>IF(BU153&lt;&gt;"",IF($B$16=listy!$K$8,'RZĄDOWY PROGRAM'!$F$3*'RZĄDOWY PROGRAM'!$F$15,BZ152*$F$15),"")</f>
        <v>50</v>
      </c>
      <c r="CH153" s="11">
        <f t="shared" si="92"/>
        <v>70</v>
      </c>
      <c r="CJ153" s="48">
        <f t="shared" si="93"/>
        <v>0.06</v>
      </c>
      <c r="CK153" s="18">
        <f t="shared" si="94"/>
        <v>4.8675505653430484E-3</v>
      </c>
      <c r="CL153" s="11">
        <f t="shared" si="131"/>
        <v>0</v>
      </c>
      <c r="CM153" s="11">
        <f t="shared" si="95"/>
        <v>44923.559584028932</v>
      </c>
      <c r="CN153" s="11">
        <f>IF(AB153&lt;&gt;"",CM153-SUM($CL$28:CL153),"")</f>
        <v>16746.799584028937</v>
      </c>
    </row>
    <row r="154" spans="1:92" x14ac:dyDescent="0.45">
      <c r="A154" s="68">
        <f t="shared" si="118"/>
        <v>48580</v>
      </c>
      <c r="B154" s="8">
        <f t="shared" si="78"/>
        <v>127</v>
      </c>
      <c r="C154" s="11">
        <f t="shared" si="79"/>
        <v>3522.09</v>
      </c>
      <c r="D154" s="11">
        <f t="shared" si="80"/>
        <v>1545.7953019527222</v>
      </c>
      <c r="E154" s="11">
        <f t="shared" si="81"/>
        <v>1976.294698047278</v>
      </c>
      <c r="F154" s="9">
        <f t="shared" si="96"/>
        <v>271046.57684249937</v>
      </c>
      <c r="G154" s="10">
        <f t="shared" si="82"/>
        <v>7.0000000000000007E-2</v>
      </c>
      <c r="H154" s="10">
        <f t="shared" si="83"/>
        <v>1.7000000000000001E-2</v>
      </c>
      <c r="I154" s="48">
        <f t="shared" si="97"/>
        <v>8.7000000000000008E-2</v>
      </c>
      <c r="J154" s="11">
        <f t="shared" si="84"/>
        <v>20</v>
      </c>
      <c r="K154" s="11">
        <f>IF(B154&lt;&gt;"",IF($B$16=listy!$K$8,'RZĄDOWY PROGRAM'!$F$3*'RZĄDOWY PROGRAM'!$F$15,F153*$F$15),"")</f>
        <v>50</v>
      </c>
      <c r="L154" s="11">
        <f t="shared" si="98"/>
        <v>70</v>
      </c>
      <c r="N154" s="54">
        <f t="shared" si="119"/>
        <v>48580</v>
      </c>
      <c r="O154" s="8">
        <f t="shared" si="99"/>
        <v>127</v>
      </c>
      <c r="P154" s="8"/>
      <c r="Q154" s="11">
        <f>IF(O154&lt;&gt;"",ROUND(IF($F$11="raty równe",-PMT(W154/12,$F$4-O153+SUM($P$28:P154),T153,2),R154+S154),2),"")</f>
        <v>3522.09</v>
      </c>
      <c r="R154" s="11">
        <f>IF(O154&lt;&gt;"",IF($F$11="raty malejące",T153/($F$4-O153+SUM($P$28:P154)),IF(Q154-S154&gt;T153,T153,Q154-S154)),"")</f>
        <v>1458.9946228018266</v>
      </c>
      <c r="S154" s="11">
        <f t="shared" si="121"/>
        <v>2063.0953771981735</v>
      </c>
      <c r="T154" s="9">
        <f t="shared" si="100"/>
        <v>283105.88499073929</v>
      </c>
      <c r="U154" s="10">
        <f t="shared" si="85"/>
        <v>7.0000000000000007E-2</v>
      </c>
      <c r="V154" s="10">
        <f t="shared" si="86"/>
        <v>1.7000000000000001E-2</v>
      </c>
      <c r="W154" s="48">
        <f t="shared" si="101"/>
        <v>8.7000000000000008E-2</v>
      </c>
      <c r="X154" s="11">
        <f t="shared" si="87"/>
        <v>20</v>
      </c>
      <c r="Y154" s="11">
        <f>IF(O154&lt;&gt;"",IF($B$16=listy!$K$8,'RZĄDOWY PROGRAM'!$F$3*'RZĄDOWY PROGRAM'!$F$15,T153*$F$15),"")</f>
        <v>50</v>
      </c>
      <c r="Z154" s="11">
        <f t="shared" si="102"/>
        <v>70</v>
      </c>
      <c r="AB154" s="8">
        <f t="shared" si="103"/>
        <v>127</v>
      </c>
      <c r="AC154" s="8"/>
      <c r="AD154" s="11">
        <f>IF(AB154&lt;&gt;"",ROUND(IF($F$11="raty równe",-PMT(W154/12,$F$4-AB153+SUM($AC$28:AC154),AG153,2),AE154+AF154),2),"")</f>
        <v>3280.39</v>
      </c>
      <c r="AE154" s="11">
        <f>IF(AB154&lt;&gt;"",IF($F$11="raty malejące",AG153/($F$4-AB153+SUM($AC$28:AC153)),MIN(AD154-AF154,AG153)),"")</f>
        <v>1358.8732525500516</v>
      </c>
      <c r="AF154" s="11">
        <f t="shared" si="122"/>
        <v>1921.5167474499483</v>
      </c>
      <c r="AG154" s="9">
        <f t="shared" si="120"/>
        <v>263677.91949916695</v>
      </c>
      <c r="AH154" s="11"/>
      <c r="AI154" s="33">
        <f>IF(AB154&lt;&gt;"",ROUND(IF($F$11="raty równe",-PMT(W154/12,($F$4-AB153+SUM($AC$27:AC153)),AG153,2),AG153/($F$4-AB153+SUM($AC$27:AC153))+AG153*W154/12),2),"")</f>
        <v>3280.39</v>
      </c>
      <c r="AJ154" s="33">
        <f t="shared" si="104"/>
        <v>241.70000000000027</v>
      </c>
      <c r="AK154" s="33">
        <f t="shared" si="88"/>
        <v>36849.959143028413</v>
      </c>
      <c r="AL154" s="33">
        <f>IF(AB154&lt;&gt;"",AK154-SUM($AJ$28:AJ154),"")</f>
        <v>7948.2691430284176</v>
      </c>
      <c r="AM154" s="11">
        <f t="shared" si="105"/>
        <v>20</v>
      </c>
      <c r="AN154" s="11">
        <f>IF(AB154&lt;&gt;"",IF($B$16=listy!$K$8,'RZĄDOWY PROGRAM'!$F$3*'RZĄDOWY PROGRAM'!$F$15,AG153*$F$15),"")</f>
        <v>50</v>
      </c>
      <c r="AO154" s="11">
        <f t="shared" si="106"/>
        <v>70</v>
      </c>
      <c r="AQ154" s="8">
        <f t="shared" si="107"/>
        <v>127</v>
      </c>
      <c r="AR154" s="8"/>
      <c r="AS154" s="78">
        <f>IF(AQ154&lt;&gt;"",ROUND(IF($F$11="raty równe",-PMT(W154/12,$F$4-AQ153+SUM($AR$28:AR154),AV153,2),AT154+AU154),2),"")</f>
        <v>3263.82</v>
      </c>
      <c r="AT154" s="78">
        <f>IF(AQ154&lt;&gt;"",IF($F$11="raty malejące",AV153/($F$4-AQ153+SUM($AR$28:AR153)),MIN(AS154-AU154,AV153)),"")</f>
        <v>1352.0087921694333</v>
      </c>
      <c r="AU154" s="78">
        <f t="shared" si="108"/>
        <v>1911.8112078305669</v>
      </c>
      <c r="AV154" s="79">
        <f t="shared" si="109"/>
        <v>262346.08883963287</v>
      </c>
      <c r="AW154" s="11"/>
      <c r="AX154" s="33">
        <f>IF(AQ154&lt;&gt;"",ROUND(IF($F$11="raty równe",-PMT(W154/12,($F$4-AQ153+SUM($AR$27:AR153)),AV153,2),AV153/($F$4-AQ153+SUM($AR$27:AR153))+AV153*W154/12),2),"")</f>
        <v>3263.82</v>
      </c>
      <c r="AY154" s="33">
        <f t="shared" si="110"/>
        <v>258.27</v>
      </c>
      <c r="AZ154" s="33">
        <f t="shared" si="126"/>
        <v>35878.523149955712</v>
      </c>
      <c r="BA154" s="33">
        <f>IF(AQ154&lt;&gt;"",AZ154-SUM($AY$44:AY154),"")</f>
        <v>7210.563149955673</v>
      </c>
      <c r="BB154" s="11">
        <f t="shared" si="111"/>
        <v>20</v>
      </c>
      <c r="BC154" s="11">
        <f>IF(AQ154&lt;&gt;"",IF($B$16=listy!$K$8,'RZĄDOWY PROGRAM'!$F$3*'RZĄDOWY PROGRAM'!$F$15,AV153*$F$15),"")</f>
        <v>50</v>
      </c>
      <c r="BD154" s="11">
        <f t="shared" si="112"/>
        <v>70</v>
      </c>
      <c r="BF154" s="8">
        <f t="shared" si="113"/>
        <v>127</v>
      </c>
      <c r="BG154" s="8"/>
      <c r="BH154" s="78">
        <f>IF(BF154&lt;&gt;"",ROUND(IF($F$11="raty równe",-PMT(W154/12,$F$4-BF153+SUM(BV$28:$BV154)-SUM($BM$29:BM154),BK153,2),BI154+BJ154),2),"")</f>
        <v>3522.1</v>
      </c>
      <c r="BI154" s="78">
        <f>IF(BF154&lt;&gt;"",IF($F$11="raty malejące",MIN(BK153/($F$4-BF153+SUM($BG$27:BG154)-SUM($BM$27:BM154)),BK153),MIN(BH154-BJ154,BK153)),"")</f>
        <v>1927.9158762169031</v>
      </c>
      <c r="BJ154" s="78">
        <f t="shared" si="114"/>
        <v>1594.1841237830968</v>
      </c>
      <c r="BK154" s="79">
        <f t="shared" si="115"/>
        <v>217959.54947317575</v>
      </c>
      <c r="BL154" s="11"/>
      <c r="BM154" s="33"/>
      <c r="BN154" s="33">
        <f t="shared" si="127"/>
        <v>-9.9999999997635314E-3</v>
      </c>
      <c r="BO154" s="33">
        <f t="shared" si="128"/>
        <v>-0.13224210416434345</v>
      </c>
      <c r="BP154" s="33">
        <f>IF(O154&lt;&gt;"",BO154-SUM($BN$44:BN154),"")</f>
        <v>-4.2242104166471672E-2</v>
      </c>
      <c r="BQ154" s="11">
        <f t="shared" si="89"/>
        <v>20</v>
      </c>
      <c r="BR154" s="11">
        <f>IF(BF154&lt;&gt;"",IF($B$16=listy!$K$8,'RZĄDOWY PROGRAM'!$F$3*'RZĄDOWY PROGRAM'!$F$15,BK153*$F$15),"")</f>
        <v>50</v>
      </c>
      <c r="BS154" s="11">
        <f t="shared" si="90"/>
        <v>70</v>
      </c>
      <c r="BU154" s="8">
        <f t="shared" si="116"/>
        <v>127</v>
      </c>
      <c r="BV154" s="8"/>
      <c r="BW154" s="78">
        <f>IF(BU154&lt;&gt;"",ROUND(IF($F$11="raty równe",-PMT(W154/12,$F$4-BU153+SUM($BV$28:BV154)-$CB$43,BZ153,2),BX154+BY154),2),"")</f>
        <v>3522.09</v>
      </c>
      <c r="BX154" s="78">
        <f>IF(BU154&lt;&gt;"",IF($F$11="raty malejące",MIN(BZ153/($F$4-BU153+SUM($BV$28:BV153)-SUM($CB$28:CB153)),BZ153),MIN(BW154-BY154,BZ153)),"")</f>
        <v>1923.7131561466952</v>
      </c>
      <c r="BY154" s="78">
        <f t="shared" si="130"/>
        <v>1598.376843853305</v>
      </c>
      <c r="BZ154" s="79">
        <f t="shared" si="124"/>
        <v>218542.05840982639</v>
      </c>
      <c r="CA154" s="11"/>
      <c r="CB154" s="33"/>
      <c r="CC154" s="33">
        <f t="shared" si="117"/>
        <v>0</v>
      </c>
      <c r="CD154" s="33">
        <f t="shared" si="129"/>
        <v>0.37451933477624799</v>
      </c>
      <c r="CE154" s="33">
        <f>IF(O154&lt;&gt;"",CD154-SUM($CC$44:CC154),"")</f>
        <v>0.10451933478263264</v>
      </c>
      <c r="CF154" s="11">
        <f t="shared" si="91"/>
        <v>20</v>
      </c>
      <c r="CG154" s="11">
        <f>IF(BU154&lt;&gt;"",IF($B$16=listy!$K$8,'RZĄDOWY PROGRAM'!$F$3*'RZĄDOWY PROGRAM'!$F$15,BZ153*$F$15),"")</f>
        <v>50</v>
      </c>
      <c r="CH154" s="11">
        <f t="shared" si="92"/>
        <v>70</v>
      </c>
      <c r="CJ154" s="48">
        <f t="shared" si="93"/>
        <v>0.06</v>
      </c>
      <c r="CK154" s="18">
        <f t="shared" si="94"/>
        <v>4.8675505653430484E-3</v>
      </c>
      <c r="CL154" s="11">
        <f t="shared" si="131"/>
        <v>0</v>
      </c>
      <c r="CM154" s="11">
        <f t="shared" si="95"/>
        <v>45100.680419287812</v>
      </c>
      <c r="CN154" s="11">
        <f>IF(AB154&lt;&gt;"",CM154-SUM($CL$28:CL154),"")</f>
        <v>16923.920419287817</v>
      </c>
    </row>
    <row r="155" spans="1:92" x14ac:dyDescent="0.45">
      <c r="A155" s="68">
        <f t="shared" si="118"/>
        <v>48611</v>
      </c>
      <c r="B155" s="8">
        <f t="shared" si="78"/>
        <v>128</v>
      </c>
      <c r="C155" s="11">
        <f t="shared" si="79"/>
        <v>3522.1</v>
      </c>
      <c r="D155" s="11">
        <f t="shared" si="80"/>
        <v>1557.0123178918791</v>
      </c>
      <c r="E155" s="11">
        <f t="shared" si="81"/>
        <v>1965.0876821081208</v>
      </c>
      <c r="F155" s="9">
        <f t="shared" si="96"/>
        <v>269489.5645246075</v>
      </c>
      <c r="G155" s="10">
        <f t="shared" si="82"/>
        <v>7.0000000000000007E-2</v>
      </c>
      <c r="H155" s="10">
        <f t="shared" si="83"/>
        <v>1.7000000000000001E-2</v>
      </c>
      <c r="I155" s="48">
        <f t="shared" si="97"/>
        <v>8.7000000000000008E-2</v>
      </c>
      <c r="J155" s="11">
        <f t="shared" si="84"/>
        <v>20</v>
      </c>
      <c r="K155" s="11">
        <f>IF(B155&lt;&gt;"",IF($B$16=listy!$K$8,'RZĄDOWY PROGRAM'!$F$3*'RZĄDOWY PROGRAM'!$F$15,F154*$F$15),"")</f>
        <v>50</v>
      </c>
      <c r="L155" s="11">
        <f t="shared" si="98"/>
        <v>70</v>
      </c>
      <c r="N155" s="54">
        <f t="shared" si="119"/>
        <v>48611</v>
      </c>
      <c r="O155" s="8">
        <f t="shared" si="99"/>
        <v>128</v>
      </c>
      <c r="P155" s="8"/>
      <c r="Q155" s="11">
        <f>IF(O155&lt;&gt;"",ROUND(IF($F$11="raty równe",-PMT(W155/12,$F$4-O154+SUM($P$28:P155),T154,2),R155+S155),2),"")</f>
        <v>3522.1</v>
      </c>
      <c r="R155" s="11">
        <f>IF(O155&lt;&gt;"",IF($F$11="raty malejące",T154/($F$4-O154+SUM($P$28:P155)),IF(Q155-S155&gt;T154,T154,Q155-S155)),"")</f>
        <v>1469.5823338171399</v>
      </c>
      <c r="S155" s="11">
        <f t="shared" si="121"/>
        <v>2052.51766618286</v>
      </c>
      <c r="T155" s="9">
        <f t="shared" si="100"/>
        <v>281636.30265692214</v>
      </c>
      <c r="U155" s="10">
        <f t="shared" si="85"/>
        <v>7.0000000000000007E-2</v>
      </c>
      <c r="V155" s="10">
        <f t="shared" si="86"/>
        <v>1.7000000000000001E-2</v>
      </c>
      <c r="W155" s="48">
        <f t="shared" si="101"/>
        <v>8.7000000000000008E-2</v>
      </c>
      <c r="X155" s="11">
        <f t="shared" si="87"/>
        <v>20</v>
      </c>
      <c r="Y155" s="11">
        <f>IF(O155&lt;&gt;"",IF($B$16=listy!$K$8,'RZĄDOWY PROGRAM'!$F$3*'RZĄDOWY PROGRAM'!$F$15,T154*$F$15),"")</f>
        <v>50</v>
      </c>
      <c r="Z155" s="11">
        <f t="shared" si="102"/>
        <v>70</v>
      </c>
      <c r="AB155" s="8">
        <f t="shared" si="103"/>
        <v>128</v>
      </c>
      <c r="AC155" s="8"/>
      <c r="AD155" s="11">
        <f>IF(AB155&lt;&gt;"",ROUND(IF($F$11="raty równe",-PMT(W155/12,$F$4-AB154+SUM($AC$28:AC155),AG154,2),AE155+AF155),2),"")</f>
        <v>3280.39</v>
      </c>
      <c r="AE155" s="11">
        <f>IF(AB155&lt;&gt;"",IF($F$11="raty malejące",AG154/($F$4-AB154+SUM($AC$28:AC154)),MIN(AD155-AF155,AG154)),"")</f>
        <v>1368.7250836310393</v>
      </c>
      <c r="AF155" s="11">
        <f t="shared" si="122"/>
        <v>1911.6649163689606</v>
      </c>
      <c r="AG155" s="9">
        <f t="shared" si="120"/>
        <v>262309.19441553589</v>
      </c>
      <c r="AH155" s="11"/>
      <c r="AI155" s="33">
        <f>IF(AB155&lt;&gt;"",ROUND(IF($F$11="raty równe",-PMT(W155/12,($F$4-AB154+SUM($AC$27:AC154)),AG154,2),AG154/($F$4-AB154+SUM($AC$27:AC154))+AG154*W155/12),2),"")</f>
        <v>3280.39</v>
      </c>
      <c r="AJ155" s="33">
        <f t="shared" si="104"/>
        <v>241.71000000000004</v>
      </c>
      <c r="AK155" s="33">
        <f t="shared" si="88"/>
        <v>37236.95806499062</v>
      </c>
      <c r="AL155" s="33">
        <f>IF(AB155&lt;&gt;"",AK155-SUM($AJ$28:AJ155),"")</f>
        <v>8093.558064990626</v>
      </c>
      <c r="AM155" s="11">
        <f t="shared" si="105"/>
        <v>20</v>
      </c>
      <c r="AN155" s="11">
        <f>IF(AB155&lt;&gt;"",IF($B$16=listy!$K$8,'RZĄDOWY PROGRAM'!$F$3*'RZĄDOWY PROGRAM'!$F$15,AG154*$F$15),"")</f>
        <v>50</v>
      </c>
      <c r="AO155" s="11">
        <f t="shared" si="106"/>
        <v>70</v>
      </c>
      <c r="AQ155" s="8">
        <f t="shared" si="107"/>
        <v>128</v>
      </c>
      <c r="AR155" s="8"/>
      <c r="AS155" s="78">
        <f>IF(AQ155&lt;&gt;"",ROUND(IF($F$11="raty równe",-PMT(W155/12,$F$4-AQ154+SUM($AR$28:AR155),AV154,2),AT155+AU155),2),"")</f>
        <v>3263.83</v>
      </c>
      <c r="AT155" s="78">
        <f>IF(AQ155&lt;&gt;"",IF($F$11="raty malejące",AV154/($F$4-AQ154+SUM($AR$28:AR154)),MIN(AS155-AU155,AV154)),"")</f>
        <v>1361.8208559126615</v>
      </c>
      <c r="AU155" s="78">
        <f t="shared" si="108"/>
        <v>1902.0091440873384</v>
      </c>
      <c r="AV155" s="79">
        <f t="shared" si="109"/>
        <v>260984.2679837202</v>
      </c>
      <c r="AW155" s="11"/>
      <c r="AX155" s="33">
        <f>IF(AQ155&lt;&gt;"",ROUND(IF($F$11="raty równe",-PMT(W155/12,($F$4-AQ154+SUM($AR$27:AR154)),AV154,2),AV154/($F$4-AQ154+SUM($AR$27:AR154))+AV154*W155/12),2),"")</f>
        <v>3263.83</v>
      </c>
      <c r="AY155" s="33">
        <f t="shared" si="110"/>
        <v>258.27</v>
      </c>
      <c r="AZ155" s="33">
        <f t="shared" si="126"/>
        <v>36278.251975725929</v>
      </c>
      <c r="BA155" s="33">
        <f>IF(AQ155&lt;&gt;"",AZ155-SUM($AY$44:AY155),"")</f>
        <v>7352.0219757258892</v>
      </c>
      <c r="BB155" s="11">
        <f t="shared" si="111"/>
        <v>20</v>
      </c>
      <c r="BC155" s="11">
        <f>IF(AQ155&lt;&gt;"",IF($B$16=listy!$K$8,'RZĄDOWY PROGRAM'!$F$3*'RZĄDOWY PROGRAM'!$F$15,AV154*$F$15),"")</f>
        <v>50</v>
      </c>
      <c r="BD155" s="11">
        <f t="shared" si="112"/>
        <v>70</v>
      </c>
      <c r="BF155" s="8">
        <f t="shared" si="113"/>
        <v>128</v>
      </c>
      <c r="BG155" s="8"/>
      <c r="BH155" s="78">
        <f>IF(BF155&lt;&gt;"",ROUND(IF($F$11="raty równe",-PMT(W155/12,$F$4-BF154+SUM(BV$28:$BV155)-SUM($BM$29:BM155),BK154,2),BI155+BJ155),2),"")</f>
        <v>3522.09</v>
      </c>
      <c r="BI155" s="78">
        <f>IF(BF155&lt;&gt;"",IF($F$11="raty malejące",MIN(BK154/($F$4-BF154+SUM($BG$27:BG155)-SUM($BM$27:BM155)),BK154),MIN(BH155-BJ155,BK154)),"")</f>
        <v>1941.883266319476</v>
      </c>
      <c r="BJ155" s="78">
        <f t="shared" si="114"/>
        <v>1580.2067336805242</v>
      </c>
      <c r="BK155" s="79">
        <f t="shared" si="115"/>
        <v>216017.66620685629</v>
      </c>
      <c r="BL155" s="11"/>
      <c r="BM155" s="33"/>
      <c r="BN155" s="33">
        <f t="shared" si="127"/>
        <v>9.9999999997635314E-3</v>
      </c>
      <c r="BO155" s="33">
        <f t="shared" si="128"/>
        <v>-0.12276349721897864</v>
      </c>
      <c r="BP155" s="33">
        <f>IF(O155&lt;&gt;"",BO155-SUM($BN$44:BN155),"")</f>
        <v>-4.2763497220870389E-2</v>
      </c>
      <c r="BQ155" s="11">
        <f t="shared" si="89"/>
        <v>20</v>
      </c>
      <c r="BR155" s="11">
        <f>IF(BF155&lt;&gt;"",IF($B$16=listy!$K$8,'RZĄDOWY PROGRAM'!$F$3*'RZĄDOWY PROGRAM'!$F$15,BK154*$F$15),"")</f>
        <v>50</v>
      </c>
      <c r="BS155" s="11">
        <f t="shared" si="90"/>
        <v>70</v>
      </c>
      <c r="BU155" s="8">
        <f t="shared" si="116"/>
        <v>128</v>
      </c>
      <c r="BV155" s="8"/>
      <c r="BW155" s="78">
        <f>IF(BU155&lt;&gt;"",ROUND(IF($F$11="raty równe",-PMT(W155/12,$F$4-BU154+SUM($BV$28:BV155)-$CB$43,BZ154,2),BX155+BY155),2),"")</f>
        <v>3522.1</v>
      </c>
      <c r="BX155" s="78">
        <f>IF(BU155&lt;&gt;"",IF($F$11="raty malejące",MIN(BZ154/($F$4-BU154+SUM($BV$28:BV154)-SUM($CB$28:CB154)),BZ154),MIN(BW155-BY155,BZ154)),"")</f>
        <v>1937.6700765287583</v>
      </c>
      <c r="BY155" s="78">
        <f t="shared" si="130"/>
        <v>1584.4299234712416</v>
      </c>
      <c r="BZ155" s="79">
        <f t="shared" si="124"/>
        <v>216604.38833329763</v>
      </c>
      <c r="CA155" s="11"/>
      <c r="CB155" s="33"/>
      <c r="CC155" s="33">
        <f t="shared" si="117"/>
        <v>0</v>
      </c>
      <c r="CD155" s="33">
        <f t="shared" si="129"/>
        <v>0.37599595813402287</v>
      </c>
      <c r="CE155" s="33">
        <f>IF(O155&lt;&gt;"",CD155-SUM($CC$44:CC155),"")</f>
        <v>0.10599595814040752</v>
      </c>
      <c r="CF155" s="11">
        <f t="shared" si="91"/>
        <v>20</v>
      </c>
      <c r="CG155" s="11">
        <f>IF(BU155&lt;&gt;"",IF($B$16=listy!$K$8,'RZĄDOWY PROGRAM'!$F$3*'RZĄDOWY PROGRAM'!$F$15,BZ154*$F$15),"")</f>
        <v>50</v>
      </c>
      <c r="CH155" s="11">
        <f t="shared" si="92"/>
        <v>70</v>
      </c>
      <c r="CJ155" s="48">
        <f t="shared" si="93"/>
        <v>0.06</v>
      </c>
      <c r="CK155" s="18">
        <f t="shared" si="94"/>
        <v>4.8675505653430484E-3</v>
      </c>
      <c r="CL155" s="11">
        <f t="shared" si="131"/>
        <v>0</v>
      </c>
      <c r="CM155" s="11">
        <f t="shared" si="95"/>
        <v>45278.499591690343</v>
      </c>
      <c r="CN155" s="11">
        <f>IF(AB155&lt;&gt;"",CM155-SUM($CL$28:CL155),"")</f>
        <v>17101.739591690348</v>
      </c>
    </row>
    <row r="156" spans="1:92" x14ac:dyDescent="0.45">
      <c r="A156" s="68">
        <f t="shared" si="118"/>
        <v>48639</v>
      </c>
      <c r="B156" s="8">
        <f t="shared" ref="B156:B219" si="132">IFERROR(IF(B155+1&lt;=$F$4,B155+1,""),"")</f>
        <v>129</v>
      </c>
      <c r="C156" s="11">
        <f t="shared" ref="C156:C219" si="133">IF(B156&lt;&gt;"",ROUND(IF($F$11="raty równe",-PMT(I156/12,$F$4-B155,F155,2),D156+E156),2),"")</f>
        <v>3522.09</v>
      </c>
      <c r="D156" s="11">
        <f t="shared" ref="D156:D219" si="134">IF(B156&lt;&gt;"",IF($F$11="raty malejące",F155/($F$4-B155),IF(C156-E156&gt;F155,F155,C156-E156)),"")</f>
        <v>1568.2906571965957</v>
      </c>
      <c r="E156" s="11">
        <f t="shared" ref="E156:E219" si="135">IF(B156&lt;&gt;"",F155*I156/12,"")</f>
        <v>1953.7993428034044</v>
      </c>
      <c r="F156" s="9">
        <f t="shared" si="96"/>
        <v>267921.2738674109</v>
      </c>
      <c r="G156" s="10">
        <f t="shared" ref="G156:G219" si="136">IF(B156&lt;&gt;"",$F$5,"")</f>
        <v>7.0000000000000007E-2</v>
      </c>
      <c r="H156" s="10">
        <f t="shared" ref="H156:H219" si="137">IF(B156&lt;&gt;"",$F$6,"")</f>
        <v>1.7000000000000001E-2</v>
      </c>
      <c r="I156" s="48">
        <f t="shared" si="97"/>
        <v>8.7000000000000008E-2</v>
      </c>
      <c r="J156" s="11">
        <f t="shared" ref="J156:J219" si="138">IF(B156&lt;=$F$4,$F$14,"")</f>
        <v>20</v>
      </c>
      <c r="K156" s="11">
        <f>IF(B156&lt;&gt;"",IF($B$16=listy!$K$8,'RZĄDOWY PROGRAM'!$F$3*'RZĄDOWY PROGRAM'!$F$15,F155*$F$15),"")</f>
        <v>50</v>
      </c>
      <c r="L156" s="11">
        <f t="shared" si="98"/>
        <v>70</v>
      </c>
      <c r="N156" s="54">
        <f t="shared" si="119"/>
        <v>48639</v>
      </c>
      <c r="O156" s="8">
        <f t="shared" si="99"/>
        <v>129</v>
      </c>
      <c r="P156" s="8"/>
      <c r="Q156" s="11">
        <f>IF(O156&lt;&gt;"",ROUND(IF($F$11="raty równe",-PMT(W156/12,$F$4-O155+SUM($P$28:P156),T155,2),R156+S156),2),"")</f>
        <v>3522.09</v>
      </c>
      <c r="R156" s="11">
        <f>IF(O156&lt;&gt;"",IF($F$11="raty malejące",T155/($F$4-O155+SUM($P$28:P156)),IF(Q156-S156&gt;T155,T155,Q156-S156)),"")</f>
        <v>1480.2268057373146</v>
      </c>
      <c r="S156" s="11">
        <f t="shared" si="121"/>
        <v>2041.8631942626855</v>
      </c>
      <c r="T156" s="9">
        <f t="shared" si="100"/>
        <v>280156.07585118484</v>
      </c>
      <c r="U156" s="10">
        <f t="shared" ref="U156:U219" si="139">IF(O156&lt;&gt;"",$F$5,"")</f>
        <v>7.0000000000000007E-2</v>
      </c>
      <c r="V156" s="10">
        <f t="shared" ref="V156:V219" si="140">IF(O156&lt;&gt;"",$F$6,"")</f>
        <v>1.7000000000000001E-2</v>
      </c>
      <c r="W156" s="48">
        <f t="shared" si="101"/>
        <v>8.7000000000000008E-2</v>
      </c>
      <c r="X156" s="11">
        <f t="shared" ref="X156:X219" si="141">IF(O156&lt;&gt;"",$F$14,"")</f>
        <v>20</v>
      </c>
      <c r="Y156" s="11">
        <f>IF(O156&lt;&gt;"",IF($B$16=listy!$K$8,'RZĄDOWY PROGRAM'!$F$3*'RZĄDOWY PROGRAM'!$F$15,T155*$F$15),"")</f>
        <v>50</v>
      </c>
      <c r="Z156" s="11">
        <f t="shared" si="102"/>
        <v>70</v>
      </c>
      <c r="AB156" s="8">
        <f t="shared" si="103"/>
        <v>129</v>
      </c>
      <c r="AC156" s="8"/>
      <c r="AD156" s="11">
        <f>IF(AB156&lt;&gt;"",ROUND(IF($F$11="raty równe",-PMT(W156/12,$F$4-AB155+SUM($AC$28:AC156),AG155,2),AE156+AF156),2),"")</f>
        <v>3280.39</v>
      </c>
      <c r="AE156" s="11">
        <f>IF(AB156&lt;&gt;"",IF($F$11="raty malejące",AG155/($F$4-AB155+SUM($AC$28:AC155)),MIN(AD156-AF156,AG155)),"")</f>
        <v>1378.6483404873645</v>
      </c>
      <c r="AF156" s="11">
        <f t="shared" si="122"/>
        <v>1901.7416595126354</v>
      </c>
      <c r="AG156" s="9">
        <f t="shared" si="120"/>
        <v>260930.54607504854</v>
      </c>
      <c r="AH156" s="11"/>
      <c r="AI156" s="33">
        <f>IF(AB156&lt;&gt;"",ROUND(IF($F$11="raty równe",-PMT(W156/12,($F$4-AB155+SUM($AC$27:AC155)),AG155,2),AG155/($F$4-AB155+SUM($AC$27:AC155))+AG155*W156/12),2),"")</f>
        <v>3280.39</v>
      </c>
      <c r="AJ156" s="33">
        <f t="shared" si="104"/>
        <v>241.70000000000027</v>
      </c>
      <c r="AK156" s="33">
        <f t="shared" ref="AK156:AK219" si="142">IF(AB156&lt;&gt;"",IF($F$21="co miesiąc",AK155*(1+(1-$F$20)*CK156)+AJ156,(AK155*(1+CK156)+AJ156)),"")</f>
        <v>37625.472813778149</v>
      </c>
      <c r="AL156" s="33">
        <f>IF(AB156&lt;&gt;"",AK156-SUM($AJ$28:AJ156),"")</f>
        <v>8240.3728137781545</v>
      </c>
      <c r="AM156" s="11">
        <f t="shared" si="105"/>
        <v>20</v>
      </c>
      <c r="AN156" s="11">
        <f>IF(AB156&lt;&gt;"",IF($B$16=listy!$K$8,'RZĄDOWY PROGRAM'!$F$3*'RZĄDOWY PROGRAM'!$F$15,AG155*$F$15),"")</f>
        <v>50</v>
      </c>
      <c r="AO156" s="11">
        <f t="shared" si="106"/>
        <v>70</v>
      </c>
      <c r="AQ156" s="8">
        <f t="shared" si="107"/>
        <v>129</v>
      </c>
      <c r="AR156" s="8"/>
      <c r="AS156" s="78">
        <f>IF(AQ156&lt;&gt;"",ROUND(IF($F$11="raty równe",-PMT(W156/12,$F$4-AQ155+SUM($AR$28:AR156),AV155,2),AT156+AU156),2),"")</f>
        <v>3263.82</v>
      </c>
      <c r="AT156" s="78">
        <f>IF(AQ156&lt;&gt;"",IF($F$11="raty malejące",AV155/($F$4-AQ155+SUM($AR$28:AR155)),MIN(AS156-AU156,AV155)),"")</f>
        <v>1371.6840571180285</v>
      </c>
      <c r="AU156" s="78">
        <f t="shared" si="108"/>
        <v>1892.1359428819717</v>
      </c>
      <c r="AV156" s="79">
        <f t="shared" si="109"/>
        <v>259612.58392660218</v>
      </c>
      <c r="AW156" s="11"/>
      <c r="AX156" s="33">
        <f>IF(AQ156&lt;&gt;"",ROUND(IF($F$11="raty równe",-PMT(W156/12,($F$4-AQ155+SUM($AR$27:AR155)),AV155,2),AV155/($F$4-AQ155+SUM($AR$27:AR155))+AV155*W156/12),2),"")</f>
        <v>3263.82</v>
      </c>
      <c r="AY156" s="33">
        <f t="shared" si="110"/>
        <v>258.27</v>
      </c>
      <c r="AZ156" s="33">
        <f t="shared" si="126"/>
        <v>36679.556818716352</v>
      </c>
      <c r="BA156" s="33">
        <f>IF(AQ156&lt;&gt;"",AZ156-SUM($AY$44:AY156),"")</f>
        <v>7495.0568187163117</v>
      </c>
      <c r="BB156" s="11">
        <f t="shared" si="111"/>
        <v>20</v>
      </c>
      <c r="BC156" s="11">
        <f>IF(AQ156&lt;&gt;"",IF($B$16=listy!$K$8,'RZĄDOWY PROGRAM'!$F$3*'RZĄDOWY PROGRAM'!$F$15,AV155*$F$15),"")</f>
        <v>50</v>
      </c>
      <c r="BD156" s="11">
        <f t="shared" si="112"/>
        <v>70</v>
      </c>
      <c r="BF156" s="8">
        <f t="shared" si="113"/>
        <v>129</v>
      </c>
      <c r="BG156" s="8"/>
      <c r="BH156" s="78">
        <f>IF(BF156&lt;&gt;"",ROUND(IF($F$11="raty równe",-PMT(W156/12,$F$4-BF155+SUM(BV$28:$BV156)-SUM($BM$29:BM156),BK155,2),BI156+BJ156),2),"")</f>
        <v>3522.1</v>
      </c>
      <c r="BI156" s="78">
        <f>IF(BF156&lt;&gt;"",IF($F$11="raty malejące",MIN(BK155/($F$4-BF155+SUM($BG$27:BG156)-SUM($BM$27:BM156)),BK155),MIN(BH156-BJ156,BK155)),"")</f>
        <v>1955.9719200002917</v>
      </c>
      <c r="BJ156" s="78">
        <f t="shared" si="114"/>
        <v>1566.1280799997082</v>
      </c>
      <c r="BK156" s="79">
        <f t="shared" si="115"/>
        <v>214061.69428685599</v>
      </c>
      <c r="BL156" s="11"/>
      <c r="BM156" s="33"/>
      <c r="BN156" s="33">
        <f t="shared" si="127"/>
        <v>-9.9999999997635314E-3</v>
      </c>
      <c r="BO156" s="33">
        <f t="shared" si="128"/>
        <v>-0.13324751881827848</v>
      </c>
      <c r="BP156" s="33">
        <f>IF(O156&lt;&gt;"",BO156-SUM($BN$44:BN156),"")</f>
        <v>-4.32475188204067E-2</v>
      </c>
      <c r="BQ156" s="11">
        <f t="shared" ref="BQ156:BQ219" si="143">IF(BF156&lt;&gt;"",$F$14,"")</f>
        <v>20</v>
      </c>
      <c r="BR156" s="11">
        <f>IF(BF156&lt;&gt;"",IF($B$16=listy!$K$8,'RZĄDOWY PROGRAM'!$F$3*'RZĄDOWY PROGRAM'!$F$15,BK155*$F$15),"")</f>
        <v>50</v>
      </c>
      <c r="BS156" s="11">
        <f t="shared" ref="BS156:BS219" si="144">IF(BH156&lt;&gt;"",BQ156+BR156,"")</f>
        <v>70</v>
      </c>
      <c r="BU156" s="8">
        <f t="shared" si="116"/>
        <v>129</v>
      </c>
      <c r="BV156" s="8"/>
      <c r="BW156" s="78">
        <f>IF(BU156&lt;&gt;"",ROUND(IF($F$11="raty równe",-PMT(W156/12,$F$4-BU155+SUM($BV$28:BV156)-$CB$43,BZ155,2),BX156+BY156),2),"")</f>
        <v>3522.1</v>
      </c>
      <c r="BX156" s="78">
        <f>IF(BU156&lt;&gt;"",IF($F$11="raty malejące",MIN(BZ155/($F$4-BU155+SUM($BV$28:BV155)-SUM($CB$28:CB155)),BZ155),MIN(BW156-BY156,BZ155)),"")</f>
        <v>1951.7181845835919</v>
      </c>
      <c r="BY156" s="78">
        <f t="shared" si="130"/>
        <v>1570.381815416408</v>
      </c>
      <c r="BZ156" s="79">
        <f t="shared" si="124"/>
        <v>214652.67014871404</v>
      </c>
      <c r="CA156" s="11"/>
      <c r="CB156" s="33"/>
      <c r="CC156" s="33">
        <f t="shared" si="117"/>
        <v>-9.9999999997635314E-3</v>
      </c>
      <c r="CD156" s="33">
        <f t="shared" si="129"/>
        <v>0.36747840339851073</v>
      </c>
      <c r="CE156" s="33">
        <f>IF(O156&lt;&gt;"",CD156-SUM($CC$44:CC156),"")</f>
        <v>0.10747840340465892</v>
      </c>
      <c r="CF156" s="11">
        <f t="shared" ref="CF156:CF219" si="145">IF(BU156&lt;&gt;"",$F$14,"")</f>
        <v>20</v>
      </c>
      <c r="CG156" s="11">
        <f>IF(BU156&lt;&gt;"",IF($B$16=listy!$K$8,'RZĄDOWY PROGRAM'!$F$3*'RZĄDOWY PROGRAM'!$F$15,BZ155*$F$15),"")</f>
        <v>50</v>
      </c>
      <c r="CH156" s="11">
        <f t="shared" ref="CH156:CH219" si="146">IF(BW156&lt;&gt;"",CF156+CG156,"")</f>
        <v>70</v>
      </c>
      <c r="CJ156" s="48">
        <f t="shared" ref="CJ156:CJ219" si="147">IF(AB156&lt;&gt;"",$F$19,"")</f>
        <v>0.06</v>
      </c>
      <c r="CK156" s="18">
        <f t="shared" ref="CK156:CK219" si="148">IF(AB156&lt;&gt;"",(1+CJ156)^(1/12)-1,"")</f>
        <v>4.8675505653430484E-3</v>
      </c>
      <c r="CL156" s="11">
        <f t="shared" si="131"/>
        <v>0</v>
      </c>
      <c r="CM156" s="11">
        <f t="shared" ref="CM156:CM219" si="149">IF(AB156&lt;&gt;"",IF($F$21="co miesiąc",CM155*(1+(1-$F$20)*CK156)+CL156,(CM155*(1+CK156)+CL156)),"")</f>
        <v>45457.019854581536</v>
      </c>
      <c r="CN156" s="11">
        <f>IF(AB156&lt;&gt;"",CM156-SUM($CL$28:CL156),"")</f>
        <v>17280.259854581542</v>
      </c>
    </row>
    <row r="157" spans="1:92" x14ac:dyDescent="0.45">
      <c r="A157" s="68">
        <f t="shared" si="118"/>
        <v>48670</v>
      </c>
      <c r="B157" s="8">
        <f t="shared" si="132"/>
        <v>130</v>
      </c>
      <c r="C157" s="11">
        <f t="shared" si="133"/>
        <v>3522.1</v>
      </c>
      <c r="D157" s="11">
        <f t="shared" si="134"/>
        <v>1579.6707644612709</v>
      </c>
      <c r="E157" s="11">
        <f t="shared" si="135"/>
        <v>1942.429235538729</v>
      </c>
      <c r="F157" s="9">
        <f t="shared" ref="F157:F220" si="150">IF(B157&lt;&gt;"",F156-D157,"")</f>
        <v>266341.60310294962</v>
      </c>
      <c r="G157" s="10">
        <f t="shared" si="136"/>
        <v>7.0000000000000007E-2</v>
      </c>
      <c r="H157" s="10">
        <f t="shared" si="137"/>
        <v>1.7000000000000001E-2</v>
      </c>
      <c r="I157" s="48">
        <f t="shared" ref="I157:I220" si="151">IF($B157&lt;&gt;"",IF(AND($F$8="TAK",$B157&lt;=$F$10),$F$9,G157+H157),"")</f>
        <v>8.7000000000000008E-2</v>
      </c>
      <c r="J157" s="11">
        <f t="shared" si="138"/>
        <v>20</v>
      </c>
      <c r="K157" s="11">
        <f>IF(B157&lt;&gt;"",IF($B$16=listy!$K$8,'RZĄDOWY PROGRAM'!$F$3*'RZĄDOWY PROGRAM'!$F$15,F156*$F$15),"")</f>
        <v>50</v>
      </c>
      <c r="L157" s="11">
        <f t="shared" ref="L157:L220" si="152">IF(B157&lt;&gt;"",J157+K157,"")</f>
        <v>70</v>
      </c>
      <c r="N157" s="54">
        <f t="shared" si="119"/>
        <v>48670</v>
      </c>
      <c r="O157" s="8">
        <f t="shared" ref="O157:O220" si="153">IFERROR(IF(O156+1&lt;=$F$4+8,O156+1,""),"")</f>
        <v>130</v>
      </c>
      <c r="P157" s="8"/>
      <c r="Q157" s="11">
        <f>IF(O157&lt;&gt;"",ROUND(IF($F$11="raty równe",-PMT(W157/12,$F$4-O156+SUM($P$28:P157),T156,2),R157+S157),2),"")</f>
        <v>3522.1</v>
      </c>
      <c r="R157" s="11">
        <f>IF(O157&lt;&gt;"",IF($F$11="raty malejące",T156/($F$4-O156+SUM($P$28:P157)),IF(Q157-S157&gt;T156,T156,Q157-S157)),"")</f>
        <v>1490.9684500789097</v>
      </c>
      <c r="S157" s="11">
        <f t="shared" si="121"/>
        <v>2031.1315499210903</v>
      </c>
      <c r="T157" s="9">
        <f t="shared" ref="T157:T220" si="154">IF(O157&lt;&gt;"",T156-R157,"")</f>
        <v>278665.10740110592</v>
      </c>
      <c r="U157" s="10">
        <f t="shared" si="139"/>
        <v>7.0000000000000007E-2</v>
      </c>
      <c r="V157" s="10">
        <f t="shared" si="140"/>
        <v>1.7000000000000001E-2</v>
      </c>
      <c r="W157" s="48">
        <f t="shared" ref="W157:W220" si="155">IF(O157&lt;&gt;"",IF(AND($F$8="TAK",$B157&lt;=$F$10),$F$9,U157+V157),"")</f>
        <v>8.7000000000000008E-2</v>
      </c>
      <c r="X157" s="11">
        <f t="shared" si="141"/>
        <v>20</v>
      </c>
      <c r="Y157" s="11">
        <f>IF(O157&lt;&gt;"",IF($B$16=listy!$K$8,'RZĄDOWY PROGRAM'!$F$3*'RZĄDOWY PROGRAM'!$F$15,T156*$F$15),"")</f>
        <v>50</v>
      </c>
      <c r="Z157" s="11">
        <f t="shared" ref="Z157:Z220" si="156">IF(O157&lt;&gt;"",X157+Y157,"")</f>
        <v>70</v>
      </c>
      <c r="AB157" s="8">
        <f t="shared" ref="AB157:AB220" si="157">IFERROR(IF(AG156&gt;0,AB156+1,""),"")</f>
        <v>130</v>
      </c>
      <c r="AC157" s="8"/>
      <c r="AD157" s="11">
        <f>IF(AB157&lt;&gt;"",ROUND(IF($F$11="raty równe",-PMT(W157/12,$F$4-AB156+SUM($AC$28:AC157),AG156,2),AE157+AF157),2),"")</f>
        <v>3280.39</v>
      </c>
      <c r="AE157" s="11">
        <f>IF(AB157&lt;&gt;"",IF($F$11="raty malejące",AG156/($F$4-AB156+SUM($AC$28:AC156)),MIN(AD157-AF157,AG156)),"")</f>
        <v>1388.6435409558978</v>
      </c>
      <c r="AF157" s="11">
        <f t="shared" si="122"/>
        <v>1891.746459044102</v>
      </c>
      <c r="AG157" s="9">
        <f t="shared" si="120"/>
        <v>259541.90253409263</v>
      </c>
      <c r="AH157" s="11"/>
      <c r="AI157" s="33">
        <f>IF(AB157&lt;&gt;"",ROUND(IF($F$11="raty równe",-PMT(W157/12,($F$4-AB156+SUM($AC$27:AC156)),AG156,2),AG156/($F$4-AB156+SUM($AC$27:AC156))+AG156*W157/12),2),"")</f>
        <v>3280.39</v>
      </c>
      <c r="AJ157" s="33">
        <f t="shared" ref="AJ157:AJ220" si="158">IF(AB157&lt;&gt;"",IF(B157&lt;&gt;"",C157-AD157-AH157,-(AD157+AH157)),"")</f>
        <v>241.71000000000004</v>
      </c>
      <c r="AK157" s="33">
        <f t="shared" si="142"/>
        <v>38015.529365865616</v>
      </c>
      <c r="AL157" s="33">
        <f>IF(AB157&lt;&gt;"",AK157-SUM($AJ$28:AJ157),"")</f>
        <v>8388.7193658656215</v>
      </c>
      <c r="AM157" s="11">
        <f t="shared" ref="AM157:AM220" si="159">IF(AB157&lt;&gt;"",$F$14,"")</f>
        <v>20</v>
      </c>
      <c r="AN157" s="11">
        <f>IF(AB157&lt;&gt;"",IF($B$16=listy!$K$8,'RZĄDOWY PROGRAM'!$F$3*'RZĄDOWY PROGRAM'!$F$15,AG156*$F$15),"")</f>
        <v>50</v>
      </c>
      <c r="AO157" s="11">
        <f t="shared" ref="AO157:AO220" si="160">IF(AD157&lt;&gt;"",AM157+AN157,"")</f>
        <v>70</v>
      </c>
      <c r="AQ157" s="8">
        <f t="shared" ref="AQ157:AQ220" si="161">IFERROR(IF(AV156&lt;&gt;0,AQ156+1,""),"")</f>
        <v>130</v>
      </c>
      <c r="AR157" s="8"/>
      <c r="AS157" s="78">
        <f>IF(AQ157&lt;&gt;"",ROUND(IF($F$11="raty równe",-PMT(W157/12,$F$4-AQ156+SUM($AR$28:AR157),AV156,2),AT157+AU157),2),"")</f>
        <v>3263.83</v>
      </c>
      <c r="AT157" s="78">
        <f>IF(AQ157&lt;&gt;"",IF($F$11="raty malejące",AV156/($F$4-AQ156+SUM($AR$28:AR156)),MIN(AS157-AU157,AV156)),"")</f>
        <v>1381.6387665321338</v>
      </c>
      <c r="AU157" s="78">
        <f t="shared" ref="AU157:AU220" si="162">IF(AQ157&lt;&gt;"",AV156*W157/12,"")</f>
        <v>1882.1912334678661</v>
      </c>
      <c r="AV157" s="79">
        <f t="shared" ref="AV157:AV220" si="163">IF(AQ157&lt;&gt;"",IF(AW157&lt;&gt;"",AV156-AT157-AW157,AV156-AT157),"")</f>
        <v>258230.94516007006</v>
      </c>
      <c r="AW157" s="11"/>
      <c r="AX157" s="33">
        <f>IF(AQ157&lt;&gt;"",ROUND(IF($F$11="raty równe",-PMT(W157/12,($F$4-AQ156+SUM($AR$27:AR156)),AV156,2),AV156/($F$4-AQ156+SUM($AR$27:AR156))+AV156*W157/12),2),"")</f>
        <v>3263.83</v>
      </c>
      <c r="AY157" s="33">
        <f t="shared" ref="AY157:AY220" si="164">IF(AQ157&lt;&gt;"",IF(B157&lt;&gt;"",C157-AS157,-AS157),"")</f>
        <v>258.27</v>
      </c>
      <c r="AZ157" s="33">
        <f t="shared" si="126"/>
        <v>37082.44389271523</v>
      </c>
      <c r="BA157" s="33">
        <f>IF(AQ157&lt;&gt;"",AZ157-SUM($AY$44:AY157),"")</f>
        <v>7639.6738927151891</v>
      </c>
      <c r="BB157" s="11">
        <f t="shared" ref="BB157:BB220" si="165">IF(AQ157&lt;&gt;"",$F$14,"")</f>
        <v>20</v>
      </c>
      <c r="BC157" s="11">
        <f>IF(AQ157&lt;&gt;"",IF($B$16=listy!$K$8,'RZĄDOWY PROGRAM'!$F$3*'RZĄDOWY PROGRAM'!$F$15,AV156*$F$15),"")</f>
        <v>50</v>
      </c>
      <c r="BD157" s="11">
        <f t="shared" ref="BD157:BD220" si="166">IF(AS157&lt;&gt;"",BB157+BC157,"")</f>
        <v>70</v>
      </c>
      <c r="BF157" s="8">
        <f t="shared" ref="BF157:BF220" si="167">IFERROR(IF(BK156&lt;&gt;0,BF156+1,""),"")</f>
        <v>130</v>
      </c>
      <c r="BG157" s="8"/>
      <c r="BH157" s="78">
        <f>IF(BF157&lt;&gt;"",ROUND(IF($F$11="raty równe",-PMT(W157/12,$F$4-BF156+SUM(BV$28:$BV157)-SUM($BM$29:BM157),BK156,2),BI157+BJ157),2),"")</f>
        <v>3522.09</v>
      </c>
      <c r="BI157" s="78">
        <f>IF(BF157&lt;&gt;"",IF($F$11="raty malejące",MIN(BK156/($F$4-BF156+SUM($BG$27:BG157)-SUM($BM$27:BM157)),BK156),MIN(BH157-BJ157,BK156)),"")</f>
        <v>1970.1427164202942</v>
      </c>
      <c r="BJ157" s="78">
        <f t="shared" ref="BJ157:BJ220" si="168">IF(BF157&lt;&gt;"",BK156*W157/12,"")</f>
        <v>1551.947283579706</v>
      </c>
      <c r="BK157" s="79">
        <f t="shared" ref="BK157:BK220" si="169">IF(BF157&lt;&gt;"",IF(B157&lt;&gt;"",BK156-BI157-BL157,BK156-BI157),"")</f>
        <v>212091.55157043569</v>
      </c>
      <c r="BL157" s="11"/>
      <c r="BM157" s="33"/>
      <c r="BN157" s="33">
        <f t="shared" si="127"/>
        <v>9.9999999997635314E-3</v>
      </c>
      <c r="BO157" s="33">
        <f t="shared" si="128"/>
        <v>-0.12377287593731409</v>
      </c>
      <c r="BP157" s="33">
        <f>IF(O157&lt;&gt;"",BO157-SUM($BN$44:BN157),"")</f>
        <v>-4.3772875939205841E-2</v>
      </c>
      <c r="BQ157" s="11">
        <f t="shared" si="143"/>
        <v>20</v>
      </c>
      <c r="BR157" s="11">
        <f>IF(BF157&lt;&gt;"",IF($B$16=listy!$K$8,'RZĄDOWY PROGRAM'!$F$3*'RZĄDOWY PROGRAM'!$F$15,BK156*$F$15),"")</f>
        <v>50</v>
      </c>
      <c r="BS157" s="11">
        <f t="shared" si="144"/>
        <v>70</v>
      </c>
      <c r="BU157" s="8">
        <f t="shared" ref="BU157:BU220" si="170">IFERROR(IF(BZ156&lt;&gt;0,BU156+1,""),"")</f>
        <v>130</v>
      </c>
      <c r="BV157" s="8"/>
      <c r="BW157" s="78">
        <f>IF(BU157&lt;&gt;"",ROUND(IF($F$11="raty równe",-PMT(W157/12,$F$4-BU156+SUM($BV$28:BV157)-$CB$43,BZ156,2),BX157+BY157),2),"")</f>
        <v>3522.09</v>
      </c>
      <c r="BX157" s="78">
        <f>IF(BU157&lt;&gt;"",IF($F$11="raty malejące",MIN(BZ156/($F$4-BU156+SUM($BV$28:BV156)-SUM($CB$28:CB156)),BZ156),MIN(BW157-BY157,BZ156)),"")</f>
        <v>1965.8581414218233</v>
      </c>
      <c r="BY157" s="78">
        <f t="shared" si="130"/>
        <v>1556.2318585781768</v>
      </c>
      <c r="BZ157" s="79">
        <f t="shared" si="124"/>
        <v>212686.8120072922</v>
      </c>
      <c r="CA157" s="11"/>
      <c r="CB157" s="33"/>
      <c r="CC157" s="33">
        <f t="shared" ref="CC157:CC220" si="171">IF(O157&lt;&gt;"",IF(ISNUMBER(C157),C157,0)-IF(ISNUMBER(BW157),BW157,0),"")</f>
        <v>9.9999999997635314E-3</v>
      </c>
      <c r="CD157" s="33">
        <f t="shared" si="129"/>
        <v>0.37892726636354745</v>
      </c>
      <c r="CE157" s="33">
        <f>IF(O157&lt;&gt;"",CD157-SUM($CC$44:CC157),"")</f>
        <v>0.10892726636993211</v>
      </c>
      <c r="CF157" s="11">
        <f t="shared" si="145"/>
        <v>20</v>
      </c>
      <c r="CG157" s="11">
        <f>IF(BU157&lt;&gt;"",IF($B$16=listy!$K$8,'RZĄDOWY PROGRAM'!$F$3*'RZĄDOWY PROGRAM'!$F$15,BZ156*$F$15),"")</f>
        <v>50</v>
      </c>
      <c r="CH157" s="11">
        <f t="shared" si="146"/>
        <v>70</v>
      </c>
      <c r="CJ157" s="48">
        <f t="shared" si="147"/>
        <v>0.06</v>
      </c>
      <c r="CK157" s="18">
        <f t="shared" si="148"/>
        <v>4.8675505653430484E-3</v>
      </c>
      <c r="CL157" s="11">
        <f t="shared" si="131"/>
        <v>0</v>
      </c>
      <c r="CM157" s="11">
        <f t="shared" si="149"/>
        <v>45636.243972162039</v>
      </c>
      <c r="CN157" s="11">
        <f>IF(AB157&lt;&gt;"",CM157-SUM($CL$28:CL157),"")</f>
        <v>17459.483972162045</v>
      </c>
    </row>
    <row r="158" spans="1:92" x14ac:dyDescent="0.45">
      <c r="A158" s="68">
        <f t="shared" ref="A158:A221" si="172">IF(B158&lt;&gt;"",EDATE(A157,1),"")</f>
        <v>48700</v>
      </c>
      <c r="B158" s="8">
        <f t="shared" si="132"/>
        <v>131</v>
      </c>
      <c r="C158" s="11">
        <f t="shared" si="133"/>
        <v>3522.09</v>
      </c>
      <c r="D158" s="11">
        <f t="shared" si="134"/>
        <v>1591.1133775036151</v>
      </c>
      <c r="E158" s="11">
        <f t="shared" si="135"/>
        <v>1930.9766224963851</v>
      </c>
      <c r="F158" s="9">
        <f t="shared" si="150"/>
        <v>264750.48972544598</v>
      </c>
      <c r="G158" s="10">
        <f t="shared" si="136"/>
        <v>7.0000000000000007E-2</v>
      </c>
      <c r="H158" s="10">
        <f t="shared" si="137"/>
        <v>1.7000000000000001E-2</v>
      </c>
      <c r="I158" s="48">
        <f t="shared" si="151"/>
        <v>8.7000000000000008E-2</v>
      </c>
      <c r="J158" s="11">
        <f t="shared" si="138"/>
        <v>20</v>
      </c>
      <c r="K158" s="11">
        <f>IF(B158&lt;&gt;"",IF($B$16=listy!$K$8,'RZĄDOWY PROGRAM'!$F$3*'RZĄDOWY PROGRAM'!$F$15,F157*$F$15),"")</f>
        <v>50</v>
      </c>
      <c r="L158" s="11">
        <f t="shared" si="152"/>
        <v>70</v>
      </c>
      <c r="N158" s="54">
        <f t="shared" ref="N158:N221" si="173">IF(O158&lt;&gt;"",EDATE(N157,1),"")</f>
        <v>48700</v>
      </c>
      <c r="O158" s="8">
        <f t="shared" si="153"/>
        <v>131</v>
      </c>
      <c r="P158" s="8"/>
      <c r="Q158" s="11">
        <f>IF(O158&lt;&gt;"",ROUND(IF($F$11="raty równe",-PMT(W158/12,$F$4-O157+SUM($P$28:P158),T157,2),R158+S158),2),"")</f>
        <v>3522.09</v>
      </c>
      <c r="R158" s="11">
        <f>IF(O158&lt;&gt;"",IF($F$11="raty malejące",T157/($F$4-O157+SUM($P$28:P158)),IF(Q158-S158&gt;T157,T157,Q158-S158)),"")</f>
        <v>1501.767971341982</v>
      </c>
      <c r="S158" s="11">
        <f t="shared" si="121"/>
        <v>2020.3220286580181</v>
      </c>
      <c r="T158" s="9">
        <f t="shared" si="154"/>
        <v>277163.33942976396</v>
      </c>
      <c r="U158" s="10">
        <f t="shared" si="139"/>
        <v>7.0000000000000007E-2</v>
      </c>
      <c r="V158" s="10">
        <f t="shared" si="140"/>
        <v>1.7000000000000001E-2</v>
      </c>
      <c r="W158" s="48">
        <f t="shared" si="155"/>
        <v>8.7000000000000008E-2</v>
      </c>
      <c r="X158" s="11">
        <f t="shared" si="141"/>
        <v>20</v>
      </c>
      <c r="Y158" s="11">
        <f>IF(O158&lt;&gt;"",IF($B$16=listy!$K$8,'RZĄDOWY PROGRAM'!$F$3*'RZĄDOWY PROGRAM'!$F$15,T157*$F$15),"")</f>
        <v>50</v>
      </c>
      <c r="Z158" s="11">
        <f t="shared" si="156"/>
        <v>70</v>
      </c>
      <c r="AB158" s="8">
        <f t="shared" si="157"/>
        <v>131</v>
      </c>
      <c r="AC158" s="8"/>
      <c r="AD158" s="11">
        <f>IF(AB158&lt;&gt;"",ROUND(IF($F$11="raty równe",-PMT(W158/12,$F$4-AB157+SUM($AC$28:AC158),AG157,2),AE158+AF158),2),"")</f>
        <v>3280.39</v>
      </c>
      <c r="AE158" s="11">
        <f>IF(AB158&lt;&gt;"",IF($F$11="raty malejące",AG157/($F$4-AB157+SUM($AC$28:AC157)),MIN(AD158-AF158,AG157)),"")</f>
        <v>1398.7112066278282</v>
      </c>
      <c r="AF158" s="11">
        <f t="shared" si="122"/>
        <v>1881.6787933721716</v>
      </c>
      <c r="AG158" s="9">
        <f t="shared" ref="AG158:AG221" si="174">IF(AB158&lt;&gt;"",IF(AH158&lt;&gt;"",AG157-AE158-AH158,AG157-AE158),"")</f>
        <v>258143.1913274648</v>
      </c>
      <c r="AH158" s="11"/>
      <c r="AI158" s="33">
        <f>IF(AB158&lt;&gt;"",ROUND(IF($F$11="raty równe",-PMT(W158/12,($F$4-AB157+SUM($AC$27:AC157)),AG157,2),AG157/($F$4-AB157+SUM($AC$27:AC157))+AG157*W158/12),2),"")</f>
        <v>3280.39</v>
      </c>
      <c r="AJ158" s="33">
        <f t="shared" si="158"/>
        <v>241.70000000000027</v>
      </c>
      <c r="AK158" s="33">
        <f t="shared" si="142"/>
        <v>38407.113800145489</v>
      </c>
      <c r="AL158" s="33">
        <f>IF(AB158&lt;&gt;"",AK158-SUM($AJ$28:AJ158),"")</f>
        <v>8538.6038001454945</v>
      </c>
      <c r="AM158" s="11">
        <f t="shared" si="159"/>
        <v>20</v>
      </c>
      <c r="AN158" s="11">
        <f>IF(AB158&lt;&gt;"",IF($B$16=listy!$K$8,'RZĄDOWY PROGRAM'!$F$3*'RZĄDOWY PROGRAM'!$F$15,AG157*$F$15),"")</f>
        <v>50</v>
      </c>
      <c r="AO158" s="11">
        <f t="shared" si="160"/>
        <v>70</v>
      </c>
      <c r="AQ158" s="8">
        <f t="shared" si="161"/>
        <v>131</v>
      </c>
      <c r="AR158" s="8"/>
      <c r="AS158" s="78">
        <f>IF(AQ158&lt;&gt;"",ROUND(IF($F$11="raty równe",-PMT(W158/12,$F$4-AQ157+SUM($AR$28:AR158),AV157,2),AT158+AU158),2),"")</f>
        <v>3263.82</v>
      </c>
      <c r="AT158" s="78">
        <f>IF(AQ158&lt;&gt;"",IF($F$11="raty malejące",AV157/($F$4-AQ157+SUM($AR$28:AR157)),MIN(AS158-AU158,AV157)),"")</f>
        <v>1391.6456475894922</v>
      </c>
      <c r="AU158" s="78">
        <f t="shared" si="162"/>
        <v>1872.1743524105079</v>
      </c>
      <c r="AV158" s="79">
        <f t="shared" si="163"/>
        <v>256839.29951248056</v>
      </c>
      <c r="AW158" s="11"/>
      <c r="AX158" s="33">
        <f>IF(AQ158&lt;&gt;"",ROUND(IF($F$11="raty równe",-PMT(W158/12,($F$4-AQ157+SUM($AR$27:AR157)),AV157,2),AV157/($F$4-AQ157+SUM($AR$27:AR157))+AV157*W158/12),2),"")</f>
        <v>3263.82</v>
      </c>
      <c r="AY158" s="33">
        <f t="shared" si="164"/>
        <v>258.27</v>
      </c>
      <c r="AZ158" s="33">
        <f t="shared" si="126"/>
        <v>37486.919436010001</v>
      </c>
      <c r="BA158" s="33">
        <f>IF(AQ158&lt;&gt;"",AZ158-SUM($AY$44:AY158),"")</f>
        <v>7785.87943600996</v>
      </c>
      <c r="BB158" s="11">
        <f t="shared" si="165"/>
        <v>20</v>
      </c>
      <c r="BC158" s="11">
        <f>IF(AQ158&lt;&gt;"",IF($B$16=listy!$K$8,'RZĄDOWY PROGRAM'!$F$3*'RZĄDOWY PROGRAM'!$F$15,AV157*$F$15),"")</f>
        <v>50</v>
      </c>
      <c r="BD158" s="11">
        <f t="shared" si="166"/>
        <v>70</v>
      </c>
      <c r="BF158" s="8">
        <f t="shared" si="167"/>
        <v>131</v>
      </c>
      <c r="BG158" s="8"/>
      <c r="BH158" s="78">
        <f>IF(BF158&lt;&gt;"",ROUND(IF($F$11="raty równe",-PMT(W158/12,$F$4-BF157+SUM(BV$28:$BV158)-SUM($BM$29:BM158),BK157,2),BI158+BJ158),2),"")</f>
        <v>3522.1</v>
      </c>
      <c r="BI158" s="78">
        <f>IF(BF158&lt;&gt;"",IF($F$11="raty malejące",MIN(BK157/($F$4-BF157+SUM($BG$27:BG158)-SUM($BM$27:BM158)),BK157),MIN(BH158-BJ158,BK157)),"")</f>
        <v>1984.4362511143411</v>
      </c>
      <c r="BJ158" s="78">
        <f t="shared" si="168"/>
        <v>1537.6637488856588</v>
      </c>
      <c r="BK158" s="79">
        <f t="shared" si="169"/>
        <v>210107.11531932134</v>
      </c>
      <c r="BL158" s="11"/>
      <c r="BM158" s="33"/>
      <c r="BN158" s="33">
        <f t="shared" si="127"/>
        <v>-9.9999999997635314E-3</v>
      </c>
      <c r="BO158" s="33">
        <f t="shared" si="128"/>
        <v>-0.13426087723019431</v>
      </c>
      <c r="BP158" s="33">
        <f>IF(O158&lt;&gt;"",BO158-SUM($BN$44:BN158),"")</f>
        <v>-4.4260877232322526E-2</v>
      </c>
      <c r="BQ158" s="11">
        <f t="shared" si="143"/>
        <v>20</v>
      </c>
      <c r="BR158" s="11">
        <f>IF(BF158&lt;&gt;"",IF($B$16=listy!$K$8,'RZĄDOWY PROGRAM'!$F$3*'RZĄDOWY PROGRAM'!$F$15,BK157*$F$15),"")</f>
        <v>50</v>
      </c>
      <c r="BS158" s="11">
        <f t="shared" si="144"/>
        <v>70</v>
      </c>
      <c r="BU158" s="8">
        <f t="shared" si="170"/>
        <v>131</v>
      </c>
      <c r="BV158" s="8"/>
      <c r="BW158" s="78">
        <f>IF(BU158&lt;&gt;"",ROUND(IF($F$11="raty równe",-PMT(W158/12,$F$4-BU157+SUM($BV$28:BV158)-$CB$43,BZ157,2),BX158+BY158),2),"")</f>
        <v>3522.09</v>
      </c>
      <c r="BX158" s="78">
        <f>IF(BU158&lt;&gt;"",IF($F$11="raty malejące",MIN(BZ157/($F$4-BU157+SUM($BV$28:BV157)-SUM($CB$28:CB157)),BZ157),MIN(BW158-BY158,BZ157)),"")</f>
        <v>1980.1106129471316</v>
      </c>
      <c r="BY158" s="78">
        <f t="shared" si="130"/>
        <v>1541.9793870528686</v>
      </c>
      <c r="BZ158" s="79">
        <f t="shared" si="124"/>
        <v>210706.70139434506</v>
      </c>
      <c r="CA158" s="11"/>
      <c r="CB158" s="33"/>
      <c r="CC158" s="33">
        <f t="shared" si="171"/>
        <v>0</v>
      </c>
      <c r="CD158" s="33">
        <f t="shared" si="129"/>
        <v>0.38042126894353301</v>
      </c>
      <c r="CE158" s="33">
        <f>IF(O158&lt;&gt;"",CD158-SUM($CC$44:CC158),"")</f>
        <v>0.11042126894991766</v>
      </c>
      <c r="CF158" s="11">
        <f t="shared" si="145"/>
        <v>20</v>
      </c>
      <c r="CG158" s="11">
        <f>IF(BU158&lt;&gt;"",IF($B$16=listy!$K$8,'RZĄDOWY PROGRAM'!$F$3*'RZĄDOWY PROGRAM'!$F$15,BZ157*$F$15),"")</f>
        <v>50</v>
      </c>
      <c r="CH158" s="11">
        <f t="shared" si="146"/>
        <v>70</v>
      </c>
      <c r="CJ158" s="48">
        <f t="shared" si="147"/>
        <v>0.06</v>
      </c>
      <c r="CK158" s="18">
        <f t="shared" si="148"/>
        <v>4.8675505653430484E-3</v>
      </c>
      <c r="CL158" s="11">
        <f t="shared" si="131"/>
        <v>0</v>
      </c>
      <c r="CM158" s="11">
        <f t="shared" si="149"/>
        <v>45816.174719530973</v>
      </c>
      <c r="CN158" s="11">
        <f>IF(AB158&lt;&gt;"",CM158-SUM($CL$28:CL158),"")</f>
        <v>17639.414719530978</v>
      </c>
    </row>
    <row r="159" spans="1:92" x14ac:dyDescent="0.45">
      <c r="A159" s="68">
        <f t="shared" si="172"/>
        <v>48731</v>
      </c>
      <c r="B159" s="8">
        <f t="shared" si="132"/>
        <v>132</v>
      </c>
      <c r="C159" s="11">
        <f t="shared" si="133"/>
        <v>3522.1</v>
      </c>
      <c r="D159" s="11">
        <f t="shared" si="134"/>
        <v>1602.6589494905163</v>
      </c>
      <c r="E159" s="11">
        <f t="shared" si="135"/>
        <v>1919.4410505094836</v>
      </c>
      <c r="F159" s="9">
        <f t="shared" si="150"/>
        <v>263147.83077595546</v>
      </c>
      <c r="G159" s="10">
        <f t="shared" si="136"/>
        <v>7.0000000000000007E-2</v>
      </c>
      <c r="H159" s="10">
        <f t="shared" si="137"/>
        <v>1.7000000000000001E-2</v>
      </c>
      <c r="I159" s="48">
        <f t="shared" si="151"/>
        <v>8.7000000000000008E-2</v>
      </c>
      <c r="J159" s="11">
        <f t="shared" si="138"/>
        <v>20</v>
      </c>
      <c r="K159" s="11">
        <f>IF(B159&lt;&gt;"",IF($B$16=listy!$K$8,'RZĄDOWY PROGRAM'!$F$3*'RZĄDOWY PROGRAM'!$F$15,F158*$F$15),"")</f>
        <v>50</v>
      </c>
      <c r="L159" s="11">
        <f t="shared" si="152"/>
        <v>70</v>
      </c>
      <c r="N159" s="54">
        <f t="shared" si="173"/>
        <v>48731</v>
      </c>
      <c r="O159" s="8">
        <f t="shared" si="153"/>
        <v>132</v>
      </c>
      <c r="P159" s="8"/>
      <c r="Q159" s="11">
        <f>IF(O159&lt;&gt;"",ROUND(IF($F$11="raty równe",-PMT(W159/12,$F$4-O158+SUM($P$28:P159),T158,2),R159+S159),2),"")</f>
        <v>3522.1</v>
      </c>
      <c r="R159" s="11">
        <f>IF(O159&lt;&gt;"",IF($F$11="raty malejące",T158/($F$4-O158+SUM($P$28:P159)),IF(Q159-S159&gt;T158,T158,Q159-S159)),"")</f>
        <v>1512.6657891342109</v>
      </c>
      <c r="S159" s="11">
        <f t="shared" si="121"/>
        <v>2009.4342108657891</v>
      </c>
      <c r="T159" s="9">
        <f t="shared" si="154"/>
        <v>275650.67364062974</v>
      </c>
      <c r="U159" s="10">
        <f t="shared" si="139"/>
        <v>7.0000000000000007E-2</v>
      </c>
      <c r="V159" s="10">
        <f t="shared" si="140"/>
        <v>1.7000000000000001E-2</v>
      </c>
      <c r="W159" s="48">
        <f t="shared" si="155"/>
        <v>8.7000000000000008E-2</v>
      </c>
      <c r="X159" s="11">
        <f t="shared" si="141"/>
        <v>20</v>
      </c>
      <c r="Y159" s="11">
        <f>IF(O159&lt;&gt;"",IF($B$16=listy!$K$8,'RZĄDOWY PROGRAM'!$F$3*'RZĄDOWY PROGRAM'!$F$15,T158*$F$15),"")</f>
        <v>50</v>
      </c>
      <c r="Z159" s="11">
        <f t="shared" si="156"/>
        <v>70</v>
      </c>
      <c r="AB159" s="8">
        <f t="shared" si="157"/>
        <v>132</v>
      </c>
      <c r="AC159" s="8"/>
      <c r="AD159" s="11">
        <f>IF(AB159&lt;&gt;"",ROUND(IF($F$11="raty równe",-PMT(W159/12,$F$4-AB158+SUM($AC$28:AC159),AG158,2),AE159+AF159),2),"")</f>
        <v>3280.39</v>
      </c>
      <c r="AE159" s="11">
        <f>IF(AB159&lt;&gt;"",IF($F$11="raty malejące",AG158/($F$4-AB158+SUM($AC$28:AC158)),MIN(AD159-AF159,AG158)),"")</f>
        <v>1408.85186287588</v>
      </c>
      <c r="AF159" s="11">
        <f t="shared" si="122"/>
        <v>1871.5381371241199</v>
      </c>
      <c r="AG159" s="9">
        <f t="shared" si="174"/>
        <v>256734.33946458891</v>
      </c>
      <c r="AH159" s="11"/>
      <c r="AI159" s="33">
        <f>IF(AB159&lt;&gt;"",ROUND(IF($F$11="raty równe",-PMT(W159/12,($F$4-AB158+SUM($AC$27:AC158)),AG158,2),AG158/($F$4-AB158+SUM($AC$27:AC158))+AG158*W159/12),2),"")</f>
        <v>3280.39</v>
      </c>
      <c r="AJ159" s="33">
        <f t="shared" si="158"/>
        <v>241.71000000000004</v>
      </c>
      <c r="AK159" s="33">
        <f t="shared" si="142"/>
        <v>38800.252140623277</v>
      </c>
      <c r="AL159" s="33">
        <f>IF(AB159&lt;&gt;"",AK159-SUM($AJ$28:AJ159),"")</f>
        <v>8690.0321406232833</v>
      </c>
      <c r="AM159" s="11">
        <f t="shared" si="159"/>
        <v>20</v>
      </c>
      <c r="AN159" s="11">
        <f>IF(AB159&lt;&gt;"",IF($B$16=listy!$K$8,'RZĄDOWY PROGRAM'!$F$3*'RZĄDOWY PROGRAM'!$F$15,AG158*$F$15),"")</f>
        <v>50</v>
      </c>
      <c r="AO159" s="11">
        <f t="shared" si="160"/>
        <v>70</v>
      </c>
      <c r="AQ159" s="8">
        <f t="shared" si="161"/>
        <v>132</v>
      </c>
      <c r="AR159" s="8"/>
      <c r="AS159" s="78">
        <f>IF(AQ159&lt;&gt;"",ROUND(IF($F$11="raty równe",-PMT(W159/12,$F$4-AQ158+SUM($AR$28:AR159),AV158,2),AT159+AU159),2),"")</f>
        <v>3263.83</v>
      </c>
      <c r="AT159" s="78">
        <f>IF(AQ159&lt;&gt;"",IF($F$11="raty malejące",AV158/($F$4-AQ158+SUM($AR$28:AR158)),MIN(AS159-AU159,AV158)),"")</f>
        <v>1401.7450785345156</v>
      </c>
      <c r="AU159" s="78">
        <f t="shared" si="162"/>
        <v>1862.0849214654843</v>
      </c>
      <c r="AV159" s="79">
        <f t="shared" si="163"/>
        <v>255437.55443394603</v>
      </c>
      <c r="AW159" s="11"/>
      <c r="AX159" s="33">
        <f>IF(AQ159&lt;&gt;"",ROUND(IF($F$11="raty równe",-PMT(W159/12,($F$4-AQ158+SUM($AR$27:AR158)),AV158,2),AV158/($F$4-AQ158+SUM($AR$27:AR158))+AV158*W159/12),2),"")</f>
        <v>3263.83</v>
      </c>
      <c r="AY159" s="33">
        <f t="shared" si="164"/>
        <v>258.27</v>
      </c>
      <c r="AZ159" s="33">
        <f t="shared" si="126"/>
        <v>37892.989711483911</v>
      </c>
      <c r="BA159" s="33">
        <f>IF(AQ159&lt;&gt;"",AZ159-SUM($AY$44:AY159),"")</f>
        <v>7933.6797114838701</v>
      </c>
      <c r="BB159" s="11">
        <f t="shared" si="165"/>
        <v>20</v>
      </c>
      <c r="BC159" s="11">
        <f>IF(AQ159&lt;&gt;"",IF($B$16=listy!$K$8,'RZĄDOWY PROGRAM'!$F$3*'RZĄDOWY PROGRAM'!$F$15,AV158*$F$15),"")</f>
        <v>50</v>
      </c>
      <c r="BD159" s="11">
        <f t="shared" si="166"/>
        <v>70</v>
      </c>
      <c r="BF159" s="8">
        <f t="shared" si="167"/>
        <v>132</v>
      </c>
      <c r="BG159" s="8"/>
      <c r="BH159" s="78">
        <f>IF(BF159&lt;&gt;"",ROUND(IF($F$11="raty równe",-PMT(W159/12,$F$4-BF158+SUM(BV$28:$BV159)-SUM($BM$29:BM159),BK158,2),BI159+BJ159),2),"")</f>
        <v>3522.09</v>
      </c>
      <c r="BI159" s="78">
        <f>IF(BF159&lt;&gt;"",IF($F$11="raty malejące",MIN(BK158/($F$4-BF158+SUM($BG$27:BG159)-SUM($BM$27:BM159)),BK158),MIN(BH159-BJ159,BK158)),"")</f>
        <v>1998.8134139349204</v>
      </c>
      <c r="BJ159" s="78">
        <f t="shared" si="168"/>
        <v>1523.2765860650798</v>
      </c>
      <c r="BK159" s="79">
        <f t="shared" si="169"/>
        <v>208108.30190538641</v>
      </c>
      <c r="BL159" s="11"/>
      <c r="BM159" s="33"/>
      <c r="BN159" s="33">
        <f t="shared" si="127"/>
        <v>9.9999999997635314E-3</v>
      </c>
      <c r="BO159" s="33">
        <f t="shared" si="128"/>
        <v>-0.12479022973361167</v>
      </c>
      <c r="BP159" s="33">
        <f>IF(O159&lt;&gt;"",BO159-SUM($BN$44:BN159),"")</f>
        <v>-4.4790229735503423E-2</v>
      </c>
      <c r="BQ159" s="11">
        <f t="shared" si="143"/>
        <v>20</v>
      </c>
      <c r="BR159" s="11">
        <f>IF(BF159&lt;&gt;"",IF($B$16=listy!$K$8,'RZĄDOWY PROGRAM'!$F$3*'RZĄDOWY PROGRAM'!$F$15,BK158*$F$15),"")</f>
        <v>50</v>
      </c>
      <c r="BS159" s="11">
        <f t="shared" si="144"/>
        <v>70</v>
      </c>
      <c r="BU159" s="8">
        <f t="shared" si="170"/>
        <v>132</v>
      </c>
      <c r="BV159" s="8"/>
      <c r="BW159" s="78">
        <f>IF(BU159&lt;&gt;"",ROUND(IF($F$11="raty równe",-PMT(W159/12,$F$4-BU158+SUM($BV$28:BV159)-$CB$43,BZ158,2),BX159+BY159),2),"")</f>
        <v>3522.1</v>
      </c>
      <c r="BX159" s="78">
        <f>IF(BU159&lt;&gt;"",IF($F$11="raty malejące",MIN(BZ158/($F$4-BU158+SUM($BV$28:BV158)-SUM($CB$28:CB158)),BZ158),MIN(BW159-BY159,BZ158)),"")</f>
        <v>1994.4764148909983</v>
      </c>
      <c r="BY159" s="78">
        <f t="shared" si="130"/>
        <v>1527.6235851090016</v>
      </c>
      <c r="BZ159" s="79">
        <f t="shared" si="124"/>
        <v>208712.22497945407</v>
      </c>
      <c r="CA159" s="11"/>
      <c r="CB159" s="33"/>
      <c r="CC159" s="33">
        <f t="shared" si="171"/>
        <v>0</v>
      </c>
      <c r="CD159" s="33">
        <f t="shared" si="129"/>
        <v>0.38192116195133186</v>
      </c>
      <c r="CE159" s="33">
        <f>IF(O159&lt;&gt;"",CD159-SUM($CC$44:CC159),"")</f>
        <v>0.11192116195771651</v>
      </c>
      <c r="CF159" s="11">
        <f t="shared" si="145"/>
        <v>20</v>
      </c>
      <c r="CG159" s="11">
        <f>IF(BU159&lt;&gt;"",IF($B$16=listy!$K$8,'RZĄDOWY PROGRAM'!$F$3*'RZĄDOWY PROGRAM'!$F$15,BZ158*$F$15),"")</f>
        <v>50</v>
      </c>
      <c r="CH159" s="11">
        <f t="shared" si="146"/>
        <v>70</v>
      </c>
      <c r="CJ159" s="48">
        <f t="shared" si="147"/>
        <v>0.06</v>
      </c>
      <c r="CK159" s="18">
        <f t="shared" si="148"/>
        <v>4.8675505653430484E-3</v>
      </c>
      <c r="CL159" s="11">
        <f t="shared" si="131"/>
        <v>0</v>
      </c>
      <c r="CM159" s="11">
        <f t="shared" si="149"/>
        <v>45996.814882728882</v>
      </c>
      <c r="CN159" s="11">
        <f>IF(AB159&lt;&gt;"",CM159-SUM($CL$28:CL159),"")</f>
        <v>17820.054882728888</v>
      </c>
    </row>
    <row r="160" spans="1:92" x14ac:dyDescent="0.45">
      <c r="A160" s="68">
        <f t="shared" si="172"/>
        <v>48761</v>
      </c>
      <c r="B160" s="8">
        <f t="shared" si="132"/>
        <v>133</v>
      </c>
      <c r="C160" s="11">
        <f t="shared" si="133"/>
        <v>3522.09</v>
      </c>
      <c r="D160" s="11">
        <f t="shared" si="134"/>
        <v>1614.2682268743229</v>
      </c>
      <c r="E160" s="11">
        <f t="shared" si="135"/>
        <v>1907.8217731256773</v>
      </c>
      <c r="F160" s="9">
        <f t="shared" si="150"/>
        <v>261533.56254908114</v>
      </c>
      <c r="G160" s="10">
        <f t="shared" si="136"/>
        <v>7.0000000000000007E-2</v>
      </c>
      <c r="H160" s="10">
        <f t="shared" si="137"/>
        <v>1.7000000000000001E-2</v>
      </c>
      <c r="I160" s="48">
        <f t="shared" si="151"/>
        <v>8.7000000000000008E-2</v>
      </c>
      <c r="J160" s="11">
        <f t="shared" si="138"/>
        <v>20</v>
      </c>
      <c r="K160" s="11">
        <f>IF(B160&lt;&gt;"",IF($B$16=listy!$K$8,'RZĄDOWY PROGRAM'!$F$3*'RZĄDOWY PROGRAM'!$F$15,F159*$F$15),"")</f>
        <v>50</v>
      </c>
      <c r="L160" s="11">
        <f t="shared" si="152"/>
        <v>70</v>
      </c>
      <c r="N160" s="54">
        <f t="shared" si="173"/>
        <v>48761</v>
      </c>
      <c r="O160" s="8">
        <f t="shared" si="153"/>
        <v>133</v>
      </c>
      <c r="P160" s="8"/>
      <c r="Q160" s="11">
        <f>IF(O160&lt;&gt;"",ROUND(IF($F$11="raty równe",-PMT(W160/12,$F$4-O159+SUM($P$28:P160),T159,2),R160+S160),2),"")</f>
        <v>3522.09</v>
      </c>
      <c r="R160" s="11">
        <f>IF(O160&lt;&gt;"",IF($F$11="raty malejące",T159/($F$4-O159+SUM($P$28:P160)),IF(Q160-S160&gt;T159,T159,Q160-S160)),"")</f>
        <v>1523.6226161054344</v>
      </c>
      <c r="S160" s="11">
        <f t="shared" si="121"/>
        <v>1998.4673838945657</v>
      </c>
      <c r="T160" s="9">
        <f t="shared" si="154"/>
        <v>274127.05102452432</v>
      </c>
      <c r="U160" s="10">
        <f t="shared" si="139"/>
        <v>7.0000000000000007E-2</v>
      </c>
      <c r="V160" s="10">
        <f t="shared" si="140"/>
        <v>1.7000000000000001E-2</v>
      </c>
      <c r="W160" s="48">
        <f t="shared" si="155"/>
        <v>8.7000000000000008E-2</v>
      </c>
      <c r="X160" s="11">
        <f t="shared" si="141"/>
        <v>20</v>
      </c>
      <c r="Y160" s="11">
        <f>IF(O160&lt;&gt;"",IF($B$16=listy!$K$8,'RZĄDOWY PROGRAM'!$F$3*'RZĄDOWY PROGRAM'!$F$15,T159*$F$15),"")</f>
        <v>50</v>
      </c>
      <c r="Z160" s="11">
        <f t="shared" si="156"/>
        <v>70</v>
      </c>
      <c r="AB160" s="8">
        <f t="shared" si="157"/>
        <v>133</v>
      </c>
      <c r="AC160" s="8"/>
      <c r="AD160" s="11">
        <f>IF(AB160&lt;&gt;"",ROUND(IF($F$11="raty równe",-PMT(W160/12,$F$4-AB159+SUM($AC$28:AC160),AG159,2),AE160+AF160),2),"")</f>
        <v>3280.39</v>
      </c>
      <c r="AE160" s="11">
        <f>IF(AB160&lt;&gt;"",IF($F$11="raty malejące",AG159/($F$4-AB159+SUM($AC$28:AC159)),MIN(AD160-AF160,AG159)),"")</f>
        <v>1419.06603888173</v>
      </c>
      <c r="AF160" s="11">
        <f t="shared" si="122"/>
        <v>1861.3239611182698</v>
      </c>
      <c r="AG160" s="9">
        <f t="shared" si="174"/>
        <v>255315.27342570719</v>
      </c>
      <c r="AH160" s="11"/>
      <c r="AI160" s="33">
        <f>IF(AB160&lt;&gt;"",ROUND(IF($F$11="raty równe",-PMT(W160/12,($F$4-AB159+SUM($AC$27:AC159)),AG159,2),AG159/($F$4-AB159+SUM($AC$27:AC159))+AG159*W160/12),2),"")</f>
        <v>3280.39</v>
      </c>
      <c r="AJ160" s="33">
        <f t="shared" si="158"/>
        <v>241.70000000000027</v>
      </c>
      <c r="AK160" s="33">
        <f t="shared" si="142"/>
        <v>39194.930513909734</v>
      </c>
      <c r="AL160" s="33">
        <f>IF(AB160&lt;&gt;"",AK160-SUM($AJ$28:AJ160),"")</f>
        <v>8843.0105139097395</v>
      </c>
      <c r="AM160" s="11">
        <f t="shared" si="159"/>
        <v>20</v>
      </c>
      <c r="AN160" s="11">
        <f>IF(AB160&lt;&gt;"",IF($B$16=listy!$K$8,'RZĄDOWY PROGRAM'!$F$3*'RZĄDOWY PROGRAM'!$F$15,AG159*$F$15),"")</f>
        <v>50</v>
      </c>
      <c r="AO160" s="11">
        <f t="shared" si="160"/>
        <v>70</v>
      </c>
      <c r="AQ160" s="8">
        <f t="shared" si="161"/>
        <v>133</v>
      </c>
      <c r="AR160" s="8"/>
      <c r="AS160" s="78">
        <f>IF(AQ160&lt;&gt;"",ROUND(IF($F$11="raty równe",-PMT(W160/12,$F$4-AQ159+SUM($AR$28:AR160),AV159,2),AT160+AU160),2),"")</f>
        <v>3263.82</v>
      </c>
      <c r="AT160" s="78">
        <f>IF(AQ160&lt;&gt;"",IF($F$11="raty malejące",AV159/($F$4-AQ159+SUM($AR$28:AR159)),MIN(AS160-AU160,AV159)),"")</f>
        <v>1411.8977303538911</v>
      </c>
      <c r="AU160" s="78">
        <f t="shared" si="162"/>
        <v>1851.922269646109</v>
      </c>
      <c r="AV160" s="79">
        <f t="shared" si="163"/>
        <v>254025.65670359213</v>
      </c>
      <c r="AW160" s="11"/>
      <c r="AX160" s="33">
        <f>IF(AQ160&lt;&gt;"",ROUND(IF($F$11="raty równe",-PMT(W160/12,($F$4-AQ159+SUM($AR$27:AR159)),AV159,2),AV159/($F$4-AQ159+SUM($AR$27:AR159))+AV159*W160/12),2),"")</f>
        <v>3263.82</v>
      </c>
      <c r="AY160" s="33">
        <f t="shared" si="164"/>
        <v>258.27</v>
      </c>
      <c r="AZ160" s="33">
        <f t="shared" si="126"/>
        <v>38300.661006712973</v>
      </c>
      <c r="BA160" s="33">
        <f>IF(AQ160&lt;&gt;"",AZ160-SUM($AY$44:AY160),"")</f>
        <v>8083.0810067129314</v>
      </c>
      <c r="BB160" s="11">
        <f t="shared" si="165"/>
        <v>20</v>
      </c>
      <c r="BC160" s="11">
        <f>IF(AQ160&lt;&gt;"",IF($B$16=listy!$K$8,'RZĄDOWY PROGRAM'!$F$3*'RZĄDOWY PROGRAM'!$F$15,AV159*$F$15),"")</f>
        <v>50</v>
      </c>
      <c r="BD160" s="11">
        <f t="shared" si="166"/>
        <v>70</v>
      </c>
      <c r="BF160" s="8">
        <f t="shared" si="167"/>
        <v>133</v>
      </c>
      <c r="BG160" s="8"/>
      <c r="BH160" s="78">
        <f>IF(BF160&lt;&gt;"",ROUND(IF($F$11="raty równe",-PMT(W160/12,$F$4-BF159+SUM(BV$28:$BV160)-SUM($BM$29:BM160),BK159,2),BI160+BJ160),2),"")</f>
        <v>3522.1</v>
      </c>
      <c r="BI160" s="78">
        <f>IF(BF160&lt;&gt;"",IF($F$11="raty malejące",MIN(BK159/($F$4-BF159+SUM($BG$27:BG160)-SUM($BM$27:BM160)),BK159),MIN(BH160-BJ160,BK159)),"")</f>
        <v>2013.3148111859484</v>
      </c>
      <c r="BJ160" s="78">
        <f t="shared" si="168"/>
        <v>1508.7851888140515</v>
      </c>
      <c r="BK160" s="79">
        <f t="shared" si="169"/>
        <v>206094.98709420045</v>
      </c>
      <c r="BL160" s="11"/>
      <c r="BM160" s="33"/>
      <c r="BN160" s="33">
        <f t="shared" si="127"/>
        <v>-9.9999999997635314E-3</v>
      </c>
      <c r="BO160" s="33">
        <f t="shared" si="128"/>
        <v>-0.1352822421635394</v>
      </c>
      <c r="BP160" s="33">
        <f>IF(O160&lt;&gt;"",BO160-SUM($BN$44:BN160),"")</f>
        <v>-4.5282242165667619E-2</v>
      </c>
      <c r="BQ160" s="11">
        <f t="shared" si="143"/>
        <v>20</v>
      </c>
      <c r="BR160" s="11">
        <f>IF(BF160&lt;&gt;"",IF($B$16=listy!$K$8,'RZĄDOWY PROGRAM'!$F$3*'RZĄDOWY PROGRAM'!$F$15,BK159*$F$15),"")</f>
        <v>50</v>
      </c>
      <c r="BS160" s="11">
        <f t="shared" si="144"/>
        <v>70</v>
      </c>
      <c r="BU160" s="8">
        <f t="shared" si="170"/>
        <v>133</v>
      </c>
      <c r="BV160" s="8"/>
      <c r="BW160" s="78">
        <f>IF(BU160&lt;&gt;"",ROUND(IF($F$11="raty równe",-PMT(W160/12,$F$4-BU159+SUM($BV$28:BV160)-$CB$43,BZ159,2),BX160+BY160),2),"")</f>
        <v>3522.1</v>
      </c>
      <c r="BX160" s="78">
        <f>IF(BU160&lt;&gt;"",IF($F$11="raty malejące",MIN(BZ159/($F$4-BU159+SUM($BV$28:BV159)-SUM($CB$28:CB159)),BZ159),MIN(BW160-BY160,BZ159)),"")</f>
        <v>2008.9363688989577</v>
      </c>
      <c r="BY160" s="78">
        <f t="shared" si="130"/>
        <v>1513.1636311010423</v>
      </c>
      <c r="BZ160" s="79">
        <f t="shared" si="124"/>
        <v>206703.28861055512</v>
      </c>
      <c r="CA160" s="11"/>
      <c r="CB160" s="33"/>
      <c r="CC160" s="33">
        <f t="shared" si="171"/>
        <v>-9.9999999997635314E-3</v>
      </c>
      <c r="CD160" s="33">
        <f t="shared" si="129"/>
        <v>0.37342696861146424</v>
      </c>
      <c r="CE160" s="33">
        <f>IF(O160&lt;&gt;"",CD160-SUM($CC$44:CC160),"")</f>
        <v>0.11342696861761242</v>
      </c>
      <c r="CF160" s="11">
        <f t="shared" si="145"/>
        <v>20</v>
      </c>
      <c r="CG160" s="11">
        <f>IF(BU160&lt;&gt;"",IF($B$16=listy!$K$8,'RZĄDOWY PROGRAM'!$F$3*'RZĄDOWY PROGRAM'!$F$15,BZ159*$F$15),"")</f>
        <v>50</v>
      </c>
      <c r="CH160" s="11">
        <f t="shared" si="146"/>
        <v>70</v>
      </c>
      <c r="CJ160" s="48">
        <f t="shared" si="147"/>
        <v>0.06</v>
      </c>
      <c r="CK160" s="18">
        <f t="shared" si="148"/>
        <v>4.8675505653430484E-3</v>
      </c>
      <c r="CL160" s="11">
        <f t="shared" si="131"/>
        <v>0</v>
      </c>
      <c r="CM160" s="11">
        <f t="shared" si="149"/>
        <v>46178.167258780872</v>
      </c>
      <c r="CN160" s="11">
        <f>IF(AB160&lt;&gt;"",CM160-SUM($CL$28:CL160),"")</f>
        <v>18001.407258780877</v>
      </c>
    </row>
    <row r="161" spans="1:92" x14ac:dyDescent="0.45">
      <c r="A161" s="68">
        <f t="shared" si="172"/>
        <v>48792</v>
      </c>
      <c r="B161" s="8">
        <f t="shared" si="132"/>
        <v>134</v>
      </c>
      <c r="C161" s="11">
        <f t="shared" si="133"/>
        <v>3522.1</v>
      </c>
      <c r="D161" s="11">
        <f t="shared" si="134"/>
        <v>1625.9816715191614</v>
      </c>
      <c r="E161" s="11">
        <f t="shared" si="135"/>
        <v>1896.1183284808385</v>
      </c>
      <c r="F161" s="9">
        <f t="shared" si="150"/>
        <v>259907.58087756197</v>
      </c>
      <c r="G161" s="10">
        <f t="shared" si="136"/>
        <v>7.0000000000000007E-2</v>
      </c>
      <c r="H161" s="10">
        <f t="shared" si="137"/>
        <v>1.7000000000000001E-2</v>
      </c>
      <c r="I161" s="48">
        <f t="shared" si="151"/>
        <v>8.7000000000000008E-2</v>
      </c>
      <c r="J161" s="11">
        <f t="shared" si="138"/>
        <v>20</v>
      </c>
      <c r="K161" s="11">
        <f>IF(B161&lt;&gt;"",IF($B$16=listy!$K$8,'RZĄDOWY PROGRAM'!$F$3*'RZĄDOWY PROGRAM'!$F$15,F160*$F$15),"")</f>
        <v>50</v>
      </c>
      <c r="L161" s="11">
        <f t="shared" si="152"/>
        <v>70</v>
      </c>
      <c r="N161" s="54">
        <f t="shared" si="173"/>
        <v>48792</v>
      </c>
      <c r="O161" s="8">
        <f t="shared" si="153"/>
        <v>134</v>
      </c>
      <c r="P161" s="8"/>
      <c r="Q161" s="11">
        <f>IF(O161&lt;&gt;"",ROUND(IF($F$11="raty równe",-PMT(W161/12,$F$4-O160+SUM($P$28:P161),T160,2),R161+S161),2),"")</f>
        <v>3522.1</v>
      </c>
      <c r="R161" s="11">
        <f>IF(O161&lt;&gt;"",IF($F$11="raty malejące",T160/($F$4-O160+SUM($P$28:P161)),IF(Q161-S161&gt;T160,T160,Q161-S161)),"")</f>
        <v>1534.6788800721984</v>
      </c>
      <c r="S161" s="11">
        <f t="shared" si="121"/>
        <v>1987.4211199278016</v>
      </c>
      <c r="T161" s="9">
        <f t="shared" si="154"/>
        <v>272592.37214445212</v>
      </c>
      <c r="U161" s="10">
        <f t="shared" si="139"/>
        <v>7.0000000000000007E-2</v>
      </c>
      <c r="V161" s="10">
        <f t="shared" si="140"/>
        <v>1.7000000000000001E-2</v>
      </c>
      <c r="W161" s="48">
        <f t="shared" si="155"/>
        <v>8.7000000000000008E-2</v>
      </c>
      <c r="X161" s="11">
        <f t="shared" si="141"/>
        <v>20</v>
      </c>
      <c r="Y161" s="11">
        <f>IF(O161&lt;&gt;"",IF($B$16=listy!$K$8,'RZĄDOWY PROGRAM'!$F$3*'RZĄDOWY PROGRAM'!$F$15,T160*$F$15),"")</f>
        <v>50</v>
      </c>
      <c r="Z161" s="11">
        <f t="shared" si="156"/>
        <v>70</v>
      </c>
      <c r="AB161" s="8">
        <f t="shared" si="157"/>
        <v>134</v>
      </c>
      <c r="AC161" s="8"/>
      <c r="AD161" s="11">
        <f>IF(AB161&lt;&gt;"",ROUND(IF($F$11="raty równe",-PMT(W161/12,$F$4-AB160+SUM($AC$28:AC161),AG160,2),AE161+AF161),2),"")</f>
        <v>3280.39</v>
      </c>
      <c r="AE161" s="11">
        <f>IF(AB161&lt;&gt;"",IF($F$11="raty malejące",AG160/($F$4-AB160+SUM($AC$28:AC160)),MIN(AD161-AF161,AG160)),"")</f>
        <v>1429.3542676636227</v>
      </c>
      <c r="AF161" s="11">
        <f t="shared" si="122"/>
        <v>1851.0357323363771</v>
      </c>
      <c r="AG161" s="9">
        <f t="shared" si="174"/>
        <v>253885.91915804357</v>
      </c>
      <c r="AH161" s="11"/>
      <c r="AI161" s="33">
        <f>IF(AB161&lt;&gt;"",ROUND(IF($F$11="raty równe",-PMT(W161/12,($F$4-AB160+SUM($AC$27:AC160)),AG160,2),AG160/($F$4-AB160+SUM($AC$27:AC160))+AG160*W161/12),2),"")</f>
        <v>3280.39</v>
      </c>
      <c r="AJ161" s="33">
        <f t="shared" si="158"/>
        <v>241.71000000000004</v>
      </c>
      <c r="AK161" s="33">
        <f t="shared" si="142"/>
        <v>39591.1749919168</v>
      </c>
      <c r="AL161" s="33">
        <f>IF(AB161&lt;&gt;"",AK161-SUM($AJ$28:AJ161),"")</f>
        <v>8997.5449919168059</v>
      </c>
      <c r="AM161" s="11">
        <f t="shared" si="159"/>
        <v>20</v>
      </c>
      <c r="AN161" s="11">
        <f>IF(AB161&lt;&gt;"",IF($B$16=listy!$K$8,'RZĄDOWY PROGRAM'!$F$3*'RZĄDOWY PROGRAM'!$F$15,AG160*$F$15),"")</f>
        <v>50</v>
      </c>
      <c r="AO161" s="11">
        <f t="shared" si="160"/>
        <v>70</v>
      </c>
      <c r="AQ161" s="8">
        <f t="shared" si="161"/>
        <v>134</v>
      </c>
      <c r="AR161" s="8"/>
      <c r="AS161" s="78">
        <f>IF(AQ161&lt;&gt;"",ROUND(IF($F$11="raty równe",-PMT(W161/12,$F$4-AQ160+SUM($AR$28:AR161),AV160,2),AT161+AU161),2),"")</f>
        <v>3263.83</v>
      </c>
      <c r="AT161" s="78">
        <f>IF(AQ161&lt;&gt;"",IF($F$11="raty malejące",AV160/($F$4-AQ160+SUM($AR$28:AR160)),MIN(AS161-AU161,AV160)),"")</f>
        <v>1422.1439888989569</v>
      </c>
      <c r="AU161" s="78">
        <f t="shared" si="162"/>
        <v>1841.6860111010431</v>
      </c>
      <c r="AV161" s="79">
        <f t="shared" si="163"/>
        <v>252603.51271469318</v>
      </c>
      <c r="AW161" s="11"/>
      <c r="AX161" s="33">
        <f>IF(AQ161&lt;&gt;"",ROUND(IF($F$11="raty równe",-PMT(W161/12,($F$4-AQ160+SUM($AR$27:AR160)),AV160,2),AV160/($F$4-AQ160+SUM($AR$27:AR160))+AV160*W161/12),2),"")</f>
        <v>3263.83</v>
      </c>
      <c r="AY161" s="33">
        <f t="shared" si="164"/>
        <v>258.27</v>
      </c>
      <c r="AZ161" s="33">
        <f t="shared" si="126"/>
        <v>38709.939634063325</v>
      </c>
      <c r="BA161" s="33">
        <f>IF(AQ161&lt;&gt;"",AZ161-SUM($AY$44:AY161),"")</f>
        <v>8234.0896340632826</v>
      </c>
      <c r="BB161" s="11">
        <f t="shared" si="165"/>
        <v>20</v>
      </c>
      <c r="BC161" s="11">
        <f>IF(AQ161&lt;&gt;"",IF($B$16=listy!$K$8,'RZĄDOWY PROGRAM'!$F$3*'RZĄDOWY PROGRAM'!$F$15,AV160*$F$15),"")</f>
        <v>50</v>
      </c>
      <c r="BD161" s="11">
        <f t="shared" si="166"/>
        <v>70</v>
      </c>
      <c r="BF161" s="8">
        <f t="shared" si="167"/>
        <v>134</v>
      </c>
      <c r="BG161" s="8"/>
      <c r="BH161" s="78">
        <f>IF(BF161&lt;&gt;"",ROUND(IF($F$11="raty równe",-PMT(W161/12,$F$4-BF160+SUM(BV$28:$BV161)-SUM($BM$29:BM161),BK160,2),BI161+BJ161),2),"")</f>
        <v>3522.09</v>
      </c>
      <c r="BI161" s="78">
        <f>IF(BF161&lt;&gt;"",IF($F$11="raty malejące",MIN(BK160/($F$4-BF160+SUM($BG$27:BG161)-SUM($BM$27:BM161)),BK160),MIN(BH161-BJ161,BK160)),"")</f>
        <v>2027.9013435670468</v>
      </c>
      <c r="BJ161" s="78">
        <f t="shared" si="168"/>
        <v>1494.1886564329534</v>
      </c>
      <c r="BK161" s="79">
        <f t="shared" si="169"/>
        <v>204067.08575063341</v>
      </c>
      <c r="BL161" s="11"/>
      <c r="BM161" s="33"/>
      <c r="BN161" s="33">
        <f t="shared" si="127"/>
        <v>9.9999999997635314E-3</v>
      </c>
      <c r="BO161" s="33">
        <f t="shared" si="128"/>
        <v>-0.12581562161877832</v>
      </c>
      <c r="BP161" s="33">
        <f>IF(O161&lt;&gt;"",BO161-SUM($BN$44:BN161),"")</f>
        <v>-4.5815621620670072E-2</v>
      </c>
      <c r="BQ161" s="11">
        <f t="shared" si="143"/>
        <v>20</v>
      </c>
      <c r="BR161" s="11">
        <f>IF(BF161&lt;&gt;"",IF($B$16=listy!$K$8,'RZĄDOWY PROGRAM'!$F$3*'RZĄDOWY PROGRAM'!$F$15,BK160*$F$15),"")</f>
        <v>50</v>
      </c>
      <c r="BS161" s="11">
        <f t="shared" si="144"/>
        <v>70</v>
      </c>
      <c r="BU161" s="8">
        <f t="shared" si="170"/>
        <v>134</v>
      </c>
      <c r="BV161" s="8"/>
      <c r="BW161" s="78">
        <f>IF(BU161&lt;&gt;"",ROUND(IF($F$11="raty równe",-PMT(W161/12,$F$4-BU160+SUM($BV$28:BV161)-$CB$43,BZ160,2),BX161+BY161),2),"")</f>
        <v>3522.09</v>
      </c>
      <c r="BX161" s="78">
        <f>IF(BU161&lt;&gt;"",IF($F$11="raty malejące",MIN(BZ160/($F$4-BU160+SUM($BV$28:BV160)-SUM($CB$28:CB160)),BZ160),MIN(BW161-BY161,BZ160)),"")</f>
        <v>2023.4911575734752</v>
      </c>
      <c r="BY161" s="78">
        <f t="shared" si="130"/>
        <v>1498.5988424265249</v>
      </c>
      <c r="BZ161" s="79">
        <f t="shared" si="124"/>
        <v>204679.79745298164</v>
      </c>
      <c r="CA161" s="11"/>
      <c r="CB161" s="33"/>
      <c r="CC161" s="33">
        <f t="shared" si="171"/>
        <v>9.9999999997635314E-3</v>
      </c>
      <c r="CD161" s="33">
        <f t="shared" si="129"/>
        <v>0.38489928507949284</v>
      </c>
      <c r="CE161" s="33">
        <f>IF(O161&lt;&gt;"",CD161-SUM($CC$44:CC161),"")</f>
        <v>0.11489928508587749</v>
      </c>
      <c r="CF161" s="11">
        <f t="shared" si="145"/>
        <v>20</v>
      </c>
      <c r="CG161" s="11">
        <f>IF(BU161&lt;&gt;"",IF($B$16=listy!$K$8,'RZĄDOWY PROGRAM'!$F$3*'RZĄDOWY PROGRAM'!$F$15,BZ160*$F$15),"")</f>
        <v>50</v>
      </c>
      <c r="CH161" s="11">
        <f t="shared" si="146"/>
        <v>70</v>
      </c>
      <c r="CJ161" s="48">
        <f t="shared" si="147"/>
        <v>0.06</v>
      </c>
      <c r="CK161" s="18">
        <f t="shared" si="148"/>
        <v>4.8675505653430484E-3</v>
      </c>
      <c r="CL161" s="11">
        <f t="shared" si="131"/>
        <v>0</v>
      </c>
      <c r="CM161" s="11">
        <f t="shared" si="149"/>
        <v>46360.234655739936</v>
      </c>
      <c r="CN161" s="11">
        <f>IF(AB161&lt;&gt;"",CM161-SUM($CL$28:CL161),"")</f>
        <v>18183.474655739941</v>
      </c>
    </row>
    <row r="162" spans="1:92" x14ac:dyDescent="0.45">
      <c r="A162" s="68">
        <f t="shared" si="172"/>
        <v>48823</v>
      </c>
      <c r="B162" s="8">
        <f t="shared" si="132"/>
        <v>135</v>
      </c>
      <c r="C162" s="11">
        <f t="shared" si="133"/>
        <v>3522.09</v>
      </c>
      <c r="D162" s="11">
        <f t="shared" si="134"/>
        <v>1637.7600386376755</v>
      </c>
      <c r="E162" s="11">
        <f t="shared" si="135"/>
        <v>1884.3299613623246</v>
      </c>
      <c r="F162" s="9">
        <f t="shared" si="150"/>
        <v>258269.82083892429</v>
      </c>
      <c r="G162" s="10">
        <f t="shared" si="136"/>
        <v>7.0000000000000007E-2</v>
      </c>
      <c r="H162" s="10">
        <f t="shared" si="137"/>
        <v>1.7000000000000001E-2</v>
      </c>
      <c r="I162" s="48">
        <f t="shared" si="151"/>
        <v>8.7000000000000008E-2</v>
      </c>
      <c r="J162" s="11">
        <f t="shared" si="138"/>
        <v>20</v>
      </c>
      <c r="K162" s="11">
        <f>IF(B162&lt;&gt;"",IF($B$16=listy!$K$8,'RZĄDOWY PROGRAM'!$F$3*'RZĄDOWY PROGRAM'!$F$15,F161*$F$15),"")</f>
        <v>50</v>
      </c>
      <c r="L162" s="11">
        <f t="shared" si="152"/>
        <v>70</v>
      </c>
      <c r="N162" s="54">
        <f t="shared" si="173"/>
        <v>48823</v>
      </c>
      <c r="O162" s="8">
        <f t="shared" si="153"/>
        <v>135</v>
      </c>
      <c r="P162" s="8"/>
      <c r="Q162" s="11">
        <f>IF(O162&lt;&gt;"",ROUND(IF($F$11="raty równe",-PMT(W162/12,$F$4-O161+SUM($P$28:P162),T161,2),R162+S162),2),"")</f>
        <v>3522.09</v>
      </c>
      <c r="R162" s="11">
        <f>IF(O162&lt;&gt;"",IF($F$11="raty malejące",T161/($F$4-O161+SUM($P$28:P162)),IF(Q162-S162&gt;T161,T161,Q162-S162)),"")</f>
        <v>1545.7953019527222</v>
      </c>
      <c r="S162" s="11">
        <f t="shared" si="121"/>
        <v>1976.294698047278</v>
      </c>
      <c r="T162" s="9">
        <f t="shared" si="154"/>
        <v>271046.57684249937</v>
      </c>
      <c r="U162" s="10">
        <f t="shared" si="139"/>
        <v>7.0000000000000007E-2</v>
      </c>
      <c r="V162" s="10">
        <f t="shared" si="140"/>
        <v>1.7000000000000001E-2</v>
      </c>
      <c r="W162" s="48">
        <f t="shared" si="155"/>
        <v>8.7000000000000008E-2</v>
      </c>
      <c r="X162" s="11">
        <f t="shared" si="141"/>
        <v>20</v>
      </c>
      <c r="Y162" s="11">
        <f>IF(O162&lt;&gt;"",IF($B$16=listy!$K$8,'RZĄDOWY PROGRAM'!$F$3*'RZĄDOWY PROGRAM'!$F$15,T161*$F$15),"")</f>
        <v>50</v>
      </c>
      <c r="Z162" s="11">
        <f t="shared" si="156"/>
        <v>70</v>
      </c>
      <c r="AB162" s="8">
        <f t="shared" si="157"/>
        <v>135</v>
      </c>
      <c r="AC162" s="8"/>
      <c r="AD162" s="11">
        <f>IF(AB162&lt;&gt;"",ROUND(IF($F$11="raty równe",-PMT(W162/12,$F$4-AB161+SUM($AC$28:AC162),AG161,2),AE162+AF162),2),"")</f>
        <v>3280.39</v>
      </c>
      <c r="AE162" s="11">
        <f>IF(AB162&lt;&gt;"",IF($F$11="raty malejące",AG161/($F$4-AB161+SUM($AC$28:AC161)),MIN(AD162-AF162,AG161)),"")</f>
        <v>1439.7170861041839</v>
      </c>
      <c r="AF162" s="11">
        <f t="shared" si="122"/>
        <v>1840.672913895816</v>
      </c>
      <c r="AG162" s="9">
        <f t="shared" si="174"/>
        <v>252446.20207193939</v>
      </c>
      <c r="AH162" s="11"/>
      <c r="AI162" s="33">
        <f>IF(AB162&lt;&gt;"",ROUND(IF($F$11="raty równe",-PMT(W162/12,($F$4-AB161+SUM($AC$27:AC161)),AG161,2),AG161/($F$4-AB161+SUM($AC$27:AC161))+AG161*W162/12),2),"")</f>
        <v>3280.39</v>
      </c>
      <c r="AJ162" s="33">
        <f t="shared" si="158"/>
        <v>241.70000000000027</v>
      </c>
      <c r="AK162" s="33">
        <f t="shared" si="142"/>
        <v>39988.971749350545</v>
      </c>
      <c r="AL162" s="33">
        <f>IF(AB162&lt;&gt;"",AK162-SUM($AJ$28:AJ162),"")</f>
        <v>9153.6417493505505</v>
      </c>
      <c r="AM162" s="11">
        <f t="shared" si="159"/>
        <v>20</v>
      </c>
      <c r="AN162" s="11">
        <f>IF(AB162&lt;&gt;"",IF($B$16=listy!$K$8,'RZĄDOWY PROGRAM'!$F$3*'RZĄDOWY PROGRAM'!$F$15,AG161*$F$15),"")</f>
        <v>50</v>
      </c>
      <c r="AO162" s="11">
        <f t="shared" si="160"/>
        <v>70</v>
      </c>
      <c r="AQ162" s="8">
        <f t="shared" si="161"/>
        <v>135</v>
      </c>
      <c r="AR162" s="8"/>
      <c r="AS162" s="78">
        <f>IF(AQ162&lt;&gt;"",ROUND(IF($F$11="raty równe",-PMT(W162/12,$F$4-AQ161+SUM($AR$28:AR162),AV161,2),AT162+AU162),2),"")</f>
        <v>3263.82</v>
      </c>
      <c r="AT162" s="78">
        <f>IF(AQ162&lt;&gt;"",IF($F$11="raty malejące",AV161/($F$4-AQ161+SUM($AR$28:AR161)),MIN(AS162-AU162,AV161)),"")</f>
        <v>1432.4445328184745</v>
      </c>
      <c r="AU162" s="78">
        <f t="shared" si="162"/>
        <v>1831.3754671815257</v>
      </c>
      <c r="AV162" s="79">
        <f t="shared" si="163"/>
        <v>251171.0681818747</v>
      </c>
      <c r="AW162" s="11"/>
      <c r="AX162" s="33">
        <f>IF(AQ162&lt;&gt;"",ROUND(IF($F$11="raty równe",-PMT(W162/12,($F$4-AQ161+SUM($AR$27:AR161)),AV161,2),AV161/($F$4-AQ161+SUM($AR$27:AR161))+AV161*W162/12),2),"")</f>
        <v>3263.82</v>
      </c>
      <c r="AY162" s="33">
        <f t="shared" si="164"/>
        <v>258.27</v>
      </c>
      <c r="AZ162" s="33">
        <f t="shared" si="126"/>
        <v>39120.831930788969</v>
      </c>
      <c r="BA162" s="33">
        <f>IF(AQ162&lt;&gt;"",AZ162-SUM($AY$44:AY162),"")</f>
        <v>8386.7119307889261</v>
      </c>
      <c r="BB162" s="11">
        <f t="shared" si="165"/>
        <v>20</v>
      </c>
      <c r="BC162" s="11">
        <f>IF(AQ162&lt;&gt;"",IF($B$16=listy!$K$8,'RZĄDOWY PROGRAM'!$F$3*'RZĄDOWY PROGRAM'!$F$15,AV161*$F$15),"")</f>
        <v>50</v>
      </c>
      <c r="BD162" s="11">
        <f t="shared" si="166"/>
        <v>70</v>
      </c>
      <c r="BF162" s="8">
        <f t="shared" si="167"/>
        <v>135</v>
      </c>
      <c r="BG162" s="8"/>
      <c r="BH162" s="78">
        <f>IF(BF162&lt;&gt;"",ROUND(IF($F$11="raty równe",-PMT(W162/12,$F$4-BF161+SUM(BV$28:$BV162)-SUM($BM$29:BM162),BK161,2),BI162+BJ162),2),"")</f>
        <v>3522.1</v>
      </c>
      <c r="BI162" s="78">
        <f>IF(BF162&lt;&gt;"",IF($F$11="raty malejące",MIN(BK161/($F$4-BF161+SUM($BG$27:BG162)-SUM($BM$27:BM162)),BK161),MIN(BH162-BJ162,BK161)),"")</f>
        <v>2042.6136283079074</v>
      </c>
      <c r="BJ162" s="78">
        <f t="shared" si="168"/>
        <v>1479.4863716920925</v>
      </c>
      <c r="BK162" s="79">
        <f t="shared" si="169"/>
        <v>202024.4721223255</v>
      </c>
      <c r="BL162" s="11"/>
      <c r="BM162" s="33"/>
      <c r="BN162" s="33">
        <f t="shared" si="127"/>
        <v>-9.9999999997635314E-3</v>
      </c>
      <c r="BO162" s="33">
        <f t="shared" si="128"/>
        <v>-0.13631167687765483</v>
      </c>
      <c r="BP162" s="33">
        <f>IF(O162&lt;&gt;"",BO162-SUM($BN$44:BN162),"")</f>
        <v>-4.6311676879783048E-2</v>
      </c>
      <c r="BQ162" s="11">
        <f t="shared" si="143"/>
        <v>20</v>
      </c>
      <c r="BR162" s="11">
        <f>IF(BF162&lt;&gt;"",IF($B$16=listy!$K$8,'RZĄDOWY PROGRAM'!$F$3*'RZĄDOWY PROGRAM'!$F$15,BK161*$F$15),"")</f>
        <v>50</v>
      </c>
      <c r="BS162" s="11">
        <f t="shared" si="144"/>
        <v>70</v>
      </c>
      <c r="BU162" s="8">
        <f t="shared" si="170"/>
        <v>135</v>
      </c>
      <c r="BV162" s="8"/>
      <c r="BW162" s="78">
        <f>IF(BU162&lt;&gt;"",ROUND(IF($F$11="raty równe",-PMT(W162/12,$F$4-BU161+SUM($BV$28:BV162)-$CB$43,BZ161,2),BX162+BY162),2),"")</f>
        <v>3522.09</v>
      </c>
      <c r="BX162" s="78">
        <f>IF(BU162&lt;&gt;"",IF($F$11="raty malejące",MIN(BZ161/($F$4-BU161+SUM($BV$28:BV161)-SUM($CB$28:CB161)),BZ161),MIN(BW162-BY162,BZ161)),"")</f>
        <v>2038.1614684658832</v>
      </c>
      <c r="BY162" s="78">
        <f t="shared" si="130"/>
        <v>1483.9285315341169</v>
      </c>
      <c r="BZ162" s="79">
        <f t="shared" si="124"/>
        <v>202641.63598451577</v>
      </c>
      <c r="CA162" s="11"/>
      <c r="CB162" s="33"/>
      <c r="CC162" s="33">
        <f t="shared" si="171"/>
        <v>0</v>
      </c>
      <c r="CD162" s="33">
        <f t="shared" si="129"/>
        <v>0.3864168336329708</v>
      </c>
      <c r="CE162" s="33">
        <f>IF(O162&lt;&gt;"",CD162-SUM($CC$44:CC162),"")</f>
        <v>0.11641683363935545</v>
      </c>
      <c r="CF162" s="11">
        <f t="shared" si="145"/>
        <v>20</v>
      </c>
      <c r="CG162" s="11">
        <f>IF(BU162&lt;&gt;"",IF($B$16=listy!$K$8,'RZĄDOWY PROGRAM'!$F$3*'RZĄDOWY PROGRAM'!$F$15,BZ161*$F$15),"")</f>
        <v>50</v>
      </c>
      <c r="CH162" s="11">
        <f t="shared" si="146"/>
        <v>70</v>
      </c>
      <c r="CJ162" s="48">
        <f t="shared" si="147"/>
        <v>0.06</v>
      </c>
      <c r="CK162" s="18">
        <f t="shared" si="148"/>
        <v>4.8675505653430484E-3</v>
      </c>
      <c r="CL162" s="11">
        <f t="shared" si="131"/>
        <v>0</v>
      </c>
      <c r="CM162" s="11">
        <f t="shared" si="149"/>
        <v>46543.019892730408</v>
      </c>
      <c r="CN162" s="11">
        <f>IF(AB162&lt;&gt;"",CM162-SUM($CL$28:CL162),"")</f>
        <v>18366.259892730413</v>
      </c>
    </row>
    <row r="163" spans="1:92" x14ac:dyDescent="0.45">
      <c r="A163" s="68">
        <f t="shared" si="172"/>
        <v>48853</v>
      </c>
      <c r="B163" s="8">
        <f t="shared" si="132"/>
        <v>136</v>
      </c>
      <c r="C163" s="11">
        <f t="shared" si="133"/>
        <v>3522.1</v>
      </c>
      <c r="D163" s="11">
        <f t="shared" si="134"/>
        <v>1649.6437989177987</v>
      </c>
      <c r="E163" s="11">
        <f t="shared" si="135"/>
        <v>1872.4562010822012</v>
      </c>
      <c r="F163" s="9">
        <f t="shared" si="150"/>
        <v>256620.1770400065</v>
      </c>
      <c r="G163" s="10">
        <f t="shared" si="136"/>
        <v>7.0000000000000007E-2</v>
      </c>
      <c r="H163" s="10">
        <f t="shared" si="137"/>
        <v>1.7000000000000001E-2</v>
      </c>
      <c r="I163" s="48">
        <f t="shared" si="151"/>
        <v>8.7000000000000008E-2</v>
      </c>
      <c r="J163" s="11">
        <f t="shared" si="138"/>
        <v>20</v>
      </c>
      <c r="K163" s="11">
        <f>IF(B163&lt;&gt;"",IF($B$16=listy!$K$8,'RZĄDOWY PROGRAM'!$F$3*'RZĄDOWY PROGRAM'!$F$15,F162*$F$15),"")</f>
        <v>50</v>
      </c>
      <c r="L163" s="11">
        <f t="shared" si="152"/>
        <v>70</v>
      </c>
      <c r="N163" s="54">
        <f t="shared" si="173"/>
        <v>48853</v>
      </c>
      <c r="O163" s="8">
        <f t="shared" si="153"/>
        <v>136</v>
      </c>
      <c r="P163" s="8"/>
      <c r="Q163" s="11">
        <f>IF(O163&lt;&gt;"",ROUND(IF($F$11="raty równe",-PMT(W163/12,$F$4-O162+SUM($P$28:P163),T162,2),R163+S163),2),"")</f>
        <v>3522.1</v>
      </c>
      <c r="R163" s="11">
        <f>IF(O163&lt;&gt;"",IF($F$11="raty malejące",T162/($F$4-O162+SUM($P$28:P163)),IF(Q163-S163&gt;T162,T162,Q163-S163)),"")</f>
        <v>1557.0123178918791</v>
      </c>
      <c r="S163" s="11">
        <f t="shared" si="121"/>
        <v>1965.0876821081208</v>
      </c>
      <c r="T163" s="9">
        <f t="shared" si="154"/>
        <v>269489.5645246075</v>
      </c>
      <c r="U163" s="10">
        <f t="shared" si="139"/>
        <v>7.0000000000000007E-2</v>
      </c>
      <c r="V163" s="10">
        <f t="shared" si="140"/>
        <v>1.7000000000000001E-2</v>
      </c>
      <c r="W163" s="48">
        <f t="shared" si="155"/>
        <v>8.7000000000000008E-2</v>
      </c>
      <c r="X163" s="11">
        <f t="shared" si="141"/>
        <v>20</v>
      </c>
      <c r="Y163" s="11">
        <f>IF(O163&lt;&gt;"",IF($B$16=listy!$K$8,'RZĄDOWY PROGRAM'!$F$3*'RZĄDOWY PROGRAM'!$F$15,T162*$F$15),"")</f>
        <v>50</v>
      </c>
      <c r="Z163" s="11">
        <f t="shared" si="156"/>
        <v>70</v>
      </c>
      <c r="AB163" s="8">
        <f t="shared" si="157"/>
        <v>136</v>
      </c>
      <c r="AC163" s="8"/>
      <c r="AD163" s="11">
        <f>IF(AB163&lt;&gt;"",ROUND(IF($F$11="raty równe",-PMT(W163/12,$F$4-AB162+SUM($AC$28:AC163),AG162,2),AE163+AF163),2),"")</f>
        <v>3280.39</v>
      </c>
      <c r="AE163" s="11">
        <f>IF(AB163&lt;&gt;"",IF($F$11="raty malejące",AG162/($F$4-AB162+SUM($AC$28:AC162)),MIN(AD163-AF163,AG162)),"")</f>
        <v>1450.1550349784391</v>
      </c>
      <c r="AF163" s="11">
        <f t="shared" si="122"/>
        <v>1830.2349650215608</v>
      </c>
      <c r="AG163" s="9">
        <f t="shared" si="174"/>
        <v>250996.04703696095</v>
      </c>
      <c r="AH163" s="11"/>
      <c r="AI163" s="33">
        <f>IF(AB163&lt;&gt;"",ROUND(IF($F$11="raty równe",-PMT(W163/12,($F$4-AB162+SUM($AC$27:AC162)),AG162,2),AG162/($F$4-AB162+SUM($AC$27:AC162))+AG162*W163/12),2),"")</f>
        <v>3280.39</v>
      </c>
      <c r="AJ163" s="33">
        <f t="shared" si="158"/>
        <v>241.71000000000004</v>
      </c>
      <c r="AK163" s="33">
        <f t="shared" si="142"/>
        <v>40388.346906407838</v>
      </c>
      <c r="AL163" s="33">
        <f>IF(AB163&lt;&gt;"",AK163-SUM($AJ$28:AJ163),"")</f>
        <v>9311.3069064078445</v>
      </c>
      <c r="AM163" s="11">
        <f t="shared" si="159"/>
        <v>20</v>
      </c>
      <c r="AN163" s="11">
        <f>IF(AB163&lt;&gt;"",IF($B$16=listy!$K$8,'RZĄDOWY PROGRAM'!$F$3*'RZĄDOWY PROGRAM'!$F$15,AG162*$F$15),"")</f>
        <v>50</v>
      </c>
      <c r="AO163" s="11">
        <f t="shared" si="160"/>
        <v>70</v>
      </c>
      <c r="AQ163" s="8">
        <f t="shared" si="161"/>
        <v>136</v>
      </c>
      <c r="AR163" s="8"/>
      <c r="AS163" s="78">
        <f>IF(AQ163&lt;&gt;"",ROUND(IF($F$11="raty równe",-PMT(W163/12,$F$4-AQ162+SUM($AR$28:AR163),AV162,2),AT163+AU163),2),"")</f>
        <v>3263.83</v>
      </c>
      <c r="AT163" s="78">
        <f>IF(AQ163&lt;&gt;"",IF($F$11="raty malejące",AV162/($F$4-AQ162+SUM($AR$28:AR162)),MIN(AS163-AU163,AV162)),"")</f>
        <v>1442.8397556814082</v>
      </c>
      <c r="AU163" s="78">
        <f t="shared" si="162"/>
        <v>1820.9902443185917</v>
      </c>
      <c r="AV163" s="79">
        <f t="shared" si="163"/>
        <v>249728.22842619329</v>
      </c>
      <c r="AW163" s="11"/>
      <c r="AX163" s="33">
        <f>IF(AQ163&lt;&gt;"",ROUND(IF($F$11="raty równe",-PMT(W163/12,($F$4-AQ162+SUM($AR$27:AR162)),AV162,2),AV162/($F$4-AQ162+SUM($AR$27:AR162))+AV162*W163/12),2),"")</f>
        <v>3263.83</v>
      </c>
      <c r="AY163" s="33">
        <f t="shared" si="164"/>
        <v>258.27</v>
      </c>
      <c r="AZ163" s="33">
        <f t="shared" si="126"/>
        <v>39533.344259129903</v>
      </c>
      <c r="BA163" s="33">
        <f>IF(AQ163&lt;&gt;"",AZ163-SUM($AY$44:AY163),"")</f>
        <v>8540.9542591298596</v>
      </c>
      <c r="BB163" s="11">
        <f t="shared" si="165"/>
        <v>20</v>
      </c>
      <c r="BC163" s="11">
        <f>IF(AQ163&lt;&gt;"",IF($B$16=listy!$K$8,'RZĄDOWY PROGRAM'!$F$3*'RZĄDOWY PROGRAM'!$F$15,AV162*$F$15),"")</f>
        <v>50</v>
      </c>
      <c r="BD163" s="11">
        <f t="shared" si="166"/>
        <v>70</v>
      </c>
      <c r="BF163" s="8">
        <f t="shared" si="167"/>
        <v>136</v>
      </c>
      <c r="BG163" s="8"/>
      <c r="BH163" s="78">
        <f>IF(BF163&lt;&gt;"",ROUND(IF($F$11="raty równe",-PMT(W163/12,$F$4-BF162+SUM(BV$28:$BV163)-SUM($BM$29:BM163),BK162,2),BI163+BJ163),2),"")</f>
        <v>3522.09</v>
      </c>
      <c r="BI163" s="78">
        <f>IF(BF163&lt;&gt;"",IF($F$11="raty malejące",MIN(BK162/($F$4-BF162+SUM($BG$27:BG163)-SUM($BM$27:BM163)),BK162),MIN(BH163-BJ163,BK162)),"")</f>
        <v>2057.4125771131403</v>
      </c>
      <c r="BJ163" s="78">
        <f t="shared" si="168"/>
        <v>1464.6774228868601</v>
      </c>
      <c r="BK163" s="79">
        <f t="shared" si="169"/>
        <v>199967.05954521237</v>
      </c>
      <c r="BL163" s="11"/>
      <c r="BM163" s="33"/>
      <c r="BN163" s="33">
        <f t="shared" si="127"/>
        <v>9.9999999997635314E-3</v>
      </c>
      <c r="BO163" s="33">
        <f t="shared" si="128"/>
        <v>-0.12684911510156874</v>
      </c>
      <c r="BP163" s="33">
        <f>IF(O163&lt;&gt;"",BO163-SUM($BN$44:BN163),"")</f>
        <v>-4.6849115103460487E-2</v>
      </c>
      <c r="BQ163" s="11">
        <f t="shared" si="143"/>
        <v>20</v>
      </c>
      <c r="BR163" s="11">
        <f>IF(BF163&lt;&gt;"",IF($B$16=listy!$K$8,'RZĄDOWY PROGRAM'!$F$3*'RZĄDOWY PROGRAM'!$F$15,BK162*$F$15),"")</f>
        <v>50</v>
      </c>
      <c r="BS163" s="11">
        <f t="shared" si="144"/>
        <v>70</v>
      </c>
      <c r="BU163" s="8">
        <f t="shared" si="170"/>
        <v>136</v>
      </c>
      <c r="BV163" s="8"/>
      <c r="BW163" s="78">
        <f>IF(BU163&lt;&gt;"",ROUND(IF($F$11="raty równe",-PMT(W163/12,$F$4-BU162+SUM($BV$28:BV163)-$CB$43,BZ162,2),BX163+BY163),2),"")</f>
        <v>3522.1</v>
      </c>
      <c r="BX163" s="78">
        <f>IF(BU163&lt;&gt;"",IF($F$11="raty malejące",MIN(BZ162/($F$4-BU162+SUM($BV$28:BV162)-SUM($CB$28:CB162)),BZ162),MIN(BW163-BY163,BZ162)),"")</f>
        <v>2052.9481391122604</v>
      </c>
      <c r="BY163" s="78">
        <f t="shared" si="130"/>
        <v>1469.1518608877395</v>
      </c>
      <c r="BZ163" s="79">
        <f t="shared" si="124"/>
        <v>200588.6878454035</v>
      </c>
      <c r="CA163" s="11"/>
      <c r="CB163" s="33"/>
      <c r="CC163" s="33">
        <f t="shared" si="171"/>
        <v>0</v>
      </c>
      <c r="CD163" s="33">
        <f t="shared" si="129"/>
        <v>0.38794036544934751</v>
      </c>
      <c r="CE163" s="33">
        <f>IF(O163&lt;&gt;"",CD163-SUM($CC$44:CC163),"")</f>
        <v>0.11794036545573217</v>
      </c>
      <c r="CF163" s="11">
        <f t="shared" si="145"/>
        <v>20</v>
      </c>
      <c r="CG163" s="11">
        <f>IF(BU163&lt;&gt;"",IF($B$16=listy!$K$8,'RZĄDOWY PROGRAM'!$F$3*'RZĄDOWY PROGRAM'!$F$15,BZ162*$F$15),"")</f>
        <v>50</v>
      </c>
      <c r="CH163" s="11">
        <f t="shared" si="146"/>
        <v>70</v>
      </c>
      <c r="CJ163" s="48">
        <f t="shared" si="147"/>
        <v>0.06</v>
      </c>
      <c r="CK163" s="18">
        <f t="shared" si="148"/>
        <v>4.8675505653430484E-3</v>
      </c>
      <c r="CL163" s="11">
        <f t="shared" si="131"/>
        <v>0</v>
      </c>
      <c r="CM163" s="11">
        <f t="shared" si="149"/>
        <v>46726.525799991636</v>
      </c>
      <c r="CN163" s="11">
        <f>IF(AB163&lt;&gt;"",CM163-SUM($CL$28:CL163),"")</f>
        <v>18549.765799991641</v>
      </c>
    </row>
    <row r="164" spans="1:92" x14ac:dyDescent="0.45">
      <c r="A164" s="68">
        <f t="shared" si="172"/>
        <v>48884</v>
      </c>
      <c r="B164" s="8">
        <f t="shared" si="132"/>
        <v>137</v>
      </c>
      <c r="C164" s="11">
        <f t="shared" si="133"/>
        <v>3522.09</v>
      </c>
      <c r="D164" s="11">
        <f t="shared" si="134"/>
        <v>1661.5937164599527</v>
      </c>
      <c r="E164" s="11">
        <f t="shared" si="135"/>
        <v>1860.4962835400474</v>
      </c>
      <c r="F164" s="9">
        <f t="shared" si="150"/>
        <v>254958.58332354654</v>
      </c>
      <c r="G164" s="10">
        <f t="shared" si="136"/>
        <v>7.0000000000000007E-2</v>
      </c>
      <c r="H164" s="10">
        <f t="shared" si="137"/>
        <v>1.7000000000000001E-2</v>
      </c>
      <c r="I164" s="48">
        <f t="shared" si="151"/>
        <v>8.7000000000000008E-2</v>
      </c>
      <c r="J164" s="11">
        <f t="shared" si="138"/>
        <v>20</v>
      </c>
      <c r="K164" s="11">
        <f>IF(B164&lt;&gt;"",IF($B$16=listy!$K$8,'RZĄDOWY PROGRAM'!$F$3*'RZĄDOWY PROGRAM'!$F$15,F163*$F$15),"")</f>
        <v>50</v>
      </c>
      <c r="L164" s="11">
        <f t="shared" si="152"/>
        <v>70</v>
      </c>
      <c r="N164" s="54">
        <f t="shared" si="173"/>
        <v>48884</v>
      </c>
      <c r="O164" s="8">
        <f t="shared" si="153"/>
        <v>137</v>
      </c>
      <c r="P164" s="8"/>
      <c r="Q164" s="11">
        <f>IF(O164&lt;&gt;"",ROUND(IF($F$11="raty równe",-PMT(W164/12,$F$4-O163+SUM($P$28:P164),T163,2),R164+S164),2),"")</f>
        <v>3522.09</v>
      </c>
      <c r="R164" s="11">
        <f>IF(O164&lt;&gt;"",IF($F$11="raty malejące",T163/($F$4-O163+SUM($P$28:P164)),IF(Q164-S164&gt;T163,T163,Q164-S164)),"")</f>
        <v>1568.2906571965957</v>
      </c>
      <c r="S164" s="11">
        <f t="shared" si="121"/>
        <v>1953.7993428034044</v>
      </c>
      <c r="T164" s="9">
        <f t="shared" si="154"/>
        <v>267921.2738674109</v>
      </c>
      <c r="U164" s="10">
        <f t="shared" si="139"/>
        <v>7.0000000000000007E-2</v>
      </c>
      <c r="V164" s="10">
        <f t="shared" si="140"/>
        <v>1.7000000000000001E-2</v>
      </c>
      <c r="W164" s="48">
        <f t="shared" si="155"/>
        <v>8.7000000000000008E-2</v>
      </c>
      <c r="X164" s="11">
        <f t="shared" si="141"/>
        <v>20</v>
      </c>
      <c r="Y164" s="11">
        <f>IF(O164&lt;&gt;"",IF($B$16=listy!$K$8,'RZĄDOWY PROGRAM'!$F$3*'RZĄDOWY PROGRAM'!$F$15,T163*$F$15),"")</f>
        <v>50</v>
      </c>
      <c r="Z164" s="11">
        <f t="shared" si="156"/>
        <v>70</v>
      </c>
      <c r="AB164" s="8">
        <f t="shared" si="157"/>
        <v>137</v>
      </c>
      <c r="AC164" s="8"/>
      <c r="AD164" s="11">
        <f>IF(AB164&lt;&gt;"",ROUND(IF($F$11="raty równe",-PMT(W164/12,$F$4-AB163+SUM($AC$28:AC164),AG163,2),AE164+AF164),2),"")</f>
        <v>3280.39</v>
      </c>
      <c r="AE164" s="11">
        <f>IF(AB164&lt;&gt;"",IF($F$11="raty malejące",AG163/($F$4-AB163+SUM($AC$28:AC163)),MIN(AD164-AF164,AG163)),"")</f>
        <v>1460.6686589820326</v>
      </c>
      <c r="AF164" s="11">
        <f t="shared" si="122"/>
        <v>1819.7213410179672</v>
      </c>
      <c r="AG164" s="9">
        <f t="shared" si="174"/>
        <v>249535.37837797892</v>
      </c>
      <c r="AH164" s="11"/>
      <c r="AI164" s="33">
        <f>IF(AB164&lt;&gt;"",ROUND(IF($F$11="raty równe",-PMT(W164/12,($F$4-AB163+SUM($AC$27:AC163)),AG163,2),AG163/($F$4-AB163+SUM($AC$27:AC163))+AG163*W164/12),2),"")</f>
        <v>3280.39</v>
      </c>
      <c r="AJ164" s="33">
        <f t="shared" si="158"/>
        <v>241.70000000000027</v>
      </c>
      <c r="AK164" s="33">
        <f t="shared" si="142"/>
        <v>40789.286686270061</v>
      </c>
      <c r="AL164" s="33">
        <f>IF(AB164&lt;&gt;"",AK164-SUM($AJ$28:AJ164),"")</f>
        <v>9470.5466862700669</v>
      </c>
      <c r="AM164" s="11">
        <f t="shared" si="159"/>
        <v>20</v>
      </c>
      <c r="AN164" s="11">
        <f>IF(AB164&lt;&gt;"",IF($B$16=listy!$K$8,'RZĄDOWY PROGRAM'!$F$3*'RZĄDOWY PROGRAM'!$F$15,AG163*$F$15),"")</f>
        <v>50</v>
      </c>
      <c r="AO164" s="11">
        <f t="shared" si="160"/>
        <v>70</v>
      </c>
      <c r="AQ164" s="8">
        <f t="shared" si="161"/>
        <v>137</v>
      </c>
      <c r="AR164" s="8"/>
      <c r="AS164" s="78">
        <f>IF(AQ164&lt;&gt;"",ROUND(IF($F$11="raty równe",-PMT(W164/12,$F$4-AQ163+SUM($AR$28:AR164),AV163,2),AT164+AU164),2),"")</f>
        <v>3263.82</v>
      </c>
      <c r="AT164" s="78">
        <f>IF(AQ164&lt;&gt;"",IF($F$11="raty malejące",AV163/($F$4-AQ163+SUM($AR$28:AR163)),MIN(AS164-AU164,AV163)),"")</f>
        <v>1453.2903439100987</v>
      </c>
      <c r="AU164" s="78">
        <f t="shared" si="162"/>
        <v>1810.5296560899014</v>
      </c>
      <c r="AV164" s="79">
        <f t="shared" si="163"/>
        <v>248274.93808228319</v>
      </c>
      <c r="AW164" s="11"/>
      <c r="AX164" s="33">
        <f>IF(AQ164&lt;&gt;"",ROUND(IF($F$11="raty równe",-PMT(W164/12,($F$4-AQ163+SUM($AR$27:AR163)),AV163,2),AV163/($F$4-AQ163+SUM($AR$27:AR163))+AV163*W164/12),2),"")</f>
        <v>3263.82</v>
      </c>
      <c r="AY164" s="33">
        <f t="shared" si="164"/>
        <v>258.27</v>
      </c>
      <c r="AZ164" s="33">
        <f t="shared" si="126"/>
        <v>39947.483006410628</v>
      </c>
      <c r="BA164" s="33">
        <f>IF(AQ164&lt;&gt;"",AZ164-SUM($AY$44:AY164),"")</f>
        <v>8696.8230064105846</v>
      </c>
      <c r="BB164" s="11">
        <f t="shared" si="165"/>
        <v>20</v>
      </c>
      <c r="BC164" s="11">
        <f>IF(AQ164&lt;&gt;"",IF($B$16=listy!$K$8,'RZĄDOWY PROGRAM'!$F$3*'RZĄDOWY PROGRAM'!$F$15,AV163*$F$15),"")</f>
        <v>50</v>
      </c>
      <c r="BD164" s="11">
        <f t="shared" si="166"/>
        <v>70</v>
      </c>
      <c r="BF164" s="8">
        <f t="shared" si="167"/>
        <v>137</v>
      </c>
      <c r="BG164" s="8"/>
      <c r="BH164" s="78">
        <f>IF(BF164&lt;&gt;"",ROUND(IF($F$11="raty równe",-PMT(W164/12,$F$4-BF163+SUM(BV$28:$BV164)-SUM($BM$29:BM164),BK163,2),BI164+BJ164),2),"")</f>
        <v>3522.1</v>
      </c>
      <c r="BI164" s="78">
        <f>IF(BF164&lt;&gt;"",IF($F$11="raty malejące",MIN(BK163/($F$4-BF163+SUM($BG$27:BG164)-SUM($BM$27:BM164)),BK163),MIN(BH164-BJ164,BK163)),"")</f>
        <v>2072.3388182972103</v>
      </c>
      <c r="BJ164" s="78">
        <f t="shared" si="168"/>
        <v>1449.7611817027898</v>
      </c>
      <c r="BK164" s="79">
        <f t="shared" si="169"/>
        <v>197894.72072691517</v>
      </c>
      <c r="BL164" s="11"/>
      <c r="BM164" s="33"/>
      <c r="BN164" s="33">
        <f t="shared" si="127"/>
        <v>-9.9999999997635314E-3</v>
      </c>
      <c r="BO164" s="33">
        <f t="shared" si="128"/>
        <v>-0.13734924513169228</v>
      </c>
      <c r="BP164" s="33">
        <f>IF(O164&lt;&gt;"",BO164-SUM($BN$44:BN164),"")</f>
        <v>-4.7349245133820494E-2</v>
      </c>
      <c r="BQ164" s="11">
        <f t="shared" si="143"/>
        <v>20</v>
      </c>
      <c r="BR164" s="11">
        <f>IF(BF164&lt;&gt;"",IF($B$16=listy!$K$8,'RZĄDOWY PROGRAM'!$F$3*'RZĄDOWY PROGRAM'!$F$15,BK163*$F$15),"")</f>
        <v>50</v>
      </c>
      <c r="BS164" s="11">
        <f t="shared" si="144"/>
        <v>70</v>
      </c>
      <c r="BU164" s="8">
        <f t="shared" si="170"/>
        <v>137</v>
      </c>
      <c r="BV164" s="8"/>
      <c r="BW164" s="78">
        <f>IF(BU164&lt;&gt;"",ROUND(IF($F$11="raty równe",-PMT(W164/12,$F$4-BU163+SUM($BV$28:BV164)-$CB$43,BZ163,2),BX164+BY164),2),"")</f>
        <v>3522.1</v>
      </c>
      <c r="BX164" s="78">
        <f>IF(BU164&lt;&gt;"",IF($F$11="raty malejące",MIN(BZ163/($F$4-BU163+SUM($BV$28:BV163)-SUM($CB$28:CB163)),BZ163),MIN(BW164-BY164,BZ163)),"")</f>
        <v>2067.8320131208243</v>
      </c>
      <c r="BY164" s="78">
        <f t="shared" si="130"/>
        <v>1454.2679868791756</v>
      </c>
      <c r="BZ164" s="79">
        <f t="shared" si="124"/>
        <v>198520.85583228269</v>
      </c>
      <c r="CA164" s="11"/>
      <c r="CB164" s="33"/>
      <c r="CC164" s="33">
        <f t="shared" si="171"/>
        <v>-9.9999999997635314E-3</v>
      </c>
      <c r="CD164" s="33">
        <f t="shared" si="129"/>
        <v>0.37946990411916554</v>
      </c>
      <c r="CE164" s="33">
        <f>IF(O164&lt;&gt;"",CD164-SUM($CC$44:CC164),"")</f>
        <v>0.11946990412531372</v>
      </c>
      <c r="CF164" s="11">
        <f t="shared" si="145"/>
        <v>20</v>
      </c>
      <c r="CG164" s="11">
        <f>IF(BU164&lt;&gt;"",IF($B$16=listy!$K$8,'RZĄDOWY PROGRAM'!$F$3*'RZĄDOWY PROGRAM'!$F$15,BZ163*$F$15),"")</f>
        <v>50</v>
      </c>
      <c r="CH164" s="11">
        <f t="shared" si="146"/>
        <v>70</v>
      </c>
      <c r="CJ164" s="48">
        <f t="shared" si="147"/>
        <v>0.06</v>
      </c>
      <c r="CK164" s="18">
        <f t="shared" si="148"/>
        <v>4.8675505653430484E-3</v>
      </c>
      <c r="CL164" s="11">
        <f t="shared" si="131"/>
        <v>0</v>
      </c>
      <c r="CM164" s="11">
        <f t="shared" si="149"/>
        <v>46910.755218921797</v>
      </c>
      <c r="CN164" s="11">
        <f>IF(AB164&lt;&gt;"",CM164-SUM($CL$28:CL164),"")</f>
        <v>18733.995218921802</v>
      </c>
    </row>
    <row r="165" spans="1:92" x14ac:dyDescent="0.45">
      <c r="A165" s="68">
        <f t="shared" si="172"/>
        <v>48914</v>
      </c>
      <c r="B165" s="8">
        <f t="shared" si="132"/>
        <v>138</v>
      </c>
      <c r="C165" s="11">
        <f t="shared" si="133"/>
        <v>3522.1</v>
      </c>
      <c r="D165" s="11">
        <f t="shared" si="134"/>
        <v>1673.6502709042873</v>
      </c>
      <c r="E165" s="11">
        <f t="shared" si="135"/>
        <v>1848.4497290957127</v>
      </c>
      <c r="F165" s="9">
        <f t="shared" si="150"/>
        <v>253284.93305264224</v>
      </c>
      <c r="G165" s="10">
        <f t="shared" si="136"/>
        <v>7.0000000000000007E-2</v>
      </c>
      <c r="H165" s="10">
        <f t="shared" si="137"/>
        <v>1.7000000000000001E-2</v>
      </c>
      <c r="I165" s="48">
        <f t="shared" si="151"/>
        <v>8.7000000000000008E-2</v>
      </c>
      <c r="J165" s="11">
        <f t="shared" si="138"/>
        <v>20</v>
      </c>
      <c r="K165" s="11">
        <f>IF(B165&lt;&gt;"",IF($B$16=listy!$K$8,'RZĄDOWY PROGRAM'!$F$3*'RZĄDOWY PROGRAM'!$F$15,F164*$F$15),"")</f>
        <v>50</v>
      </c>
      <c r="L165" s="11">
        <f t="shared" si="152"/>
        <v>70</v>
      </c>
      <c r="N165" s="54">
        <f t="shared" si="173"/>
        <v>48914</v>
      </c>
      <c r="O165" s="8">
        <f t="shared" si="153"/>
        <v>138</v>
      </c>
      <c r="P165" s="8"/>
      <c r="Q165" s="11">
        <f>IF(O165&lt;&gt;"",ROUND(IF($F$11="raty równe",-PMT(W165/12,$F$4-O164+SUM($P$28:P165),T164,2),R165+S165),2),"")</f>
        <v>3522.1</v>
      </c>
      <c r="R165" s="11">
        <f>IF(O165&lt;&gt;"",IF($F$11="raty malejące",T164/($F$4-O164+SUM($P$28:P165)),IF(Q165-S165&gt;T164,T164,Q165-S165)),"")</f>
        <v>1579.6707644612709</v>
      </c>
      <c r="S165" s="11">
        <f t="shared" si="121"/>
        <v>1942.429235538729</v>
      </c>
      <c r="T165" s="9">
        <f t="shared" si="154"/>
        <v>266341.60310294962</v>
      </c>
      <c r="U165" s="10">
        <f t="shared" si="139"/>
        <v>7.0000000000000007E-2</v>
      </c>
      <c r="V165" s="10">
        <f t="shared" si="140"/>
        <v>1.7000000000000001E-2</v>
      </c>
      <c r="W165" s="48">
        <f t="shared" si="155"/>
        <v>8.7000000000000008E-2</v>
      </c>
      <c r="X165" s="11">
        <f t="shared" si="141"/>
        <v>20</v>
      </c>
      <c r="Y165" s="11">
        <f>IF(O165&lt;&gt;"",IF($B$16=listy!$K$8,'RZĄDOWY PROGRAM'!$F$3*'RZĄDOWY PROGRAM'!$F$15,T164*$F$15),"")</f>
        <v>50</v>
      </c>
      <c r="Z165" s="11">
        <f t="shared" si="156"/>
        <v>70</v>
      </c>
      <c r="AB165" s="8">
        <f t="shared" si="157"/>
        <v>138</v>
      </c>
      <c r="AC165" s="8"/>
      <c r="AD165" s="11">
        <f>IF(AB165&lt;&gt;"",ROUND(IF($F$11="raty równe",-PMT(W165/12,$F$4-AB164+SUM($AC$28:AC165),AG164,2),AE165+AF165),2),"")</f>
        <v>3280.39</v>
      </c>
      <c r="AE165" s="11">
        <f>IF(AB165&lt;&gt;"",IF($F$11="raty malejące",AG164/($F$4-AB164+SUM($AC$28:AC164)),MIN(AD165-AF165,AG164)),"")</f>
        <v>1471.2585067596524</v>
      </c>
      <c r="AF165" s="11">
        <f t="shared" si="122"/>
        <v>1809.1314932403475</v>
      </c>
      <c r="AG165" s="9">
        <f t="shared" si="174"/>
        <v>248064.11987121927</v>
      </c>
      <c r="AH165" s="11"/>
      <c r="AI165" s="33">
        <f>IF(AB165&lt;&gt;"",ROUND(IF($F$11="raty równe",-PMT(W165/12,($F$4-AB164+SUM($AC$27:AC164)),AG164,2),AG164/($F$4-AB164+SUM($AC$27:AC164))+AG164*W165/12),2),"")</f>
        <v>3280.39</v>
      </c>
      <c r="AJ165" s="33">
        <f t="shared" si="158"/>
        <v>241.71000000000004</v>
      </c>
      <c r="AK165" s="33">
        <f t="shared" si="142"/>
        <v>41191.817257800518</v>
      </c>
      <c r="AL165" s="33">
        <f>IF(AB165&lt;&gt;"",AK165-SUM($AJ$28:AJ165),"")</f>
        <v>9631.3672578005244</v>
      </c>
      <c r="AM165" s="11">
        <f t="shared" si="159"/>
        <v>20</v>
      </c>
      <c r="AN165" s="11">
        <f>IF(AB165&lt;&gt;"",IF($B$16=listy!$K$8,'RZĄDOWY PROGRAM'!$F$3*'RZĄDOWY PROGRAM'!$F$15,AG164*$F$15),"")</f>
        <v>50</v>
      </c>
      <c r="AO165" s="11">
        <f t="shared" si="160"/>
        <v>70</v>
      </c>
      <c r="AQ165" s="8">
        <f t="shared" si="161"/>
        <v>138</v>
      </c>
      <c r="AR165" s="8"/>
      <c r="AS165" s="78">
        <f>IF(AQ165&lt;&gt;"",ROUND(IF($F$11="raty równe",-PMT(W165/12,$F$4-AQ164+SUM($AR$28:AR165),AV164,2),AT165+AU165),2),"")</f>
        <v>3263.83</v>
      </c>
      <c r="AT165" s="78">
        <f>IF(AQ165&lt;&gt;"",IF($F$11="raty malejące",AV164/($F$4-AQ164+SUM($AR$28:AR164)),MIN(AS165-AU165,AV164)),"")</f>
        <v>1463.8366989034466</v>
      </c>
      <c r="AU165" s="78">
        <f t="shared" si="162"/>
        <v>1799.9933010965533</v>
      </c>
      <c r="AV165" s="79">
        <f t="shared" si="163"/>
        <v>246811.10138337975</v>
      </c>
      <c r="AW165" s="11"/>
      <c r="AX165" s="33">
        <f>IF(AQ165&lt;&gt;"",ROUND(IF($F$11="raty równe",-PMT(W165/12,($F$4-AQ164+SUM($AR$27:AR164)),AV164,2),AV164/($F$4-AQ164+SUM($AR$27:AR164))+AV164*W165/12),2),"")</f>
        <v>3263.83</v>
      </c>
      <c r="AY165" s="33">
        <f t="shared" si="164"/>
        <v>258.27</v>
      </c>
      <c r="AZ165" s="33">
        <f t="shared" si="126"/>
        <v>40363.254585139053</v>
      </c>
      <c r="BA165" s="33">
        <f>IF(AQ165&lt;&gt;"",AZ165-SUM($AY$44:AY165),"")</f>
        <v>8854.3245851390093</v>
      </c>
      <c r="BB165" s="11">
        <f t="shared" si="165"/>
        <v>20</v>
      </c>
      <c r="BC165" s="11">
        <f>IF(AQ165&lt;&gt;"",IF($B$16=listy!$K$8,'RZĄDOWY PROGRAM'!$F$3*'RZĄDOWY PROGRAM'!$F$15,AV164*$F$15),"")</f>
        <v>50</v>
      </c>
      <c r="BD165" s="11">
        <f t="shared" si="166"/>
        <v>70</v>
      </c>
      <c r="BF165" s="8">
        <f t="shared" si="167"/>
        <v>138</v>
      </c>
      <c r="BG165" s="8"/>
      <c r="BH165" s="78">
        <f>IF(BF165&lt;&gt;"",ROUND(IF($F$11="raty równe",-PMT(W165/12,$F$4-BF164+SUM(BV$28:$BV165)-SUM($BM$29:BM165),BK164,2),BI165+BJ165),2),"")</f>
        <v>3522.09</v>
      </c>
      <c r="BI165" s="78">
        <f>IF(BF165&lt;&gt;"",IF($F$11="raty malejące",MIN(BK164/($F$4-BF164+SUM($BG$27:BG165)-SUM($BM$27:BM165)),BK164),MIN(BH165-BJ165,BK164)),"")</f>
        <v>2087.353274729865</v>
      </c>
      <c r="BJ165" s="78">
        <f t="shared" si="168"/>
        <v>1434.7367252701351</v>
      </c>
      <c r="BK165" s="79">
        <f t="shared" si="169"/>
        <v>195807.36745218531</v>
      </c>
      <c r="BL165" s="11"/>
      <c r="BM165" s="33"/>
      <c r="BN165" s="33">
        <f t="shared" si="127"/>
        <v>9.9999999997635314E-3</v>
      </c>
      <c r="BO165" s="33">
        <f t="shared" si="128"/>
        <v>-0.12789077419251882</v>
      </c>
      <c r="BP165" s="33">
        <f>IF(O165&lt;&gt;"",BO165-SUM($BN$44:BN165),"")</f>
        <v>-4.7890774194410568E-2</v>
      </c>
      <c r="BQ165" s="11">
        <f t="shared" si="143"/>
        <v>20</v>
      </c>
      <c r="BR165" s="11">
        <f>IF(BF165&lt;&gt;"",IF($B$16=listy!$K$8,'RZĄDOWY PROGRAM'!$F$3*'RZĄDOWY PROGRAM'!$F$15,BK164*$F$15),"")</f>
        <v>50</v>
      </c>
      <c r="BS165" s="11">
        <f t="shared" si="144"/>
        <v>70</v>
      </c>
      <c r="BU165" s="8">
        <f t="shared" si="170"/>
        <v>138</v>
      </c>
      <c r="BV165" s="8"/>
      <c r="BW165" s="78">
        <f>IF(BU165&lt;&gt;"",ROUND(IF($F$11="raty równe",-PMT(W165/12,$F$4-BU164+SUM($BV$28:BV165)-$CB$43,BZ164,2),BX165+BY165),2),"")</f>
        <v>3522.09</v>
      </c>
      <c r="BX165" s="78">
        <f>IF(BU165&lt;&gt;"",IF($F$11="raty malejące",MIN(BZ164/($F$4-BU164+SUM($BV$28:BV164)-SUM($CB$28:CB164)),BZ164),MIN(BW165-BY165,BZ164)),"")</f>
        <v>2082.8137952159504</v>
      </c>
      <c r="BY165" s="78">
        <f t="shared" si="130"/>
        <v>1439.2762047840497</v>
      </c>
      <c r="BZ165" s="79">
        <f t="shared" si="124"/>
        <v>196438.04203706674</v>
      </c>
      <c r="CA165" s="11"/>
      <c r="CB165" s="33"/>
      <c r="CC165" s="33">
        <f t="shared" si="171"/>
        <v>9.9999999997635314E-3</v>
      </c>
      <c r="CD165" s="33">
        <f t="shared" si="129"/>
        <v>0.39096604616545311</v>
      </c>
      <c r="CE165" s="33">
        <f>IF(O165&lt;&gt;"",CD165-SUM($CC$44:CC165),"")</f>
        <v>0.12096604617183776</v>
      </c>
      <c r="CF165" s="11">
        <f t="shared" si="145"/>
        <v>20</v>
      </c>
      <c r="CG165" s="11">
        <f>IF(BU165&lt;&gt;"",IF($B$16=listy!$K$8,'RZĄDOWY PROGRAM'!$F$3*'RZĄDOWY PROGRAM'!$F$15,BZ164*$F$15),"")</f>
        <v>50</v>
      </c>
      <c r="CH165" s="11">
        <f t="shared" si="146"/>
        <v>70</v>
      </c>
      <c r="CJ165" s="48">
        <f t="shared" si="147"/>
        <v>0.06</v>
      </c>
      <c r="CK165" s="18">
        <f t="shared" si="148"/>
        <v>4.8675505653430484E-3</v>
      </c>
      <c r="CL165" s="11">
        <f t="shared" si="131"/>
        <v>0</v>
      </c>
      <c r="CM165" s="11">
        <f t="shared" si="149"/>
        <v>47095.71100212189</v>
      </c>
      <c r="CN165" s="11">
        <f>IF(AB165&lt;&gt;"",CM165-SUM($CL$28:CL165),"")</f>
        <v>18918.951002121896</v>
      </c>
    </row>
    <row r="166" spans="1:92" x14ac:dyDescent="0.45">
      <c r="A166" s="68">
        <f t="shared" si="172"/>
        <v>48945</v>
      </c>
      <c r="B166" s="8">
        <f t="shared" si="132"/>
        <v>139</v>
      </c>
      <c r="C166" s="11">
        <f t="shared" si="133"/>
        <v>3522.09</v>
      </c>
      <c r="D166" s="11">
        <f t="shared" si="134"/>
        <v>1685.7742353683436</v>
      </c>
      <c r="E166" s="11">
        <f t="shared" si="135"/>
        <v>1836.3157646316565</v>
      </c>
      <c r="F166" s="9">
        <f t="shared" si="150"/>
        <v>251599.15881727388</v>
      </c>
      <c r="G166" s="10">
        <f t="shared" si="136"/>
        <v>7.0000000000000007E-2</v>
      </c>
      <c r="H166" s="10">
        <f t="shared" si="137"/>
        <v>1.7000000000000001E-2</v>
      </c>
      <c r="I166" s="48">
        <f t="shared" si="151"/>
        <v>8.7000000000000008E-2</v>
      </c>
      <c r="J166" s="11">
        <f t="shared" si="138"/>
        <v>20</v>
      </c>
      <c r="K166" s="11">
        <f>IF(B166&lt;&gt;"",IF($B$16=listy!$K$8,'RZĄDOWY PROGRAM'!$F$3*'RZĄDOWY PROGRAM'!$F$15,F165*$F$15),"")</f>
        <v>50</v>
      </c>
      <c r="L166" s="11">
        <f t="shared" si="152"/>
        <v>70</v>
      </c>
      <c r="N166" s="54">
        <f t="shared" si="173"/>
        <v>48945</v>
      </c>
      <c r="O166" s="8">
        <f t="shared" si="153"/>
        <v>139</v>
      </c>
      <c r="P166" s="8"/>
      <c r="Q166" s="11">
        <f>IF(O166&lt;&gt;"",ROUND(IF($F$11="raty równe",-PMT(W166/12,$F$4-O165+SUM($P$28:P166),T165,2),R166+S166),2),"")</f>
        <v>3522.09</v>
      </c>
      <c r="R166" s="11">
        <f>IF(O166&lt;&gt;"",IF($F$11="raty malejące",T165/($F$4-O165+SUM($P$28:P166)),IF(Q166-S166&gt;T165,T165,Q166-S166)),"")</f>
        <v>1591.1133775036151</v>
      </c>
      <c r="S166" s="11">
        <f t="shared" si="121"/>
        <v>1930.9766224963851</v>
      </c>
      <c r="T166" s="9">
        <f t="shared" si="154"/>
        <v>264750.48972544598</v>
      </c>
      <c r="U166" s="10">
        <f t="shared" si="139"/>
        <v>7.0000000000000007E-2</v>
      </c>
      <c r="V166" s="10">
        <f t="shared" si="140"/>
        <v>1.7000000000000001E-2</v>
      </c>
      <c r="W166" s="48">
        <f t="shared" si="155"/>
        <v>8.7000000000000008E-2</v>
      </c>
      <c r="X166" s="11">
        <f t="shared" si="141"/>
        <v>20</v>
      </c>
      <c r="Y166" s="11">
        <f>IF(O166&lt;&gt;"",IF($B$16=listy!$K$8,'RZĄDOWY PROGRAM'!$F$3*'RZĄDOWY PROGRAM'!$F$15,T165*$F$15),"")</f>
        <v>50</v>
      </c>
      <c r="Z166" s="11">
        <f t="shared" si="156"/>
        <v>70</v>
      </c>
      <c r="AB166" s="8">
        <f t="shared" si="157"/>
        <v>139</v>
      </c>
      <c r="AC166" s="8"/>
      <c r="AD166" s="11">
        <f>IF(AB166&lt;&gt;"",ROUND(IF($F$11="raty równe",-PMT(W166/12,$F$4-AB165+SUM($AC$28:AC166),AG165,2),AE166+AF166),2),"")</f>
        <v>3280.39</v>
      </c>
      <c r="AE166" s="11">
        <f>IF(AB166&lt;&gt;"",IF($F$11="raty malejące",AG165/($F$4-AB165+SUM($AC$28:AC165)),MIN(AD166-AF166,AG165)),"")</f>
        <v>1481.9251309336601</v>
      </c>
      <c r="AF166" s="11">
        <f t="shared" si="122"/>
        <v>1798.4648690663398</v>
      </c>
      <c r="AG166" s="9">
        <f t="shared" si="174"/>
        <v>246582.1947402856</v>
      </c>
      <c r="AH166" s="11"/>
      <c r="AI166" s="33">
        <f>IF(AB166&lt;&gt;"",ROUND(IF($F$11="raty równe",-PMT(W166/12,($F$4-AB165+SUM($AC$27:AC165)),AG165,2),AG165/($F$4-AB165+SUM($AC$27:AC165))+AG165*W166/12),2),"")</f>
        <v>3280.39</v>
      </c>
      <c r="AJ166" s="33">
        <f t="shared" si="158"/>
        <v>241.70000000000027</v>
      </c>
      <c r="AK166" s="33">
        <f t="shared" si="142"/>
        <v>41595.9248930389</v>
      </c>
      <c r="AL166" s="33">
        <f>IF(AB166&lt;&gt;"",AK166-SUM($AJ$28:AJ166),"")</f>
        <v>9793.7748930389062</v>
      </c>
      <c r="AM166" s="11">
        <f t="shared" si="159"/>
        <v>20</v>
      </c>
      <c r="AN166" s="11">
        <f>IF(AB166&lt;&gt;"",IF($B$16=listy!$K$8,'RZĄDOWY PROGRAM'!$F$3*'RZĄDOWY PROGRAM'!$F$15,AG165*$F$15),"")</f>
        <v>50</v>
      </c>
      <c r="AO166" s="11">
        <f t="shared" si="160"/>
        <v>70</v>
      </c>
      <c r="AQ166" s="8">
        <f t="shared" si="161"/>
        <v>139</v>
      </c>
      <c r="AR166" s="8"/>
      <c r="AS166" s="78">
        <f>IF(AQ166&lt;&gt;"",ROUND(IF($F$11="raty równe",-PMT(W166/12,$F$4-AQ165+SUM($AR$28:AR166),AV165,2),AT166+AU166),2),"")</f>
        <v>3263.82</v>
      </c>
      <c r="AT166" s="78">
        <f>IF(AQ166&lt;&gt;"",IF($F$11="raty malejące",AV165/($F$4-AQ165+SUM($AR$28:AR165)),MIN(AS166-AU166,AV165)),"")</f>
        <v>1474.4395149704967</v>
      </c>
      <c r="AU166" s="78">
        <f t="shared" si="162"/>
        <v>1789.3804850295035</v>
      </c>
      <c r="AV166" s="79">
        <f t="shared" si="163"/>
        <v>245336.66186840925</v>
      </c>
      <c r="AW166" s="11"/>
      <c r="AX166" s="33">
        <f>IF(AQ166&lt;&gt;"",ROUND(IF($F$11="raty równe",-PMT(W166/12,($F$4-AQ165+SUM($AR$27:AR165)),AV165,2),AV165/($F$4-AQ165+SUM($AR$27:AR165))+AV165*W166/12),2),"")</f>
        <v>3263.82</v>
      </c>
      <c r="AY166" s="33">
        <f t="shared" si="164"/>
        <v>258.27</v>
      </c>
      <c r="AZ166" s="33">
        <f t="shared" si="126"/>
        <v>40780.665433105787</v>
      </c>
      <c r="BA166" s="33">
        <f>IF(AQ166&lt;&gt;"",AZ166-SUM($AY$44:AY166),"")</f>
        <v>9013.4654331057427</v>
      </c>
      <c r="BB166" s="11">
        <f t="shared" si="165"/>
        <v>20</v>
      </c>
      <c r="BC166" s="11">
        <f>IF(AQ166&lt;&gt;"",IF($B$16=listy!$K$8,'RZĄDOWY PROGRAM'!$F$3*'RZĄDOWY PROGRAM'!$F$15,AV165*$F$15),"")</f>
        <v>50</v>
      </c>
      <c r="BD166" s="11">
        <f t="shared" si="166"/>
        <v>70</v>
      </c>
      <c r="BF166" s="8">
        <f t="shared" si="167"/>
        <v>139</v>
      </c>
      <c r="BG166" s="8"/>
      <c r="BH166" s="78">
        <f>IF(BF166&lt;&gt;"",ROUND(IF($F$11="raty równe",-PMT(W166/12,$F$4-BF165+SUM(BV$28:$BV166)-SUM($BM$29:BM166),BK165,2),BI166+BJ166),2),"")</f>
        <v>3522.1</v>
      </c>
      <c r="BI166" s="78">
        <f>IF(BF166&lt;&gt;"",IF($F$11="raty malejące",MIN(BK165/($F$4-BF165+SUM($BG$27:BG166)-SUM($BM$27:BM166)),BK165),MIN(BH166-BJ166,BK165)),"")</f>
        <v>2102.4965859716563</v>
      </c>
      <c r="BJ166" s="78">
        <f t="shared" si="168"/>
        <v>1419.6034140283436</v>
      </c>
      <c r="BK166" s="79">
        <f t="shared" si="169"/>
        <v>193704.87086621366</v>
      </c>
      <c r="BL166" s="11"/>
      <c r="BM166" s="33"/>
      <c r="BN166" s="33">
        <f t="shared" si="127"/>
        <v>-9.9999999997635314E-3</v>
      </c>
      <c r="BO166" s="33">
        <f t="shared" si="128"/>
        <v>-0.13839501118856296</v>
      </c>
      <c r="BP166" s="33">
        <f>IF(O166&lt;&gt;"",BO166-SUM($BN$44:BN166),"")</f>
        <v>-4.8395011190691173E-2</v>
      </c>
      <c r="BQ166" s="11">
        <f t="shared" si="143"/>
        <v>20</v>
      </c>
      <c r="BR166" s="11">
        <f>IF(BF166&lt;&gt;"",IF($B$16=listy!$K$8,'RZĄDOWY PROGRAM'!$F$3*'RZĄDOWY PROGRAM'!$F$15,BK165*$F$15),"")</f>
        <v>50</v>
      </c>
      <c r="BS166" s="11">
        <f t="shared" si="144"/>
        <v>70</v>
      </c>
      <c r="BU166" s="8">
        <f t="shared" si="170"/>
        <v>139</v>
      </c>
      <c r="BV166" s="8"/>
      <c r="BW166" s="78">
        <f>IF(BU166&lt;&gt;"",ROUND(IF($F$11="raty równe",-PMT(W166/12,$F$4-BU165+SUM($BV$28:BV166)-$CB$43,BZ165,2),BX166+BY166),2),"")</f>
        <v>3522.09</v>
      </c>
      <c r="BX166" s="78">
        <f>IF(BU166&lt;&gt;"",IF($F$11="raty malejące",MIN(BZ165/($F$4-BU165+SUM($BV$28:BV165)-SUM($CB$28:CB165)),BZ165),MIN(BW166-BY166,BZ165)),"")</f>
        <v>2097.9141952312657</v>
      </c>
      <c r="BY166" s="78">
        <f t="shared" si="130"/>
        <v>1424.1758047687342</v>
      </c>
      <c r="BZ166" s="79">
        <f t="shared" si="124"/>
        <v>194340.12784183546</v>
      </c>
      <c r="CA166" s="11"/>
      <c r="CB166" s="33"/>
      <c r="CC166" s="33">
        <f t="shared" si="171"/>
        <v>0</v>
      </c>
      <c r="CD166" s="33">
        <f t="shared" si="129"/>
        <v>0.39250751423467761</v>
      </c>
      <c r="CE166" s="33">
        <f>IF(O166&lt;&gt;"",CD166-SUM($CC$44:CC166),"")</f>
        <v>0.12250751424106227</v>
      </c>
      <c r="CF166" s="11">
        <f t="shared" si="145"/>
        <v>20</v>
      </c>
      <c r="CG166" s="11">
        <f>IF(BU166&lt;&gt;"",IF($B$16=listy!$K$8,'RZĄDOWY PROGRAM'!$F$3*'RZĄDOWY PROGRAM'!$F$15,BZ165*$F$15),"")</f>
        <v>50</v>
      </c>
      <c r="CH166" s="11">
        <f t="shared" si="146"/>
        <v>70</v>
      </c>
      <c r="CJ166" s="48">
        <f t="shared" si="147"/>
        <v>0.06</v>
      </c>
      <c r="CK166" s="18">
        <f t="shared" si="148"/>
        <v>4.8675505653430484E-3</v>
      </c>
      <c r="CL166" s="11">
        <f t="shared" si="131"/>
        <v>0</v>
      </c>
      <c r="CM166" s="11">
        <f t="shared" si="149"/>
        <v>47281.396013439917</v>
      </c>
      <c r="CN166" s="11">
        <f>IF(AB166&lt;&gt;"",CM166-SUM($CL$28:CL166),"")</f>
        <v>19104.636013439922</v>
      </c>
    </row>
    <row r="167" spans="1:92" x14ac:dyDescent="0.45">
      <c r="A167" s="68">
        <f t="shared" si="172"/>
        <v>48976</v>
      </c>
      <c r="B167" s="8">
        <f t="shared" si="132"/>
        <v>140</v>
      </c>
      <c r="C167" s="11">
        <f t="shared" si="133"/>
        <v>3522.1</v>
      </c>
      <c r="D167" s="11">
        <f t="shared" si="134"/>
        <v>1698.0060985747639</v>
      </c>
      <c r="E167" s="11">
        <f t="shared" si="135"/>
        <v>1824.093901425236</v>
      </c>
      <c r="F167" s="9">
        <f t="shared" si="150"/>
        <v>249901.15271869913</v>
      </c>
      <c r="G167" s="10">
        <f t="shared" si="136"/>
        <v>7.0000000000000007E-2</v>
      </c>
      <c r="H167" s="10">
        <f t="shared" si="137"/>
        <v>1.7000000000000001E-2</v>
      </c>
      <c r="I167" s="48">
        <f t="shared" si="151"/>
        <v>8.7000000000000008E-2</v>
      </c>
      <c r="J167" s="11">
        <f t="shared" si="138"/>
        <v>20</v>
      </c>
      <c r="K167" s="11">
        <f>IF(B167&lt;&gt;"",IF($B$16=listy!$K$8,'RZĄDOWY PROGRAM'!$F$3*'RZĄDOWY PROGRAM'!$F$15,F166*$F$15),"")</f>
        <v>50</v>
      </c>
      <c r="L167" s="11">
        <f t="shared" si="152"/>
        <v>70</v>
      </c>
      <c r="N167" s="54">
        <f t="shared" si="173"/>
        <v>48976</v>
      </c>
      <c r="O167" s="8">
        <f t="shared" si="153"/>
        <v>140</v>
      </c>
      <c r="P167" s="8"/>
      <c r="Q167" s="11">
        <f>IF(O167&lt;&gt;"",ROUND(IF($F$11="raty równe",-PMT(W167/12,$F$4-O166+SUM($P$28:P167),T166,2),R167+S167),2),"")</f>
        <v>3522.1</v>
      </c>
      <c r="R167" s="11">
        <f>IF(O167&lt;&gt;"",IF($F$11="raty malejące",T166/($F$4-O166+SUM($P$28:P167)),IF(Q167-S167&gt;T166,T166,Q167-S167)),"")</f>
        <v>1602.6589494905163</v>
      </c>
      <c r="S167" s="11">
        <f t="shared" si="121"/>
        <v>1919.4410505094836</v>
      </c>
      <c r="T167" s="9">
        <f t="shared" si="154"/>
        <v>263147.83077595546</v>
      </c>
      <c r="U167" s="10">
        <f t="shared" si="139"/>
        <v>7.0000000000000007E-2</v>
      </c>
      <c r="V167" s="10">
        <f t="shared" si="140"/>
        <v>1.7000000000000001E-2</v>
      </c>
      <c r="W167" s="48">
        <f t="shared" si="155"/>
        <v>8.7000000000000008E-2</v>
      </c>
      <c r="X167" s="11">
        <f t="shared" si="141"/>
        <v>20</v>
      </c>
      <c r="Y167" s="11">
        <f>IF(O167&lt;&gt;"",IF($B$16=listy!$K$8,'RZĄDOWY PROGRAM'!$F$3*'RZĄDOWY PROGRAM'!$F$15,T166*$F$15),"")</f>
        <v>50</v>
      </c>
      <c r="Z167" s="11">
        <f t="shared" si="156"/>
        <v>70</v>
      </c>
      <c r="AB167" s="8">
        <f t="shared" si="157"/>
        <v>140</v>
      </c>
      <c r="AC167" s="8"/>
      <c r="AD167" s="11">
        <f>IF(AB167&lt;&gt;"",ROUND(IF($F$11="raty równe",-PMT(W167/12,$F$4-AB166+SUM($AC$28:AC167),AG166,2),AE167+AF167),2),"")</f>
        <v>3280.39</v>
      </c>
      <c r="AE167" s="11">
        <f>IF(AB167&lt;&gt;"",IF($F$11="raty malejące",AG166/($F$4-AB166+SUM($AC$28:AC166)),MIN(AD167-AF167,AG166)),"")</f>
        <v>1492.6690881329291</v>
      </c>
      <c r="AF167" s="11">
        <f t="shared" si="122"/>
        <v>1787.7209118670708</v>
      </c>
      <c r="AG167" s="9">
        <f t="shared" si="174"/>
        <v>245089.52565215266</v>
      </c>
      <c r="AH167" s="11"/>
      <c r="AI167" s="33">
        <f>IF(AB167&lt;&gt;"",ROUND(IF($F$11="raty równe",-PMT(W167/12,($F$4-AB166+SUM($AC$27:AC166)),AG166,2),AG166/($F$4-AB166+SUM($AC$27:AC166))+AG166*W167/12),2),"")</f>
        <v>3280.39</v>
      </c>
      <c r="AJ167" s="33">
        <f t="shared" si="158"/>
        <v>241.71000000000004</v>
      </c>
      <c r="AK167" s="33">
        <f t="shared" si="142"/>
        <v>42001.635809899453</v>
      </c>
      <c r="AL167" s="33">
        <f>IF(AB167&lt;&gt;"",AK167-SUM($AJ$28:AJ167),"")</f>
        <v>9957.77580989946</v>
      </c>
      <c r="AM167" s="11">
        <f t="shared" si="159"/>
        <v>20</v>
      </c>
      <c r="AN167" s="11">
        <f>IF(AB167&lt;&gt;"",IF($B$16=listy!$K$8,'RZĄDOWY PROGRAM'!$F$3*'RZĄDOWY PROGRAM'!$F$15,AG166*$F$15),"")</f>
        <v>50</v>
      </c>
      <c r="AO167" s="11">
        <f t="shared" si="160"/>
        <v>70</v>
      </c>
      <c r="AQ167" s="8">
        <f t="shared" si="161"/>
        <v>140</v>
      </c>
      <c r="AR167" s="8"/>
      <c r="AS167" s="78">
        <f>IF(AQ167&lt;&gt;"",ROUND(IF($F$11="raty równe",-PMT(W167/12,$F$4-AQ166+SUM($AR$28:AR167),AV166,2),AT167+AU167),2),"")</f>
        <v>3263.83</v>
      </c>
      <c r="AT167" s="78">
        <f>IF(AQ167&lt;&gt;"",IF($F$11="raty malejące",AV166/($F$4-AQ166+SUM($AR$28:AR166)),MIN(AS167-AU167,AV166)),"")</f>
        <v>1485.1392014540327</v>
      </c>
      <c r="AU167" s="78">
        <f t="shared" si="162"/>
        <v>1778.6907985459673</v>
      </c>
      <c r="AV167" s="79">
        <f t="shared" si="163"/>
        <v>243851.52266695522</v>
      </c>
      <c r="AW167" s="11"/>
      <c r="AX167" s="33">
        <f>IF(AQ167&lt;&gt;"",ROUND(IF($F$11="raty równe",-PMT(W167/12,($F$4-AQ166+SUM($AR$27:AR166)),AV166,2),AV166/($F$4-AQ166+SUM($AR$27:AR166))+AV166*W167/12),2),"")</f>
        <v>3263.83</v>
      </c>
      <c r="AY167" s="33">
        <f t="shared" si="164"/>
        <v>258.27</v>
      </c>
      <c r="AZ167" s="33">
        <f t="shared" si="126"/>
        <v>41199.722013483813</v>
      </c>
      <c r="BA167" s="33">
        <f>IF(AQ167&lt;&gt;"",AZ167-SUM($AY$44:AY167),"")</f>
        <v>9174.2520134837687</v>
      </c>
      <c r="BB167" s="11">
        <f t="shared" si="165"/>
        <v>20</v>
      </c>
      <c r="BC167" s="11">
        <f>IF(AQ167&lt;&gt;"",IF($B$16=listy!$K$8,'RZĄDOWY PROGRAM'!$F$3*'RZĄDOWY PROGRAM'!$F$15,AV166*$F$15),"")</f>
        <v>50</v>
      </c>
      <c r="BD167" s="11">
        <f t="shared" si="166"/>
        <v>70</v>
      </c>
      <c r="BF167" s="8">
        <f t="shared" si="167"/>
        <v>140</v>
      </c>
      <c r="BG167" s="8"/>
      <c r="BH167" s="78">
        <f>IF(BF167&lt;&gt;"",ROUND(IF($F$11="raty równe",-PMT(W167/12,$F$4-BF166+SUM(BV$28:$BV167)-SUM($BM$29:BM167),BK166,2),BI167+BJ167),2),"")</f>
        <v>3522.09</v>
      </c>
      <c r="BI167" s="78">
        <f>IF(BF167&lt;&gt;"",IF($F$11="raty malejące",MIN(BK166/($F$4-BF166+SUM($BG$27:BG167)-SUM($BM$27:BM167)),BK166),MIN(BH167-BJ167,BK166)),"")</f>
        <v>2117.729686219951</v>
      </c>
      <c r="BJ167" s="78">
        <f t="shared" si="168"/>
        <v>1404.3603137800492</v>
      </c>
      <c r="BK167" s="79">
        <f t="shared" si="169"/>
        <v>191587.14117999372</v>
      </c>
      <c r="BL167" s="11"/>
      <c r="BM167" s="33"/>
      <c r="BN167" s="33">
        <f t="shared" si="127"/>
        <v>9.9999999997635314E-3</v>
      </c>
      <c r="BO167" s="33">
        <f t="shared" si="128"/>
        <v>-0.12894066340791019</v>
      </c>
      <c r="BP167" s="33">
        <f>IF(O167&lt;&gt;"",BO167-SUM($BN$44:BN167),"")</f>
        <v>-4.8940663409801938E-2</v>
      </c>
      <c r="BQ167" s="11">
        <f t="shared" si="143"/>
        <v>20</v>
      </c>
      <c r="BR167" s="11">
        <f>IF(BF167&lt;&gt;"",IF($B$16=listy!$K$8,'RZĄDOWY PROGRAM'!$F$3*'RZĄDOWY PROGRAM'!$F$15,BK166*$F$15),"")</f>
        <v>50</v>
      </c>
      <c r="BS167" s="11">
        <f t="shared" si="144"/>
        <v>70</v>
      </c>
      <c r="BU167" s="8">
        <f t="shared" si="170"/>
        <v>140</v>
      </c>
      <c r="BV167" s="8"/>
      <c r="BW167" s="78">
        <f>IF(BU167&lt;&gt;"",ROUND(IF($F$11="raty równe",-PMT(W167/12,$F$4-BU166+SUM($BV$28:BV167)-$CB$43,BZ166,2),BX167+BY167),2),"")</f>
        <v>3522.1</v>
      </c>
      <c r="BX167" s="78">
        <f>IF(BU167&lt;&gt;"",IF($F$11="raty malejące",MIN(BZ166/($F$4-BU166+SUM($BV$28:BV166)-SUM($CB$28:CB166)),BZ166),MIN(BW167-BY167,BZ166)),"")</f>
        <v>2113.1340731466926</v>
      </c>
      <c r="BY167" s="78">
        <f t="shared" si="130"/>
        <v>1408.9659268533071</v>
      </c>
      <c r="BZ167" s="79">
        <f t="shared" si="124"/>
        <v>192226.99376868876</v>
      </c>
      <c r="CA167" s="11"/>
      <c r="CB167" s="33"/>
      <c r="CC167" s="33">
        <f t="shared" si="171"/>
        <v>0</v>
      </c>
      <c r="CD167" s="33">
        <f t="shared" si="129"/>
        <v>0.39405505987465733</v>
      </c>
      <c r="CE167" s="33">
        <f>IF(O167&lt;&gt;"",CD167-SUM($CC$44:CC167),"")</f>
        <v>0.12405505988104198</v>
      </c>
      <c r="CF167" s="11">
        <f t="shared" si="145"/>
        <v>20</v>
      </c>
      <c r="CG167" s="11">
        <f>IF(BU167&lt;&gt;"",IF($B$16=listy!$K$8,'RZĄDOWY PROGRAM'!$F$3*'RZĄDOWY PROGRAM'!$F$15,BZ166*$F$15),"")</f>
        <v>50</v>
      </c>
      <c r="CH167" s="11">
        <f t="shared" si="146"/>
        <v>70</v>
      </c>
      <c r="CJ167" s="48">
        <f t="shared" si="147"/>
        <v>0.06</v>
      </c>
      <c r="CK167" s="18">
        <f t="shared" si="148"/>
        <v>4.8675505653430484E-3</v>
      </c>
      <c r="CL167" s="11">
        <f t="shared" si="131"/>
        <v>0</v>
      </c>
      <c r="CM167" s="11">
        <f t="shared" si="149"/>
        <v>47467.813128015216</v>
      </c>
      <c r="CN167" s="11">
        <f>IF(AB167&lt;&gt;"",CM167-SUM($CL$28:CL167),"")</f>
        <v>19291.053128015221</v>
      </c>
    </row>
    <row r="168" spans="1:92" x14ac:dyDescent="0.45">
      <c r="A168" s="68">
        <f t="shared" si="172"/>
        <v>49004</v>
      </c>
      <c r="B168" s="8">
        <f t="shared" si="132"/>
        <v>141</v>
      </c>
      <c r="C168" s="11">
        <f t="shared" si="133"/>
        <v>3522.09</v>
      </c>
      <c r="D168" s="11">
        <f t="shared" si="134"/>
        <v>1710.3066427894312</v>
      </c>
      <c r="E168" s="11">
        <f t="shared" si="135"/>
        <v>1811.783357210569</v>
      </c>
      <c r="F168" s="9">
        <f t="shared" si="150"/>
        <v>248190.84607590971</v>
      </c>
      <c r="G168" s="10">
        <f t="shared" si="136"/>
        <v>7.0000000000000007E-2</v>
      </c>
      <c r="H168" s="10">
        <f t="shared" si="137"/>
        <v>1.7000000000000001E-2</v>
      </c>
      <c r="I168" s="48">
        <f t="shared" si="151"/>
        <v>8.7000000000000008E-2</v>
      </c>
      <c r="J168" s="11">
        <f t="shared" si="138"/>
        <v>20</v>
      </c>
      <c r="K168" s="11">
        <f>IF(B168&lt;&gt;"",IF($B$16=listy!$K$8,'RZĄDOWY PROGRAM'!$F$3*'RZĄDOWY PROGRAM'!$F$15,F167*$F$15),"")</f>
        <v>50</v>
      </c>
      <c r="L168" s="11">
        <f t="shared" si="152"/>
        <v>70</v>
      </c>
      <c r="N168" s="54">
        <f t="shared" si="173"/>
        <v>49004</v>
      </c>
      <c r="O168" s="8">
        <f t="shared" si="153"/>
        <v>141</v>
      </c>
      <c r="P168" s="8"/>
      <c r="Q168" s="11">
        <f>IF(O168&lt;&gt;"",ROUND(IF($F$11="raty równe",-PMT(W168/12,$F$4-O167+SUM($P$28:P168),T167,2),R168+S168),2),"")</f>
        <v>3522.09</v>
      </c>
      <c r="R168" s="11">
        <f>IF(O168&lt;&gt;"",IF($F$11="raty malejące",T167/($F$4-O167+SUM($P$28:P168)),IF(Q168-S168&gt;T167,T167,Q168-S168)),"")</f>
        <v>1614.2682268743229</v>
      </c>
      <c r="S168" s="11">
        <f t="shared" si="121"/>
        <v>1907.8217731256773</v>
      </c>
      <c r="T168" s="9">
        <f t="shared" si="154"/>
        <v>261533.56254908114</v>
      </c>
      <c r="U168" s="10">
        <f t="shared" si="139"/>
        <v>7.0000000000000007E-2</v>
      </c>
      <c r="V168" s="10">
        <f t="shared" si="140"/>
        <v>1.7000000000000001E-2</v>
      </c>
      <c r="W168" s="48">
        <f t="shared" si="155"/>
        <v>8.7000000000000008E-2</v>
      </c>
      <c r="X168" s="11">
        <f t="shared" si="141"/>
        <v>20</v>
      </c>
      <c r="Y168" s="11">
        <f>IF(O168&lt;&gt;"",IF($B$16=listy!$K$8,'RZĄDOWY PROGRAM'!$F$3*'RZĄDOWY PROGRAM'!$F$15,T167*$F$15),"")</f>
        <v>50</v>
      </c>
      <c r="Z168" s="11">
        <f t="shared" si="156"/>
        <v>70</v>
      </c>
      <c r="AB168" s="8">
        <f t="shared" si="157"/>
        <v>141</v>
      </c>
      <c r="AC168" s="8"/>
      <c r="AD168" s="11">
        <f>IF(AB168&lt;&gt;"",ROUND(IF($F$11="raty równe",-PMT(W168/12,$F$4-AB167+SUM($AC$28:AC168),AG167,2),AE168+AF168),2),"")</f>
        <v>3280.39</v>
      </c>
      <c r="AE168" s="11">
        <f>IF(AB168&lt;&gt;"",IF($F$11="raty malejące",AG167/($F$4-AB167+SUM($AC$28:AC167)),MIN(AD168-AF168,AG167)),"")</f>
        <v>1503.4909390218929</v>
      </c>
      <c r="AF168" s="11">
        <f t="shared" si="122"/>
        <v>1776.8990609781069</v>
      </c>
      <c r="AG168" s="9">
        <f t="shared" si="174"/>
        <v>243586.03471313076</v>
      </c>
      <c r="AH168" s="11"/>
      <c r="AI168" s="33">
        <f>IF(AB168&lt;&gt;"",ROUND(IF($F$11="raty równe",-PMT(W168/12,($F$4-AB167+SUM($AC$27:AC167)),AG167,2),AG167/($F$4-AB167+SUM($AC$27:AC167))+AG167*W168/12),2),"")</f>
        <v>3280.39</v>
      </c>
      <c r="AJ168" s="33">
        <f t="shared" si="158"/>
        <v>241.70000000000027</v>
      </c>
      <c r="AK168" s="33">
        <f t="shared" si="142"/>
        <v>42408.93632966622</v>
      </c>
      <c r="AL168" s="33">
        <f>IF(AB168&lt;&gt;"",AK168-SUM($AJ$28:AJ168),"")</f>
        <v>10123.376329666226</v>
      </c>
      <c r="AM168" s="11">
        <f t="shared" si="159"/>
        <v>20</v>
      </c>
      <c r="AN168" s="11">
        <f>IF(AB168&lt;&gt;"",IF($B$16=listy!$K$8,'RZĄDOWY PROGRAM'!$F$3*'RZĄDOWY PROGRAM'!$F$15,AG167*$F$15),"")</f>
        <v>50</v>
      </c>
      <c r="AO168" s="11">
        <f t="shared" si="160"/>
        <v>70</v>
      </c>
      <c r="AQ168" s="8">
        <f t="shared" si="161"/>
        <v>141</v>
      </c>
      <c r="AR168" s="8"/>
      <c r="AS168" s="78">
        <f>IF(AQ168&lt;&gt;"",ROUND(IF($F$11="raty równe",-PMT(W168/12,$F$4-AQ167+SUM($AR$28:AR168),AV167,2),AT168+AU168),2),"")</f>
        <v>3263.82</v>
      </c>
      <c r="AT168" s="78">
        <f>IF(AQ168&lt;&gt;"",IF($F$11="raty malejące",AV167/($F$4-AQ167+SUM($AR$28:AR167)),MIN(AS168-AU168,AV167)),"")</f>
        <v>1495.8964606645745</v>
      </c>
      <c r="AU168" s="78">
        <f t="shared" si="162"/>
        <v>1767.9235393354256</v>
      </c>
      <c r="AV168" s="79">
        <f t="shared" si="163"/>
        <v>242355.62620629065</v>
      </c>
      <c r="AW168" s="11"/>
      <c r="AX168" s="33">
        <f>IF(AQ168&lt;&gt;"",ROUND(IF($F$11="raty równe",-PMT(W168/12,($F$4-AQ167+SUM($AR$27:AR167)),AV167,2),AV167/($F$4-AQ167+SUM($AR$27:AR167))+AV167*W168/12),2),"")</f>
        <v>3263.82</v>
      </c>
      <c r="AY168" s="33">
        <f t="shared" si="164"/>
        <v>258.27</v>
      </c>
      <c r="AZ168" s="33">
        <f t="shared" si="126"/>
        <v>41620.430814928572</v>
      </c>
      <c r="BA168" s="33">
        <f>IF(AQ168&lt;&gt;"",AZ168-SUM($AY$44:AY168),"")</f>
        <v>9336.6908149285264</v>
      </c>
      <c r="BB168" s="11">
        <f t="shared" si="165"/>
        <v>20</v>
      </c>
      <c r="BC168" s="11">
        <f>IF(AQ168&lt;&gt;"",IF($B$16=listy!$K$8,'RZĄDOWY PROGRAM'!$F$3*'RZĄDOWY PROGRAM'!$F$15,AV167*$F$15),"")</f>
        <v>50</v>
      </c>
      <c r="BD168" s="11">
        <f t="shared" si="166"/>
        <v>70</v>
      </c>
      <c r="BF168" s="8">
        <f t="shared" si="167"/>
        <v>141</v>
      </c>
      <c r="BG168" s="8"/>
      <c r="BH168" s="78">
        <f>IF(BF168&lt;&gt;"",ROUND(IF($F$11="raty równe",-PMT(W168/12,$F$4-BF167+SUM(BV$28:$BV168)-SUM($BM$29:BM168),BK167,2),BI168+BJ168),2),"")</f>
        <v>3522.1</v>
      </c>
      <c r="BI168" s="78">
        <f>IF(BF168&lt;&gt;"",IF($F$11="raty malejące",MIN(BK167/($F$4-BF167+SUM($BG$27:BG168)-SUM($BM$27:BM168)),BK167),MIN(BH168-BJ168,BK167)),"")</f>
        <v>2133.0932264450453</v>
      </c>
      <c r="BJ168" s="78">
        <f t="shared" si="168"/>
        <v>1389.0067735549546</v>
      </c>
      <c r="BK168" s="79">
        <f t="shared" si="169"/>
        <v>189454.04795354867</v>
      </c>
      <c r="BL168" s="11"/>
      <c r="BM168" s="33"/>
      <c r="BN168" s="33">
        <f t="shared" si="127"/>
        <v>-9.9999999997635314E-3</v>
      </c>
      <c r="BO168" s="33">
        <f t="shared" si="128"/>
        <v>-0.1394490398189179</v>
      </c>
      <c r="BP168" s="33">
        <f>IF(O168&lt;&gt;"",BO168-SUM($BN$44:BN168),"")</f>
        <v>-4.944903982104612E-2</v>
      </c>
      <c r="BQ168" s="11">
        <f t="shared" si="143"/>
        <v>20</v>
      </c>
      <c r="BR168" s="11">
        <f>IF(BF168&lt;&gt;"",IF($B$16=listy!$K$8,'RZĄDOWY PROGRAM'!$F$3*'RZĄDOWY PROGRAM'!$F$15,BK167*$F$15),"")</f>
        <v>50</v>
      </c>
      <c r="BS168" s="11">
        <f t="shared" si="144"/>
        <v>70</v>
      </c>
      <c r="BU168" s="8">
        <f t="shared" si="170"/>
        <v>141</v>
      </c>
      <c r="BV168" s="8"/>
      <c r="BW168" s="78">
        <f>IF(BU168&lt;&gt;"",ROUND(IF($F$11="raty równe",-PMT(W168/12,$F$4-BU167+SUM($BV$28:BV168)-$CB$43,BZ167,2),BX168+BY168),2),"")</f>
        <v>3522.1</v>
      </c>
      <c r="BX168" s="78">
        <f>IF(BU168&lt;&gt;"",IF($F$11="raty malejące",MIN(BZ167/($F$4-BU167+SUM($BV$28:BV167)-SUM($CB$28:CB167)),BZ167),MIN(BW168-BY168,BZ167)),"")</f>
        <v>2128.4542951770063</v>
      </c>
      <c r="BY168" s="78">
        <f t="shared" si="130"/>
        <v>1393.6457048229938</v>
      </c>
      <c r="BZ168" s="79">
        <f t="shared" si="124"/>
        <v>190098.53947351174</v>
      </c>
      <c r="CA168" s="11"/>
      <c r="CB168" s="33"/>
      <c r="CC168" s="33">
        <f t="shared" si="171"/>
        <v>-9.9999999997635314E-3</v>
      </c>
      <c r="CD168" s="33">
        <f t="shared" si="129"/>
        <v>0.38560870704776384</v>
      </c>
      <c r="CE168" s="33">
        <f>IF(O168&lt;&gt;"",CD168-SUM($CC$44:CC168),"")</f>
        <v>0.12560870705391203</v>
      </c>
      <c r="CF168" s="11">
        <f t="shared" si="145"/>
        <v>20</v>
      </c>
      <c r="CG168" s="11">
        <f>IF(BU168&lt;&gt;"",IF($B$16=listy!$K$8,'RZĄDOWY PROGRAM'!$F$3*'RZĄDOWY PROGRAM'!$F$15,BZ167*$F$15),"")</f>
        <v>50</v>
      </c>
      <c r="CH168" s="11">
        <f t="shared" si="146"/>
        <v>70</v>
      </c>
      <c r="CJ168" s="48">
        <f t="shared" si="147"/>
        <v>0.06</v>
      </c>
      <c r="CK168" s="18">
        <f t="shared" si="148"/>
        <v>4.8675505653430484E-3</v>
      </c>
      <c r="CL168" s="11">
        <f t="shared" si="131"/>
        <v>0</v>
      </c>
      <c r="CM168" s="11">
        <f t="shared" si="149"/>
        <v>47654.965232322982</v>
      </c>
      <c r="CN168" s="11">
        <f>IF(AB168&lt;&gt;"",CM168-SUM($CL$28:CL168),"")</f>
        <v>19478.205232322987</v>
      </c>
    </row>
    <row r="169" spans="1:92" x14ac:dyDescent="0.45">
      <c r="A169" s="68">
        <f t="shared" si="172"/>
        <v>49035</v>
      </c>
      <c r="B169" s="8">
        <f t="shared" si="132"/>
        <v>142</v>
      </c>
      <c r="C169" s="11">
        <f t="shared" si="133"/>
        <v>3522.1</v>
      </c>
      <c r="D169" s="11">
        <f t="shared" si="134"/>
        <v>1722.7163659496543</v>
      </c>
      <c r="E169" s="11">
        <f t="shared" si="135"/>
        <v>1799.3836340503456</v>
      </c>
      <c r="F169" s="9">
        <f t="shared" si="150"/>
        <v>246468.12970996005</v>
      </c>
      <c r="G169" s="10">
        <f t="shared" si="136"/>
        <v>7.0000000000000007E-2</v>
      </c>
      <c r="H169" s="10">
        <f t="shared" si="137"/>
        <v>1.7000000000000001E-2</v>
      </c>
      <c r="I169" s="48">
        <f t="shared" si="151"/>
        <v>8.7000000000000008E-2</v>
      </c>
      <c r="J169" s="11">
        <f t="shared" si="138"/>
        <v>20</v>
      </c>
      <c r="K169" s="11">
        <f>IF(B169&lt;&gt;"",IF($B$16=listy!$K$8,'RZĄDOWY PROGRAM'!$F$3*'RZĄDOWY PROGRAM'!$F$15,F168*$F$15),"")</f>
        <v>50</v>
      </c>
      <c r="L169" s="11">
        <f t="shared" si="152"/>
        <v>70</v>
      </c>
      <c r="N169" s="54">
        <f t="shared" si="173"/>
        <v>49035</v>
      </c>
      <c r="O169" s="8">
        <f t="shared" si="153"/>
        <v>142</v>
      </c>
      <c r="P169" s="8"/>
      <c r="Q169" s="11">
        <f>IF(O169&lt;&gt;"",ROUND(IF($F$11="raty równe",-PMT(W169/12,$F$4-O168+SUM($P$28:P169),T168,2),R169+S169),2),"")</f>
        <v>3522.1</v>
      </c>
      <c r="R169" s="11">
        <f>IF(O169&lt;&gt;"",IF($F$11="raty malejące",T168/($F$4-O168+SUM($P$28:P169)),IF(Q169-S169&gt;T168,T168,Q169-S169)),"")</f>
        <v>1625.9816715191614</v>
      </c>
      <c r="S169" s="11">
        <f t="shared" si="121"/>
        <v>1896.1183284808385</v>
      </c>
      <c r="T169" s="9">
        <f t="shared" si="154"/>
        <v>259907.58087756197</v>
      </c>
      <c r="U169" s="10">
        <f t="shared" si="139"/>
        <v>7.0000000000000007E-2</v>
      </c>
      <c r="V169" s="10">
        <f t="shared" si="140"/>
        <v>1.7000000000000001E-2</v>
      </c>
      <c r="W169" s="48">
        <f t="shared" si="155"/>
        <v>8.7000000000000008E-2</v>
      </c>
      <c r="X169" s="11">
        <f t="shared" si="141"/>
        <v>20</v>
      </c>
      <c r="Y169" s="11">
        <f>IF(O169&lt;&gt;"",IF($B$16=listy!$K$8,'RZĄDOWY PROGRAM'!$F$3*'RZĄDOWY PROGRAM'!$F$15,T168*$F$15),"")</f>
        <v>50</v>
      </c>
      <c r="Z169" s="11">
        <f t="shared" si="156"/>
        <v>70</v>
      </c>
      <c r="AB169" s="8">
        <f t="shared" si="157"/>
        <v>142</v>
      </c>
      <c r="AC169" s="8"/>
      <c r="AD169" s="11">
        <f>IF(AB169&lt;&gt;"",ROUND(IF($F$11="raty równe",-PMT(W169/12,$F$4-AB168+SUM($AC$28:AC169),AG168,2),AE169+AF169),2),"")</f>
        <v>3280.39</v>
      </c>
      <c r="AE169" s="11">
        <f>IF(AB169&lt;&gt;"",IF($F$11="raty malejące",AG168/($F$4-AB168+SUM($AC$28:AC168)),MIN(AD169-AF169,AG168)),"")</f>
        <v>1514.3912483298016</v>
      </c>
      <c r="AF169" s="11">
        <f t="shared" si="122"/>
        <v>1765.9987516701983</v>
      </c>
      <c r="AG169" s="9">
        <f t="shared" si="174"/>
        <v>242071.64346480096</v>
      </c>
      <c r="AH169" s="11"/>
      <c r="AI169" s="33">
        <f>IF(AB169&lt;&gt;"",ROUND(IF($F$11="raty równe",-PMT(W169/12,($F$4-AB168+SUM($AC$27:AC168)),AG168,2),AG168/($F$4-AB168+SUM($AC$27:AC168))+AG168*W169/12),2),"")</f>
        <v>3280.39</v>
      </c>
      <c r="AJ169" s="33">
        <f t="shared" si="158"/>
        <v>241.71000000000004</v>
      </c>
      <c r="AK169" s="33">
        <f t="shared" si="142"/>
        <v>42817.852719691946</v>
      </c>
      <c r="AL169" s="33">
        <f>IF(AB169&lt;&gt;"",AK169-SUM($AJ$28:AJ169),"")</f>
        <v>10290.582719691953</v>
      </c>
      <c r="AM169" s="11">
        <f t="shared" si="159"/>
        <v>20</v>
      </c>
      <c r="AN169" s="11">
        <f>IF(AB169&lt;&gt;"",IF($B$16=listy!$K$8,'RZĄDOWY PROGRAM'!$F$3*'RZĄDOWY PROGRAM'!$F$15,AG168*$F$15),"")</f>
        <v>50</v>
      </c>
      <c r="AO169" s="11">
        <f t="shared" si="160"/>
        <v>70</v>
      </c>
      <c r="AQ169" s="8">
        <f t="shared" si="161"/>
        <v>142</v>
      </c>
      <c r="AR169" s="8"/>
      <c r="AS169" s="78">
        <f>IF(AQ169&lt;&gt;"",ROUND(IF($F$11="raty równe",-PMT(W169/12,$F$4-AQ168+SUM($AR$28:AR169),AV168,2),AT169+AU169),2),"")</f>
        <v>3263.83</v>
      </c>
      <c r="AT169" s="78">
        <f>IF(AQ169&lt;&gt;"",IF($F$11="raty malejące",AV168/($F$4-AQ168+SUM($AR$28:AR168)),MIN(AS169-AU169,AV168)),"")</f>
        <v>1506.7517100043926</v>
      </c>
      <c r="AU169" s="78">
        <f t="shared" si="162"/>
        <v>1757.0782899956073</v>
      </c>
      <c r="AV169" s="79">
        <f t="shared" si="163"/>
        <v>240848.87449628624</v>
      </c>
      <c r="AW169" s="11"/>
      <c r="AX169" s="33">
        <f>IF(AQ169&lt;&gt;"",ROUND(IF($F$11="raty równe",-PMT(W169/12,($F$4-AQ168+SUM($AR$27:AR168)),AV168,2),AV168/($F$4-AQ168+SUM($AR$27:AR168))+AV168*W169/12),2),"")</f>
        <v>3263.83</v>
      </c>
      <c r="AY169" s="33">
        <f t="shared" si="164"/>
        <v>258.27</v>
      </c>
      <c r="AZ169" s="33">
        <f t="shared" si="126"/>
        <v>42042.798351678422</v>
      </c>
      <c r="BA169" s="33">
        <f>IF(AQ169&lt;&gt;"",AZ169-SUM($AY$44:AY169),"")</f>
        <v>9500.7883516783768</v>
      </c>
      <c r="BB169" s="11">
        <f t="shared" si="165"/>
        <v>20</v>
      </c>
      <c r="BC169" s="11">
        <f>IF(AQ169&lt;&gt;"",IF($B$16=listy!$K$8,'RZĄDOWY PROGRAM'!$F$3*'RZĄDOWY PROGRAM'!$F$15,AV168*$F$15),"")</f>
        <v>50</v>
      </c>
      <c r="BD169" s="11">
        <f t="shared" si="166"/>
        <v>70</v>
      </c>
      <c r="BF169" s="8">
        <f t="shared" si="167"/>
        <v>142</v>
      </c>
      <c r="BG169" s="8"/>
      <c r="BH169" s="78">
        <f>IF(BF169&lt;&gt;"",ROUND(IF($F$11="raty równe",-PMT(W169/12,$F$4-BF168+SUM(BV$28:$BV169)-SUM($BM$29:BM169),BK168,2),BI169+BJ169),2),"")</f>
        <v>3522.09</v>
      </c>
      <c r="BI169" s="78">
        <f>IF(BF169&lt;&gt;"",IF($F$11="raty malejące",MIN(BK168/($F$4-BF168+SUM($BG$27:BG169)-SUM($BM$27:BM169)),BK168),MIN(BH169-BJ169,BK168)),"")</f>
        <v>2148.5481523367725</v>
      </c>
      <c r="BJ169" s="78">
        <f t="shared" si="168"/>
        <v>1373.5418476632278</v>
      </c>
      <c r="BK169" s="79">
        <f t="shared" si="169"/>
        <v>187305.4998012119</v>
      </c>
      <c r="BL169" s="11"/>
      <c r="BM169" s="33"/>
      <c r="BN169" s="33">
        <f t="shared" si="127"/>
        <v>9.9999999997635314E-3</v>
      </c>
      <c r="BO169" s="33">
        <f t="shared" si="128"/>
        <v>-0.12999884777376614</v>
      </c>
      <c r="BP169" s="33">
        <f>IF(O169&lt;&gt;"",BO169-SUM($BN$44:BN169),"")</f>
        <v>-4.9998847775657884E-2</v>
      </c>
      <c r="BQ169" s="11">
        <f t="shared" si="143"/>
        <v>20</v>
      </c>
      <c r="BR169" s="11">
        <f>IF(BF169&lt;&gt;"",IF($B$16=listy!$K$8,'RZĄDOWY PROGRAM'!$F$3*'RZĄDOWY PROGRAM'!$F$15,BK168*$F$15),"")</f>
        <v>50</v>
      </c>
      <c r="BS169" s="11">
        <f t="shared" si="144"/>
        <v>70</v>
      </c>
      <c r="BU169" s="8">
        <f t="shared" si="170"/>
        <v>142</v>
      </c>
      <c r="BV169" s="8"/>
      <c r="BW169" s="78">
        <f>IF(BU169&lt;&gt;"",ROUND(IF($F$11="raty równe",-PMT(W169/12,$F$4-BU168+SUM($BV$28:BV169)-$CB$43,BZ168,2),BX169+BY169),2),"")</f>
        <v>3522.09</v>
      </c>
      <c r="BX169" s="78">
        <f>IF(BU169&lt;&gt;"",IF($F$11="raty malejące",MIN(BZ168/($F$4-BU168+SUM($BV$28:BV168)-SUM($CB$28:CB168)),BZ168),MIN(BW169-BY169,BZ168)),"")</f>
        <v>2143.8755888170399</v>
      </c>
      <c r="BY169" s="78">
        <f t="shared" si="130"/>
        <v>1378.2144111829602</v>
      </c>
      <c r="BZ169" s="79">
        <f t="shared" si="124"/>
        <v>187954.66388469472</v>
      </c>
      <c r="CA169" s="11"/>
      <c r="CB169" s="33"/>
      <c r="CC169" s="33">
        <f t="shared" si="171"/>
        <v>9.9999999997635314E-3</v>
      </c>
      <c r="CD169" s="33">
        <f t="shared" si="129"/>
        <v>0.39712905265032056</v>
      </c>
      <c r="CE169" s="33">
        <f>IF(O169&lt;&gt;"",CD169-SUM($CC$44:CC169),"")</f>
        <v>0.12712905265670521</v>
      </c>
      <c r="CF169" s="11">
        <f t="shared" si="145"/>
        <v>20</v>
      </c>
      <c r="CG169" s="11">
        <f>IF(BU169&lt;&gt;"",IF($B$16=listy!$K$8,'RZĄDOWY PROGRAM'!$F$3*'RZĄDOWY PROGRAM'!$F$15,BZ168*$F$15),"")</f>
        <v>50</v>
      </c>
      <c r="CH169" s="11">
        <f t="shared" si="146"/>
        <v>70</v>
      </c>
      <c r="CJ169" s="48">
        <f t="shared" si="147"/>
        <v>0.06</v>
      </c>
      <c r="CK169" s="18">
        <f t="shared" si="148"/>
        <v>4.8675505653430484E-3</v>
      </c>
      <c r="CL169" s="11">
        <f t="shared" si="131"/>
        <v>0</v>
      </c>
      <c r="CM169" s="11">
        <f t="shared" si="149"/>
        <v>47842.855224218962</v>
      </c>
      <c r="CN169" s="11">
        <f>IF(AB169&lt;&gt;"",CM169-SUM($CL$28:CL169),"")</f>
        <v>19666.095224218967</v>
      </c>
    </row>
    <row r="170" spans="1:92" x14ac:dyDescent="0.45">
      <c r="A170" s="68">
        <f t="shared" si="172"/>
        <v>49065</v>
      </c>
      <c r="B170" s="8">
        <f t="shared" si="132"/>
        <v>143</v>
      </c>
      <c r="C170" s="11">
        <f t="shared" si="133"/>
        <v>3522.09</v>
      </c>
      <c r="D170" s="11">
        <f t="shared" si="134"/>
        <v>1735.1960596027895</v>
      </c>
      <c r="E170" s="11">
        <f t="shared" si="135"/>
        <v>1786.8939403972106</v>
      </c>
      <c r="F170" s="9">
        <f t="shared" si="150"/>
        <v>244732.93365035727</v>
      </c>
      <c r="G170" s="10">
        <f t="shared" si="136"/>
        <v>7.0000000000000007E-2</v>
      </c>
      <c r="H170" s="10">
        <f t="shared" si="137"/>
        <v>1.7000000000000001E-2</v>
      </c>
      <c r="I170" s="48">
        <f t="shared" si="151"/>
        <v>8.7000000000000008E-2</v>
      </c>
      <c r="J170" s="11">
        <f t="shared" si="138"/>
        <v>20</v>
      </c>
      <c r="K170" s="11">
        <f>IF(B170&lt;&gt;"",IF($B$16=listy!$K$8,'RZĄDOWY PROGRAM'!$F$3*'RZĄDOWY PROGRAM'!$F$15,F169*$F$15),"")</f>
        <v>50</v>
      </c>
      <c r="L170" s="11">
        <f t="shared" si="152"/>
        <v>70</v>
      </c>
      <c r="N170" s="54">
        <f t="shared" si="173"/>
        <v>49065</v>
      </c>
      <c r="O170" s="8">
        <f t="shared" si="153"/>
        <v>143</v>
      </c>
      <c r="P170" s="8"/>
      <c r="Q170" s="11">
        <f>IF(O170&lt;&gt;"",ROUND(IF($F$11="raty równe",-PMT(W170/12,$F$4-O169+SUM($P$28:P170),T169,2),R170+S170),2),"")</f>
        <v>3522.09</v>
      </c>
      <c r="R170" s="11">
        <f>IF(O170&lt;&gt;"",IF($F$11="raty malejące",T169/($F$4-O169+SUM($P$28:P170)),IF(Q170-S170&gt;T169,T169,Q170-S170)),"")</f>
        <v>1637.7600386376755</v>
      </c>
      <c r="S170" s="11">
        <f t="shared" si="121"/>
        <v>1884.3299613623246</v>
      </c>
      <c r="T170" s="9">
        <f t="shared" si="154"/>
        <v>258269.82083892429</v>
      </c>
      <c r="U170" s="10">
        <f t="shared" si="139"/>
        <v>7.0000000000000007E-2</v>
      </c>
      <c r="V170" s="10">
        <f t="shared" si="140"/>
        <v>1.7000000000000001E-2</v>
      </c>
      <c r="W170" s="48">
        <f t="shared" si="155"/>
        <v>8.7000000000000008E-2</v>
      </c>
      <c r="X170" s="11">
        <f t="shared" si="141"/>
        <v>20</v>
      </c>
      <c r="Y170" s="11">
        <f>IF(O170&lt;&gt;"",IF($B$16=listy!$K$8,'RZĄDOWY PROGRAM'!$F$3*'RZĄDOWY PROGRAM'!$F$15,T169*$F$15),"")</f>
        <v>50</v>
      </c>
      <c r="Z170" s="11">
        <f t="shared" si="156"/>
        <v>70</v>
      </c>
      <c r="AB170" s="8">
        <f t="shared" si="157"/>
        <v>143</v>
      </c>
      <c r="AC170" s="8"/>
      <c r="AD170" s="11">
        <f>IF(AB170&lt;&gt;"",ROUND(IF($F$11="raty równe",-PMT(W170/12,$F$4-AB169+SUM($AC$28:AC170),AG169,2),AE170+AF170),2),"")</f>
        <v>3280.4</v>
      </c>
      <c r="AE170" s="11">
        <f>IF(AB170&lt;&gt;"",IF($F$11="raty malejące",AG169/($F$4-AB169+SUM($AC$28:AC169)),MIN(AD170-AF170,AG169)),"")</f>
        <v>1525.3805848801928</v>
      </c>
      <c r="AF170" s="11">
        <f t="shared" si="122"/>
        <v>1755.0194151198073</v>
      </c>
      <c r="AG170" s="9">
        <f t="shared" si="174"/>
        <v>240546.26287992077</v>
      </c>
      <c r="AH170" s="11"/>
      <c r="AI170" s="33">
        <f>IF(AB170&lt;&gt;"",ROUND(IF($F$11="raty równe",-PMT(W170/12,($F$4-AB169+SUM($AC$27:AC169)),AG169,2),AG169/($F$4-AB169+SUM($AC$27:AC169))+AG169*W170/12),2),"")</f>
        <v>3280.4</v>
      </c>
      <c r="AJ170" s="33">
        <f t="shared" si="158"/>
        <v>241.69000000000005</v>
      </c>
      <c r="AK170" s="33">
        <f t="shared" si="142"/>
        <v>43228.361350894083</v>
      </c>
      <c r="AL170" s="33">
        <f>IF(AB170&lt;&gt;"",AK170-SUM($AJ$28:AJ170),"")</f>
        <v>10459.401350894092</v>
      </c>
      <c r="AM170" s="11">
        <f t="shared" si="159"/>
        <v>20</v>
      </c>
      <c r="AN170" s="11">
        <f>IF(AB170&lt;&gt;"",IF($B$16=listy!$K$8,'RZĄDOWY PROGRAM'!$F$3*'RZĄDOWY PROGRAM'!$F$15,AG169*$F$15),"")</f>
        <v>50</v>
      </c>
      <c r="AO170" s="11">
        <f t="shared" si="160"/>
        <v>70</v>
      </c>
      <c r="AQ170" s="8">
        <f t="shared" si="161"/>
        <v>143</v>
      </c>
      <c r="AR170" s="8"/>
      <c r="AS170" s="78">
        <f>IF(AQ170&lt;&gt;"",ROUND(IF($F$11="raty równe",-PMT(W170/12,$F$4-AQ169+SUM($AR$28:AR170),AV169,2),AT170+AU170),2),"")</f>
        <v>3263.82</v>
      </c>
      <c r="AT170" s="78">
        <f>IF(AQ170&lt;&gt;"",IF($F$11="raty malejące",AV169/($F$4-AQ169+SUM($AR$28:AR169)),MIN(AS170-AU170,AV169)),"")</f>
        <v>1517.6656599019248</v>
      </c>
      <c r="AU170" s="78">
        <f t="shared" si="162"/>
        <v>1746.1543400980754</v>
      </c>
      <c r="AV170" s="79">
        <f t="shared" si="163"/>
        <v>239331.20883638432</v>
      </c>
      <c r="AW170" s="11"/>
      <c r="AX170" s="33">
        <f>IF(AQ170&lt;&gt;"",ROUND(IF($F$11="raty równe",-PMT(W170/12,($F$4-AQ169+SUM($AR$27:AR169)),AV169,2),AV169/($F$4-AQ169+SUM($AR$27:AR169))+AV169*W170/12),2),"")</f>
        <v>3263.82</v>
      </c>
      <c r="AY170" s="33">
        <f t="shared" si="164"/>
        <v>258.27</v>
      </c>
      <c r="AZ170" s="33">
        <f t="shared" si="126"/>
        <v>42466.83116365553</v>
      </c>
      <c r="BA170" s="33">
        <f>IF(AQ170&lt;&gt;"",AZ170-SUM($AY$44:AY170),"")</f>
        <v>9666.5511636554875</v>
      </c>
      <c r="BB170" s="11">
        <f t="shared" si="165"/>
        <v>20</v>
      </c>
      <c r="BC170" s="11">
        <f>IF(AQ170&lt;&gt;"",IF($B$16=listy!$K$8,'RZĄDOWY PROGRAM'!$F$3*'RZĄDOWY PROGRAM'!$F$15,AV169*$F$15),"")</f>
        <v>50</v>
      </c>
      <c r="BD170" s="11">
        <f t="shared" si="166"/>
        <v>70</v>
      </c>
      <c r="BF170" s="8">
        <f t="shared" si="167"/>
        <v>143</v>
      </c>
      <c r="BG170" s="8"/>
      <c r="BH170" s="78">
        <f>IF(BF170&lt;&gt;"",ROUND(IF($F$11="raty równe",-PMT(W170/12,$F$4-BF169+SUM(BV$28:$BV170)-SUM($BM$29:BM170),BK169,2),BI170+BJ170),2),"")</f>
        <v>3522.09</v>
      </c>
      <c r="BI170" s="78">
        <f>IF(BF170&lt;&gt;"",IF($F$11="raty malejące",MIN(BK169/($F$4-BF169+SUM($BG$27:BG170)-SUM($BM$27:BM170)),BK169),MIN(BH170-BJ170,BK169)),"")</f>
        <v>2164.125126441214</v>
      </c>
      <c r="BJ170" s="78">
        <f t="shared" si="168"/>
        <v>1357.9648735587864</v>
      </c>
      <c r="BK170" s="79">
        <f t="shared" si="169"/>
        <v>185141.37467477069</v>
      </c>
      <c r="BL170" s="11"/>
      <c r="BM170" s="33"/>
      <c r="BN170" s="33">
        <f t="shared" si="127"/>
        <v>0</v>
      </c>
      <c r="BO170" s="33">
        <f t="shared" si="128"/>
        <v>-0.13051139630539602</v>
      </c>
      <c r="BP170" s="33">
        <f>IF(O170&lt;&gt;"",BO170-SUM($BN$44:BN170),"")</f>
        <v>-5.0511396307287765E-2</v>
      </c>
      <c r="BQ170" s="11">
        <f t="shared" si="143"/>
        <v>20</v>
      </c>
      <c r="BR170" s="11">
        <f>IF(BF170&lt;&gt;"",IF($B$16=listy!$K$8,'RZĄDOWY PROGRAM'!$F$3*'RZĄDOWY PROGRAM'!$F$15,BK169*$F$15),"")</f>
        <v>50</v>
      </c>
      <c r="BS170" s="11">
        <f t="shared" si="144"/>
        <v>70</v>
      </c>
      <c r="BU170" s="8">
        <f t="shared" si="170"/>
        <v>143</v>
      </c>
      <c r="BV170" s="8"/>
      <c r="BW170" s="78">
        <f>IF(BU170&lt;&gt;"",ROUND(IF($F$11="raty równe",-PMT(W170/12,$F$4-BU169+SUM($BV$28:BV170)-$CB$43,BZ169,2),BX170+BY170),2),"")</f>
        <v>3522.09</v>
      </c>
      <c r="BX170" s="78">
        <f>IF(BU170&lt;&gt;"",IF($F$11="raty malejące",MIN(BZ169/($F$4-BU169+SUM($BV$28:BV169)-SUM($CB$28:CB169)),BZ169),MIN(BW170-BY170,BZ169)),"")</f>
        <v>2159.4186868359629</v>
      </c>
      <c r="BY170" s="78">
        <f t="shared" si="130"/>
        <v>1362.671313164037</v>
      </c>
      <c r="BZ170" s="79">
        <f t="shared" si="124"/>
        <v>185795.24519785875</v>
      </c>
      <c r="CA170" s="11"/>
      <c r="CB170" s="33"/>
      <c r="CC170" s="33">
        <f t="shared" si="171"/>
        <v>0</v>
      </c>
      <c r="CD170" s="33">
        <f t="shared" si="129"/>
        <v>0.3986948197035618</v>
      </c>
      <c r="CE170" s="33">
        <f>IF(O170&lt;&gt;"",CD170-SUM($CC$44:CC170),"")</f>
        <v>0.12869481970994645</v>
      </c>
      <c r="CF170" s="11">
        <f t="shared" si="145"/>
        <v>20</v>
      </c>
      <c r="CG170" s="11">
        <f>IF(BU170&lt;&gt;"",IF($B$16=listy!$K$8,'RZĄDOWY PROGRAM'!$F$3*'RZĄDOWY PROGRAM'!$F$15,BZ169*$F$15),"")</f>
        <v>50</v>
      </c>
      <c r="CH170" s="11">
        <f t="shared" si="146"/>
        <v>70</v>
      </c>
      <c r="CJ170" s="48">
        <f t="shared" si="147"/>
        <v>0.06</v>
      </c>
      <c r="CK170" s="18">
        <f t="shared" si="148"/>
        <v>4.8675505653430484E-3</v>
      </c>
      <c r="CL170" s="11">
        <f t="shared" si="131"/>
        <v>0</v>
      </c>
      <c r="CM170" s="11">
        <f t="shared" si="149"/>
        <v>48031.486012984329</v>
      </c>
      <c r="CN170" s="11">
        <f>IF(AB170&lt;&gt;"",CM170-SUM($CL$28:CL170),"")</f>
        <v>19854.726012984334</v>
      </c>
    </row>
    <row r="171" spans="1:92" x14ac:dyDescent="0.45">
      <c r="A171" s="68">
        <f t="shared" si="172"/>
        <v>49096</v>
      </c>
      <c r="B171" s="8">
        <f t="shared" si="132"/>
        <v>144</v>
      </c>
      <c r="C171" s="11">
        <f t="shared" si="133"/>
        <v>3522.1</v>
      </c>
      <c r="D171" s="11">
        <f t="shared" si="134"/>
        <v>1747.7862310349096</v>
      </c>
      <c r="E171" s="11">
        <f t="shared" si="135"/>
        <v>1774.3137689650903</v>
      </c>
      <c r="F171" s="9">
        <f t="shared" si="150"/>
        <v>242985.14741932237</v>
      </c>
      <c r="G171" s="10">
        <f t="shared" si="136"/>
        <v>7.0000000000000007E-2</v>
      </c>
      <c r="H171" s="10">
        <f t="shared" si="137"/>
        <v>1.7000000000000001E-2</v>
      </c>
      <c r="I171" s="48">
        <f t="shared" si="151"/>
        <v>8.7000000000000008E-2</v>
      </c>
      <c r="J171" s="11">
        <f t="shared" si="138"/>
        <v>20</v>
      </c>
      <c r="K171" s="11">
        <f>IF(B171&lt;&gt;"",IF($B$16=listy!$K$8,'RZĄDOWY PROGRAM'!$F$3*'RZĄDOWY PROGRAM'!$F$15,F170*$F$15),"")</f>
        <v>50</v>
      </c>
      <c r="L171" s="11">
        <f t="shared" si="152"/>
        <v>70</v>
      </c>
      <c r="N171" s="54">
        <f t="shared" si="173"/>
        <v>49096</v>
      </c>
      <c r="O171" s="8">
        <f t="shared" si="153"/>
        <v>144</v>
      </c>
      <c r="P171" s="8"/>
      <c r="Q171" s="11">
        <f>IF(O171&lt;&gt;"",ROUND(IF($F$11="raty równe",-PMT(W171/12,$F$4-O170+SUM($P$28:P171),T170,2),R171+S171),2),"")</f>
        <v>3522.1</v>
      </c>
      <c r="R171" s="11">
        <f>IF(O171&lt;&gt;"",IF($F$11="raty malejące",T170/($F$4-O170+SUM($P$28:P171)),IF(Q171-S171&gt;T170,T170,Q171-S171)),"")</f>
        <v>1649.6437989177987</v>
      </c>
      <c r="S171" s="11">
        <f t="shared" si="121"/>
        <v>1872.4562010822012</v>
      </c>
      <c r="T171" s="9">
        <f t="shared" si="154"/>
        <v>256620.1770400065</v>
      </c>
      <c r="U171" s="10">
        <f t="shared" si="139"/>
        <v>7.0000000000000007E-2</v>
      </c>
      <c r="V171" s="10">
        <f t="shared" si="140"/>
        <v>1.7000000000000001E-2</v>
      </c>
      <c r="W171" s="48">
        <f t="shared" si="155"/>
        <v>8.7000000000000008E-2</v>
      </c>
      <c r="X171" s="11">
        <f t="shared" si="141"/>
        <v>20</v>
      </c>
      <c r="Y171" s="11">
        <f>IF(O171&lt;&gt;"",IF($B$16=listy!$K$8,'RZĄDOWY PROGRAM'!$F$3*'RZĄDOWY PROGRAM'!$F$15,T170*$F$15),"")</f>
        <v>50</v>
      </c>
      <c r="Z171" s="11">
        <f t="shared" si="156"/>
        <v>70</v>
      </c>
      <c r="AB171" s="8">
        <f t="shared" si="157"/>
        <v>144</v>
      </c>
      <c r="AC171" s="8"/>
      <c r="AD171" s="11">
        <f>IF(AB171&lt;&gt;"",ROUND(IF($F$11="raty równe",-PMT(W171/12,$F$4-AB170+SUM($AC$28:AC171),AG170,2),AE171+AF171),2),"")</f>
        <v>3280.39</v>
      </c>
      <c r="AE171" s="11">
        <f>IF(AB171&lt;&gt;"",IF($F$11="raty malejące",AG170/($F$4-AB170+SUM($AC$28:AC170)),MIN(AD171-AF171,AG170)),"")</f>
        <v>1536.4295941205742</v>
      </c>
      <c r="AF171" s="11">
        <f t="shared" si="122"/>
        <v>1743.9604058794257</v>
      </c>
      <c r="AG171" s="9">
        <f t="shared" si="174"/>
        <v>239009.83328580021</v>
      </c>
      <c r="AH171" s="11"/>
      <c r="AI171" s="33">
        <f>IF(AB171&lt;&gt;"",ROUND(IF($F$11="raty równe",-PMT(W171/12,($F$4-AB170+SUM($AC$27:AC170)),AG170,2),AG170/($F$4-AB170+SUM($AC$27:AC170))+AG170*W171/12),2),"")</f>
        <v>3280.39</v>
      </c>
      <c r="AJ171" s="33">
        <f t="shared" si="158"/>
        <v>241.71000000000004</v>
      </c>
      <c r="AK171" s="33">
        <f t="shared" si="142"/>
        <v>43640.508501027325</v>
      </c>
      <c r="AL171" s="33">
        <f>IF(AB171&lt;&gt;"",AK171-SUM($AJ$28:AJ171),"")</f>
        <v>10629.838501027334</v>
      </c>
      <c r="AM171" s="11">
        <f t="shared" si="159"/>
        <v>20</v>
      </c>
      <c r="AN171" s="11">
        <f>IF(AB171&lt;&gt;"",IF($B$16=listy!$K$8,'RZĄDOWY PROGRAM'!$F$3*'RZĄDOWY PROGRAM'!$F$15,AG170*$F$15),"")</f>
        <v>50</v>
      </c>
      <c r="AO171" s="11">
        <f t="shared" si="160"/>
        <v>70</v>
      </c>
      <c r="AQ171" s="8">
        <f t="shared" si="161"/>
        <v>144</v>
      </c>
      <c r="AR171" s="8"/>
      <c r="AS171" s="78">
        <f>IF(AQ171&lt;&gt;"",ROUND(IF($F$11="raty równe",-PMT(W171/12,$F$4-AQ170+SUM($AR$28:AR171),AV170,2),AT171+AU171),2),"")</f>
        <v>3263.83</v>
      </c>
      <c r="AT171" s="78">
        <f>IF(AQ171&lt;&gt;"",IF($F$11="raty malejące",AV170/($F$4-AQ170+SUM($AR$28:AR170)),MIN(AS171-AU171,AV170)),"")</f>
        <v>1528.6787359362133</v>
      </c>
      <c r="AU171" s="78">
        <f t="shared" si="162"/>
        <v>1735.1512640637866</v>
      </c>
      <c r="AV171" s="79">
        <f t="shared" si="163"/>
        <v>237802.53010044812</v>
      </c>
      <c r="AW171" s="11"/>
      <c r="AX171" s="33">
        <f>IF(AQ171&lt;&gt;"",ROUND(IF($F$11="raty równe",-PMT(W171/12,($F$4-AQ170+SUM($AR$27:AR170)),AV170,2),AV170/($F$4-AQ170+SUM($AR$27:AR170))+AV170*W171/12),2),"")</f>
        <v>3263.83</v>
      </c>
      <c r="AY171" s="33">
        <f t="shared" si="164"/>
        <v>258.27</v>
      </c>
      <c r="AZ171" s="33">
        <f t="shared" si="126"/>
        <v>42892.535816567106</v>
      </c>
      <c r="BA171" s="33">
        <f>IF(AQ171&lt;&gt;"",AZ171-SUM($AY$44:AY171),"")</f>
        <v>9833.9858165670666</v>
      </c>
      <c r="BB171" s="11">
        <f t="shared" si="165"/>
        <v>20</v>
      </c>
      <c r="BC171" s="11">
        <f>IF(AQ171&lt;&gt;"",IF($B$16=listy!$K$8,'RZĄDOWY PROGRAM'!$F$3*'RZĄDOWY PROGRAM'!$F$15,AV170*$F$15),"")</f>
        <v>50</v>
      </c>
      <c r="BD171" s="11">
        <f t="shared" si="166"/>
        <v>70</v>
      </c>
      <c r="BF171" s="8">
        <f t="shared" si="167"/>
        <v>144</v>
      </c>
      <c r="BG171" s="8"/>
      <c r="BH171" s="78">
        <f>IF(BF171&lt;&gt;"",ROUND(IF($F$11="raty równe",-PMT(W171/12,$F$4-BF170+SUM(BV$28:$BV171)-SUM($BM$29:BM171),BK170,2),BI171+BJ171),2),"")</f>
        <v>3522.1</v>
      </c>
      <c r="BI171" s="78">
        <f>IF(BF171&lt;&gt;"",IF($F$11="raty malejące",MIN(BK170/($F$4-BF170+SUM($BG$27:BG171)-SUM($BM$27:BM171)),BK170),MIN(BH171-BJ171,BK170)),"")</f>
        <v>2179.8250336079122</v>
      </c>
      <c r="BJ171" s="78">
        <f t="shared" si="168"/>
        <v>1342.2749663920877</v>
      </c>
      <c r="BK171" s="79">
        <f t="shared" si="169"/>
        <v>182961.54964116277</v>
      </c>
      <c r="BL171" s="11"/>
      <c r="BM171" s="33"/>
      <c r="BN171" s="33">
        <f t="shared" si="127"/>
        <v>0</v>
      </c>
      <c r="BO171" s="33">
        <f t="shared" si="128"/>
        <v>-0.13102596567030075</v>
      </c>
      <c r="BP171" s="33">
        <f>IF(O171&lt;&gt;"",BO171-SUM($BN$44:BN171),"")</f>
        <v>-5.1025965672192503E-2</v>
      </c>
      <c r="BQ171" s="11">
        <f t="shared" si="143"/>
        <v>20</v>
      </c>
      <c r="BR171" s="11">
        <f>IF(BF171&lt;&gt;"",IF($B$16=listy!$K$8,'RZĄDOWY PROGRAM'!$F$3*'RZĄDOWY PROGRAM'!$F$15,BK170*$F$15),"")</f>
        <v>50</v>
      </c>
      <c r="BS171" s="11">
        <f t="shared" si="144"/>
        <v>70</v>
      </c>
      <c r="BU171" s="8">
        <f t="shared" si="170"/>
        <v>144</v>
      </c>
      <c r="BV171" s="8"/>
      <c r="BW171" s="78">
        <f>IF(BU171&lt;&gt;"",ROUND(IF($F$11="raty równe",-PMT(W171/12,$F$4-BU170+SUM($BV$28:BV171)-$CB$43,BZ170,2),BX171+BY171),2),"")</f>
        <v>3522.1</v>
      </c>
      <c r="BX171" s="78">
        <f>IF(BU171&lt;&gt;"",IF($F$11="raty malejące",MIN(BZ170/($F$4-BU170+SUM($BV$28:BV170)-SUM($CB$28:CB170)),BZ170),MIN(BW171-BY171,BZ170)),"")</f>
        <v>2175.0844723155242</v>
      </c>
      <c r="BY171" s="78">
        <f t="shared" si="130"/>
        <v>1347.015527684476</v>
      </c>
      <c r="BZ171" s="79">
        <f t="shared" si="124"/>
        <v>183620.16072554322</v>
      </c>
      <c r="CA171" s="11"/>
      <c r="CB171" s="33"/>
      <c r="CC171" s="33">
        <f t="shared" si="171"/>
        <v>0</v>
      </c>
      <c r="CD171" s="33">
        <f t="shared" si="129"/>
        <v>0.40026676013155021</v>
      </c>
      <c r="CE171" s="33">
        <f>IF(O171&lt;&gt;"",CD171-SUM($CC$44:CC171),"")</f>
        <v>0.13026676013793487</v>
      </c>
      <c r="CF171" s="11">
        <f t="shared" si="145"/>
        <v>20</v>
      </c>
      <c r="CG171" s="11">
        <f>IF(BU171&lt;&gt;"",IF($B$16=listy!$K$8,'RZĄDOWY PROGRAM'!$F$3*'RZĄDOWY PROGRAM'!$F$15,BZ170*$F$15),"")</f>
        <v>50</v>
      </c>
      <c r="CH171" s="11">
        <f t="shared" si="146"/>
        <v>70</v>
      </c>
      <c r="CJ171" s="48">
        <f t="shared" si="147"/>
        <v>0.06</v>
      </c>
      <c r="CK171" s="18">
        <f t="shared" si="148"/>
        <v>4.8675505653430484E-3</v>
      </c>
      <c r="CL171" s="11">
        <f t="shared" si="131"/>
        <v>0</v>
      </c>
      <c r="CM171" s="11">
        <f t="shared" si="149"/>
        <v>48220.860519370712</v>
      </c>
      <c r="CN171" s="11">
        <f>IF(AB171&lt;&gt;"",CM171-SUM($CL$28:CL171),"")</f>
        <v>20044.100519370717</v>
      </c>
    </row>
    <row r="172" spans="1:92" x14ac:dyDescent="0.45">
      <c r="A172" s="68">
        <f t="shared" si="172"/>
        <v>49126</v>
      </c>
      <c r="B172" s="8">
        <f t="shared" si="132"/>
        <v>145</v>
      </c>
      <c r="C172" s="11">
        <f t="shared" si="133"/>
        <v>3522.09</v>
      </c>
      <c r="D172" s="11">
        <f t="shared" si="134"/>
        <v>1760.4476812099128</v>
      </c>
      <c r="E172" s="11">
        <f t="shared" si="135"/>
        <v>1761.6423187900873</v>
      </c>
      <c r="F172" s="9">
        <f t="shared" si="150"/>
        <v>241224.69973811245</v>
      </c>
      <c r="G172" s="10">
        <f t="shared" si="136"/>
        <v>7.0000000000000007E-2</v>
      </c>
      <c r="H172" s="10">
        <f t="shared" si="137"/>
        <v>1.7000000000000001E-2</v>
      </c>
      <c r="I172" s="48">
        <f t="shared" si="151"/>
        <v>8.7000000000000008E-2</v>
      </c>
      <c r="J172" s="11">
        <f t="shared" si="138"/>
        <v>20</v>
      </c>
      <c r="K172" s="11">
        <f>IF(B172&lt;&gt;"",IF($B$16=listy!$K$8,'RZĄDOWY PROGRAM'!$F$3*'RZĄDOWY PROGRAM'!$F$15,F171*$F$15),"")</f>
        <v>50</v>
      </c>
      <c r="L172" s="11">
        <f t="shared" si="152"/>
        <v>70</v>
      </c>
      <c r="N172" s="54">
        <f t="shared" si="173"/>
        <v>49126</v>
      </c>
      <c r="O172" s="8">
        <f t="shared" si="153"/>
        <v>145</v>
      </c>
      <c r="P172" s="8"/>
      <c r="Q172" s="11">
        <f>IF(O172&lt;&gt;"",ROUND(IF($F$11="raty równe",-PMT(W172/12,$F$4-O171+SUM($P$28:P172),T171,2),R172+S172),2),"")</f>
        <v>3522.09</v>
      </c>
      <c r="R172" s="11">
        <f>IF(O172&lt;&gt;"",IF($F$11="raty malejące",T171/($F$4-O171+SUM($P$28:P172)),IF(Q172-S172&gt;T171,T171,Q172-S172)),"")</f>
        <v>1661.5937164599527</v>
      </c>
      <c r="S172" s="11">
        <f t="shared" ref="S172:S235" si="175">IF(O172&lt;&gt;"",T171*W172/12,"")</f>
        <v>1860.4962835400474</v>
      </c>
      <c r="T172" s="9">
        <f t="shared" si="154"/>
        <v>254958.58332354654</v>
      </c>
      <c r="U172" s="10">
        <f t="shared" si="139"/>
        <v>7.0000000000000007E-2</v>
      </c>
      <c r="V172" s="10">
        <f t="shared" si="140"/>
        <v>1.7000000000000001E-2</v>
      </c>
      <c r="W172" s="48">
        <f t="shared" si="155"/>
        <v>8.7000000000000008E-2</v>
      </c>
      <c r="X172" s="11">
        <f t="shared" si="141"/>
        <v>20</v>
      </c>
      <c r="Y172" s="11">
        <f>IF(O172&lt;&gt;"",IF($B$16=listy!$K$8,'RZĄDOWY PROGRAM'!$F$3*'RZĄDOWY PROGRAM'!$F$15,T171*$F$15),"")</f>
        <v>50</v>
      </c>
      <c r="Z172" s="11">
        <f t="shared" si="156"/>
        <v>70</v>
      </c>
      <c r="AB172" s="8">
        <f t="shared" si="157"/>
        <v>145</v>
      </c>
      <c r="AC172" s="8"/>
      <c r="AD172" s="11">
        <f>IF(AB172&lt;&gt;"",ROUND(IF($F$11="raty równe",-PMT(W172/12,$F$4-AB171+SUM($AC$28:AC172),AG171,2),AE172+AF172),2),"")</f>
        <v>3280.4</v>
      </c>
      <c r="AE172" s="11">
        <f>IF(AB172&lt;&gt;"",IF($F$11="raty malejące",AG171/($F$4-AB171+SUM($AC$28:AC171)),MIN(AD172-AF172,AG171)),"")</f>
        <v>1547.5787086779485</v>
      </c>
      <c r="AF172" s="11">
        <f t="shared" ref="AF172:AF235" si="176">IF(AB172&lt;&gt;"",AG171*W172/12,"")</f>
        <v>1732.8212913220516</v>
      </c>
      <c r="AG172" s="9">
        <f t="shared" si="174"/>
        <v>237462.25457712225</v>
      </c>
      <c r="AH172" s="11"/>
      <c r="AI172" s="33">
        <f>IF(AB172&lt;&gt;"",ROUND(IF($F$11="raty równe",-PMT(W172/12,($F$4-AB171+SUM($AC$27:AC171)),AG171,2),AG171/($F$4-AB171+SUM($AC$27:AC171))+AG171*W172/12),2),"")</f>
        <v>3280.4</v>
      </c>
      <c r="AJ172" s="33">
        <f t="shared" si="158"/>
        <v>241.69000000000005</v>
      </c>
      <c r="AK172" s="33">
        <f t="shared" si="142"/>
        <v>44054.260630306417</v>
      </c>
      <c r="AL172" s="33">
        <f>IF(AB172&lt;&gt;"",AK172-SUM($AJ$28:AJ172),"")</f>
        <v>10801.900630306423</v>
      </c>
      <c r="AM172" s="11">
        <f t="shared" si="159"/>
        <v>20</v>
      </c>
      <c r="AN172" s="11">
        <f>IF(AB172&lt;&gt;"",IF($B$16=listy!$K$8,'RZĄDOWY PROGRAM'!$F$3*'RZĄDOWY PROGRAM'!$F$15,AG171*$F$15),"")</f>
        <v>50</v>
      </c>
      <c r="AO172" s="11">
        <f t="shared" si="160"/>
        <v>70</v>
      </c>
      <c r="AQ172" s="8">
        <f t="shared" si="161"/>
        <v>145</v>
      </c>
      <c r="AR172" s="8"/>
      <c r="AS172" s="78">
        <f>IF(AQ172&lt;&gt;"",ROUND(IF($F$11="raty równe",-PMT(W172/12,$F$4-AQ171+SUM($AR$28:AR172),AV171,2),AT172+AU172),2),"")</f>
        <v>3263.82</v>
      </c>
      <c r="AT172" s="78">
        <f>IF(AQ172&lt;&gt;"",IF($F$11="raty malejące",AV171/($F$4-AQ171+SUM($AR$28:AR171)),MIN(AS172-AU172,AV171)),"")</f>
        <v>1539.751656771751</v>
      </c>
      <c r="AU172" s="78">
        <f t="shared" si="162"/>
        <v>1724.0683432282492</v>
      </c>
      <c r="AV172" s="79">
        <f t="shared" si="163"/>
        <v>236262.77844367636</v>
      </c>
      <c r="AW172" s="11"/>
      <c r="AX172" s="33">
        <f>IF(AQ172&lt;&gt;"",ROUND(IF($F$11="raty równe",-PMT(W172/12,($F$4-AQ171+SUM($AR$27:AR171)),AV171,2),AV171/($F$4-AQ171+SUM($AR$27:AR171))+AV171*W172/12),2),"")</f>
        <v>3263.82</v>
      </c>
      <c r="AY172" s="33">
        <f t="shared" si="164"/>
        <v>258.27</v>
      </c>
      <c r="AZ172" s="33">
        <f t="shared" si="126"/>
        <v>43319.918902007077</v>
      </c>
      <c r="BA172" s="33">
        <f>IF(AQ172&lt;&gt;"",AZ172-SUM($AY$44:AY172),"")</f>
        <v>10003.098902007041</v>
      </c>
      <c r="BB172" s="11">
        <f t="shared" si="165"/>
        <v>20</v>
      </c>
      <c r="BC172" s="11">
        <f>IF(AQ172&lt;&gt;"",IF($B$16=listy!$K$8,'RZĄDOWY PROGRAM'!$F$3*'RZĄDOWY PROGRAM'!$F$15,AV171*$F$15),"")</f>
        <v>50</v>
      </c>
      <c r="BD172" s="11">
        <f t="shared" si="166"/>
        <v>70</v>
      </c>
      <c r="BF172" s="8">
        <f t="shared" si="167"/>
        <v>145</v>
      </c>
      <c r="BG172" s="8"/>
      <c r="BH172" s="78">
        <f>IF(BF172&lt;&gt;"",ROUND(IF($F$11="raty równe",-PMT(W172/12,$F$4-BF171+SUM(BV$28:$BV172)-SUM($BM$29:BM172),BK171,2),BI172+BJ172),2),"")</f>
        <v>3522.1</v>
      </c>
      <c r="BI172" s="78">
        <f>IF(BF172&lt;&gt;"",IF($F$11="raty malejące",MIN(BK171/($F$4-BF171+SUM($BG$27:BG172)-SUM($BM$27:BM172)),BK171),MIN(BH172-BJ172,BK171)),"")</f>
        <v>2195.62876510157</v>
      </c>
      <c r="BJ172" s="78">
        <f t="shared" si="168"/>
        <v>1326.4712348984301</v>
      </c>
      <c r="BK172" s="79">
        <f t="shared" si="169"/>
        <v>180765.92087606119</v>
      </c>
      <c r="BL172" s="11"/>
      <c r="BM172" s="33"/>
      <c r="BN172" s="33">
        <f t="shared" si="127"/>
        <v>-9.9999999997635314E-3</v>
      </c>
      <c r="BO172" s="33">
        <f t="shared" si="128"/>
        <v>-0.14154256383581551</v>
      </c>
      <c r="BP172" s="33">
        <f>IF(O172&lt;&gt;"",BO172-SUM($BN$44:BN172),"")</f>
        <v>-5.1542563837943728E-2</v>
      </c>
      <c r="BQ172" s="11">
        <f t="shared" si="143"/>
        <v>20</v>
      </c>
      <c r="BR172" s="11">
        <f>IF(BF172&lt;&gt;"",IF($B$16=listy!$K$8,'RZĄDOWY PROGRAM'!$F$3*'RZĄDOWY PROGRAM'!$F$15,BK171*$F$15),"")</f>
        <v>50</v>
      </c>
      <c r="BS172" s="11">
        <f t="shared" si="144"/>
        <v>70</v>
      </c>
      <c r="BU172" s="8">
        <f t="shared" si="170"/>
        <v>145</v>
      </c>
      <c r="BV172" s="8"/>
      <c r="BW172" s="78">
        <f>IF(BU172&lt;&gt;"",ROUND(IF($F$11="raty równe",-PMT(W172/12,$F$4-BU171+SUM($BV$28:BV172)-$CB$43,BZ171,2),BX172+BY172),2),"")</f>
        <v>3522.1</v>
      </c>
      <c r="BX172" s="78">
        <f>IF(BU172&lt;&gt;"",IF($F$11="raty malejące",MIN(BZ171/($F$4-BU171+SUM($BV$28:BV171)-SUM($CB$28:CB171)),BZ171),MIN(BW172-BY172,BZ171)),"")</f>
        <v>2190.8538347398116</v>
      </c>
      <c r="BY172" s="78">
        <f t="shared" ref="BY172:BY203" si="177">IF(BU172&lt;&gt;"",BZ171*W172/12,"")</f>
        <v>1331.2461652601885</v>
      </c>
      <c r="BZ172" s="79">
        <f t="shared" ref="BZ172:BZ235" si="178">IF(BU172&lt;&gt;"",IF(N172&lt;&gt;"",BZ171-BX172-CA172,BZ171-BX172),"")</f>
        <v>181429.30689080342</v>
      </c>
      <c r="CA172" s="11"/>
      <c r="CB172" s="33"/>
      <c r="CC172" s="33">
        <f t="shared" si="171"/>
        <v>-9.9999999997635314E-3</v>
      </c>
      <c r="CD172" s="33">
        <f t="shared" si="129"/>
        <v>0.39184489827438546</v>
      </c>
      <c r="CE172" s="33">
        <f>IF(O172&lt;&gt;"",CD172-SUM($CC$44:CC172),"")</f>
        <v>0.13184489828053364</v>
      </c>
      <c r="CF172" s="11">
        <f t="shared" si="145"/>
        <v>20</v>
      </c>
      <c r="CG172" s="11">
        <f>IF(BU172&lt;&gt;"",IF($B$16=listy!$K$8,'RZĄDOWY PROGRAM'!$F$3*'RZĄDOWY PROGRAM'!$F$15,BZ171*$F$15),"")</f>
        <v>50</v>
      </c>
      <c r="CH172" s="11">
        <f t="shared" si="146"/>
        <v>70</v>
      </c>
      <c r="CJ172" s="48">
        <f t="shared" si="147"/>
        <v>0.06</v>
      </c>
      <c r="CK172" s="18">
        <f t="shared" si="148"/>
        <v>4.8675505653430484E-3</v>
      </c>
      <c r="CL172" s="11">
        <f t="shared" ref="CL172:CL203" si="179">IF(N172&lt;&gt;"",IF(ISNUMBER(C172),C172,0)-Q172,"")</f>
        <v>0</v>
      </c>
      <c r="CM172" s="11">
        <f t="shared" si="149"/>
        <v>48410.981675645453</v>
      </c>
      <c r="CN172" s="11">
        <f>IF(AB172&lt;&gt;"",CM172-SUM($CL$28:CL172),"")</f>
        <v>20234.221675645458</v>
      </c>
    </row>
    <row r="173" spans="1:92" x14ac:dyDescent="0.45">
      <c r="A173" s="68">
        <f t="shared" si="172"/>
        <v>49157</v>
      </c>
      <c r="B173" s="8">
        <f t="shared" si="132"/>
        <v>146</v>
      </c>
      <c r="C173" s="11">
        <f t="shared" si="133"/>
        <v>3522.1</v>
      </c>
      <c r="D173" s="11">
        <f t="shared" si="134"/>
        <v>1773.2209268986846</v>
      </c>
      <c r="E173" s="11">
        <f t="shared" si="135"/>
        <v>1748.8790731013153</v>
      </c>
      <c r="F173" s="9">
        <f t="shared" si="150"/>
        <v>239451.47881121378</v>
      </c>
      <c r="G173" s="10">
        <f t="shared" si="136"/>
        <v>7.0000000000000007E-2</v>
      </c>
      <c r="H173" s="10">
        <f t="shared" si="137"/>
        <v>1.7000000000000001E-2</v>
      </c>
      <c r="I173" s="48">
        <f t="shared" si="151"/>
        <v>8.7000000000000008E-2</v>
      </c>
      <c r="J173" s="11">
        <f t="shared" si="138"/>
        <v>20</v>
      </c>
      <c r="K173" s="11">
        <f>IF(B173&lt;&gt;"",IF($B$16=listy!$K$8,'RZĄDOWY PROGRAM'!$F$3*'RZĄDOWY PROGRAM'!$F$15,F172*$F$15),"")</f>
        <v>50</v>
      </c>
      <c r="L173" s="11">
        <f t="shared" si="152"/>
        <v>70</v>
      </c>
      <c r="N173" s="54">
        <f t="shared" si="173"/>
        <v>49157</v>
      </c>
      <c r="O173" s="8">
        <f t="shared" si="153"/>
        <v>146</v>
      </c>
      <c r="P173" s="8"/>
      <c r="Q173" s="11">
        <f>IF(O173&lt;&gt;"",ROUND(IF($F$11="raty równe",-PMT(W173/12,$F$4-O172+SUM($P$28:P173),T172,2),R173+S173),2),"")</f>
        <v>3522.1</v>
      </c>
      <c r="R173" s="11">
        <f>IF(O173&lt;&gt;"",IF($F$11="raty malejące",T172/($F$4-O172+SUM($P$28:P173)),IF(Q173-S173&gt;T172,T172,Q173-S173)),"")</f>
        <v>1673.6502709042873</v>
      </c>
      <c r="S173" s="11">
        <f t="shared" si="175"/>
        <v>1848.4497290957127</v>
      </c>
      <c r="T173" s="9">
        <f t="shared" si="154"/>
        <v>253284.93305264224</v>
      </c>
      <c r="U173" s="10">
        <f t="shared" si="139"/>
        <v>7.0000000000000007E-2</v>
      </c>
      <c r="V173" s="10">
        <f t="shared" si="140"/>
        <v>1.7000000000000001E-2</v>
      </c>
      <c r="W173" s="48">
        <f t="shared" si="155"/>
        <v>8.7000000000000008E-2</v>
      </c>
      <c r="X173" s="11">
        <f t="shared" si="141"/>
        <v>20</v>
      </c>
      <c r="Y173" s="11">
        <f>IF(O173&lt;&gt;"",IF($B$16=listy!$K$8,'RZĄDOWY PROGRAM'!$F$3*'RZĄDOWY PROGRAM'!$F$15,T172*$F$15),"")</f>
        <v>50</v>
      </c>
      <c r="Z173" s="11">
        <f t="shared" si="156"/>
        <v>70</v>
      </c>
      <c r="AB173" s="8">
        <f t="shared" si="157"/>
        <v>146</v>
      </c>
      <c r="AC173" s="8"/>
      <c r="AD173" s="11">
        <f>IF(AB173&lt;&gt;"",ROUND(IF($F$11="raty równe",-PMT(W173/12,$F$4-AB172+SUM($AC$28:AC173),AG172,2),AE173+AF173),2),"")</f>
        <v>3280.39</v>
      </c>
      <c r="AE173" s="11">
        <f>IF(AB173&lt;&gt;"",IF($F$11="raty malejące",AG172/($F$4-AB172+SUM($AC$28:AC172)),MIN(AD173-AF173,AG172)),"")</f>
        <v>1558.7886543158634</v>
      </c>
      <c r="AF173" s="11">
        <f t="shared" si="176"/>
        <v>1721.6013456841365</v>
      </c>
      <c r="AG173" s="9">
        <f t="shared" si="174"/>
        <v>235903.46592280638</v>
      </c>
      <c r="AH173" s="11"/>
      <c r="AI173" s="33">
        <f>IF(AB173&lt;&gt;"",ROUND(IF($F$11="raty równe",-PMT(W173/12,($F$4-AB172+SUM($AC$27:AC172)),AG172,2),AG172/($F$4-AB172+SUM($AC$27:AC172))+AG172*W173/12),2),"")</f>
        <v>3280.39</v>
      </c>
      <c r="AJ173" s="33">
        <f t="shared" si="158"/>
        <v>241.71000000000004</v>
      </c>
      <c r="AK173" s="33">
        <f t="shared" si="142"/>
        <v>44469.664066708239</v>
      </c>
      <c r="AL173" s="33">
        <f>IF(AB173&lt;&gt;"",AK173-SUM($AJ$28:AJ173),"")</f>
        <v>10975.594066708247</v>
      </c>
      <c r="AM173" s="11">
        <f t="shared" si="159"/>
        <v>20</v>
      </c>
      <c r="AN173" s="11">
        <f>IF(AB173&lt;&gt;"",IF($B$16=listy!$K$8,'RZĄDOWY PROGRAM'!$F$3*'RZĄDOWY PROGRAM'!$F$15,AG172*$F$15),"")</f>
        <v>50</v>
      </c>
      <c r="AO173" s="11">
        <f t="shared" si="160"/>
        <v>70</v>
      </c>
      <c r="AQ173" s="8">
        <f t="shared" si="161"/>
        <v>146</v>
      </c>
      <c r="AR173" s="8"/>
      <c r="AS173" s="78">
        <f>IF(AQ173&lt;&gt;"",ROUND(IF($F$11="raty równe",-PMT(W173/12,$F$4-AQ172+SUM($AR$28:AR173),AV172,2),AT173+AU173),2),"")</f>
        <v>3263.83</v>
      </c>
      <c r="AT173" s="78">
        <f>IF(AQ173&lt;&gt;"",IF($F$11="raty malejące",AV172/($F$4-AQ172+SUM($AR$28:AR172)),MIN(AS173-AU173,AV172)),"")</f>
        <v>1550.9248562833461</v>
      </c>
      <c r="AU173" s="78">
        <f t="shared" si="162"/>
        <v>1712.9051437166538</v>
      </c>
      <c r="AV173" s="79">
        <f t="shared" si="163"/>
        <v>234711.85358739301</v>
      </c>
      <c r="AW173" s="11"/>
      <c r="AX173" s="33">
        <f>IF(AQ173&lt;&gt;"",ROUND(IF($F$11="raty równe",-PMT(W173/12,($F$4-AQ172+SUM($AR$27:AR172)),AV172,2),AV172/($F$4-AQ172+SUM($AR$27:AR172))+AV172*W173/12),2),"")</f>
        <v>3263.83</v>
      </c>
      <c r="AY173" s="33">
        <f t="shared" si="164"/>
        <v>258.27</v>
      </c>
      <c r="AZ173" s="33">
        <f t="shared" ref="AZ173:AZ236" si="180">IF(AQ173&lt;&gt;"",IF($F$21="co miesiąc",AZ172*(1+(1-$F$20)*CK173)+AY173,(AZ172*(1+CK173)+AY173)),"")</f>
        <v>43748.987037558159</v>
      </c>
      <c r="BA173" s="33">
        <f>IF(AQ173&lt;&gt;"",AZ173-SUM($AY$44:AY173),"")</f>
        <v>10173.897037558127</v>
      </c>
      <c r="BB173" s="11">
        <f t="shared" si="165"/>
        <v>20</v>
      </c>
      <c r="BC173" s="11">
        <f>IF(AQ173&lt;&gt;"",IF($B$16=listy!$K$8,'RZĄDOWY PROGRAM'!$F$3*'RZĄDOWY PROGRAM'!$F$15,AV172*$F$15),"")</f>
        <v>50</v>
      </c>
      <c r="BD173" s="11">
        <f t="shared" si="166"/>
        <v>70</v>
      </c>
      <c r="BF173" s="8">
        <f t="shared" si="167"/>
        <v>146</v>
      </c>
      <c r="BG173" s="8"/>
      <c r="BH173" s="78">
        <f>IF(BF173&lt;&gt;"",ROUND(IF($F$11="raty równe",-PMT(W173/12,$F$4-BF172+SUM(BV$28:$BV173)-SUM($BM$29:BM173),BK172,2),BI173+BJ173),2),"")</f>
        <v>3522.09</v>
      </c>
      <c r="BI173" s="78">
        <f>IF(BF173&lt;&gt;"",IF($F$11="raty malejące",MIN(BK172/($F$4-BF172+SUM($BG$27:BG173)-SUM($BM$27:BM173)),BK172),MIN(BH173-BJ173,BK172)),"")</f>
        <v>2211.5370736485565</v>
      </c>
      <c r="BJ173" s="78">
        <f t="shared" si="168"/>
        <v>1310.5529263514438</v>
      </c>
      <c r="BK173" s="79">
        <f t="shared" si="169"/>
        <v>178554.38380241263</v>
      </c>
      <c r="BL173" s="11"/>
      <c r="BM173" s="33"/>
      <c r="BN173" s="33">
        <f t="shared" ref="BN173:BN236" si="181">IF(O173&lt;&gt;"",IF(ISNUMBER(C173),C173,0)-IF(ISNUMBER(BH173),BH173,0),"")</f>
        <v>9.9999999997635314E-3</v>
      </c>
      <c r="BO173" s="33">
        <f t="shared" ref="BO173:BO236" si="182">IF(O173&lt;&gt;"",IF($F$21="co miesiąc",BO172*(1+(1-$F$20)*CK173)+BN173,(BO172*(1+CK173)+BN173)),"")</f>
        <v>-0.1321006259612135</v>
      </c>
      <c r="BP173" s="33">
        <f>IF(O173&lt;&gt;"",BO173-SUM($BN$44:BN173),"")</f>
        <v>-5.2100625963105246E-2</v>
      </c>
      <c r="BQ173" s="11">
        <f t="shared" si="143"/>
        <v>20</v>
      </c>
      <c r="BR173" s="11">
        <f>IF(BF173&lt;&gt;"",IF($B$16=listy!$K$8,'RZĄDOWY PROGRAM'!$F$3*'RZĄDOWY PROGRAM'!$F$15,BK172*$F$15),"")</f>
        <v>50</v>
      </c>
      <c r="BS173" s="11">
        <f t="shared" si="144"/>
        <v>70</v>
      </c>
      <c r="BU173" s="8">
        <f t="shared" si="170"/>
        <v>146</v>
      </c>
      <c r="BV173" s="8"/>
      <c r="BW173" s="78">
        <f>IF(BU173&lt;&gt;"",ROUND(IF($F$11="raty równe",-PMT(W173/12,$F$4-BU172+SUM($BV$28:BV173)-$CB$43,BZ172,2),BX173+BY173),2),"")</f>
        <v>3522.09</v>
      </c>
      <c r="BX173" s="78">
        <f>IF(BU173&lt;&gt;"",IF($F$11="raty malejące",MIN(BZ172/($F$4-BU172+SUM($BV$28:BV172)-SUM($CB$28:CB172)),BZ172),MIN(BW173-BY173,BZ172)),"")</f>
        <v>2206.7275250416751</v>
      </c>
      <c r="BY173" s="78">
        <f t="shared" si="177"/>
        <v>1315.3624749583248</v>
      </c>
      <c r="BZ173" s="79">
        <f t="shared" si="178"/>
        <v>179222.57936576175</v>
      </c>
      <c r="CA173" s="11"/>
      <c r="CB173" s="33"/>
      <c r="CC173" s="33">
        <f t="shared" si="171"/>
        <v>9.9999999997635314E-3</v>
      </c>
      <c r="CD173" s="33">
        <f t="shared" ref="CD173:CD236" si="183">IF(O173&lt;&gt;"",IF($F$21="co miesiąc",CD172*(1+(1-$F$20)*CK173)+CC173,(CD172*(1+CK173)+CC173)),"")</f>
        <v>0.40338983140760803</v>
      </c>
      <c r="CE173" s="33">
        <f>IF(O173&lt;&gt;"",CD173-SUM($CC$44:CC173),"")</f>
        <v>0.13338983141399269</v>
      </c>
      <c r="CF173" s="11">
        <f t="shared" si="145"/>
        <v>20</v>
      </c>
      <c r="CG173" s="11">
        <f>IF(BU173&lt;&gt;"",IF($B$16=listy!$K$8,'RZĄDOWY PROGRAM'!$F$3*'RZĄDOWY PROGRAM'!$F$15,BZ172*$F$15),"")</f>
        <v>50</v>
      </c>
      <c r="CH173" s="11">
        <f t="shared" si="146"/>
        <v>70</v>
      </c>
      <c r="CJ173" s="48">
        <f t="shared" si="147"/>
        <v>0.06</v>
      </c>
      <c r="CK173" s="18">
        <f t="shared" si="148"/>
        <v>4.8675505653430484E-3</v>
      </c>
      <c r="CL173" s="11">
        <f t="shared" si="179"/>
        <v>0</v>
      </c>
      <c r="CM173" s="11">
        <f t="shared" si="149"/>
        <v>48601.852425636978</v>
      </c>
      <c r="CN173" s="11">
        <f>IF(AB173&lt;&gt;"",CM173-SUM($CL$28:CL173),"")</f>
        <v>20425.092425636984</v>
      </c>
    </row>
    <row r="174" spans="1:92" x14ac:dyDescent="0.45">
      <c r="A174" s="68">
        <f t="shared" si="172"/>
        <v>49188</v>
      </c>
      <c r="B174" s="8">
        <f t="shared" si="132"/>
        <v>147</v>
      </c>
      <c r="C174" s="11">
        <f t="shared" si="133"/>
        <v>3522.09</v>
      </c>
      <c r="D174" s="11">
        <f t="shared" si="134"/>
        <v>1786.0667786187003</v>
      </c>
      <c r="E174" s="11">
        <f t="shared" si="135"/>
        <v>1736.0232213812999</v>
      </c>
      <c r="F174" s="9">
        <f t="shared" si="150"/>
        <v>237665.41203259508</v>
      </c>
      <c r="G174" s="10">
        <f t="shared" si="136"/>
        <v>7.0000000000000007E-2</v>
      </c>
      <c r="H174" s="10">
        <f t="shared" si="137"/>
        <v>1.7000000000000001E-2</v>
      </c>
      <c r="I174" s="48">
        <f t="shared" si="151"/>
        <v>8.7000000000000008E-2</v>
      </c>
      <c r="J174" s="11">
        <f t="shared" si="138"/>
        <v>20</v>
      </c>
      <c r="K174" s="11">
        <f>IF(B174&lt;&gt;"",IF($B$16=listy!$K$8,'RZĄDOWY PROGRAM'!$F$3*'RZĄDOWY PROGRAM'!$F$15,F173*$F$15),"")</f>
        <v>50</v>
      </c>
      <c r="L174" s="11">
        <f t="shared" si="152"/>
        <v>70</v>
      </c>
      <c r="N174" s="54">
        <f t="shared" si="173"/>
        <v>49188</v>
      </c>
      <c r="O174" s="8">
        <f t="shared" si="153"/>
        <v>147</v>
      </c>
      <c r="P174" s="8"/>
      <c r="Q174" s="11">
        <f>IF(O174&lt;&gt;"",ROUND(IF($F$11="raty równe",-PMT(W174/12,$F$4-O173+SUM($P$28:P174),T173,2),R174+S174),2),"")</f>
        <v>3522.09</v>
      </c>
      <c r="R174" s="11">
        <f>IF(O174&lt;&gt;"",IF($F$11="raty malejące",T173/($F$4-O173+SUM($P$28:P174)),IF(Q174-S174&gt;T173,T173,Q174-S174)),"")</f>
        <v>1685.7742353683436</v>
      </c>
      <c r="S174" s="11">
        <f t="shared" si="175"/>
        <v>1836.3157646316565</v>
      </c>
      <c r="T174" s="9">
        <f t="shared" si="154"/>
        <v>251599.15881727388</v>
      </c>
      <c r="U174" s="10">
        <f t="shared" si="139"/>
        <v>7.0000000000000007E-2</v>
      </c>
      <c r="V174" s="10">
        <f t="shared" si="140"/>
        <v>1.7000000000000001E-2</v>
      </c>
      <c r="W174" s="48">
        <f t="shared" si="155"/>
        <v>8.7000000000000008E-2</v>
      </c>
      <c r="X174" s="11">
        <f t="shared" si="141"/>
        <v>20</v>
      </c>
      <c r="Y174" s="11">
        <f>IF(O174&lt;&gt;"",IF($B$16=listy!$K$8,'RZĄDOWY PROGRAM'!$F$3*'RZĄDOWY PROGRAM'!$F$15,T173*$F$15),"")</f>
        <v>50</v>
      </c>
      <c r="Z174" s="11">
        <f t="shared" si="156"/>
        <v>70</v>
      </c>
      <c r="AB174" s="8">
        <f t="shared" si="157"/>
        <v>147</v>
      </c>
      <c r="AC174" s="8"/>
      <c r="AD174" s="11">
        <f>IF(AB174&lt;&gt;"",ROUND(IF($F$11="raty równe",-PMT(W174/12,$F$4-AB173+SUM($AC$28:AC174),AG173,2),AE174+AF174),2),"")</f>
        <v>3280.4</v>
      </c>
      <c r="AE174" s="11">
        <f>IF(AB174&lt;&gt;"",IF($F$11="raty malejące",AG173/($F$4-AB173+SUM($AC$28:AC173)),MIN(AD174-AF174,AG173)),"")</f>
        <v>1570.0998720596538</v>
      </c>
      <c r="AF174" s="11">
        <f t="shared" si="176"/>
        <v>1710.3001279403463</v>
      </c>
      <c r="AG174" s="9">
        <f t="shared" si="174"/>
        <v>234333.36605074673</v>
      </c>
      <c r="AH174" s="11"/>
      <c r="AI174" s="33">
        <f>IF(AB174&lt;&gt;"",ROUND(IF($F$11="raty równe",-PMT(W174/12,($F$4-AB173+SUM($AC$27:AC173)),AG173,2),AG173/($F$4-AB173+SUM($AC$27:AC173))+AG173*W174/12),2),"")</f>
        <v>3280.4</v>
      </c>
      <c r="AJ174" s="33">
        <f t="shared" si="158"/>
        <v>241.69000000000005</v>
      </c>
      <c r="AK174" s="33">
        <f t="shared" si="142"/>
        <v>44886.685320867749</v>
      </c>
      <c r="AL174" s="33">
        <f>IF(AB174&lt;&gt;"",AK174-SUM($AJ$28:AJ174),"")</f>
        <v>11150.925320867755</v>
      </c>
      <c r="AM174" s="11">
        <f t="shared" si="159"/>
        <v>20</v>
      </c>
      <c r="AN174" s="11">
        <f>IF(AB174&lt;&gt;"",IF($B$16=listy!$K$8,'RZĄDOWY PROGRAM'!$F$3*'RZĄDOWY PROGRAM'!$F$15,AG173*$F$15),"")</f>
        <v>50</v>
      </c>
      <c r="AO174" s="11">
        <f t="shared" si="160"/>
        <v>70</v>
      </c>
      <c r="AQ174" s="8">
        <f t="shared" si="161"/>
        <v>147</v>
      </c>
      <c r="AR174" s="8"/>
      <c r="AS174" s="78">
        <f>IF(AQ174&lt;&gt;"",ROUND(IF($F$11="raty równe",-PMT(W174/12,$F$4-AQ173+SUM($AR$28:AR174),AV173,2),AT174+AU174),2),"")</f>
        <v>3263.82</v>
      </c>
      <c r="AT174" s="78">
        <f>IF(AQ174&lt;&gt;"",IF($F$11="raty malejące",AV173/($F$4-AQ173+SUM($AR$28:AR173)),MIN(AS174-AU174,AV173)),"")</f>
        <v>1562.1590614914007</v>
      </c>
      <c r="AU174" s="78">
        <f t="shared" si="162"/>
        <v>1701.6609385085994</v>
      </c>
      <c r="AV174" s="79">
        <f t="shared" si="163"/>
        <v>233149.69452590161</v>
      </c>
      <c r="AW174" s="11"/>
      <c r="AX174" s="33">
        <f>IF(AQ174&lt;&gt;"",ROUND(IF($F$11="raty równe",-PMT(W174/12,($F$4-AQ173+SUM($AR$27:AR173)),AV173,2),AV173/($F$4-AQ173+SUM($AR$27:AR173))+AV173*W174/12),2),"")</f>
        <v>3263.82</v>
      </c>
      <c r="AY174" s="33">
        <f t="shared" si="164"/>
        <v>258.27</v>
      </c>
      <c r="AZ174" s="33">
        <f t="shared" si="180"/>
        <v>44179.746866894318</v>
      </c>
      <c r="BA174" s="33">
        <f>IF(AQ174&lt;&gt;"",AZ174-SUM($AY$44:AY174),"")</f>
        <v>10346.386866894289</v>
      </c>
      <c r="BB174" s="11">
        <f t="shared" si="165"/>
        <v>20</v>
      </c>
      <c r="BC174" s="11">
        <f>IF(AQ174&lt;&gt;"",IF($B$16=listy!$K$8,'RZĄDOWY PROGRAM'!$F$3*'RZĄDOWY PROGRAM'!$F$15,AV173*$F$15),"")</f>
        <v>50</v>
      </c>
      <c r="BD174" s="11">
        <f t="shared" si="166"/>
        <v>70</v>
      </c>
      <c r="BF174" s="8">
        <f t="shared" si="167"/>
        <v>147</v>
      </c>
      <c r="BG174" s="8"/>
      <c r="BH174" s="78">
        <f>IF(BF174&lt;&gt;"",ROUND(IF($F$11="raty równe",-PMT(W174/12,$F$4-BF173+SUM(BV$28:$BV174)-SUM($BM$29:BM174),BK173,2),BI174+BJ174),2),"")</f>
        <v>3522.09</v>
      </c>
      <c r="BI174" s="78">
        <f>IF(BF174&lt;&gt;"",IF($F$11="raty malejące",MIN(BK173/($F$4-BF173+SUM($BG$27:BG174)-SUM($BM$27:BM174)),BK173),MIN(BH174-BJ174,BK173)),"")</f>
        <v>2227.5707174325084</v>
      </c>
      <c r="BJ174" s="78">
        <f t="shared" si="168"/>
        <v>1294.5192825674917</v>
      </c>
      <c r="BK174" s="79">
        <f t="shared" si="169"/>
        <v>176326.81308498012</v>
      </c>
      <c r="BL174" s="11"/>
      <c r="BM174" s="33"/>
      <c r="BN174" s="33">
        <f t="shared" si="181"/>
        <v>0</v>
      </c>
      <c r="BO174" s="33">
        <f t="shared" si="182"/>
        <v>-0.13262146120724305</v>
      </c>
      <c r="BP174" s="33">
        <f>IF(O174&lt;&gt;"",BO174-SUM($BN$44:BN174),"")</f>
        <v>-5.2621461209134801E-2</v>
      </c>
      <c r="BQ174" s="11">
        <f t="shared" si="143"/>
        <v>20</v>
      </c>
      <c r="BR174" s="11">
        <f>IF(BF174&lt;&gt;"",IF($B$16=listy!$K$8,'RZĄDOWY PROGRAM'!$F$3*'RZĄDOWY PROGRAM'!$F$15,BK173*$F$15),"")</f>
        <v>50</v>
      </c>
      <c r="BS174" s="11">
        <f t="shared" si="144"/>
        <v>70</v>
      </c>
      <c r="BU174" s="8">
        <f t="shared" si="170"/>
        <v>147</v>
      </c>
      <c r="BV174" s="8"/>
      <c r="BW174" s="78">
        <f>IF(BU174&lt;&gt;"",ROUND(IF($F$11="raty równe",-PMT(W174/12,$F$4-BU173+SUM($BV$28:BV174)-$CB$43,BZ173,2),BX174+BY174),2),"")</f>
        <v>3522.09</v>
      </c>
      <c r="BX174" s="78">
        <f>IF(BU174&lt;&gt;"",IF($F$11="raty malejące",MIN(BZ173/($F$4-BU173+SUM($BV$28:BV173)-SUM($CB$28:CB173)),BZ173),MIN(BW174-BY174,BZ173)),"")</f>
        <v>2222.7262995982273</v>
      </c>
      <c r="BY174" s="78">
        <f t="shared" si="177"/>
        <v>1299.3637004017728</v>
      </c>
      <c r="BZ174" s="79">
        <f t="shared" si="178"/>
        <v>176999.85306616352</v>
      </c>
      <c r="CA174" s="11"/>
      <c r="CB174" s="33"/>
      <c r="CC174" s="33">
        <f t="shared" si="171"/>
        <v>0</v>
      </c>
      <c r="CD174" s="33">
        <f t="shared" si="183"/>
        <v>0.40498028293316468</v>
      </c>
      <c r="CE174" s="33">
        <f>IF(O174&lt;&gt;"",CD174-SUM($CC$44:CC174),"")</f>
        <v>0.13498028293954933</v>
      </c>
      <c r="CF174" s="11">
        <f t="shared" si="145"/>
        <v>20</v>
      </c>
      <c r="CG174" s="11">
        <f>IF(BU174&lt;&gt;"",IF($B$16=listy!$K$8,'RZĄDOWY PROGRAM'!$F$3*'RZĄDOWY PROGRAM'!$F$15,BZ173*$F$15),"")</f>
        <v>50</v>
      </c>
      <c r="CH174" s="11">
        <f t="shared" si="146"/>
        <v>70</v>
      </c>
      <c r="CJ174" s="48">
        <f t="shared" si="147"/>
        <v>0.06</v>
      </c>
      <c r="CK174" s="18">
        <f t="shared" si="148"/>
        <v>4.8675505653430484E-3</v>
      </c>
      <c r="CL174" s="11">
        <f t="shared" si="179"/>
        <v>0</v>
      </c>
      <c r="CM174" s="11">
        <f t="shared" si="149"/>
        <v>48793.475724780394</v>
      </c>
      <c r="CN174" s="11">
        <f>IF(AB174&lt;&gt;"",CM174-SUM($CL$28:CL174),"")</f>
        <v>20616.715724780399</v>
      </c>
    </row>
    <row r="175" spans="1:92" x14ac:dyDescent="0.45">
      <c r="A175" s="68">
        <f t="shared" si="172"/>
        <v>49218</v>
      </c>
      <c r="B175" s="8">
        <f t="shared" si="132"/>
        <v>148</v>
      </c>
      <c r="C175" s="11">
        <f t="shared" si="133"/>
        <v>3522.1</v>
      </c>
      <c r="D175" s="11">
        <f t="shared" si="134"/>
        <v>1799.0257627636854</v>
      </c>
      <c r="E175" s="11">
        <f t="shared" si="135"/>
        <v>1723.0742372363145</v>
      </c>
      <c r="F175" s="9">
        <f t="shared" si="150"/>
        <v>235866.38626983139</v>
      </c>
      <c r="G175" s="10">
        <f t="shared" si="136"/>
        <v>7.0000000000000007E-2</v>
      </c>
      <c r="H175" s="10">
        <f t="shared" si="137"/>
        <v>1.7000000000000001E-2</v>
      </c>
      <c r="I175" s="48">
        <f t="shared" si="151"/>
        <v>8.7000000000000008E-2</v>
      </c>
      <c r="J175" s="11">
        <f t="shared" si="138"/>
        <v>20</v>
      </c>
      <c r="K175" s="11">
        <f>IF(B175&lt;&gt;"",IF($B$16=listy!$K$8,'RZĄDOWY PROGRAM'!$F$3*'RZĄDOWY PROGRAM'!$F$15,F174*$F$15),"")</f>
        <v>50</v>
      </c>
      <c r="L175" s="11">
        <f t="shared" si="152"/>
        <v>70</v>
      </c>
      <c r="N175" s="54">
        <f t="shared" si="173"/>
        <v>49218</v>
      </c>
      <c r="O175" s="8">
        <f t="shared" si="153"/>
        <v>148</v>
      </c>
      <c r="P175" s="8"/>
      <c r="Q175" s="11">
        <f>IF(O175&lt;&gt;"",ROUND(IF($F$11="raty równe",-PMT(W175/12,$F$4-O174+SUM($P$28:P175),T174,2),R175+S175),2),"")</f>
        <v>3522.1</v>
      </c>
      <c r="R175" s="11">
        <f>IF(O175&lt;&gt;"",IF($F$11="raty malejące",T174/($F$4-O174+SUM($P$28:P175)),IF(Q175-S175&gt;T174,T174,Q175-S175)),"")</f>
        <v>1698.0060985747639</v>
      </c>
      <c r="S175" s="11">
        <f t="shared" si="175"/>
        <v>1824.093901425236</v>
      </c>
      <c r="T175" s="9">
        <f t="shared" si="154"/>
        <v>249901.15271869913</v>
      </c>
      <c r="U175" s="10">
        <f t="shared" si="139"/>
        <v>7.0000000000000007E-2</v>
      </c>
      <c r="V175" s="10">
        <f t="shared" si="140"/>
        <v>1.7000000000000001E-2</v>
      </c>
      <c r="W175" s="48">
        <f t="shared" si="155"/>
        <v>8.7000000000000008E-2</v>
      </c>
      <c r="X175" s="11">
        <f t="shared" si="141"/>
        <v>20</v>
      </c>
      <c r="Y175" s="11">
        <f>IF(O175&lt;&gt;"",IF($B$16=listy!$K$8,'RZĄDOWY PROGRAM'!$F$3*'RZĄDOWY PROGRAM'!$F$15,T174*$F$15),"")</f>
        <v>50</v>
      </c>
      <c r="Z175" s="11">
        <f t="shared" si="156"/>
        <v>70</v>
      </c>
      <c r="AB175" s="8">
        <f t="shared" si="157"/>
        <v>148</v>
      </c>
      <c r="AC175" s="8"/>
      <c r="AD175" s="11">
        <f>IF(AB175&lt;&gt;"",ROUND(IF($F$11="raty równe",-PMT(W175/12,$F$4-AB174+SUM($AC$28:AC175),AG174,2),AE175+AF175),2),"")</f>
        <v>3280.39</v>
      </c>
      <c r="AE175" s="11">
        <f>IF(AB175&lt;&gt;"",IF($F$11="raty malejące",AG174/($F$4-AB174+SUM($AC$28:AC174)),MIN(AD175-AF175,AG174)),"")</f>
        <v>1581.4730961320861</v>
      </c>
      <c r="AF175" s="11">
        <f t="shared" si="176"/>
        <v>1698.9169038679138</v>
      </c>
      <c r="AG175" s="9">
        <f t="shared" si="174"/>
        <v>232751.89295461465</v>
      </c>
      <c r="AH175" s="11"/>
      <c r="AI175" s="33">
        <f>IF(AB175&lt;&gt;"",ROUND(IF($F$11="raty równe",-PMT(W175/12,($F$4-AB174+SUM($AC$27:AC174)),AG174,2),AG174/($F$4-AB174+SUM($AC$27:AC174))+AG174*W175/12),2),"")</f>
        <v>3280.39</v>
      </c>
      <c r="AJ175" s="33">
        <f t="shared" si="158"/>
        <v>241.71000000000004</v>
      </c>
      <c r="AK175" s="33">
        <f t="shared" si="142"/>
        <v>45305.370771380825</v>
      </c>
      <c r="AL175" s="33">
        <f>IF(AB175&lt;&gt;"",AK175-SUM($AJ$28:AJ175),"")</f>
        <v>11327.900771380831</v>
      </c>
      <c r="AM175" s="11">
        <f t="shared" si="159"/>
        <v>20</v>
      </c>
      <c r="AN175" s="11">
        <f>IF(AB175&lt;&gt;"",IF($B$16=listy!$K$8,'RZĄDOWY PROGRAM'!$F$3*'RZĄDOWY PROGRAM'!$F$15,AG174*$F$15),"")</f>
        <v>50</v>
      </c>
      <c r="AO175" s="11">
        <f t="shared" si="160"/>
        <v>70</v>
      </c>
      <c r="AQ175" s="8">
        <f t="shared" si="161"/>
        <v>148</v>
      </c>
      <c r="AR175" s="8"/>
      <c r="AS175" s="78">
        <f>IF(AQ175&lt;&gt;"",ROUND(IF($F$11="raty równe",-PMT(W175/12,$F$4-AQ174+SUM($AR$28:AR175),AV174,2),AT175+AU175),2),"")</f>
        <v>3263.83</v>
      </c>
      <c r="AT175" s="78">
        <f>IF(AQ175&lt;&gt;"",IF($F$11="raty malejące",AV174/($F$4-AQ174+SUM($AR$28:AR174)),MIN(AS175-AU175,AV174)),"")</f>
        <v>1573.494714687213</v>
      </c>
      <c r="AU175" s="78">
        <f t="shared" si="162"/>
        <v>1690.3352853127869</v>
      </c>
      <c r="AV175" s="79">
        <f t="shared" si="163"/>
        <v>231576.19981121441</v>
      </c>
      <c r="AW175" s="11"/>
      <c r="AX175" s="33">
        <f>IF(AQ175&lt;&gt;"",ROUND(IF($F$11="raty równe",-PMT(W175/12,($F$4-AQ174+SUM($AR$27:AR174)),AV174,2),AV174/($F$4-AQ174+SUM($AR$27:AR174))+AV174*W175/12),2),"")</f>
        <v>3263.83</v>
      </c>
      <c r="AY175" s="33">
        <f t="shared" si="164"/>
        <v>258.27</v>
      </c>
      <c r="AZ175" s="33">
        <f t="shared" si="180"/>
        <v>44612.205059883636</v>
      </c>
      <c r="BA175" s="33">
        <f>IF(AQ175&lt;&gt;"",AZ175-SUM($AY$44:AY175),"")</f>
        <v>10520.575059883609</v>
      </c>
      <c r="BB175" s="11">
        <f t="shared" si="165"/>
        <v>20</v>
      </c>
      <c r="BC175" s="11">
        <f>IF(AQ175&lt;&gt;"",IF($B$16=listy!$K$8,'RZĄDOWY PROGRAM'!$F$3*'RZĄDOWY PROGRAM'!$F$15,AV174*$F$15),"")</f>
        <v>50</v>
      </c>
      <c r="BD175" s="11">
        <f t="shared" si="166"/>
        <v>70</v>
      </c>
      <c r="BF175" s="8">
        <f t="shared" si="167"/>
        <v>148</v>
      </c>
      <c r="BG175" s="8"/>
      <c r="BH175" s="78">
        <f>IF(BF175&lt;&gt;"",ROUND(IF($F$11="raty równe",-PMT(W175/12,$F$4-BF174+SUM(BV$28:$BV175)-SUM($BM$29:BM175),BK174,2),BI175+BJ175),2),"")</f>
        <v>3522.1</v>
      </c>
      <c r="BI175" s="78">
        <f>IF(BF175&lt;&gt;"",IF($F$11="raty malejące",MIN(BK174/($F$4-BF174+SUM($BG$27:BG175)-SUM($BM$27:BM175)),BK174),MIN(BH175-BJ175,BK174)),"")</f>
        <v>2243.7306051338937</v>
      </c>
      <c r="BJ175" s="78">
        <f t="shared" si="168"/>
        <v>1278.3693948661059</v>
      </c>
      <c r="BK175" s="79">
        <f t="shared" si="169"/>
        <v>174083.08247984623</v>
      </c>
      <c r="BL175" s="11"/>
      <c r="BM175" s="33"/>
      <c r="BN175" s="33">
        <f t="shared" si="181"/>
        <v>0</v>
      </c>
      <c r="BO175" s="33">
        <f t="shared" si="182"/>
        <v>-0.13314434995870858</v>
      </c>
      <c r="BP175" s="33">
        <f>IF(O175&lt;&gt;"",BO175-SUM($BN$44:BN175),"")</f>
        <v>-5.3144349960600329E-2</v>
      </c>
      <c r="BQ175" s="11">
        <f t="shared" si="143"/>
        <v>20</v>
      </c>
      <c r="BR175" s="11">
        <f>IF(BF175&lt;&gt;"",IF($B$16=listy!$K$8,'RZĄDOWY PROGRAM'!$F$3*'RZĄDOWY PROGRAM'!$F$15,BK174*$F$15),"")</f>
        <v>50</v>
      </c>
      <c r="BS175" s="11">
        <f t="shared" si="144"/>
        <v>70</v>
      </c>
      <c r="BU175" s="8">
        <f t="shared" si="170"/>
        <v>148</v>
      </c>
      <c r="BV175" s="8"/>
      <c r="BW175" s="78">
        <f>IF(BU175&lt;&gt;"",ROUND(IF($F$11="raty równe",-PMT(W175/12,$F$4-BU174+SUM($BV$28:BV175)-$CB$43,BZ174,2),BX175+BY175),2),"")</f>
        <v>3522.1</v>
      </c>
      <c r="BX175" s="78">
        <f>IF(BU175&lt;&gt;"",IF($F$11="raty malejące",MIN(BZ174/($F$4-BU174+SUM($BV$28:BV174)-SUM($CB$28:CB174)),BZ174),MIN(BW175-BY175,BZ174)),"")</f>
        <v>2238.8510652703144</v>
      </c>
      <c r="BY175" s="78">
        <f t="shared" si="177"/>
        <v>1283.2489347296857</v>
      </c>
      <c r="BZ175" s="79">
        <f t="shared" si="178"/>
        <v>174761.0020008932</v>
      </c>
      <c r="CA175" s="11"/>
      <c r="CB175" s="33"/>
      <c r="CC175" s="33">
        <f t="shared" si="171"/>
        <v>0</v>
      </c>
      <c r="CD175" s="33">
        <f t="shared" si="183"/>
        <v>0.40657700515733142</v>
      </c>
      <c r="CE175" s="33">
        <f>IF(O175&lt;&gt;"",CD175-SUM($CC$44:CC175),"")</f>
        <v>0.13657700516371607</v>
      </c>
      <c r="CF175" s="11">
        <f t="shared" si="145"/>
        <v>20</v>
      </c>
      <c r="CG175" s="11">
        <f>IF(BU175&lt;&gt;"",IF($B$16=listy!$K$8,'RZĄDOWY PROGRAM'!$F$3*'RZĄDOWY PROGRAM'!$F$15,BZ174*$F$15),"")</f>
        <v>50</v>
      </c>
      <c r="CH175" s="11">
        <f t="shared" si="146"/>
        <v>70</v>
      </c>
      <c r="CJ175" s="48">
        <f t="shared" si="147"/>
        <v>0.06</v>
      </c>
      <c r="CK175" s="18">
        <f t="shared" si="148"/>
        <v>4.8675505653430484E-3</v>
      </c>
      <c r="CL175" s="11">
        <f t="shared" si="179"/>
        <v>0</v>
      </c>
      <c r="CM175" s="11">
        <f t="shared" si="149"/>
        <v>48985.854540163258</v>
      </c>
      <c r="CN175" s="11">
        <f>IF(AB175&lt;&gt;"",CM175-SUM($CL$28:CL175),"")</f>
        <v>20809.094540163263</v>
      </c>
    </row>
    <row r="176" spans="1:92" x14ac:dyDescent="0.45">
      <c r="A176" s="68">
        <f t="shared" si="172"/>
        <v>49249</v>
      </c>
      <c r="B176" s="8">
        <f t="shared" si="132"/>
        <v>149</v>
      </c>
      <c r="C176" s="11">
        <f t="shared" si="133"/>
        <v>3522.09</v>
      </c>
      <c r="D176" s="11">
        <f t="shared" si="134"/>
        <v>1812.0586995437225</v>
      </c>
      <c r="E176" s="11">
        <f t="shared" si="135"/>
        <v>1710.0313004562777</v>
      </c>
      <c r="F176" s="9">
        <f t="shared" si="150"/>
        <v>234054.32757028766</v>
      </c>
      <c r="G176" s="10">
        <f t="shared" si="136"/>
        <v>7.0000000000000007E-2</v>
      </c>
      <c r="H176" s="10">
        <f t="shared" si="137"/>
        <v>1.7000000000000001E-2</v>
      </c>
      <c r="I176" s="48">
        <f t="shared" si="151"/>
        <v>8.7000000000000008E-2</v>
      </c>
      <c r="J176" s="11">
        <f t="shared" si="138"/>
        <v>20</v>
      </c>
      <c r="K176" s="11">
        <f>IF(B176&lt;&gt;"",IF($B$16=listy!$K$8,'RZĄDOWY PROGRAM'!$F$3*'RZĄDOWY PROGRAM'!$F$15,F175*$F$15),"")</f>
        <v>50</v>
      </c>
      <c r="L176" s="11">
        <f t="shared" si="152"/>
        <v>70</v>
      </c>
      <c r="N176" s="54">
        <f t="shared" si="173"/>
        <v>49249</v>
      </c>
      <c r="O176" s="8">
        <f t="shared" si="153"/>
        <v>149</v>
      </c>
      <c r="P176" s="8"/>
      <c r="Q176" s="11">
        <f>IF(O176&lt;&gt;"",ROUND(IF($F$11="raty równe",-PMT(W176/12,$F$4-O175+SUM($P$28:P176),T175,2),R176+S176),2),"")</f>
        <v>3522.09</v>
      </c>
      <c r="R176" s="11">
        <f>IF(O176&lt;&gt;"",IF($F$11="raty malejące",T175/($F$4-O175+SUM($P$28:P176)),IF(Q176-S176&gt;T175,T175,Q176-S176)),"")</f>
        <v>1710.3066427894312</v>
      </c>
      <c r="S176" s="11">
        <f t="shared" si="175"/>
        <v>1811.783357210569</v>
      </c>
      <c r="T176" s="9">
        <f t="shared" si="154"/>
        <v>248190.84607590971</v>
      </c>
      <c r="U176" s="10">
        <f t="shared" si="139"/>
        <v>7.0000000000000007E-2</v>
      </c>
      <c r="V176" s="10">
        <f t="shared" si="140"/>
        <v>1.7000000000000001E-2</v>
      </c>
      <c r="W176" s="48">
        <f t="shared" si="155"/>
        <v>8.7000000000000008E-2</v>
      </c>
      <c r="X176" s="11">
        <f t="shared" si="141"/>
        <v>20</v>
      </c>
      <c r="Y176" s="11">
        <f>IF(O176&lt;&gt;"",IF($B$16=listy!$K$8,'RZĄDOWY PROGRAM'!$F$3*'RZĄDOWY PROGRAM'!$F$15,T175*$F$15),"")</f>
        <v>50</v>
      </c>
      <c r="Z176" s="11">
        <f t="shared" si="156"/>
        <v>70</v>
      </c>
      <c r="AB176" s="8">
        <f t="shared" si="157"/>
        <v>149</v>
      </c>
      <c r="AC176" s="8"/>
      <c r="AD176" s="11">
        <f>IF(AB176&lt;&gt;"",ROUND(IF($F$11="raty równe",-PMT(W176/12,$F$4-AB175+SUM($AC$28:AC176),AG175,2),AE176+AF176),2),"")</f>
        <v>3280.4</v>
      </c>
      <c r="AE176" s="11">
        <f>IF(AB176&lt;&gt;"",IF($F$11="raty malejące",AG175/($F$4-AB175+SUM($AC$28:AC175)),MIN(AD176-AF176,AG175)),"")</f>
        <v>1592.9487760790437</v>
      </c>
      <c r="AF176" s="11">
        <f t="shared" si="176"/>
        <v>1687.4512239209564</v>
      </c>
      <c r="AG176" s="9">
        <f t="shared" si="174"/>
        <v>231158.9441785356</v>
      </c>
      <c r="AH176" s="11"/>
      <c r="AI176" s="33">
        <f>IF(AB176&lt;&gt;"",ROUND(IF($F$11="raty równe",-PMT(W176/12,($F$4-AB175+SUM($AC$27:AC175)),AG175,2),AG175/($F$4-AB175+SUM($AC$27:AC175))+AG175*W176/12),2),"")</f>
        <v>3280.4</v>
      </c>
      <c r="AJ176" s="33">
        <f t="shared" si="158"/>
        <v>241.69000000000005</v>
      </c>
      <c r="AK176" s="33">
        <f t="shared" si="142"/>
        <v>45725.686979700993</v>
      </c>
      <c r="AL176" s="33">
        <f>IF(AB176&lt;&gt;"",AK176-SUM($AJ$28:AJ176),"")</f>
        <v>11506.526979700997</v>
      </c>
      <c r="AM176" s="11">
        <f t="shared" si="159"/>
        <v>20</v>
      </c>
      <c r="AN176" s="11">
        <f>IF(AB176&lt;&gt;"",IF($B$16=listy!$K$8,'RZĄDOWY PROGRAM'!$F$3*'RZĄDOWY PROGRAM'!$F$15,AG175*$F$15),"")</f>
        <v>50</v>
      </c>
      <c r="AO176" s="11">
        <f t="shared" si="160"/>
        <v>70</v>
      </c>
      <c r="AQ176" s="8">
        <f t="shared" si="161"/>
        <v>149</v>
      </c>
      <c r="AR176" s="8"/>
      <c r="AS176" s="78">
        <f>IF(AQ176&lt;&gt;"",ROUND(IF($F$11="raty równe",-PMT(W176/12,$F$4-AQ175+SUM($AR$28:AR176),AV175,2),AT176+AU176),2),"")</f>
        <v>3263.82</v>
      </c>
      <c r="AT176" s="78">
        <f>IF(AQ176&lt;&gt;"",IF($F$11="raty malejące",AV175/($F$4-AQ175+SUM($AR$28:AR175)),MIN(AS176-AU176,AV175)),"")</f>
        <v>1584.8925513686956</v>
      </c>
      <c r="AU176" s="78">
        <f t="shared" si="162"/>
        <v>1678.9274486313045</v>
      </c>
      <c r="AV176" s="79">
        <f t="shared" si="163"/>
        <v>229991.30725984572</v>
      </c>
      <c r="AW176" s="11"/>
      <c r="AX176" s="33">
        <f>IF(AQ176&lt;&gt;"",ROUND(IF($F$11="raty równe",-PMT(W176/12,($F$4-AQ175+SUM($AR$27:AR175)),AV175,2),AV175/($F$4-AQ175+SUM($AR$27:AR175))+AV175*W176/12),2),"")</f>
        <v>3263.82</v>
      </c>
      <c r="AY176" s="33">
        <f t="shared" si="164"/>
        <v>258.27</v>
      </c>
      <c r="AZ176" s="33">
        <f t="shared" si="180"/>
        <v>45046.368312691593</v>
      </c>
      <c r="BA176" s="33">
        <f>IF(AQ176&lt;&gt;"",AZ176-SUM($AY$44:AY176),"")</f>
        <v>10696.46831269157</v>
      </c>
      <c r="BB176" s="11">
        <f t="shared" si="165"/>
        <v>20</v>
      </c>
      <c r="BC176" s="11">
        <f>IF(AQ176&lt;&gt;"",IF($B$16=listy!$K$8,'RZĄDOWY PROGRAM'!$F$3*'RZĄDOWY PROGRAM'!$F$15,AV175*$F$15),"")</f>
        <v>50</v>
      </c>
      <c r="BD176" s="11">
        <f t="shared" si="166"/>
        <v>70</v>
      </c>
      <c r="BF176" s="8">
        <f t="shared" si="167"/>
        <v>149</v>
      </c>
      <c r="BG176" s="8"/>
      <c r="BH176" s="78">
        <f>IF(BF176&lt;&gt;"",ROUND(IF($F$11="raty równe",-PMT(W176/12,$F$4-BF175+SUM(BV$28:$BV176)-SUM($BM$29:BM176),BK175,2),BI176+BJ176),2),"")</f>
        <v>3522.1</v>
      </c>
      <c r="BI176" s="78">
        <f>IF(BF176&lt;&gt;"",IF($F$11="raty malejące",MIN(BK175/($F$4-BF175+SUM($BG$27:BG176)-SUM($BM$27:BM176)),BK175),MIN(BH176-BJ176,BK175)),"")</f>
        <v>2259.9976520211148</v>
      </c>
      <c r="BJ176" s="78">
        <f t="shared" si="168"/>
        <v>1262.1023479788853</v>
      </c>
      <c r="BK176" s="79">
        <f t="shared" si="169"/>
        <v>171823.08482782511</v>
      </c>
      <c r="BL176" s="11"/>
      <c r="BM176" s="33"/>
      <c r="BN176" s="33">
        <f t="shared" si="181"/>
        <v>-9.9999999997635314E-3</v>
      </c>
      <c r="BO176" s="33">
        <f t="shared" si="182"/>
        <v>-0.14366930031176225</v>
      </c>
      <c r="BP176" s="33">
        <f>IF(O176&lt;&gt;"",BO176-SUM($BN$44:BN176),"")</f>
        <v>-5.3669300313890472E-2</v>
      </c>
      <c r="BQ176" s="11">
        <f t="shared" si="143"/>
        <v>20</v>
      </c>
      <c r="BR176" s="11">
        <f>IF(BF176&lt;&gt;"",IF($B$16=listy!$K$8,'RZĄDOWY PROGRAM'!$F$3*'RZĄDOWY PROGRAM'!$F$15,BK175*$F$15),"")</f>
        <v>50</v>
      </c>
      <c r="BS176" s="11">
        <f t="shared" si="144"/>
        <v>70</v>
      </c>
      <c r="BU176" s="8">
        <f t="shared" si="170"/>
        <v>149</v>
      </c>
      <c r="BV176" s="8"/>
      <c r="BW176" s="78">
        <f>IF(BU176&lt;&gt;"",ROUND(IF($F$11="raty równe",-PMT(W176/12,$F$4-BU175+SUM($BV$28:BV176)-$CB$43,BZ175,2),BX176+BY176),2),"")</f>
        <v>3522.1</v>
      </c>
      <c r="BX176" s="78">
        <f>IF(BU176&lt;&gt;"",IF($F$11="raty malejące",MIN(BZ175/($F$4-BU175+SUM($BV$28:BV175)-SUM($CB$28:CB175)),BZ175),MIN(BW176-BY176,BZ175)),"")</f>
        <v>2255.0827354935241</v>
      </c>
      <c r="BY176" s="78">
        <f t="shared" si="177"/>
        <v>1267.0172645064758</v>
      </c>
      <c r="BZ176" s="79">
        <f t="shared" si="178"/>
        <v>172505.91926539969</v>
      </c>
      <c r="CA176" s="11"/>
      <c r="CB176" s="33"/>
      <c r="CC176" s="33">
        <f t="shared" si="171"/>
        <v>-9.9999999997635314E-3</v>
      </c>
      <c r="CD176" s="33">
        <f t="shared" si="183"/>
        <v>0.39818002280392822</v>
      </c>
      <c r="CE176" s="33">
        <f>IF(O176&lt;&gt;"",CD176-SUM($CC$44:CC176),"")</f>
        <v>0.13818002281007641</v>
      </c>
      <c r="CF176" s="11">
        <f t="shared" si="145"/>
        <v>20</v>
      </c>
      <c r="CG176" s="11">
        <f>IF(BU176&lt;&gt;"",IF($B$16=listy!$K$8,'RZĄDOWY PROGRAM'!$F$3*'RZĄDOWY PROGRAM'!$F$15,BZ175*$F$15),"")</f>
        <v>50</v>
      </c>
      <c r="CH176" s="11">
        <f t="shared" si="146"/>
        <v>70</v>
      </c>
      <c r="CJ176" s="48">
        <f t="shared" si="147"/>
        <v>0.06</v>
      </c>
      <c r="CK176" s="18">
        <f t="shared" si="148"/>
        <v>4.8675505653430484E-3</v>
      </c>
      <c r="CL176" s="11">
        <f t="shared" si="179"/>
        <v>0</v>
      </c>
      <c r="CM176" s="11">
        <f t="shared" si="149"/>
        <v>49178.991850571496</v>
      </c>
      <c r="CN176" s="11">
        <f>IF(AB176&lt;&gt;"",CM176-SUM($CL$28:CL176),"")</f>
        <v>21002.231850571501</v>
      </c>
    </row>
    <row r="177" spans="1:92" x14ac:dyDescent="0.45">
      <c r="A177" s="68">
        <f t="shared" si="172"/>
        <v>49279</v>
      </c>
      <c r="B177" s="8">
        <f t="shared" si="132"/>
        <v>150</v>
      </c>
      <c r="C177" s="11">
        <f t="shared" si="133"/>
        <v>3522.1</v>
      </c>
      <c r="D177" s="11">
        <f t="shared" si="134"/>
        <v>1825.2061251154141</v>
      </c>
      <c r="E177" s="11">
        <f t="shared" si="135"/>
        <v>1696.8938748845858</v>
      </c>
      <c r="F177" s="9">
        <f t="shared" si="150"/>
        <v>232229.12144517223</v>
      </c>
      <c r="G177" s="10">
        <f t="shared" si="136"/>
        <v>7.0000000000000007E-2</v>
      </c>
      <c r="H177" s="10">
        <f t="shared" si="137"/>
        <v>1.7000000000000001E-2</v>
      </c>
      <c r="I177" s="48">
        <f t="shared" si="151"/>
        <v>8.7000000000000008E-2</v>
      </c>
      <c r="J177" s="11">
        <f t="shared" si="138"/>
        <v>20</v>
      </c>
      <c r="K177" s="11">
        <f>IF(B177&lt;&gt;"",IF($B$16=listy!$K$8,'RZĄDOWY PROGRAM'!$F$3*'RZĄDOWY PROGRAM'!$F$15,F176*$F$15),"")</f>
        <v>50</v>
      </c>
      <c r="L177" s="11">
        <f t="shared" si="152"/>
        <v>70</v>
      </c>
      <c r="N177" s="54">
        <f t="shared" si="173"/>
        <v>49279</v>
      </c>
      <c r="O177" s="8">
        <f t="shared" si="153"/>
        <v>150</v>
      </c>
      <c r="P177" s="8"/>
      <c r="Q177" s="11">
        <f>IF(O177&lt;&gt;"",ROUND(IF($F$11="raty równe",-PMT(W177/12,$F$4-O176+SUM($P$28:P177),T176,2),R177+S177),2),"")</f>
        <v>3522.1</v>
      </c>
      <c r="R177" s="11">
        <f>IF(O177&lt;&gt;"",IF($F$11="raty malejące",T176/($F$4-O176+SUM($P$28:P177)),IF(Q177-S177&gt;T176,T176,Q177-S177)),"")</f>
        <v>1722.7163659496543</v>
      </c>
      <c r="S177" s="11">
        <f t="shared" si="175"/>
        <v>1799.3836340503456</v>
      </c>
      <c r="T177" s="9">
        <f t="shared" si="154"/>
        <v>246468.12970996005</v>
      </c>
      <c r="U177" s="10">
        <f t="shared" si="139"/>
        <v>7.0000000000000007E-2</v>
      </c>
      <c r="V177" s="10">
        <f t="shared" si="140"/>
        <v>1.7000000000000001E-2</v>
      </c>
      <c r="W177" s="48">
        <f t="shared" si="155"/>
        <v>8.7000000000000008E-2</v>
      </c>
      <c r="X177" s="11">
        <f t="shared" si="141"/>
        <v>20</v>
      </c>
      <c r="Y177" s="11">
        <f>IF(O177&lt;&gt;"",IF($B$16=listy!$K$8,'RZĄDOWY PROGRAM'!$F$3*'RZĄDOWY PROGRAM'!$F$15,T176*$F$15),"")</f>
        <v>50</v>
      </c>
      <c r="Z177" s="11">
        <f t="shared" si="156"/>
        <v>70</v>
      </c>
      <c r="AB177" s="8">
        <f t="shared" si="157"/>
        <v>150</v>
      </c>
      <c r="AC177" s="8"/>
      <c r="AD177" s="11">
        <f>IF(AB177&lt;&gt;"",ROUND(IF($F$11="raty równe",-PMT(W177/12,$F$4-AB176+SUM($AC$28:AC177),AG176,2),AE177+AF177),2),"")</f>
        <v>3280.39</v>
      </c>
      <c r="AE177" s="11">
        <f>IF(AB177&lt;&gt;"",IF($F$11="raty malejące",AG176/($F$4-AB176+SUM($AC$28:AC176)),MIN(AD177-AF177,AG176)),"")</f>
        <v>1604.4876547056167</v>
      </c>
      <c r="AF177" s="11">
        <f t="shared" si="176"/>
        <v>1675.9023452943832</v>
      </c>
      <c r="AG177" s="9">
        <f t="shared" si="174"/>
        <v>229554.45652382998</v>
      </c>
      <c r="AH177" s="11"/>
      <c r="AI177" s="33">
        <f>IF(AB177&lt;&gt;"",ROUND(IF($F$11="raty równe",-PMT(W177/12,($F$4-AB176+SUM($AC$27:AC176)),AG176,2),AG176/($F$4-AB176+SUM($AC$27:AC176))+AG176*W177/12),2),"")</f>
        <v>3280.39</v>
      </c>
      <c r="AJ177" s="33">
        <f t="shared" si="158"/>
        <v>241.71000000000004</v>
      </c>
      <c r="AK177" s="33">
        <f t="shared" si="142"/>
        <v>46147.68037544308</v>
      </c>
      <c r="AL177" s="33">
        <f>IF(AB177&lt;&gt;"",AK177-SUM($AJ$28:AJ177),"")</f>
        <v>11686.810375443085</v>
      </c>
      <c r="AM177" s="11">
        <f t="shared" si="159"/>
        <v>20</v>
      </c>
      <c r="AN177" s="11">
        <f>IF(AB177&lt;&gt;"",IF($B$16=listy!$K$8,'RZĄDOWY PROGRAM'!$F$3*'RZĄDOWY PROGRAM'!$F$15,AG176*$F$15),"")</f>
        <v>50</v>
      </c>
      <c r="AO177" s="11">
        <f t="shared" si="160"/>
        <v>70</v>
      </c>
      <c r="AQ177" s="8">
        <f t="shared" si="161"/>
        <v>150</v>
      </c>
      <c r="AR177" s="8"/>
      <c r="AS177" s="78">
        <f>IF(AQ177&lt;&gt;"",ROUND(IF($F$11="raty równe",-PMT(W177/12,$F$4-AQ176+SUM($AR$28:AR177),AV176,2),AT177+AU177),2),"")</f>
        <v>3263.83</v>
      </c>
      <c r="AT177" s="78">
        <f>IF(AQ177&lt;&gt;"",IF($F$11="raty malejące",AV176/($F$4-AQ176+SUM($AR$28:AR176)),MIN(AS177-AU177,AV176)),"")</f>
        <v>1596.3930223661182</v>
      </c>
      <c r="AU177" s="78">
        <f t="shared" si="162"/>
        <v>1667.4369776338817</v>
      </c>
      <c r="AV177" s="79">
        <f t="shared" si="163"/>
        <v>228394.91423747959</v>
      </c>
      <c r="AW177" s="11"/>
      <c r="AX177" s="33">
        <f>IF(AQ177&lt;&gt;"",ROUND(IF($F$11="raty równe",-PMT(W177/12,($F$4-AQ176+SUM($AR$27:AR176)),AV176,2),AV176/($F$4-AQ176+SUM($AR$27:AR176))+AV176*W177/12),2),"")</f>
        <v>3263.83</v>
      </c>
      <c r="AY177" s="33">
        <f t="shared" si="164"/>
        <v>258.27</v>
      </c>
      <c r="AZ177" s="33">
        <f t="shared" si="180"/>
        <v>45482.243347884738</v>
      </c>
      <c r="BA177" s="33">
        <f>IF(AQ177&lt;&gt;"",AZ177-SUM($AY$44:AY177),"")</f>
        <v>10874.073347884718</v>
      </c>
      <c r="BB177" s="11">
        <f t="shared" si="165"/>
        <v>20</v>
      </c>
      <c r="BC177" s="11">
        <f>IF(AQ177&lt;&gt;"",IF($B$16=listy!$K$8,'RZĄDOWY PROGRAM'!$F$3*'RZĄDOWY PROGRAM'!$F$15,AV176*$F$15),"")</f>
        <v>50</v>
      </c>
      <c r="BD177" s="11">
        <f t="shared" si="166"/>
        <v>70</v>
      </c>
      <c r="BF177" s="8">
        <f t="shared" si="167"/>
        <v>150</v>
      </c>
      <c r="BG177" s="8"/>
      <c r="BH177" s="78">
        <f>IF(BF177&lt;&gt;"",ROUND(IF($F$11="raty równe",-PMT(W177/12,$F$4-BF176+SUM(BV$28:$BV177)-SUM($BM$29:BM177),BK176,2),BI177+BJ177),2),"")</f>
        <v>3522.09</v>
      </c>
      <c r="BI177" s="78">
        <f>IF(BF177&lt;&gt;"",IF($F$11="raty malejące",MIN(BK176/($F$4-BF176+SUM($BG$27:BG177)-SUM($BM$27:BM177)),BK176),MIN(BH177-BJ177,BK176)),"")</f>
        <v>2276.372634998268</v>
      </c>
      <c r="BJ177" s="78">
        <f t="shared" si="168"/>
        <v>1245.7173650017321</v>
      </c>
      <c r="BK177" s="79">
        <f t="shared" si="169"/>
        <v>169546.71219282685</v>
      </c>
      <c r="BL177" s="11"/>
      <c r="BM177" s="33"/>
      <c r="BN177" s="33">
        <f t="shared" si="181"/>
        <v>9.9999999997635314E-3</v>
      </c>
      <c r="BO177" s="33">
        <f t="shared" si="182"/>
        <v>-0.13423574755500225</v>
      </c>
      <c r="BP177" s="33">
        <f>IF(O177&lt;&gt;"",BO177-SUM($BN$44:BN177),"")</f>
        <v>-5.4235747556894004E-2</v>
      </c>
      <c r="BQ177" s="11">
        <f t="shared" si="143"/>
        <v>20</v>
      </c>
      <c r="BR177" s="11">
        <f>IF(BF177&lt;&gt;"",IF($B$16=listy!$K$8,'RZĄDOWY PROGRAM'!$F$3*'RZĄDOWY PROGRAM'!$F$15,BK176*$F$15),"")</f>
        <v>50</v>
      </c>
      <c r="BS177" s="11">
        <f t="shared" si="144"/>
        <v>70</v>
      </c>
      <c r="BU177" s="8">
        <f t="shared" si="170"/>
        <v>150</v>
      </c>
      <c r="BV177" s="8"/>
      <c r="BW177" s="78">
        <f>IF(BU177&lt;&gt;"",ROUND(IF($F$11="raty równe",-PMT(W177/12,$F$4-BU176+SUM($BV$28:BV177)-$CB$43,BZ176,2),BX177+BY177),2),"")</f>
        <v>3522.09</v>
      </c>
      <c r="BX177" s="78">
        <f>IF(BU177&lt;&gt;"",IF($F$11="raty malejące",MIN(BZ176/($F$4-BU176+SUM($BV$28:BV176)-SUM($CB$28:CB176)),BZ176),MIN(BW177-BY177,BZ176)),"")</f>
        <v>2271.4220853258521</v>
      </c>
      <c r="BY177" s="78">
        <f t="shared" si="177"/>
        <v>1250.6679146741478</v>
      </c>
      <c r="BZ177" s="79">
        <f t="shared" si="178"/>
        <v>170234.49718007384</v>
      </c>
      <c r="CA177" s="11"/>
      <c r="CB177" s="33"/>
      <c r="CC177" s="33">
        <f t="shared" si="171"/>
        <v>9.9999999997635314E-3</v>
      </c>
      <c r="CD177" s="33">
        <f t="shared" si="183"/>
        <v>0.40974993353372891</v>
      </c>
      <c r="CE177" s="33">
        <f>IF(O177&lt;&gt;"",CD177-SUM($CC$44:CC177),"")</f>
        <v>0.13974993354011356</v>
      </c>
      <c r="CF177" s="11">
        <f t="shared" si="145"/>
        <v>20</v>
      </c>
      <c r="CG177" s="11">
        <f>IF(BU177&lt;&gt;"",IF($B$16=listy!$K$8,'RZĄDOWY PROGRAM'!$F$3*'RZĄDOWY PROGRAM'!$F$15,BZ176*$F$15),"")</f>
        <v>50</v>
      </c>
      <c r="CH177" s="11">
        <f t="shared" si="146"/>
        <v>70</v>
      </c>
      <c r="CJ177" s="48">
        <f t="shared" si="147"/>
        <v>0.06</v>
      </c>
      <c r="CK177" s="18">
        <f t="shared" si="148"/>
        <v>4.8675505653430484E-3</v>
      </c>
      <c r="CL177" s="11">
        <f t="shared" si="179"/>
        <v>0</v>
      </c>
      <c r="CM177" s="11">
        <f t="shared" si="149"/>
        <v>49372.890646535554</v>
      </c>
      <c r="CN177" s="11">
        <f>IF(AB177&lt;&gt;"",CM177-SUM($CL$28:CL177),"")</f>
        <v>21196.130646535559</v>
      </c>
    </row>
    <row r="178" spans="1:92" x14ac:dyDescent="0.45">
      <c r="A178" s="68">
        <f t="shared" si="172"/>
        <v>49310</v>
      </c>
      <c r="B178" s="8">
        <f t="shared" si="132"/>
        <v>151</v>
      </c>
      <c r="C178" s="11">
        <f t="shared" si="133"/>
        <v>3522.09</v>
      </c>
      <c r="D178" s="11">
        <f t="shared" si="134"/>
        <v>1838.4288695225014</v>
      </c>
      <c r="E178" s="11">
        <f t="shared" si="135"/>
        <v>1683.6611304774988</v>
      </c>
      <c r="F178" s="9">
        <f t="shared" si="150"/>
        <v>230390.69257564974</v>
      </c>
      <c r="G178" s="10">
        <f t="shared" si="136"/>
        <v>7.0000000000000007E-2</v>
      </c>
      <c r="H178" s="10">
        <f t="shared" si="137"/>
        <v>1.7000000000000001E-2</v>
      </c>
      <c r="I178" s="48">
        <f t="shared" si="151"/>
        <v>8.7000000000000008E-2</v>
      </c>
      <c r="J178" s="11">
        <f t="shared" si="138"/>
        <v>20</v>
      </c>
      <c r="K178" s="11">
        <f>IF(B178&lt;&gt;"",IF($B$16=listy!$K$8,'RZĄDOWY PROGRAM'!$F$3*'RZĄDOWY PROGRAM'!$F$15,F177*$F$15),"")</f>
        <v>50</v>
      </c>
      <c r="L178" s="11">
        <f t="shared" si="152"/>
        <v>70</v>
      </c>
      <c r="N178" s="54">
        <f t="shared" si="173"/>
        <v>49310</v>
      </c>
      <c r="O178" s="8">
        <f t="shared" si="153"/>
        <v>151</v>
      </c>
      <c r="P178" s="8"/>
      <c r="Q178" s="11">
        <f>IF(O178&lt;&gt;"",ROUND(IF($F$11="raty równe",-PMT(W178/12,$F$4-O177+SUM($P$28:P178),T177,2),R178+S178),2),"")</f>
        <v>3522.09</v>
      </c>
      <c r="R178" s="11">
        <f>IF(O178&lt;&gt;"",IF($F$11="raty malejące",T177/($F$4-O177+SUM($P$28:P178)),IF(Q178-S178&gt;T177,T177,Q178-S178)),"")</f>
        <v>1735.1960596027895</v>
      </c>
      <c r="S178" s="11">
        <f t="shared" si="175"/>
        <v>1786.8939403972106</v>
      </c>
      <c r="T178" s="9">
        <f t="shared" si="154"/>
        <v>244732.93365035727</v>
      </c>
      <c r="U178" s="10">
        <f t="shared" si="139"/>
        <v>7.0000000000000007E-2</v>
      </c>
      <c r="V178" s="10">
        <f t="shared" si="140"/>
        <v>1.7000000000000001E-2</v>
      </c>
      <c r="W178" s="48">
        <f t="shared" si="155"/>
        <v>8.7000000000000008E-2</v>
      </c>
      <c r="X178" s="11">
        <f t="shared" si="141"/>
        <v>20</v>
      </c>
      <c r="Y178" s="11">
        <f>IF(O178&lt;&gt;"",IF($B$16=listy!$K$8,'RZĄDOWY PROGRAM'!$F$3*'RZĄDOWY PROGRAM'!$F$15,T177*$F$15),"")</f>
        <v>50</v>
      </c>
      <c r="Z178" s="11">
        <f t="shared" si="156"/>
        <v>70</v>
      </c>
      <c r="AB178" s="8">
        <f t="shared" si="157"/>
        <v>151</v>
      </c>
      <c r="AC178" s="8"/>
      <c r="AD178" s="11">
        <f>IF(AB178&lt;&gt;"",ROUND(IF($F$11="raty równe",-PMT(W178/12,$F$4-AB177+SUM($AC$28:AC178),AG177,2),AE178+AF178),2),"")</f>
        <v>3280.4</v>
      </c>
      <c r="AE178" s="11">
        <f>IF(AB178&lt;&gt;"",IF($F$11="raty malejące",AG177/($F$4-AB177+SUM($AC$28:AC177)),MIN(AD178-AF178,AG177)),"")</f>
        <v>1616.1301902022326</v>
      </c>
      <c r="AF178" s="11">
        <f t="shared" si="176"/>
        <v>1664.2698097977675</v>
      </c>
      <c r="AG178" s="9">
        <f t="shared" si="174"/>
        <v>227938.32633362775</v>
      </c>
      <c r="AH178" s="11"/>
      <c r="AI178" s="33">
        <f>IF(AB178&lt;&gt;"",ROUND(IF($F$11="raty równe",-PMT(W178/12,($F$4-AB177+SUM($AC$27:AC177)),AG177,2),AG177/($F$4-AB177+SUM($AC$27:AC177))+AG177*W178/12),2),"")</f>
        <v>3280.4</v>
      </c>
      <c r="AJ178" s="33">
        <f t="shared" si="158"/>
        <v>241.69000000000005</v>
      </c>
      <c r="AK178" s="33">
        <f t="shared" si="142"/>
        <v>46571.317571280699</v>
      </c>
      <c r="AL178" s="33">
        <f>IF(AB178&lt;&gt;"",AK178-SUM($AJ$28:AJ178),"")</f>
        <v>11868.757571280701</v>
      </c>
      <c r="AM178" s="11">
        <f t="shared" si="159"/>
        <v>20</v>
      </c>
      <c r="AN178" s="11">
        <f>IF(AB178&lt;&gt;"",IF($B$16=listy!$K$8,'RZĄDOWY PROGRAM'!$F$3*'RZĄDOWY PROGRAM'!$F$15,AG177*$F$15),"")</f>
        <v>50</v>
      </c>
      <c r="AO178" s="11">
        <f t="shared" si="160"/>
        <v>70</v>
      </c>
      <c r="AQ178" s="8">
        <f t="shared" si="161"/>
        <v>151</v>
      </c>
      <c r="AR178" s="8"/>
      <c r="AS178" s="78">
        <f>IF(AQ178&lt;&gt;"",ROUND(IF($F$11="raty równe",-PMT(W178/12,$F$4-AQ177+SUM($AR$28:AR178),AV177,2),AT178+AU178),2),"")</f>
        <v>3263.82</v>
      </c>
      <c r="AT178" s="78">
        <f>IF(AQ178&lt;&gt;"",IF($F$11="raty malejące",AV177/($F$4-AQ177+SUM($AR$28:AR177)),MIN(AS178-AU178,AV177)),"")</f>
        <v>1607.9568717782729</v>
      </c>
      <c r="AU178" s="78">
        <f t="shared" si="162"/>
        <v>1655.8631282217273</v>
      </c>
      <c r="AV178" s="79">
        <f t="shared" si="163"/>
        <v>226786.95736570132</v>
      </c>
      <c r="AW178" s="11"/>
      <c r="AX178" s="33">
        <f>IF(AQ178&lt;&gt;"",ROUND(IF($F$11="raty równe",-PMT(W178/12,($F$4-AQ177+SUM($AR$27:AR177)),AV177,2),AV177/($F$4-AQ177+SUM($AR$27:AR177))+AV177*W178/12),2),"")</f>
        <v>3263.82</v>
      </c>
      <c r="AY178" s="33">
        <f t="shared" si="164"/>
        <v>258.27</v>
      </c>
      <c r="AZ178" s="33">
        <f t="shared" si="180"/>
        <v>45919.836914534804</v>
      </c>
      <c r="BA178" s="33">
        <f>IF(AQ178&lt;&gt;"",AZ178-SUM($AY$44:AY178),"")</f>
        <v>11053.396914534787</v>
      </c>
      <c r="BB178" s="11">
        <f t="shared" si="165"/>
        <v>20</v>
      </c>
      <c r="BC178" s="11">
        <f>IF(AQ178&lt;&gt;"",IF($B$16=listy!$K$8,'RZĄDOWY PROGRAM'!$F$3*'RZĄDOWY PROGRAM'!$F$15,AV177*$F$15),"")</f>
        <v>50</v>
      </c>
      <c r="BD178" s="11">
        <f t="shared" si="166"/>
        <v>70</v>
      </c>
      <c r="BF178" s="8">
        <f t="shared" si="167"/>
        <v>151</v>
      </c>
      <c r="BG178" s="8"/>
      <c r="BH178" s="78">
        <f>IF(BF178&lt;&gt;"",ROUND(IF($F$11="raty równe",-PMT(W178/12,$F$4-BF177+SUM(BV$28:$BV178)-SUM($BM$29:BM178),BK177,2),BI178+BJ178),2),"")</f>
        <v>3522.09</v>
      </c>
      <c r="BI178" s="78">
        <f>IF(BF178&lt;&gt;"",IF($F$11="raty malejące",MIN(BK177/($F$4-BF177+SUM($BG$27:BG178)-SUM($BM$27:BM178)),BK177),MIN(BH178-BJ178,BK177)),"")</f>
        <v>2292.8763366020057</v>
      </c>
      <c r="BJ178" s="78">
        <f t="shared" si="168"/>
        <v>1229.2136633979947</v>
      </c>
      <c r="BK178" s="79">
        <f t="shared" si="169"/>
        <v>167253.83585622485</v>
      </c>
      <c r="BL178" s="11"/>
      <c r="BM178" s="33"/>
      <c r="BN178" s="33">
        <f t="shared" si="181"/>
        <v>0</v>
      </c>
      <c r="BO178" s="33">
        <f t="shared" si="182"/>
        <v>-0.13476500097901176</v>
      </c>
      <c r="BP178" s="33">
        <f>IF(O178&lt;&gt;"",BO178-SUM($BN$44:BN178),"")</f>
        <v>-5.4765000980903505E-2</v>
      </c>
      <c r="BQ178" s="11">
        <f t="shared" si="143"/>
        <v>20</v>
      </c>
      <c r="BR178" s="11">
        <f>IF(BF178&lt;&gt;"",IF($B$16=listy!$K$8,'RZĄDOWY PROGRAM'!$F$3*'RZĄDOWY PROGRAM'!$F$15,BK177*$F$15),"")</f>
        <v>50</v>
      </c>
      <c r="BS178" s="11">
        <f t="shared" si="144"/>
        <v>70</v>
      </c>
      <c r="BU178" s="8">
        <f t="shared" si="170"/>
        <v>151</v>
      </c>
      <c r="BV178" s="8"/>
      <c r="BW178" s="78">
        <f>IF(BU178&lt;&gt;"",ROUND(IF($F$11="raty równe",-PMT(W178/12,$F$4-BU177+SUM($BV$28:BV178)-$CB$43,BZ177,2),BX178+BY178),2),"")</f>
        <v>3522.09</v>
      </c>
      <c r="BX178" s="78">
        <f>IF(BU178&lt;&gt;"",IF($F$11="raty malejące",MIN(BZ177/($F$4-BU177+SUM($BV$28:BV177)-SUM($CB$28:CB177)),BZ177),MIN(BW178-BY178,BZ177)),"")</f>
        <v>2287.8898954444649</v>
      </c>
      <c r="BY178" s="78">
        <f t="shared" si="177"/>
        <v>1234.2001045555355</v>
      </c>
      <c r="BZ178" s="79">
        <f t="shared" si="178"/>
        <v>167946.60728462937</v>
      </c>
      <c r="CA178" s="11"/>
      <c r="CB178" s="33"/>
      <c r="CC178" s="33">
        <f t="shared" si="171"/>
        <v>0</v>
      </c>
      <c r="CD178" s="33">
        <f t="shared" si="183"/>
        <v>0.41136546113543226</v>
      </c>
      <c r="CE178" s="33">
        <f>IF(O178&lt;&gt;"",CD178-SUM($CC$44:CC178),"")</f>
        <v>0.14136546114181692</v>
      </c>
      <c r="CF178" s="11">
        <f t="shared" si="145"/>
        <v>20</v>
      </c>
      <c r="CG178" s="11">
        <f>IF(BU178&lt;&gt;"",IF($B$16=listy!$K$8,'RZĄDOWY PROGRAM'!$F$3*'RZĄDOWY PROGRAM'!$F$15,BZ177*$F$15),"")</f>
        <v>50</v>
      </c>
      <c r="CH178" s="11">
        <f t="shared" si="146"/>
        <v>70</v>
      </c>
      <c r="CJ178" s="48">
        <f t="shared" si="147"/>
        <v>0.06</v>
      </c>
      <c r="CK178" s="18">
        <f t="shared" si="148"/>
        <v>4.8675505653430484E-3</v>
      </c>
      <c r="CL178" s="11">
        <f t="shared" si="179"/>
        <v>0</v>
      </c>
      <c r="CM178" s="11">
        <f t="shared" si="149"/>
        <v>49567.553930376678</v>
      </c>
      <c r="CN178" s="11">
        <f>IF(AB178&lt;&gt;"",CM178-SUM($CL$28:CL178),"")</f>
        <v>21390.793930376683</v>
      </c>
    </row>
    <row r="179" spans="1:92" x14ac:dyDescent="0.45">
      <c r="A179" s="68">
        <f t="shared" si="172"/>
        <v>49341</v>
      </c>
      <c r="B179" s="8">
        <f t="shared" si="132"/>
        <v>152</v>
      </c>
      <c r="C179" s="11">
        <f t="shared" si="133"/>
        <v>3522.1</v>
      </c>
      <c r="D179" s="11">
        <f t="shared" si="134"/>
        <v>1851.7674788265392</v>
      </c>
      <c r="E179" s="11">
        <f t="shared" si="135"/>
        <v>1670.3325211734607</v>
      </c>
      <c r="F179" s="9">
        <f t="shared" si="150"/>
        <v>228538.92509682319</v>
      </c>
      <c r="G179" s="10">
        <f t="shared" si="136"/>
        <v>7.0000000000000007E-2</v>
      </c>
      <c r="H179" s="10">
        <f t="shared" si="137"/>
        <v>1.7000000000000001E-2</v>
      </c>
      <c r="I179" s="48">
        <f t="shared" si="151"/>
        <v>8.7000000000000008E-2</v>
      </c>
      <c r="J179" s="11">
        <f t="shared" si="138"/>
        <v>20</v>
      </c>
      <c r="K179" s="11">
        <f>IF(B179&lt;&gt;"",IF($B$16=listy!$K$8,'RZĄDOWY PROGRAM'!$F$3*'RZĄDOWY PROGRAM'!$F$15,F178*$F$15),"")</f>
        <v>50</v>
      </c>
      <c r="L179" s="11">
        <f t="shared" si="152"/>
        <v>70</v>
      </c>
      <c r="N179" s="54">
        <f t="shared" si="173"/>
        <v>49341</v>
      </c>
      <c r="O179" s="8">
        <f t="shared" si="153"/>
        <v>152</v>
      </c>
      <c r="P179" s="8"/>
      <c r="Q179" s="11">
        <f>IF(O179&lt;&gt;"",ROUND(IF($F$11="raty równe",-PMT(W179/12,$F$4-O178+SUM($P$28:P179),T178,2),R179+S179),2),"")</f>
        <v>3522.1</v>
      </c>
      <c r="R179" s="11">
        <f>IF(O179&lt;&gt;"",IF($F$11="raty malejące",T178/($F$4-O178+SUM($P$28:P179)),IF(Q179-S179&gt;T178,T178,Q179-S179)),"")</f>
        <v>1747.7862310349096</v>
      </c>
      <c r="S179" s="11">
        <f t="shared" si="175"/>
        <v>1774.3137689650903</v>
      </c>
      <c r="T179" s="9">
        <f t="shared" si="154"/>
        <v>242985.14741932237</v>
      </c>
      <c r="U179" s="10">
        <f t="shared" si="139"/>
        <v>7.0000000000000007E-2</v>
      </c>
      <c r="V179" s="10">
        <f t="shared" si="140"/>
        <v>1.7000000000000001E-2</v>
      </c>
      <c r="W179" s="48">
        <f t="shared" si="155"/>
        <v>8.7000000000000008E-2</v>
      </c>
      <c r="X179" s="11">
        <f t="shared" si="141"/>
        <v>20</v>
      </c>
      <c r="Y179" s="11">
        <f>IF(O179&lt;&gt;"",IF($B$16=listy!$K$8,'RZĄDOWY PROGRAM'!$F$3*'RZĄDOWY PROGRAM'!$F$15,T178*$F$15),"")</f>
        <v>50</v>
      </c>
      <c r="Z179" s="11">
        <f t="shared" si="156"/>
        <v>70</v>
      </c>
      <c r="AB179" s="8">
        <f t="shared" si="157"/>
        <v>152</v>
      </c>
      <c r="AC179" s="8"/>
      <c r="AD179" s="11">
        <f>IF(AB179&lt;&gt;"",ROUND(IF($F$11="raty równe",-PMT(W179/12,$F$4-AB178+SUM($AC$28:AC179),AG178,2),AE179+AF179),2),"")</f>
        <v>3280.39</v>
      </c>
      <c r="AE179" s="11">
        <f>IF(AB179&lt;&gt;"",IF($F$11="raty malejące",AG178/($F$4-AB178+SUM($AC$28:AC178)),MIN(AD179-AF179,AG178)),"")</f>
        <v>1627.8371340811987</v>
      </c>
      <c r="AF179" s="11">
        <f t="shared" si="176"/>
        <v>1652.5528659188012</v>
      </c>
      <c r="AG179" s="9">
        <f t="shared" si="174"/>
        <v>226310.48919954654</v>
      </c>
      <c r="AH179" s="11"/>
      <c r="AI179" s="33">
        <f>IF(AB179&lt;&gt;"",ROUND(IF($F$11="raty równe",-PMT(W179/12,($F$4-AB178+SUM($AC$27:AC178)),AG178,2),AG178/($F$4-AB178+SUM($AC$27:AC178))+AG178*W179/12),2),"")</f>
        <v>3280.39</v>
      </c>
      <c r="AJ179" s="33">
        <f t="shared" si="158"/>
        <v>241.71000000000004</v>
      </c>
      <c r="AK179" s="33">
        <f t="shared" si="142"/>
        <v>46996.645048250713</v>
      </c>
      <c r="AL179" s="33">
        <f>IF(AB179&lt;&gt;"",AK179-SUM($AJ$28:AJ179),"")</f>
        <v>12052.375048250717</v>
      </c>
      <c r="AM179" s="11">
        <f t="shared" si="159"/>
        <v>20</v>
      </c>
      <c r="AN179" s="11">
        <f>IF(AB179&lt;&gt;"",IF($B$16=listy!$K$8,'RZĄDOWY PROGRAM'!$F$3*'RZĄDOWY PROGRAM'!$F$15,AG178*$F$15),"")</f>
        <v>50</v>
      </c>
      <c r="AO179" s="11">
        <f t="shared" si="160"/>
        <v>70</v>
      </c>
      <c r="AQ179" s="8">
        <f t="shared" si="161"/>
        <v>152</v>
      </c>
      <c r="AR179" s="8"/>
      <c r="AS179" s="78">
        <f>IF(AQ179&lt;&gt;"",ROUND(IF($F$11="raty równe",-PMT(W179/12,$F$4-AQ178+SUM($AR$28:AR179),AV178,2),AT179+AU179),2),"")</f>
        <v>3263.83</v>
      </c>
      <c r="AT179" s="78">
        <f>IF(AQ179&lt;&gt;"",IF($F$11="raty malejące",AV178/($F$4-AQ178+SUM($AR$28:AR178)),MIN(AS179-AU179,AV178)),"")</f>
        <v>1619.6245590986653</v>
      </c>
      <c r="AU179" s="78">
        <f t="shared" si="162"/>
        <v>1644.2054409013347</v>
      </c>
      <c r="AV179" s="79">
        <f t="shared" si="163"/>
        <v>225167.33280660267</v>
      </c>
      <c r="AW179" s="11"/>
      <c r="AX179" s="33">
        <f>IF(AQ179&lt;&gt;"",ROUND(IF($F$11="raty równe",-PMT(W179/12,($F$4-AQ178+SUM($AR$27:AR178)),AV178,2),AV178/($F$4-AQ178+SUM($AR$27:AR178))+AV178*W179/12),2),"")</f>
        <v>3263.83</v>
      </c>
      <c r="AY179" s="33">
        <f t="shared" si="164"/>
        <v>258.27</v>
      </c>
      <c r="AZ179" s="33">
        <f t="shared" si="180"/>
        <v>46359.155788323187</v>
      </c>
      <c r="BA179" s="33">
        <f>IF(AQ179&lt;&gt;"",AZ179-SUM($AY$44:AY179),"")</f>
        <v>11234.445788323173</v>
      </c>
      <c r="BB179" s="11">
        <f t="shared" si="165"/>
        <v>20</v>
      </c>
      <c r="BC179" s="11">
        <f>IF(AQ179&lt;&gt;"",IF($B$16=listy!$K$8,'RZĄDOWY PROGRAM'!$F$3*'RZĄDOWY PROGRAM'!$F$15,AV178*$F$15),"")</f>
        <v>50</v>
      </c>
      <c r="BD179" s="11">
        <f t="shared" si="166"/>
        <v>70</v>
      </c>
      <c r="BF179" s="8">
        <f t="shared" si="167"/>
        <v>152</v>
      </c>
      <c r="BG179" s="8"/>
      <c r="BH179" s="78">
        <f>IF(BF179&lt;&gt;"",ROUND(IF($F$11="raty równe",-PMT(W179/12,$F$4-BF178+SUM(BV$28:$BV179)-SUM($BM$29:BM179),BK178,2),BI179+BJ179),2),"")</f>
        <v>3522.1</v>
      </c>
      <c r="BI179" s="78">
        <f>IF(BF179&lt;&gt;"",IF($F$11="raty malejące",MIN(BK178/($F$4-BF178+SUM($BG$27:BG179)-SUM($BM$27:BM179)),BK178),MIN(BH179-BJ179,BK178)),"")</f>
        <v>2309.5096900423696</v>
      </c>
      <c r="BJ179" s="78">
        <f t="shared" si="168"/>
        <v>1212.5903099576303</v>
      </c>
      <c r="BK179" s="79">
        <f t="shared" si="169"/>
        <v>164944.32616618247</v>
      </c>
      <c r="BL179" s="11"/>
      <c r="BM179" s="33"/>
      <c r="BN179" s="33">
        <f t="shared" si="181"/>
        <v>0</v>
      </c>
      <c r="BO179" s="33">
        <f t="shared" si="182"/>
        <v>-0.13529634109894187</v>
      </c>
      <c r="BP179" s="33">
        <f>IF(O179&lt;&gt;"",BO179-SUM($BN$44:BN179),"")</f>
        <v>-5.5296341100833618E-2</v>
      </c>
      <c r="BQ179" s="11">
        <f t="shared" si="143"/>
        <v>20</v>
      </c>
      <c r="BR179" s="11">
        <f>IF(BF179&lt;&gt;"",IF($B$16=listy!$K$8,'RZĄDOWY PROGRAM'!$F$3*'RZĄDOWY PROGRAM'!$F$15,BK178*$F$15),"")</f>
        <v>50</v>
      </c>
      <c r="BS179" s="11">
        <f t="shared" si="144"/>
        <v>70</v>
      </c>
      <c r="BU179" s="8">
        <f t="shared" si="170"/>
        <v>152</v>
      </c>
      <c r="BV179" s="8"/>
      <c r="BW179" s="78">
        <f>IF(BU179&lt;&gt;"",ROUND(IF($F$11="raty równe",-PMT(W179/12,$F$4-BU178+SUM($BV$28:BV179)-$CB$43,BZ178,2),BX179+BY179),2),"")</f>
        <v>3522.1</v>
      </c>
      <c r="BX179" s="78">
        <f>IF(BU179&lt;&gt;"",IF($F$11="raty malejące",MIN(BZ178/($F$4-BU178+SUM($BV$28:BV178)-SUM($CB$28:CB178)),BZ178),MIN(BW179-BY179,BZ178)),"")</f>
        <v>2304.4870971864366</v>
      </c>
      <c r="BY179" s="78">
        <f t="shared" si="177"/>
        <v>1217.6129028135631</v>
      </c>
      <c r="BZ179" s="79">
        <f t="shared" si="178"/>
        <v>165642.12018744292</v>
      </c>
      <c r="CA179" s="11"/>
      <c r="CB179" s="33"/>
      <c r="CC179" s="33">
        <f t="shared" si="171"/>
        <v>0</v>
      </c>
      <c r="CD179" s="33">
        <f t="shared" si="183"/>
        <v>0.41298735830359135</v>
      </c>
      <c r="CE179" s="33">
        <f>IF(O179&lt;&gt;"",CD179-SUM($CC$44:CC179),"")</f>
        <v>0.142987358309976</v>
      </c>
      <c r="CF179" s="11">
        <f t="shared" si="145"/>
        <v>20</v>
      </c>
      <c r="CG179" s="11">
        <f>IF(BU179&lt;&gt;"",IF($B$16=listy!$K$8,'RZĄDOWY PROGRAM'!$F$3*'RZĄDOWY PROGRAM'!$F$15,BZ178*$F$15),"")</f>
        <v>50</v>
      </c>
      <c r="CH179" s="11">
        <f t="shared" si="146"/>
        <v>70</v>
      </c>
      <c r="CJ179" s="48">
        <f t="shared" si="147"/>
        <v>0.06</v>
      </c>
      <c r="CK179" s="18">
        <f t="shared" si="148"/>
        <v>4.8675505653430484E-3</v>
      </c>
      <c r="CL179" s="11">
        <f t="shared" si="179"/>
        <v>0</v>
      </c>
      <c r="CM179" s="11">
        <f t="shared" si="149"/>
        <v>49762.984716253428</v>
      </c>
      <c r="CN179" s="11">
        <f>IF(AB179&lt;&gt;"",CM179-SUM($CL$28:CL179),"")</f>
        <v>21586.224716253433</v>
      </c>
    </row>
    <row r="180" spans="1:92" x14ac:dyDescent="0.45">
      <c r="A180" s="68">
        <f t="shared" si="172"/>
        <v>49369</v>
      </c>
      <c r="B180" s="8">
        <f t="shared" si="132"/>
        <v>153</v>
      </c>
      <c r="C180" s="11">
        <f t="shared" si="133"/>
        <v>3522.09</v>
      </c>
      <c r="D180" s="11">
        <f t="shared" si="134"/>
        <v>1865.182793048032</v>
      </c>
      <c r="E180" s="11">
        <f t="shared" si="135"/>
        <v>1656.9072069519682</v>
      </c>
      <c r="F180" s="9">
        <f t="shared" si="150"/>
        <v>226673.74230377516</v>
      </c>
      <c r="G180" s="10">
        <f t="shared" si="136"/>
        <v>7.0000000000000007E-2</v>
      </c>
      <c r="H180" s="10">
        <f t="shared" si="137"/>
        <v>1.7000000000000001E-2</v>
      </c>
      <c r="I180" s="48">
        <f t="shared" si="151"/>
        <v>8.7000000000000008E-2</v>
      </c>
      <c r="J180" s="11">
        <f t="shared" si="138"/>
        <v>20</v>
      </c>
      <c r="K180" s="11">
        <f>IF(B180&lt;&gt;"",IF($B$16=listy!$K$8,'RZĄDOWY PROGRAM'!$F$3*'RZĄDOWY PROGRAM'!$F$15,F179*$F$15),"")</f>
        <v>50</v>
      </c>
      <c r="L180" s="11">
        <f t="shared" si="152"/>
        <v>70</v>
      </c>
      <c r="N180" s="54">
        <f t="shared" si="173"/>
        <v>49369</v>
      </c>
      <c r="O180" s="8">
        <f t="shared" si="153"/>
        <v>153</v>
      </c>
      <c r="P180" s="8"/>
      <c r="Q180" s="11">
        <f>IF(O180&lt;&gt;"",ROUND(IF($F$11="raty równe",-PMT(W180/12,$F$4-O179+SUM($P$28:P180),T179,2),R180+S180),2),"")</f>
        <v>3522.09</v>
      </c>
      <c r="R180" s="11">
        <f>IF(O180&lt;&gt;"",IF($F$11="raty malejące",T179/($F$4-O179+SUM($P$28:P180)),IF(Q180-S180&gt;T179,T179,Q180-S180)),"")</f>
        <v>1760.4476812099128</v>
      </c>
      <c r="S180" s="11">
        <f t="shared" si="175"/>
        <v>1761.6423187900873</v>
      </c>
      <c r="T180" s="9">
        <f t="shared" si="154"/>
        <v>241224.69973811245</v>
      </c>
      <c r="U180" s="10">
        <f t="shared" si="139"/>
        <v>7.0000000000000007E-2</v>
      </c>
      <c r="V180" s="10">
        <f t="shared" si="140"/>
        <v>1.7000000000000001E-2</v>
      </c>
      <c r="W180" s="48">
        <f t="shared" si="155"/>
        <v>8.7000000000000008E-2</v>
      </c>
      <c r="X180" s="11">
        <f t="shared" si="141"/>
        <v>20</v>
      </c>
      <c r="Y180" s="11">
        <f>IF(O180&lt;&gt;"",IF($B$16=listy!$K$8,'RZĄDOWY PROGRAM'!$F$3*'RZĄDOWY PROGRAM'!$F$15,T179*$F$15),"")</f>
        <v>50</v>
      </c>
      <c r="Z180" s="11">
        <f t="shared" si="156"/>
        <v>70</v>
      </c>
      <c r="AB180" s="8">
        <f t="shared" si="157"/>
        <v>153</v>
      </c>
      <c r="AC180" s="8"/>
      <c r="AD180" s="11">
        <f>IF(AB180&lt;&gt;"",ROUND(IF($F$11="raty równe",-PMT(W180/12,$F$4-AB179+SUM($AC$28:AC180),AG179,2),AE180+AF180),2),"")</f>
        <v>3280.4</v>
      </c>
      <c r="AE180" s="11">
        <f>IF(AB180&lt;&gt;"",IF($F$11="raty malejące",AG179/($F$4-AB179+SUM($AC$28:AC179)),MIN(AD180-AF180,AG179)),"")</f>
        <v>1639.6489533032875</v>
      </c>
      <c r="AF180" s="11">
        <f t="shared" si="176"/>
        <v>1640.7510466967126</v>
      </c>
      <c r="AG180" s="9">
        <f t="shared" si="174"/>
        <v>224670.84024624326</v>
      </c>
      <c r="AH180" s="11"/>
      <c r="AI180" s="33">
        <f>IF(AB180&lt;&gt;"",ROUND(IF($F$11="raty równe",-PMT(W180/12,($F$4-AB179+SUM($AC$27:AC179)),AG179,2),AG179/($F$4-AB179+SUM($AC$27:AC179))+AG179*W180/12),2),"")</f>
        <v>3280.4</v>
      </c>
      <c r="AJ180" s="33">
        <f t="shared" si="158"/>
        <v>241.69000000000005</v>
      </c>
      <c r="AK180" s="33">
        <f t="shared" si="142"/>
        <v>47423.629470651533</v>
      </c>
      <c r="AL180" s="33">
        <f>IF(AB180&lt;&gt;"",AK180-SUM($AJ$28:AJ180),"")</f>
        <v>12237.669470651534</v>
      </c>
      <c r="AM180" s="11">
        <f t="shared" si="159"/>
        <v>20</v>
      </c>
      <c r="AN180" s="11">
        <f>IF(AB180&lt;&gt;"",IF($B$16=listy!$K$8,'RZĄDOWY PROGRAM'!$F$3*'RZĄDOWY PROGRAM'!$F$15,AG179*$F$15),"")</f>
        <v>50</v>
      </c>
      <c r="AO180" s="11">
        <f t="shared" si="160"/>
        <v>70</v>
      </c>
      <c r="AQ180" s="8">
        <f t="shared" si="161"/>
        <v>153</v>
      </c>
      <c r="AR180" s="8"/>
      <c r="AS180" s="78">
        <f>IF(AQ180&lt;&gt;"",ROUND(IF($F$11="raty równe",-PMT(W180/12,$F$4-AQ179+SUM($AR$28:AR180),AV179,2),AT180+AU180),2),"")</f>
        <v>3263.82</v>
      </c>
      <c r="AT180" s="78">
        <f>IF(AQ180&lt;&gt;"",IF($F$11="raty malejące",AV179/($F$4-AQ179+SUM($AR$28:AR179)),MIN(AS180-AU180,AV179)),"")</f>
        <v>1631.3568371521308</v>
      </c>
      <c r="AU180" s="78">
        <f t="shared" si="162"/>
        <v>1632.4631628478694</v>
      </c>
      <c r="AV180" s="79">
        <f t="shared" si="163"/>
        <v>223535.97596945055</v>
      </c>
      <c r="AW180" s="11"/>
      <c r="AX180" s="33">
        <f>IF(AQ180&lt;&gt;"",ROUND(IF($F$11="raty równe",-PMT(W180/12,($F$4-AQ179+SUM($AR$27:AR179)),AV179,2),AV179/($F$4-AQ179+SUM($AR$27:AR179))+AV179*W180/12),2),"")</f>
        <v>3263.82</v>
      </c>
      <c r="AY180" s="33">
        <f t="shared" si="164"/>
        <v>258.27</v>
      </c>
      <c r="AZ180" s="33">
        <f t="shared" si="180"/>
        <v>46800.206771645877</v>
      </c>
      <c r="BA180" s="33">
        <f>IF(AQ180&lt;&gt;"",AZ180-SUM($AY$44:AY180),"")</f>
        <v>11417.226771645866</v>
      </c>
      <c r="BB180" s="11">
        <f t="shared" si="165"/>
        <v>20</v>
      </c>
      <c r="BC180" s="11">
        <f>IF(AQ180&lt;&gt;"",IF($B$16=listy!$K$8,'RZĄDOWY PROGRAM'!$F$3*'RZĄDOWY PROGRAM'!$F$15,AV179*$F$15),"")</f>
        <v>50</v>
      </c>
      <c r="BD180" s="11">
        <f t="shared" si="166"/>
        <v>70</v>
      </c>
      <c r="BF180" s="8">
        <f t="shared" si="167"/>
        <v>153</v>
      </c>
      <c r="BG180" s="8"/>
      <c r="BH180" s="78">
        <f>IF(BF180&lt;&gt;"",ROUND(IF($F$11="raty równe",-PMT(W180/12,$F$4-BF179+SUM(BV$28:$BV180)-SUM($BM$29:BM180),BK179,2),BI180+BJ180),2),"")</f>
        <v>3522.1</v>
      </c>
      <c r="BI180" s="78">
        <f>IF(BF180&lt;&gt;"",IF($F$11="raty malejące",MIN(BK179/($F$4-BF179+SUM($BG$27:BG180)-SUM($BM$27:BM180)),BK179),MIN(BH180-BJ180,BK179)),"")</f>
        <v>2326.253635295177</v>
      </c>
      <c r="BJ180" s="78">
        <f t="shared" si="168"/>
        <v>1195.8463647048229</v>
      </c>
      <c r="BK180" s="79">
        <f t="shared" si="169"/>
        <v>162618.07253088729</v>
      </c>
      <c r="BL180" s="11"/>
      <c r="BM180" s="33"/>
      <c r="BN180" s="33">
        <f t="shared" si="181"/>
        <v>-9.9999999997635314E-3</v>
      </c>
      <c r="BO180" s="33">
        <f t="shared" si="182"/>
        <v>-0.14582977614180545</v>
      </c>
      <c r="BP180" s="33">
        <f>IF(O180&lt;&gt;"",BO180-SUM($BN$44:BN180),"")</f>
        <v>-5.5829776143933668E-2</v>
      </c>
      <c r="BQ180" s="11">
        <f t="shared" si="143"/>
        <v>20</v>
      </c>
      <c r="BR180" s="11">
        <f>IF(BF180&lt;&gt;"",IF($B$16=listy!$K$8,'RZĄDOWY PROGRAM'!$F$3*'RZĄDOWY PROGRAM'!$F$15,BK179*$F$15),"")</f>
        <v>50</v>
      </c>
      <c r="BS180" s="11">
        <f t="shared" si="144"/>
        <v>70</v>
      </c>
      <c r="BU180" s="8">
        <f t="shared" si="170"/>
        <v>153</v>
      </c>
      <c r="BV180" s="8"/>
      <c r="BW180" s="78">
        <f>IF(BU180&lt;&gt;"",ROUND(IF($F$11="raty równe",-PMT(W180/12,$F$4-BU179+SUM($BV$28:BV180)-$CB$43,BZ179,2),BX180+BY180),2),"")</f>
        <v>3522.1</v>
      </c>
      <c r="BX180" s="78">
        <f>IF(BU180&lt;&gt;"",IF($F$11="raty malejące",MIN(BZ179/($F$4-BU179+SUM($BV$28:BV179)-SUM($CB$28:CB179)),BZ179),MIN(BW180-BY180,BZ179)),"")</f>
        <v>2321.1946286410384</v>
      </c>
      <c r="BY180" s="78">
        <f t="shared" si="177"/>
        <v>1200.9053713589612</v>
      </c>
      <c r="BZ180" s="79">
        <f t="shared" si="178"/>
        <v>163320.92555880189</v>
      </c>
      <c r="CA180" s="11"/>
      <c r="CB180" s="33"/>
      <c r="CC180" s="33">
        <f t="shared" si="171"/>
        <v>-9.9999999997635314E-3</v>
      </c>
      <c r="CD180" s="33">
        <f t="shared" si="183"/>
        <v>0.40461565015183387</v>
      </c>
      <c r="CE180" s="33">
        <f>IF(O180&lt;&gt;"",CD180-SUM($CC$44:CC180),"")</f>
        <v>0.14461565015798206</v>
      </c>
      <c r="CF180" s="11">
        <f t="shared" si="145"/>
        <v>20</v>
      </c>
      <c r="CG180" s="11">
        <f>IF(BU180&lt;&gt;"",IF($B$16=listy!$K$8,'RZĄDOWY PROGRAM'!$F$3*'RZĄDOWY PROGRAM'!$F$15,BZ179*$F$15),"")</f>
        <v>50</v>
      </c>
      <c r="CH180" s="11">
        <f t="shared" si="146"/>
        <v>70</v>
      </c>
      <c r="CJ180" s="48">
        <f t="shared" si="147"/>
        <v>0.06</v>
      </c>
      <c r="CK180" s="18">
        <f t="shared" si="148"/>
        <v>4.8675505653430484E-3</v>
      </c>
      <c r="CL180" s="11">
        <f t="shared" si="179"/>
        <v>0</v>
      </c>
      <c r="CM180" s="11">
        <f t="shared" si="149"/>
        <v>49959.186030208322</v>
      </c>
      <c r="CN180" s="11">
        <f>IF(AB180&lt;&gt;"",CM180-SUM($CL$28:CL180),"")</f>
        <v>21782.426030208328</v>
      </c>
    </row>
    <row r="181" spans="1:92" x14ac:dyDescent="0.45">
      <c r="A181" s="68">
        <f t="shared" si="172"/>
        <v>49400</v>
      </c>
      <c r="B181" s="8">
        <f t="shared" si="132"/>
        <v>154</v>
      </c>
      <c r="C181" s="11">
        <f t="shared" si="133"/>
        <v>3522.1</v>
      </c>
      <c r="D181" s="11">
        <f t="shared" si="134"/>
        <v>1878.71536829763</v>
      </c>
      <c r="E181" s="11">
        <f t="shared" si="135"/>
        <v>1643.3846317023699</v>
      </c>
      <c r="F181" s="9">
        <f t="shared" si="150"/>
        <v>224795.02693547754</v>
      </c>
      <c r="G181" s="10">
        <f t="shared" si="136"/>
        <v>7.0000000000000007E-2</v>
      </c>
      <c r="H181" s="10">
        <f t="shared" si="137"/>
        <v>1.7000000000000001E-2</v>
      </c>
      <c r="I181" s="48">
        <f t="shared" si="151"/>
        <v>8.7000000000000008E-2</v>
      </c>
      <c r="J181" s="11">
        <f t="shared" si="138"/>
        <v>20</v>
      </c>
      <c r="K181" s="11">
        <f>IF(B181&lt;&gt;"",IF($B$16=listy!$K$8,'RZĄDOWY PROGRAM'!$F$3*'RZĄDOWY PROGRAM'!$F$15,F180*$F$15),"")</f>
        <v>50</v>
      </c>
      <c r="L181" s="11">
        <f t="shared" si="152"/>
        <v>70</v>
      </c>
      <c r="N181" s="54">
        <f t="shared" si="173"/>
        <v>49400</v>
      </c>
      <c r="O181" s="8">
        <f t="shared" si="153"/>
        <v>154</v>
      </c>
      <c r="P181" s="8"/>
      <c r="Q181" s="11">
        <f>IF(O181&lt;&gt;"",ROUND(IF($F$11="raty równe",-PMT(W181/12,$F$4-O180+SUM($P$28:P181),T180,2),R181+S181),2),"")</f>
        <v>3522.1</v>
      </c>
      <c r="R181" s="11">
        <f>IF(O181&lt;&gt;"",IF($F$11="raty malejące",T180/($F$4-O180+SUM($P$28:P181)),IF(Q181-S181&gt;T180,T180,Q181-S181)),"")</f>
        <v>1773.2209268986846</v>
      </c>
      <c r="S181" s="11">
        <f t="shared" si="175"/>
        <v>1748.8790731013153</v>
      </c>
      <c r="T181" s="9">
        <f t="shared" si="154"/>
        <v>239451.47881121378</v>
      </c>
      <c r="U181" s="10">
        <f t="shared" si="139"/>
        <v>7.0000000000000007E-2</v>
      </c>
      <c r="V181" s="10">
        <f t="shared" si="140"/>
        <v>1.7000000000000001E-2</v>
      </c>
      <c r="W181" s="48">
        <f t="shared" si="155"/>
        <v>8.7000000000000008E-2</v>
      </c>
      <c r="X181" s="11">
        <f t="shared" si="141"/>
        <v>20</v>
      </c>
      <c r="Y181" s="11">
        <f>IF(O181&lt;&gt;"",IF($B$16=listy!$K$8,'RZĄDOWY PROGRAM'!$F$3*'RZĄDOWY PROGRAM'!$F$15,T180*$F$15),"")</f>
        <v>50</v>
      </c>
      <c r="Z181" s="11">
        <f t="shared" si="156"/>
        <v>70</v>
      </c>
      <c r="AB181" s="8">
        <f t="shared" si="157"/>
        <v>154</v>
      </c>
      <c r="AC181" s="8"/>
      <c r="AD181" s="11">
        <f>IF(AB181&lt;&gt;"",ROUND(IF($F$11="raty równe",-PMT(W181/12,$F$4-AB180+SUM($AC$28:AC181),AG180,2),AE181+AF181),2),"")</f>
        <v>3280.39</v>
      </c>
      <c r="AE181" s="11">
        <f>IF(AB181&lt;&gt;"",IF($F$11="raty malejące",AG180/($F$4-AB180+SUM($AC$28:AC180)),MIN(AD181-AF181,AG180)),"")</f>
        <v>1651.5264082147362</v>
      </c>
      <c r="AF181" s="11">
        <f t="shared" si="176"/>
        <v>1628.8635917852637</v>
      </c>
      <c r="AG181" s="9">
        <f t="shared" si="174"/>
        <v>223019.31383802852</v>
      </c>
      <c r="AH181" s="11"/>
      <c r="AI181" s="33">
        <f>IF(AB181&lt;&gt;"",ROUND(IF($F$11="raty równe",-PMT(W181/12,($F$4-AB180+SUM($AC$27:AC180)),AG180,2),AG180/($F$4-AB180+SUM($AC$27:AC180))+AG180*W181/12),2),"")</f>
        <v>3280.39</v>
      </c>
      <c r="AJ181" s="33">
        <f t="shared" si="158"/>
        <v>241.71000000000004</v>
      </c>
      <c r="AK181" s="33">
        <f t="shared" si="142"/>
        <v>47852.317371348334</v>
      </c>
      <c r="AL181" s="33">
        <f>IF(AB181&lt;&gt;"",AK181-SUM($AJ$28:AJ181),"")</f>
        <v>12424.647371348336</v>
      </c>
      <c r="AM181" s="11">
        <f t="shared" si="159"/>
        <v>20</v>
      </c>
      <c r="AN181" s="11">
        <f>IF(AB181&lt;&gt;"",IF($B$16=listy!$K$8,'RZĄDOWY PROGRAM'!$F$3*'RZĄDOWY PROGRAM'!$F$15,AG180*$F$15),"")</f>
        <v>50</v>
      </c>
      <c r="AO181" s="11">
        <f t="shared" si="160"/>
        <v>70</v>
      </c>
      <c r="AQ181" s="8">
        <f t="shared" si="161"/>
        <v>154</v>
      </c>
      <c r="AR181" s="8"/>
      <c r="AS181" s="78">
        <f>IF(AQ181&lt;&gt;"",ROUND(IF($F$11="raty równe",-PMT(W181/12,$F$4-AQ180+SUM($AR$28:AR181),AV180,2),AT181+AU181),2),"")</f>
        <v>3263.83</v>
      </c>
      <c r="AT181" s="78">
        <f>IF(AQ181&lt;&gt;"",IF($F$11="raty malejące",AV180/($F$4-AQ180+SUM($AR$28:AR180)),MIN(AS181-AU181,AV180)),"")</f>
        <v>1643.1941742214833</v>
      </c>
      <c r="AU181" s="78">
        <f t="shared" si="162"/>
        <v>1620.6358257785166</v>
      </c>
      <c r="AV181" s="79">
        <f t="shared" si="163"/>
        <v>221892.78179522906</v>
      </c>
      <c r="AW181" s="11"/>
      <c r="AX181" s="33">
        <f>IF(AQ181&lt;&gt;"",ROUND(IF($F$11="raty równe",-PMT(W181/12,($F$4-AQ180+SUM($AR$27:AR180)),AV180,2),AV180/($F$4-AQ180+SUM($AR$27:AR180))+AV180*W181/12),2),"")</f>
        <v>3263.83</v>
      </c>
      <c r="AY181" s="33">
        <f t="shared" si="164"/>
        <v>258.27</v>
      </c>
      <c r="AZ181" s="33">
        <f t="shared" si="180"/>
        <v>47242.996693718771</v>
      </c>
      <c r="BA181" s="33">
        <f>IF(AQ181&lt;&gt;"",AZ181-SUM($AY$44:AY181),"")</f>
        <v>11601.746693718764</v>
      </c>
      <c r="BB181" s="11">
        <f t="shared" si="165"/>
        <v>20</v>
      </c>
      <c r="BC181" s="11">
        <f>IF(AQ181&lt;&gt;"",IF($B$16=listy!$K$8,'RZĄDOWY PROGRAM'!$F$3*'RZĄDOWY PROGRAM'!$F$15,AV180*$F$15),"")</f>
        <v>50</v>
      </c>
      <c r="BD181" s="11">
        <f t="shared" si="166"/>
        <v>70</v>
      </c>
      <c r="BF181" s="8">
        <f t="shared" si="167"/>
        <v>154</v>
      </c>
      <c r="BG181" s="8"/>
      <c r="BH181" s="78">
        <f>IF(BF181&lt;&gt;"",ROUND(IF($F$11="raty równe",-PMT(W181/12,$F$4-BF180+SUM(BV$28:$BV181)-SUM($BM$29:BM181),BK180,2),BI181+BJ181),2),"")</f>
        <v>3522.09</v>
      </c>
      <c r="BI181" s="78">
        <f>IF(BF181&lt;&gt;"",IF($F$11="raty malejące",MIN(BK180/($F$4-BF180+SUM($BG$27:BG181)-SUM($BM$27:BM181)),BK180),MIN(BH181-BJ181,BK180)),"")</f>
        <v>2343.1089741510668</v>
      </c>
      <c r="BJ181" s="78">
        <f t="shared" si="168"/>
        <v>1178.9810258489331</v>
      </c>
      <c r="BK181" s="79">
        <f t="shared" si="169"/>
        <v>160274.96355673621</v>
      </c>
      <c r="BL181" s="11"/>
      <c r="BM181" s="33"/>
      <c r="BN181" s="33">
        <f t="shared" si="181"/>
        <v>9.9999999997635314E-3</v>
      </c>
      <c r="BO181" s="33">
        <f t="shared" si="182"/>
        <v>-0.13640474152757728</v>
      </c>
      <c r="BP181" s="33">
        <f>IF(O181&lt;&gt;"",BO181-SUM($BN$44:BN181),"")</f>
        <v>-5.6404741529469032E-2</v>
      </c>
      <c r="BQ181" s="11">
        <f t="shared" si="143"/>
        <v>20</v>
      </c>
      <c r="BR181" s="11">
        <f>IF(BF181&lt;&gt;"",IF($B$16=listy!$K$8,'RZĄDOWY PROGRAM'!$F$3*'RZĄDOWY PROGRAM'!$F$15,BK180*$F$15),"")</f>
        <v>50</v>
      </c>
      <c r="BS181" s="11">
        <f t="shared" si="144"/>
        <v>70</v>
      </c>
      <c r="BU181" s="8">
        <f t="shared" si="170"/>
        <v>154</v>
      </c>
      <c r="BV181" s="8"/>
      <c r="BW181" s="78">
        <f>IF(BU181&lt;&gt;"",ROUND(IF($F$11="raty równe",-PMT(W181/12,$F$4-BU180+SUM($BV$28:BV181)-$CB$43,BZ180,2),BX181+BY181),2),"")</f>
        <v>3522.09</v>
      </c>
      <c r="BX181" s="78">
        <f>IF(BU181&lt;&gt;"",IF($F$11="raty malejące",MIN(BZ180/($F$4-BU180+SUM($BV$28:BV180)-SUM($CB$28:CB180)),BZ180),MIN(BW181-BY181,BZ180)),"")</f>
        <v>2338.0132896986861</v>
      </c>
      <c r="BY181" s="78">
        <f t="shared" si="177"/>
        <v>1184.0767103013138</v>
      </c>
      <c r="BZ181" s="79">
        <f t="shared" si="178"/>
        <v>160982.9122691032</v>
      </c>
      <c r="CA181" s="11"/>
      <c r="CB181" s="33"/>
      <c r="CC181" s="33">
        <f t="shared" si="171"/>
        <v>9.9999999997635314E-3</v>
      </c>
      <c r="CD181" s="33">
        <f t="shared" si="183"/>
        <v>0.41621093473227844</v>
      </c>
      <c r="CE181" s="33">
        <f>IF(O181&lt;&gt;"",CD181-SUM($CC$44:CC181),"")</f>
        <v>0.14621093473866309</v>
      </c>
      <c r="CF181" s="11">
        <f t="shared" si="145"/>
        <v>20</v>
      </c>
      <c r="CG181" s="11">
        <f>IF(BU181&lt;&gt;"",IF($B$16=listy!$K$8,'RZĄDOWY PROGRAM'!$F$3*'RZĄDOWY PROGRAM'!$F$15,BZ180*$F$15),"")</f>
        <v>50</v>
      </c>
      <c r="CH181" s="11">
        <f t="shared" si="146"/>
        <v>70</v>
      </c>
      <c r="CJ181" s="48">
        <f t="shared" si="147"/>
        <v>0.06</v>
      </c>
      <c r="CK181" s="18">
        <f t="shared" si="148"/>
        <v>4.8675505653430484E-3</v>
      </c>
      <c r="CL181" s="11">
        <f t="shared" si="179"/>
        <v>0</v>
      </c>
      <c r="CM181" s="11">
        <f t="shared" si="149"/>
        <v>50156.160910214712</v>
      </c>
      <c r="CN181" s="11">
        <f>IF(AB181&lt;&gt;"",CM181-SUM($CL$28:CL181),"")</f>
        <v>21979.400910214717</v>
      </c>
    </row>
    <row r="182" spans="1:92" x14ac:dyDescent="0.45">
      <c r="A182" s="68">
        <f t="shared" si="172"/>
        <v>49430</v>
      </c>
      <c r="B182" s="8">
        <f t="shared" si="132"/>
        <v>155</v>
      </c>
      <c r="C182" s="11">
        <f t="shared" si="133"/>
        <v>3522.09</v>
      </c>
      <c r="D182" s="11">
        <f t="shared" si="134"/>
        <v>1892.3260547177879</v>
      </c>
      <c r="E182" s="11">
        <f t="shared" si="135"/>
        <v>1629.7639452822123</v>
      </c>
      <c r="F182" s="9">
        <f t="shared" si="150"/>
        <v>222902.70088075974</v>
      </c>
      <c r="G182" s="10">
        <f t="shared" si="136"/>
        <v>7.0000000000000007E-2</v>
      </c>
      <c r="H182" s="10">
        <f t="shared" si="137"/>
        <v>1.7000000000000001E-2</v>
      </c>
      <c r="I182" s="48">
        <f t="shared" si="151"/>
        <v>8.7000000000000008E-2</v>
      </c>
      <c r="J182" s="11">
        <f t="shared" si="138"/>
        <v>20</v>
      </c>
      <c r="K182" s="11">
        <f>IF(B182&lt;&gt;"",IF($B$16=listy!$K$8,'RZĄDOWY PROGRAM'!$F$3*'RZĄDOWY PROGRAM'!$F$15,F181*$F$15),"")</f>
        <v>50</v>
      </c>
      <c r="L182" s="11">
        <f t="shared" si="152"/>
        <v>70</v>
      </c>
      <c r="N182" s="54">
        <f t="shared" si="173"/>
        <v>49430</v>
      </c>
      <c r="O182" s="8">
        <f t="shared" si="153"/>
        <v>155</v>
      </c>
      <c r="P182" s="8"/>
      <c r="Q182" s="11">
        <f>IF(O182&lt;&gt;"",ROUND(IF($F$11="raty równe",-PMT(W182/12,$F$4-O181+SUM($P$28:P182),T181,2),R182+S182),2),"")</f>
        <v>3522.09</v>
      </c>
      <c r="R182" s="11">
        <f>IF(O182&lt;&gt;"",IF($F$11="raty malejące",T181/($F$4-O181+SUM($P$28:P182)),IF(Q182-S182&gt;T181,T181,Q182-S182)),"")</f>
        <v>1786.0667786187003</v>
      </c>
      <c r="S182" s="11">
        <f t="shared" si="175"/>
        <v>1736.0232213812999</v>
      </c>
      <c r="T182" s="9">
        <f t="shared" si="154"/>
        <v>237665.41203259508</v>
      </c>
      <c r="U182" s="10">
        <f t="shared" si="139"/>
        <v>7.0000000000000007E-2</v>
      </c>
      <c r="V182" s="10">
        <f t="shared" si="140"/>
        <v>1.7000000000000001E-2</v>
      </c>
      <c r="W182" s="48">
        <f t="shared" si="155"/>
        <v>8.7000000000000008E-2</v>
      </c>
      <c r="X182" s="11">
        <f t="shared" si="141"/>
        <v>20</v>
      </c>
      <c r="Y182" s="11">
        <f>IF(O182&lt;&gt;"",IF($B$16=listy!$K$8,'RZĄDOWY PROGRAM'!$F$3*'RZĄDOWY PROGRAM'!$F$15,T181*$F$15),"")</f>
        <v>50</v>
      </c>
      <c r="Z182" s="11">
        <f t="shared" si="156"/>
        <v>70</v>
      </c>
      <c r="AB182" s="8">
        <f t="shared" si="157"/>
        <v>155</v>
      </c>
      <c r="AC182" s="8"/>
      <c r="AD182" s="11">
        <f>IF(AB182&lt;&gt;"",ROUND(IF($F$11="raty równe",-PMT(W182/12,$F$4-AB181+SUM($AC$28:AC182),AG181,2),AE182+AF182),2),"")</f>
        <v>3280.4</v>
      </c>
      <c r="AE182" s="11">
        <f>IF(AB182&lt;&gt;"",IF($F$11="raty malejące",AG181/($F$4-AB181+SUM($AC$28:AC181)),MIN(AD182-AF182,AG181)),"")</f>
        <v>1663.5099746742931</v>
      </c>
      <c r="AF182" s="11">
        <f t="shared" si="176"/>
        <v>1616.890025325707</v>
      </c>
      <c r="AG182" s="9">
        <f t="shared" si="174"/>
        <v>221355.80386335423</v>
      </c>
      <c r="AH182" s="11"/>
      <c r="AI182" s="33">
        <f>IF(AB182&lt;&gt;"",ROUND(IF($F$11="raty równe",-PMT(W182/12,($F$4-AB181+SUM($AC$27:AC181)),AG181,2),AG181/($F$4-AB181+SUM($AC$27:AC181))+AG181*W182/12),2),"")</f>
        <v>3280.4</v>
      </c>
      <c r="AJ182" s="33">
        <f t="shared" si="158"/>
        <v>241.69000000000005</v>
      </c>
      <c r="AK182" s="33">
        <f t="shared" si="142"/>
        <v>48282.675466672183</v>
      </c>
      <c r="AL182" s="33">
        <f>IF(AB182&lt;&gt;"",AK182-SUM($AJ$28:AJ182),"")</f>
        <v>12613.315466672182</v>
      </c>
      <c r="AM182" s="11">
        <f t="shared" si="159"/>
        <v>20</v>
      </c>
      <c r="AN182" s="11">
        <f>IF(AB182&lt;&gt;"",IF($B$16=listy!$K$8,'RZĄDOWY PROGRAM'!$F$3*'RZĄDOWY PROGRAM'!$F$15,AG181*$F$15),"")</f>
        <v>50</v>
      </c>
      <c r="AO182" s="11">
        <f t="shared" si="160"/>
        <v>70</v>
      </c>
      <c r="AQ182" s="8">
        <f t="shared" si="161"/>
        <v>155</v>
      </c>
      <c r="AR182" s="8"/>
      <c r="AS182" s="78">
        <f>IF(AQ182&lt;&gt;"",ROUND(IF($F$11="raty równe",-PMT(W182/12,$F$4-AQ181+SUM($AR$28:AR182),AV181,2),AT182+AU182),2),"")</f>
        <v>3263.82</v>
      </c>
      <c r="AT182" s="78">
        <f>IF(AQ182&lt;&gt;"",IF($F$11="raty malejące",AV181/($F$4-AQ181+SUM($AR$28:AR181)),MIN(AS182-AU182,AV181)),"")</f>
        <v>1655.0973319845893</v>
      </c>
      <c r="AU182" s="78">
        <f t="shared" si="162"/>
        <v>1608.7226680154108</v>
      </c>
      <c r="AV182" s="79">
        <f t="shared" si="163"/>
        <v>220237.68446324448</v>
      </c>
      <c r="AW182" s="11"/>
      <c r="AX182" s="33">
        <f>IF(AQ182&lt;&gt;"",ROUND(IF($F$11="raty równe",-PMT(W182/12,($F$4-AQ181+SUM($AR$27:AR181)),AV181,2),AV181/($F$4-AQ181+SUM($AR$27:AR181))+AV181*W182/12),2),"")</f>
        <v>3263.82</v>
      </c>
      <c r="AY182" s="33">
        <f t="shared" si="164"/>
        <v>258.27</v>
      </c>
      <c r="AZ182" s="33">
        <f t="shared" si="180"/>
        <v>47687.53241068343</v>
      </c>
      <c r="BA182" s="33">
        <f>IF(AQ182&lt;&gt;"",AZ182-SUM($AY$44:AY182),"")</f>
        <v>11788.012410683426</v>
      </c>
      <c r="BB182" s="11">
        <f t="shared" si="165"/>
        <v>20</v>
      </c>
      <c r="BC182" s="11">
        <f>IF(AQ182&lt;&gt;"",IF($B$16=listy!$K$8,'RZĄDOWY PROGRAM'!$F$3*'RZĄDOWY PROGRAM'!$F$15,AV181*$F$15),"")</f>
        <v>50</v>
      </c>
      <c r="BD182" s="11">
        <f t="shared" si="166"/>
        <v>70</v>
      </c>
      <c r="BF182" s="8">
        <f t="shared" si="167"/>
        <v>155</v>
      </c>
      <c r="BG182" s="8"/>
      <c r="BH182" s="78">
        <f>IF(BF182&lt;&gt;"",ROUND(IF($F$11="raty równe",-PMT(W182/12,$F$4-BF181+SUM(BV$28:$BV182)-SUM($BM$29:BM182),BK181,2),BI182+BJ182),2),"")</f>
        <v>3522.09</v>
      </c>
      <c r="BI182" s="78">
        <f>IF(BF182&lt;&gt;"",IF($F$11="raty malejące",MIN(BK181/($F$4-BF181+SUM($BG$27:BG182)-SUM($BM$27:BM182)),BK181),MIN(BH182-BJ182,BK181)),"")</f>
        <v>2360.0965142136624</v>
      </c>
      <c r="BJ182" s="78">
        <f t="shared" si="168"/>
        <v>1161.9934857863377</v>
      </c>
      <c r="BK182" s="79">
        <f t="shared" si="169"/>
        <v>157914.86704252256</v>
      </c>
      <c r="BL182" s="11"/>
      <c r="BM182" s="33"/>
      <c r="BN182" s="33">
        <f t="shared" si="181"/>
        <v>0</v>
      </c>
      <c r="BO182" s="33">
        <f t="shared" si="182"/>
        <v>-0.13694254667873509</v>
      </c>
      <c r="BP182" s="33">
        <f>IF(O182&lt;&gt;"",BO182-SUM($BN$44:BN182),"")</f>
        <v>-5.6942546680626843E-2</v>
      </c>
      <c r="BQ182" s="11">
        <f t="shared" si="143"/>
        <v>20</v>
      </c>
      <c r="BR182" s="11">
        <f>IF(BF182&lt;&gt;"",IF($B$16=listy!$K$8,'RZĄDOWY PROGRAM'!$F$3*'RZĄDOWY PROGRAM'!$F$15,BK181*$F$15),"")</f>
        <v>50</v>
      </c>
      <c r="BS182" s="11">
        <f t="shared" si="144"/>
        <v>70</v>
      </c>
      <c r="BU182" s="8">
        <f t="shared" si="170"/>
        <v>155</v>
      </c>
      <c r="BV182" s="8"/>
      <c r="BW182" s="78">
        <f>IF(BU182&lt;&gt;"",ROUND(IF($F$11="raty równe",-PMT(W182/12,$F$4-BU181+SUM($BV$28:BV182)-$CB$43,BZ181,2),BX182+BY182),2),"")</f>
        <v>3522.09</v>
      </c>
      <c r="BX182" s="78">
        <f>IF(BU182&lt;&gt;"",IF($F$11="raty malejące",MIN(BZ181/($F$4-BU181+SUM($BV$28:BV181)-SUM($CB$28:CB181)),BZ181),MIN(BW182-BY182,BZ181)),"")</f>
        <v>2354.9638860490022</v>
      </c>
      <c r="BY182" s="78">
        <f t="shared" si="177"/>
        <v>1167.1261139509982</v>
      </c>
      <c r="BZ182" s="79">
        <f t="shared" si="178"/>
        <v>158627.9483830542</v>
      </c>
      <c r="CA182" s="11"/>
      <c r="CB182" s="33"/>
      <c r="CC182" s="33">
        <f t="shared" si="171"/>
        <v>0</v>
      </c>
      <c r="CD182" s="33">
        <f t="shared" si="183"/>
        <v>0.41785193622651151</v>
      </c>
      <c r="CE182" s="33">
        <f>IF(O182&lt;&gt;"",CD182-SUM($CC$44:CC182),"")</f>
        <v>0.14785193623289616</v>
      </c>
      <c r="CF182" s="11">
        <f t="shared" si="145"/>
        <v>20</v>
      </c>
      <c r="CG182" s="11">
        <f>IF(BU182&lt;&gt;"",IF($B$16=listy!$K$8,'RZĄDOWY PROGRAM'!$F$3*'RZĄDOWY PROGRAM'!$F$15,BZ181*$F$15),"")</f>
        <v>50</v>
      </c>
      <c r="CH182" s="11">
        <f t="shared" si="146"/>
        <v>70</v>
      </c>
      <c r="CJ182" s="48">
        <f t="shared" si="147"/>
        <v>0.06</v>
      </c>
      <c r="CK182" s="18">
        <f t="shared" si="148"/>
        <v>4.8675505653430484E-3</v>
      </c>
      <c r="CL182" s="11">
        <f t="shared" si="179"/>
        <v>0</v>
      </c>
      <c r="CM182" s="11">
        <f t="shared" si="149"/>
        <v>50353.912406223819</v>
      </c>
      <c r="CN182" s="11">
        <f>IF(AB182&lt;&gt;"",CM182-SUM($CL$28:CL182),"")</f>
        <v>22177.152406223824</v>
      </c>
    </row>
    <row r="183" spans="1:92" x14ac:dyDescent="0.45">
      <c r="A183" s="68">
        <f t="shared" si="172"/>
        <v>49461</v>
      </c>
      <c r="B183" s="8">
        <f t="shared" si="132"/>
        <v>156</v>
      </c>
      <c r="C183" s="11">
        <f t="shared" si="133"/>
        <v>3522.1</v>
      </c>
      <c r="D183" s="11">
        <f t="shared" si="134"/>
        <v>1906.0554186144916</v>
      </c>
      <c r="E183" s="11">
        <f t="shared" si="135"/>
        <v>1616.0445813855083</v>
      </c>
      <c r="F183" s="9">
        <f t="shared" si="150"/>
        <v>220996.64546214524</v>
      </c>
      <c r="G183" s="10">
        <f t="shared" si="136"/>
        <v>7.0000000000000007E-2</v>
      </c>
      <c r="H183" s="10">
        <f t="shared" si="137"/>
        <v>1.7000000000000001E-2</v>
      </c>
      <c r="I183" s="48">
        <f t="shared" si="151"/>
        <v>8.7000000000000008E-2</v>
      </c>
      <c r="J183" s="11">
        <f t="shared" si="138"/>
        <v>20</v>
      </c>
      <c r="K183" s="11">
        <f>IF(B183&lt;&gt;"",IF($B$16=listy!$K$8,'RZĄDOWY PROGRAM'!$F$3*'RZĄDOWY PROGRAM'!$F$15,F182*$F$15),"")</f>
        <v>50</v>
      </c>
      <c r="L183" s="11">
        <f t="shared" si="152"/>
        <v>70</v>
      </c>
      <c r="N183" s="54">
        <f t="shared" si="173"/>
        <v>49461</v>
      </c>
      <c r="O183" s="8">
        <f t="shared" si="153"/>
        <v>156</v>
      </c>
      <c r="P183" s="8"/>
      <c r="Q183" s="11">
        <f>IF(O183&lt;&gt;"",ROUND(IF($F$11="raty równe",-PMT(W183/12,$F$4-O182+SUM($P$28:P183),T182,2),R183+S183),2),"")</f>
        <v>3522.1</v>
      </c>
      <c r="R183" s="11">
        <f>IF(O183&lt;&gt;"",IF($F$11="raty malejące",T182/($F$4-O182+SUM($P$28:P183)),IF(Q183-S183&gt;T182,T182,Q183-S183)),"")</f>
        <v>1799.0257627636854</v>
      </c>
      <c r="S183" s="11">
        <f t="shared" si="175"/>
        <v>1723.0742372363145</v>
      </c>
      <c r="T183" s="9">
        <f t="shared" si="154"/>
        <v>235866.38626983139</v>
      </c>
      <c r="U183" s="10">
        <f t="shared" si="139"/>
        <v>7.0000000000000007E-2</v>
      </c>
      <c r="V183" s="10">
        <f t="shared" si="140"/>
        <v>1.7000000000000001E-2</v>
      </c>
      <c r="W183" s="48">
        <f t="shared" si="155"/>
        <v>8.7000000000000008E-2</v>
      </c>
      <c r="X183" s="11">
        <f t="shared" si="141"/>
        <v>20</v>
      </c>
      <c r="Y183" s="11">
        <f>IF(O183&lt;&gt;"",IF($B$16=listy!$K$8,'RZĄDOWY PROGRAM'!$F$3*'RZĄDOWY PROGRAM'!$F$15,T182*$F$15),"")</f>
        <v>50</v>
      </c>
      <c r="Z183" s="11">
        <f t="shared" si="156"/>
        <v>70</v>
      </c>
      <c r="AB183" s="8">
        <f t="shared" si="157"/>
        <v>156</v>
      </c>
      <c r="AC183" s="8"/>
      <c r="AD183" s="11">
        <f>IF(AB183&lt;&gt;"",ROUND(IF($F$11="raty równe",-PMT(W183/12,$F$4-AB182+SUM($AC$28:AC183),AG182,2),AE183+AF183),2),"")</f>
        <v>3280.39</v>
      </c>
      <c r="AE183" s="11">
        <f>IF(AB183&lt;&gt;"",IF($F$11="raty malejące",AG182/($F$4-AB182+SUM($AC$28:AC182)),MIN(AD183-AF183,AG182)),"")</f>
        <v>1675.5604219906816</v>
      </c>
      <c r="AF183" s="11">
        <f t="shared" si="176"/>
        <v>1604.8295780093183</v>
      </c>
      <c r="AG183" s="9">
        <f t="shared" si="174"/>
        <v>219680.24344136356</v>
      </c>
      <c r="AH183" s="11"/>
      <c r="AI183" s="33">
        <f>IF(AB183&lt;&gt;"",ROUND(IF($F$11="raty równe",-PMT(W183/12,($F$4-AB182+SUM($AC$27:AC182)),AG182,2),AG182/($F$4-AB182+SUM($AC$27:AC182))+AG182*W183/12),2),"")</f>
        <v>3280.39</v>
      </c>
      <c r="AJ183" s="33">
        <f t="shared" si="158"/>
        <v>241.71000000000004</v>
      </c>
      <c r="AK183" s="33">
        <f t="shared" si="142"/>
        <v>48714.750341726089</v>
      </c>
      <c r="AL183" s="33">
        <f>IF(AB183&lt;&gt;"",AK183-SUM($AJ$28:AJ183),"")</f>
        <v>12803.680341726089</v>
      </c>
      <c r="AM183" s="11">
        <f t="shared" si="159"/>
        <v>20</v>
      </c>
      <c r="AN183" s="11">
        <f>IF(AB183&lt;&gt;"",IF($B$16=listy!$K$8,'RZĄDOWY PROGRAM'!$F$3*'RZĄDOWY PROGRAM'!$F$15,AG182*$F$15),"")</f>
        <v>50</v>
      </c>
      <c r="AO183" s="11">
        <f t="shared" si="160"/>
        <v>70</v>
      </c>
      <c r="AQ183" s="8">
        <f t="shared" si="161"/>
        <v>156</v>
      </c>
      <c r="AR183" s="8"/>
      <c r="AS183" s="78">
        <f>IF(AQ183&lt;&gt;"",ROUND(IF($F$11="raty równe",-PMT(W183/12,$F$4-AQ182+SUM($AR$28:AR183),AV182,2),AT183+AU183),2),"")</f>
        <v>3263.83</v>
      </c>
      <c r="AT183" s="78">
        <f>IF(AQ183&lt;&gt;"",IF($F$11="raty malejące",AV182/($F$4-AQ182+SUM($AR$28:AR182)),MIN(AS183-AU183,AV182)),"")</f>
        <v>1667.1067876414772</v>
      </c>
      <c r="AU183" s="78">
        <f t="shared" si="162"/>
        <v>1596.7232123585227</v>
      </c>
      <c r="AV183" s="79">
        <f t="shared" si="163"/>
        <v>218570.57767560301</v>
      </c>
      <c r="AW183" s="11"/>
      <c r="AX183" s="33">
        <f>IF(AQ183&lt;&gt;"",ROUND(IF($F$11="raty równe",-PMT(W183/12,($F$4-AQ182+SUM($AR$27:AR182)),AV182,2),AV182/($F$4-AQ182+SUM($AR$27:AR182))+AV182*W183/12),2),"")</f>
        <v>3263.83</v>
      </c>
      <c r="AY183" s="33">
        <f t="shared" si="164"/>
        <v>258.27</v>
      </c>
      <c r="AZ183" s="33">
        <f t="shared" si="180"/>
        <v>48133.820805713236</v>
      </c>
      <c r="BA183" s="33">
        <f>IF(AQ183&lt;&gt;"",AZ183-SUM($AY$44:AY183),"")</f>
        <v>11976.030805713235</v>
      </c>
      <c r="BB183" s="11">
        <f t="shared" si="165"/>
        <v>20</v>
      </c>
      <c r="BC183" s="11">
        <f>IF(AQ183&lt;&gt;"",IF($B$16=listy!$K$8,'RZĄDOWY PROGRAM'!$F$3*'RZĄDOWY PROGRAM'!$F$15,AV182*$F$15),"")</f>
        <v>50</v>
      </c>
      <c r="BD183" s="11">
        <f t="shared" si="166"/>
        <v>70</v>
      </c>
      <c r="BF183" s="8">
        <f t="shared" si="167"/>
        <v>156</v>
      </c>
      <c r="BG183" s="8"/>
      <c r="BH183" s="78">
        <f>IF(BF183&lt;&gt;"",ROUND(IF($F$11="raty równe",-PMT(W183/12,$F$4-BF182+SUM(BV$28:$BV183)-SUM($BM$29:BM183),BK182,2),BI183+BJ183),2),"")</f>
        <v>3522.1</v>
      </c>
      <c r="BI183" s="78">
        <f>IF(BF183&lt;&gt;"",IF($F$11="raty malejące",MIN(BK182/($F$4-BF182+SUM($BG$27:BG183)-SUM($BM$27:BM183)),BK182),MIN(BH183-BJ183,BK182)),"")</f>
        <v>2377.2172139417116</v>
      </c>
      <c r="BJ183" s="78">
        <f t="shared" si="168"/>
        <v>1144.8827860582885</v>
      </c>
      <c r="BK183" s="79">
        <f t="shared" si="169"/>
        <v>155537.64982858085</v>
      </c>
      <c r="BL183" s="11"/>
      <c r="BM183" s="33"/>
      <c r="BN183" s="33">
        <f t="shared" si="181"/>
        <v>0</v>
      </c>
      <c r="BO183" s="33">
        <f t="shared" si="182"/>
        <v>-0.13748247224284463</v>
      </c>
      <c r="BP183" s="33">
        <f>IF(O183&lt;&gt;"",BO183-SUM($BN$44:BN183),"")</f>
        <v>-5.7482472244736377E-2</v>
      </c>
      <c r="BQ183" s="11">
        <f t="shared" si="143"/>
        <v>20</v>
      </c>
      <c r="BR183" s="11">
        <f>IF(BF183&lt;&gt;"",IF($B$16=listy!$K$8,'RZĄDOWY PROGRAM'!$F$3*'RZĄDOWY PROGRAM'!$F$15,BK182*$F$15),"")</f>
        <v>50</v>
      </c>
      <c r="BS183" s="11">
        <f t="shared" si="144"/>
        <v>70</v>
      </c>
      <c r="BU183" s="8">
        <f t="shared" si="170"/>
        <v>156</v>
      </c>
      <c r="BV183" s="8"/>
      <c r="BW183" s="78">
        <f>IF(BU183&lt;&gt;"",ROUND(IF($F$11="raty równe",-PMT(W183/12,$F$4-BU182+SUM($BV$28:BV183)-$CB$43,BZ182,2),BX183+BY183),2),"")</f>
        <v>3522.1</v>
      </c>
      <c r="BX183" s="78">
        <f>IF(BU183&lt;&gt;"",IF($F$11="raty malejące",MIN(BZ182/($F$4-BU182+SUM($BV$28:BV182)-SUM($CB$28:CB182)),BZ182),MIN(BW183-BY183,BZ182)),"")</f>
        <v>2372.0473742228569</v>
      </c>
      <c r="BY183" s="78">
        <f t="shared" si="177"/>
        <v>1150.052625777143</v>
      </c>
      <c r="BZ183" s="79">
        <f t="shared" si="178"/>
        <v>156255.90100883134</v>
      </c>
      <c r="CA183" s="11"/>
      <c r="CB183" s="33"/>
      <c r="CC183" s="33">
        <f t="shared" si="171"/>
        <v>0</v>
      </c>
      <c r="CD183" s="33">
        <f t="shared" si="183"/>
        <v>0.41949940772352284</v>
      </c>
      <c r="CE183" s="33">
        <f>IF(O183&lt;&gt;"",CD183-SUM($CC$44:CC183),"")</f>
        <v>0.1494994077299075</v>
      </c>
      <c r="CF183" s="11">
        <f t="shared" si="145"/>
        <v>20</v>
      </c>
      <c r="CG183" s="11">
        <f>IF(BU183&lt;&gt;"",IF($B$16=listy!$K$8,'RZĄDOWY PROGRAM'!$F$3*'RZĄDOWY PROGRAM'!$F$15,BZ182*$F$15),"")</f>
        <v>50</v>
      </c>
      <c r="CH183" s="11">
        <f t="shared" si="146"/>
        <v>70</v>
      </c>
      <c r="CJ183" s="48">
        <f t="shared" si="147"/>
        <v>0.06</v>
      </c>
      <c r="CK183" s="18">
        <f t="shared" si="148"/>
        <v>4.8675505653430484E-3</v>
      </c>
      <c r="CL183" s="11">
        <f t="shared" si="179"/>
        <v>0</v>
      </c>
      <c r="CM183" s="11">
        <f t="shared" si="149"/>
        <v>50552.443580211941</v>
      </c>
      <c r="CN183" s="11">
        <f>IF(AB183&lt;&gt;"",CM183-SUM($CL$28:CL183),"")</f>
        <v>22375.683580211946</v>
      </c>
    </row>
    <row r="184" spans="1:92" x14ac:dyDescent="0.45">
      <c r="A184" s="68">
        <f t="shared" si="172"/>
        <v>49491</v>
      </c>
      <c r="B184" s="8">
        <f t="shared" si="132"/>
        <v>157</v>
      </c>
      <c r="C184" s="11">
        <f t="shared" si="133"/>
        <v>3522.09</v>
      </c>
      <c r="D184" s="11">
        <f t="shared" si="134"/>
        <v>1919.864320399447</v>
      </c>
      <c r="E184" s="11">
        <f t="shared" si="135"/>
        <v>1602.2256796005531</v>
      </c>
      <c r="F184" s="9">
        <f t="shared" si="150"/>
        <v>219076.7811417458</v>
      </c>
      <c r="G184" s="10">
        <f t="shared" si="136"/>
        <v>7.0000000000000007E-2</v>
      </c>
      <c r="H184" s="10">
        <f t="shared" si="137"/>
        <v>1.7000000000000001E-2</v>
      </c>
      <c r="I184" s="48">
        <f t="shared" si="151"/>
        <v>8.7000000000000008E-2</v>
      </c>
      <c r="J184" s="11">
        <f t="shared" si="138"/>
        <v>20</v>
      </c>
      <c r="K184" s="11">
        <f>IF(B184&lt;&gt;"",IF($B$16=listy!$K$8,'RZĄDOWY PROGRAM'!$F$3*'RZĄDOWY PROGRAM'!$F$15,F183*$F$15),"")</f>
        <v>50</v>
      </c>
      <c r="L184" s="11">
        <f t="shared" si="152"/>
        <v>70</v>
      </c>
      <c r="N184" s="54">
        <f t="shared" si="173"/>
        <v>49491</v>
      </c>
      <c r="O184" s="8">
        <f t="shared" si="153"/>
        <v>157</v>
      </c>
      <c r="P184" s="8"/>
      <c r="Q184" s="11">
        <f>IF(O184&lt;&gt;"",ROUND(IF($F$11="raty równe",-PMT(W184/12,$F$4-O183+SUM($P$28:P184),T183,2),R184+S184),2),"")</f>
        <v>3522.09</v>
      </c>
      <c r="R184" s="11">
        <f>IF(O184&lt;&gt;"",IF($F$11="raty malejące",T183/($F$4-O183+SUM($P$28:P184)),IF(Q184-S184&gt;T183,T183,Q184-S184)),"")</f>
        <v>1812.0586995437225</v>
      </c>
      <c r="S184" s="11">
        <f t="shared" si="175"/>
        <v>1710.0313004562777</v>
      </c>
      <c r="T184" s="9">
        <f t="shared" si="154"/>
        <v>234054.32757028766</v>
      </c>
      <c r="U184" s="10">
        <f t="shared" si="139"/>
        <v>7.0000000000000007E-2</v>
      </c>
      <c r="V184" s="10">
        <f t="shared" si="140"/>
        <v>1.7000000000000001E-2</v>
      </c>
      <c r="W184" s="48">
        <f t="shared" si="155"/>
        <v>8.7000000000000008E-2</v>
      </c>
      <c r="X184" s="11">
        <f t="shared" si="141"/>
        <v>20</v>
      </c>
      <c r="Y184" s="11">
        <f>IF(O184&lt;&gt;"",IF($B$16=listy!$K$8,'RZĄDOWY PROGRAM'!$F$3*'RZĄDOWY PROGRAM'!$F$15,T183*$F$15),"")</f>
        <v>50</v>
      </c>
      <c r="Z184" s="11">
        <f t="shared" si="156"/>
        <v>70</v>
      </c>
      <c r="AB184" s="8">
        <f t="shared" si="157"/>
        <v>157</v>
      </c>
      <c r="AC184" s="8"/>
      <c r="AD184" s="11">
        <f>IF(AB184&lt;&gt;"",ROUND(IF($F$11="raty równe",-PMT(W184/12,$F$4-AB183+SUM($AC$28:AC184),AG183,2),AE184+AF184),2),"")</f>
        <v>3280.4</v>
      </c>
      <c r="AE184" s="11">
        <f>IF(AB184&lt;&gt;"",IF($F$11="raty malejące",AG183/($F$4-AB183+SUM($AC$28:AC183)),MIN(AD184-AF184,AG183)),"")</f>
        <v>1687.7182350501141</v>
      </c>
      <c r="AF184" s="11">
        <f t="shared" si="176"/>
        <v>1592.681764949886</v>
      </c>
      <c r="AG184" s="9">
        <f t="shared" si="174"/>
        <v>217992.52520631344</v>
      </c>
      <c r="AH184" s="11"/>
      <c r="AI184" s="33">
        <f>IF(AB184&lt;&gt;"",ROUND(IF($F$11="raty równe",-PMT(W184/12,($F$4-AB183+SUM($AC$27:AC183)),AG183,2),AG183/($F$4-AB183+SUM($AC$27:AC183))+AG183*W184/12),2),"")</f>
        <v>3280.4</v>
      </c>
      <c r="AJ184" s="33">
        <f t="shared" si="158"/>
        <v>241.69000000000005</v>
      </c>
      <c r="AK184" s="33">
        <f t="shared" si="142"/>
        <v>49148.508765284889</v>
      </c>
      <c r="AL184" s="33">
        <f>IF(AB184&lt;&gt;"",AK184-SUM($AJ$28:AJ184),"")</f>
        <v>12995.748765284887</v>
      </c>
      <c r="AM184" s="11">
        <f t="shared" si="159"/>
        <v>20</v>
      </c>
      <c r="AN184" s="11">
        <f>IF(AB184&lt;&gt;"",IF($B$16=listy!$K$8,'RZĄDOWY PROGRAM'!$F$3*'RZĄDOWY PROGRAM'!$F$15,AG183*$F$15),"")</f>
        <v>50</v>
      </c>
      <c r="AO184" s="11">
        <f t="shared" si="160"/>
        <v>70</v>
      </c>
      <c r="AQ184" s="8">
        <f t="shared" si="161"/>
        <v>157</v>
      </c>
      <c r="AR184" s="8"/>
      <c r="AS184" s="78">
        <f>IF(AQ184&lt;&gt;"",ROUND(IF($F$11="raty równe",-PMT(W184/12,$F$4-AQ183+SUM($AR$28:AR184),AV183,2),AT184+AU184),2),"")</f>
        <v>3263.82</v>
      </c>
      <c r="AT184" s="78">
        <f>IF(AQ184&lt;&gt;"",IF($F$11="raty malejące",AV183/($F$4-AQ183+SUM($AR$28:AR183)),MIN(AS184-AU184,AV183)),"")</f>
        <v>1679.1833118518782</v>
      </c>
      <c r="AU184" s="78">
        <f t="shared" si="162"/>
        <v>1584.6366881481219</v>
      </c>
      <c r="AV184" s="79">
        <f t="shared" si="163"/>
        <v>216891.39436375114</v>
      </c>
      <c r="AW184" s="11"/>
      <c r="AX184" s="33">
        <f>IF(AQ184&lt;&gt;"",ROUND(IF($F$11="raty równe",-PMT(W184/12,($F$4-AQ183+SUM($AR$27:AR183)),AV183,2),AV183/($F$4-AQ183+SUM($AR$27:AR183))+AV183*W184/12),2),"")</f>
        <v>3263.82</v>
      </c>
      <c r="AY184" s="33">
        <f t="shared" si="164"/>
        <v>258.27</v>
      </c>
      <c r="AZ184" s="33">
        <f t="shared" si="180"/>
        <v>48581.868789119966</v>
      </c>
      <c r="BA184" s="33">
        <f>IF(AQ184&lt;&gt;"",AZ184-SUM($AY$44:AY184),"")</f>
        <v>12165.808789119968</v>
      </c>
      <c r="BB184" s="11">
        <f t="shared" si="165"/>
        <v>20</v>
      </c>
      <c r="BC184" s="11">
        <f>IF(AQ184&lt;&gt;"",IF($B$16=listy!$K$8,'RZĄDOWY PROGRAM'!$F$3*'RZĄDOWY PROGRAM'!$F$15,AV183*$F$15),"")</f>
        <v>50</v>
      </c>
      <c r="BD184" s="11">
        <f t="shared" si="166"/>
        <v>70</v>
      </c>
      <c r="BF184" s="8">
        <f t="shared" si="167"/>
        <v>157</v>
      </c>
      <c r="BG184" s="8"/>
      <c r="BH184" s="78">
        <f>IF(BF184&lt;&gt;"",ROUND(IF($F$11="raty równe",-PMT(W184/12,$F$4-BF183+SUM(BV$28:$BV184)-SUM($BM$29:BM184),BK183,2),BI184+BJ184),2),"")</f>
        <v>3522.1</v>
      </c>
      <c r="BI184" s="78">
        <f>IF(BF184&lt;&gt;"",IF($F$11="raty malejące",MIN(BK183/($F$4-BF183+SUM($BG$27:BG184)-SUM($BM$27:BM184)),BK183),MIN(BH184-BJ184,BK183)),"")</f>
        <v>2394.4520387427883</v>
      </c>
      <c r="BJ184" s="78">
        <f t="shared" si="168"/>
        <v>1127.6479612572114</v>
      </c>
      <c r="BK184" s="79">
        <f t="shared" si="169"/>
        <v>153143.19778983807</v>
      </c>
      <c r="BL184" s="11"/>
      <c r="BM184" s="33"/>
      <c r="BN184" s="33">
        <f t="shared" si="181"/>
        <v>-9.9999999997635314E-3</v>
      </c>
      <c r="BO184" s="33">
        <f t="shared" si="182"/>
        <v>-0.1480245265798554</v>
      </c>
      <c r="BP184" s="33">
        <f>IF(O184&lt;&gt;"",BO184-SUM($BN$44:BN184),"")</f>
        <v>-5.8024526581983621E-2</v>
      </c>
      <c r="BQ184" s="11">
        <f t="shared" si="143"/>
        <v>20</v>
      </c>
      <c r="BR184" s="11">
        <f>IF(BF184&lt;&gt;"",IF($B$16=listy!$K$8,'RZĄDOWY PROGRAM'!$F$3*'RZĄDOWY PROGRAM'!$F$15,BK183*$F$15),"")</f>
        <v>50</v>
      </c>
      <c r="BS184" s="11">
        <f t="shared" si="144"/>
        <v>70</v>
      </c>
      <c r="BU184" s="8">
        <f t="shared" si="170"/>
        <v>157</v>
      </c>
      <c r="BV184" s="8"/>
      <c r="BW184" s="78">
        <f>IF(BU184&lt;&gt;"",ROUND(IF($F$11="raty równe",-PMT(W184/12,$F$4-BU183+SUM($BV$28:BV184)-$CB$43,BZ183,2),BX184+BY184),2),"")</f>
        <v>3522.1</v>
      </c>
      <c r="BX184" s="78">
        <f>IF(BU184&lt;&gt;"",IF($F$11="raty malejące",MIN(BZ183/($F$4-BU183+SUM($BV$28:BV183)-SUM($CB$28:CB183)),BZ183),MIN(BW184-BY184,BZ183)),"")</f>
        <v>2389.2447176859723</v>
      </c>
      <c r="BY184" s="78">
        <f t="shared" si="177"/>
        <v>1132.8552823140274</v>
      </c>
      <c r="BZ184" s="79">
        <f t="shared" si="178"/>
        <v>153866.65629114537</v>
      </c>
      <c r="CA184" s="11"/>
      <c r="CB184" s="33"/>
      <c r="CC184" s="33">
        <f t="shared" si="171"/>
        <v>-9.9999999997635314E-3</v>
      </c>
      <c r="CD184" s="33">
        <f t="shared" si="183"/>
        <v>0.41115337473293218</v>
      </c>
      <c r="CE184" s="33">
        <f>IF(O184&lt;&gt;"",CD184-SUM($CC$44:CC184),"")</f>
        <v>0.15115337473908036</v>
      </c>
      <c r="CF184" s="11">
        <f t="shared" si="145"/>
        <v>20</v>
      </c>
      <c r="CG184" s="11">
        <f>IF(BU184&lt;&gt;"",IF($B$16=listy!$K$8,'RZĄDOWY PROGRAM'!$F$3*'RZĄDOWY PROGRAM'!$F$15,BZ183*$F$15),"")</f>
        <v>50</v>
      </c>
      <c r="CH184" s="11">
        <f t="shared" si="146"/>
        <v>70</v>
      </c>
      <c r="CJ184" s="48">
        <f t="shared" si="147"/>
        <v>0.06</v>
      </c>
      <c r="CK184" s="18">
        <f t="shared" si="148"/>
        <v>4.8675505653430484E-3</v>
      </c>
      <c r="CL184" s="11">
        <f t="shared" si="179"/>
        <v>0</v>
      </c>
      <c r="CM184" s="11">
        <f t="shared" si="149"/>
        <v>50751.757506227892</v>
      </c>
      <c r="CN184" s="11">
        <f>IF(AB184&lt;&gt;"",CM184-SUM($CL$28:CL184),"")</f>
        <v>22574.997506227897</v>
      </c>
    </row>
    <row r="185" spans="1:92" x14ac:dyDescent="0.45">
      <c r="A185" s="68">
        <f t="shared" si="172"/>
        <v>49522</v>
      </c>
      <c r="B185" s="8">
        <f t="shared" si="132"/>
        <v>158</v>
      </c>
      <c r="C185" s="11">
        <f t="shared" si="133"/>
        <v>3522.1</v>
      </c>
      <c r="D185" s="11">
        <f t="shared" si="134"/>
        <v>1933.7933367223427</v>
      </c>
      <c r="E185" s="11">
        <f t="shared" si="135"/>
        <v>1588.3066632776572</v>
      </c>
      <c r="F185" s="9">
        <f t="shared" si="150"/>
        <v>217142.98780502347</v>
      </c>
      <c r="G185" s="10">
        <f t="shared" si="136"/>
        <v>7.0000000000000007E-2</v>
      </c>
      <c r="H185" s="10">
        <f t="shared" si="137"/>
        <v>1.7000000000000001E-2</v>
      </c>
      <c r="I185" s="48">
        <f t="shared" si="151"/>
        <v>8.7000000000000008E-2</v>
      </c>
      <c r="J185" s="11">
        <f t="shared" si="138"/>
        <v>20</v>
      </c>
      <c r="K185" s="11">
        <f>IF(B185&lt;&gt;"",IF($B$16=listy!$K$8,'RZĄDOWY PROGRAM'!$F$3*'RZĄDOWY PROGRAM'!$F$15,F184*$F$15),"")</f>
        <v>50</v>
      </c>
      <c r="L185" s="11">
        <f t="shared" si="152"/>
        <v>70</v>
      </c>
      <c r="N185" s="54">
        <f t="shared" si="173"/>
        <v>49522</v>
      </c>
      <c r="O185" s="8">
        <f t="shared" si="153"/>
        <v>158</v>
      </c>
      <c r="P185" s="8"/>
      <c r="Q185" s="11">
        <f>IF(O185&lt;&gt;"",ROUND(IF($F$11="raty równe",-PMT(W185/12,$F$4-O184+SUM($P$28:P185),T184,2),R185+S185),2),"")</f>
        <v>3522.1</v>
      </c>
      <c r="R185" s="11">
        <f>IF(O185&lt;&gt;"",IF($F$11="raty malejące",T184/($F$4-O184+SUM($P$28:P185)),IF(Q185-S185&gt;T184,T184,Q185-S185)),"")</f>
        <v>1825.2061251154141</v>
      </c>
      <c r="S185" s="11">
        <f t="shared" si="175"/>
        <v>1696.8938748845858</v>
      </c>
      <c r="T185" s="9">
        <f t="shared" si="154"/>
        <v>232229.12144517223</v>
      </c>
      <c r="U185" s="10">
        <f t="shared" si="139"/>
        <v>7.0000000000000007E-2</v>
      </c>
      <c r="V185" s="10">
        <f t="shared" si="140"/>
        <v>1.7000000000000001E-2</v>
      </c>
      <c r="W185" s="48">
        <f t="shared" si="155"/>
        <v>8.7000000000000008E-2</v>
      </c>
      <c r="X185" s="11">
        <f t="shared" si="141"/>
        <v>20</v>
      </c>
      <c r="Y185" s="11">
        <f>IF(O185&lt;&gt;"",IF($B$16=listy!$K$8,'RZĄDOWY PROGRAM'!$F$3*'RZĄDOWY PROGRAM'!$F$15,T184*$F$15),"")</f>
        <v>50</v>
      </c>
      <c r="Z185" s="11">
        <f t="shared" si="156"/>
        <v>70</v>
      </c>
      <c r="AB185" s="8">
        <f t="shared" si="157"/>
        <v>158</v>
      </c>
      <c r="AC185" s="8"/>
      <c r="AD185" s="11">
        <f>IF(AB185&lt;&gt;"",ROUND(IF($F$11="raty równe",-PMT(W185/12,$F$4-AB184+SUM($AC$28:AC185),AG184,2),AE185+AF185),2),"")</f>
        <v>3280.39</v>
      </c>
      <c r="AE185" s="11">
        <f>IF(AB185&lt;&gt;"",IF($F$11="raty malejące",AG184/($F$4-AB184+SUM($AC$28:AC184)),MIN(AD185-AF185,AG184)),"")</f>
        <v>1699.9441922542271</v>
      </c>
      <c r="AF185" s="11">
        <f t="shared" si="176"/>
        <v>1580.4458077457728</v>
      </c>
      <c r="AG185" s="9">
        <f t="shared" si="174"/>
        <v>216292.58101405922</v>
      </c>
      <c r="AH185" s="11"/>
      <c r="AI185" s="33">
        <f>IF(AB185&lt;&gt;"",ROUND(IF($F$11="raty równe",-PMT(W185/12,($F$4-AB184+SUM($AC$27:AC184)),AG184,2),AG184/($F$4-AB184+SUM($AC$27:AC184))+AG184*W185/12),2),"")</f>
        <v>3280.39</v>
      </c>
      <c r="AJ185" s="33">
        <f t="shared" si="158"/>
        <v>241.71000000000004</v>
      </c>
      <c r="AK185" s="33">
        <f t="shared" si="142"/>
        <v>49583.997375102139</v>
      </c>
      <c r="AL185" s="33">
        <f>IF(AB185&lt;&gt;"",AK185-SUM($AJ$28:AJ185),"")</f>
        <v>13189.527375102138</v>
      </c>
      <c r="AM185" s="11">
        <f t="shared" si="159"/>
        <v>20</v>
      </c>
      <c r="AN185" s="11">
        <f>IF(AB185&lt;&gt;"",IF($B$16=listy!$K$8,'RZĄDOWY PROGRAM'!$F$3*'RZĄDOWY PROGRAM'!$F$15,AG184*$F$15),"")</f>
        <v>50</v>
      </c>
      <c r="AO185" s="11">
        <f t="shared" si="160"/>
        <v>70</v>
      </c>
      <c r="AQ185" s="8">
        <f t="shared" si="161"/>
        <v>158</v>
      </c>
      <c r="AR185" s="8"/>
      <c r="AS185" s="78">
        <f>IF(AQ185&lt;&gt;"",ROUND(IF($F$11="raty równe",-PMT(W185/12,$F$4-AQ184+SUM($AR$28:AR185),AV184,2),AT185+AU185),2),"")</f>
        <v>3263.83</v>
      </c>
      <c r="AT185" s="78">
        <f>IF(AQ185&lt;&gt;"",IF($F$11="raty malejące",AV184/($F$4-AQ184+SUM($AR$28:AR184)),MIN(AS185-AU185,AV184)),"")</f>
        <v>1691.3673908628041</v>
      </c>
      <c r="AU185" s="78">
        <f t="shared" si="162"/>
        <v>1572.4626091371958</v>
      </c>
      <c r="AV185" s="79">
        <f t="shared" si="163"/>
        <v>215200.02697288833</v>
      </c>
      <c r="AW185" s="11"/>
      <c r="AX185" s="33">
        <f>IF(AQ185&lt;&gt;"",ROUND(IF($F$11="raty równe",-PMT(W185/12,($F$4-AQ184+SUM($AR$27:AR184)),AV184,2),AV184/($F$4-AQ184+SUM($AR$27:AR184))+AV184*W185/12),2),"")</f>
        <v>3263.83</v>
      </c>
      <c r="AY185" s="33">
        <f t="shared" si="164"/>
        <v>258.27</v>
      </c>
      <c r="AZ185" s="33">
        <f t="shared" si="180"/>
        <v>49031.68329846079</v>
      </c>
      <c r="BA185" s="33">
        <f>IF(AQ185&lt;&gt;"",AZ185-SUM($AY$44:AY185),"")</f>
        <v>12357.353298460795</v>
      </c>
      <c r="BB185" s="11">
        <f t="shared" si="165"/>
        <v>20</v>
      </c>
      <c r="BC185" s="11">
        <f>IF(AQ185&lt;&gt;"",IF($B$16=listy!$K$8,'RZĄDOWY PROGRAM'!$F$3*'RZĄDOWY PROGRAM'!$F$15,AV184*$F$15),"")</f>
        <v>50</v>
      </c>
      <c r="BD185" s="11">
        <f t="shared" si="166"/>
        <v>70</v>
      </c>
      <c r="BF185" s="8">
        <f t="shared" si="167"/>
        <v>158</v>
      </c>
      <c r="BG185" s="8"/>
      <c r="BH185" s="78">
        <f>IF(BF185&lt;&gt;"",ROUND(IF($F$11="raty równe",-PMT(W185/12,$F$4-BF184+SUM(BV$28:$BV185)-SUM($BM$29:BM185),BK184,2),BI185+BJ185),2),"")</f>
        <v>3522.09</v>
      </c>
      <c r="BI185" s="78">
        <f>IF(BF185&lt;&gt;"",IF($F$11="raty malejące",MIN(BK184/($F$4-BF184+SUM($BG$27:BG185)-SUM($BM$27:BM185)),BK184),MIN(BH185-BJ185,BK184)),"")</f>
        <v>2411.8018160236743</v>
      </c>
      <c r="BJ185" s="78">
        <f t="shared" si="168"/>
        <v>1110.2881839763261</v>
      </c>
      <c r="BK185" s="79">
        <f t="shared" si="169"/>
        <v>150731.39597381439</v>
      </c>
      <c r="BL185" s="11"/>
      <c r="BM185" s="33"/>
      <c r="BN185" s="33">
        <f t="shared" si="181"/>
        <v>9.9999999997635314E-3</v>
      </c>
      <c r="BO185" s="33">
        <f t="shared" si="182"/>
        <v>-0.138608145243203</v>
      </c>
      <c r="BP185" s="33">
        <f>IF(O185&lt;&gt;"",BO185-SUM($BN$44:BN185),"")</f>
        <v>-5.860814524509475E-2</v>
      </c>
      <c r="BQ185" s="11">
        <f t="shared" si="143"/>
        <v>20</v>
      </c>
      <c r="BR185" s="11">
        <f>IF(BF185&lt;&gt;"",IF($B$16=listy!$K$8,'RZĄDOWY PROGRAM'!$F$3*'RZĄDOWY PROGRAM'!$F$15,BK184*$F$15),"")</f>
        <v>50</v>
      </c>
      <c r="BS185" s="11">
        <f t="shared" si="144"/>
        <v>70</v>
      </c>
      <c r="BU185" s="8">
        <f t="shared" si="170"/>
        <v>158</v>
      </c>
      <c r="BV185" s="8"/>
      <c r="BW185" s="78">
        <f>IF(BU185&lt;&gt;"",ROUND(IF($F$11="raty równe",-PMT(W185/12,$F$4-BU184+SUM($BV$28:BV185)-$CB$43,BZ184,2),BX185+BY185),2),"")</f>
        <v>3522.09</v>
      </c>
      <c r="BX185" s="78">
        <f>IF(BU185&lt;&gt;"",IF($F$11="raty malejące",MIN(BZ184/($F$4-BU184+SUM($BV$28:BV184)-SUM($CB$28:CB184)),BZ184),MIN(BW185-BY185,BZ184)),"")</f>
        <v>2406.556741889196</v>
      </c>
      <c r="BY185" s="78">
        <f t="shared" si="177"/>
        <v>1115.5332581108039</v>
      </c>
      <c r="BZ185" s="79">
        <f t="shared" si="178"/>
        <v>151460.09954925618</v>
      </c>
      <c r="CA185" s="11"/>
      <c r="CB185" s="33"/>
      <c r="CC185" s="33">
        <f t="shared" si="171"/>
        <v>9.9999999997635314E-3</v>
      </c>
      <c r="CD185" s="33">
        <f t="shared" si="183"/>
        <v>0.42277443570441114</v>
      </c>
      <c r="CE185" s="33">
        <f>IF(O185&lt;&gt;"",CD185-SUM($CC$44:CC185),"")</f>
        <v>0.1527744357107958</v>
      </c>
      <c r="CF185" s="11">
        <f t="shared" si="145"/>
        <v>20</v>
      </c>
      <c r="CG185" s="11">
        <f>IF(BU185&lt;&gt;"",IF($B$16=listy!$K$8,'RZĄDOWY PROGRAM'!$F$3*'RZĄDOWY PROGRAM'!$F$15,BZ184*$F$15),"")</f>
        <v>50</v>
      </c>
      <c r="CH185" s="11">
        <f t="shared" si="146"/>
        <v>70</v>
      </c>
      <c r="CJ185" s="48">
        <f t="shared" si="147"/>
        <v>0.06</v>
      </c>
      <c r="CK185" s="18">
        <f t="shared" si="148"/>
        <v>4.8675505653430484E-3</v>
      </c>
      <c r="CL185" s="11">
        <f t="shared" si="179"/>
        <v>0</v>
      </c>
      <c r="CM185" s="11">
        <f t="shared" si="149"/>
        <v>50951.857270440589</v>
      </c>
      <c r="CN185" s="11">
        <f>IF(AB185&lt;&gt;"",CM185-SUM($CL$28:CL185),"")</f>
        <v>22775.097270440594</v>
      </c>
    </row>
    <row r="186" spans="1:92" x14ac:dyDescent="0.45">
      <c r="A186" s="68">
        <f t="shared" si="172"/>
        <v>49553</v>
      </c>
      <c r="B186" s="8">
        <f t="shared" si="132"/>
        <v>159</v>
      </c>
      <c r="C186" s="11">
        <f t="shared" si="133"/>
        <v>3522.09</v>
      </c>
      <c r="D186" s="11">
        <f t="shared" si="134"/>
        <v>1947.8033384135799</v>
      </c>
      <c r="E186" s="11">
        <f t="shared" si="135"/>
        <v>1574.2866615864202</v>
      </c>
      <c r="F186" s="9">
        <f t="shared" si="150"/>
        <v>215195.18446660988</v>
      </c>
      <c r="G186" s="10">
        <f t="shared" si="136"/>
        <v>7.0000000000000007E-2</v>
      </c>
      <c r="H186" s="10">
        <f t="shared" si="137"/>
        <v>1.7000000000000001E-2</v>
      </c>
      <c r="I186" s="48">
        <f t="shared" si="151"/>
        <v>8.7000000000000008E-2</v>
      </c>
      <c r="J186" s="11">
        <f t="shared" si="138"/>
        <v>20</v>
      </c>
      <c r="K186" s="11">
        <f>IF(B186&lt;&gt;"",IF($B$16=listy!$K$8,'RZĄDOWY PROGRAM'!$F$3*'RZĄDOWY PROGRAM'!$F$15,F185*$F$15),"")</f>
        <v>50</v>
      </c>
      <c r="L186" s="11">
        <f t="shared" si="152"/>
        <v>70</v>
      </c>
      <c r="N186" s="54">
        <f t="shared" si="173"/>
        <v>49553</v>
      </c>
      <c r="O186" s="8">
        <f t="shared" si="153"/>
        <v>159</v>
      </c>
      <c r="P186" s="8"/>
      <c r="Q186" s="11">
        <f>IF(O186&lt;&gt;"",ROUND(IF($F$11="raty równe",-PMT(W186/12,$F$4-O185+SUM($P$28:P186),T185,2),R186+S186),2),"")</f>
        <v>3522.09</v>
      </c>
      <c r="R186" s="11">
        <f>IF(O186&lt;&gt;"",IF($F$11="raty malejące",T185/($F$4-O185+SUM($P$28:P186)),IF(Q186-S186&gt;T185,T185,Q186-S186)),"")</f>
        <v>1838.4288695225014</v>
      </c>
      <c r="S186" s="11">
        <f t="shared" si="175"/>
        <v>1683.6611304774988</v>
      </c>
      <c r="T186" s="9">
        <f t="shared" si="154"/>
        <v>230390.69257564974</v>
      </c>
      <c r="U186" s="10">
        <f t="shared" si="139"/>
        <v>7.0000000000000007E-2</v>
      </c>
      <c r="V186" s="10">
        <f t="shared" si="140"/>
        <v>1.7000000000000001E-2</v>
      </c>
      <c r="W186" s="48">
        <f t="shared" si="155"/>
        <v>8.7000000000000008E-2</v>
      </c>
      <c r="X186" s="11">
        <f t="shared" si="141"/>
        <v>20</v>
      </c>
      <c r="Y186" s="11">
        <f>IF(O186&lt;&gt;"",IF($B$16=listy!$K$8,'RZĄDOWY PROGRAM'!$F$3*'RZĄDOWY PROGRAM'!$F$15,T185*$F$15),"")</f>
        <v>50</v>
      </c>
      <c r="Z186" s="11">
        <f t="shared" si="156"/>
        <v>70</v>
      </c>
      <c r="AB186" s="8">
        <f t="shared" si="157"/>
        <v>159</v>
      </c>
      <c r="AC186" s="8"/>
      <c r="AD186" s="11">
        <f>IF(AB186&lt;&gt;"",ROUND(IF($F$11="raty równe",-PMT(W186/12,$F$4-AB185+SUM($AC$28:AC186),AG185,2),AE186+AF186),2),"")</f>
        <v>3280.4</v>
      </c>
      <c r="AE186" s="11">
        <f>IF(AB186&lt;&gt;"",IF($F$11="raty malejące",AG185/($F$4-AB185+SUM($AC$28:AC185)),MIN(AD186-AF186,AG185)),"")</f>
        <v>1712.2787876480704</v>
      </c>
      <c r="AF186" s="11">
        <f t="shared" si="176"/>
        <v>1568.1212123519297</v>
      </c>
      <c r="AG186" s="9">
        <f t="shared" si="174"/>
        <v>214580.30222641115</v>
      </c>
      <c r="AH186" s="11"/>
      <c r="AI186" s="33">
        <f>IF(AB186&lt;&gt;"",ROUND(IF($F$11="raty równe",-PMT(W186/12,($F$4-AB185+SUM($AC$27:AC185)),AG185,2),AG185/($F$4-AB185+SUM($AC$27:AC185))+AG185*W186/12),2),"")</f>
        <v>3280.4</v>
      </c>
      <c r="AJ186" s="33">
        <f t="shared" si="158"/>
        <v>241.69000000000005</v>
      </c>
      <c r="AK186" s="33">
        <f t="shared" si="142"/>
        <v>50021.182992810813</v>
      </c>
      <c r="AL186" s="33">
        <f>IF(AB186&lt;&gt;"",AK186-SUM($AJ$28:AJ186),"")</f>
        <v>13385.022992810809</v>
      </c>
      <c r="AM186" s="11">
        <f t="shared" si="159"/>
        <v>20</v>
      </c>
      <c r="AN186" s="11">
        <f>IF(AB186&lt;&gt;"",IF($B$16=listy!$K$8,'RZĄDOWY PROGRAM'!$F$3*'RZĄDOWY PROGRAM'!$F$15,AG185*$F$15),"")</f>
        <v>50</v>
      </c>
      <c r="AO186" s="11">
        <f t="shared" si="160"/>
        <v>70</v>
      </c>
      <c r="AQ186" s="8">
        <f t="shared" si="161"/>
        <v>159</v>
      </c>
      <c r="AR186" s="8"/>
      <c r="AS186" s="78">
        <f>IF(AQ186&lt;&gt;"",ROUND(IF($F$11="raty równe",-PMT(W186/12,$F$4-AQ185+SUM($AR$28:AR186),AV185,2),AT186+AU186),2),"")</f>
        <v>3263.82</v>
      </c>
      <c r="AT186" s="78">
        <f>IF(AQ186&lt;&gt;"",IF($F$11="raty malejące",AV185/($F$4-AQ185+SUM($AR$28:AR185)),MIN(AS186-AU186,AV185)),"")</f>
        <v>1703.6198044465596</v>
      </c>
      <c r="AU186" s="78">
        <f t="shared" si="162"/>
        <v>1560.2001955534406</v>
      </c>
      <c r="AV186" s="79">
        <f t="shared" si="163"/>
        <v>213496.40716844177</v>
      </c>
      <c r="AW186" s="11"/>
      <c r="AX186" s="33">
        <f>IF(AQ186&lt;&gt;"",ROUND(IF($F$11="raty równe",-PMT(W186/12,($F$4-AQ185+SUM($AR$27:AR185)),AV185,2),AV185/($F$4-AQ185+SUM($AR$27:AR185))+AV185*W186/12),2),"")</f>
        <v>3263.82</v>
      </c>
      <c r="AY186" s="33">
        <f t="shared" si="164"/>
        <v>258.27</v>
      </c>
      <c r="AZ186" s="33">
        <f t="shared" si="180"/>
        <v>49483.271298645697</v>
      </c>
      <c r="BA186" s="33">
        <f>IF(AQ186&lt;&gt;"",AZ186-SUM($AY$44:AY186),"")</f>
        <v>12550.671298645706</v>
      </c>
      <c r="BB186" s="11">
        <f t="shared" si="165"/>
        <v>20</v>
      </c>
      <c r="BC186" s="11">
        <f>IF(AQ186&lt;&gt;"",IF($B$16=listy!$K$8,'RZĄDOWY PROGRAM'!$F$3*'RZĄDOWY PROGRAM'!$F$15,AV185*$F$15),"")</f>
        <v>50</v>
      </c>
      <c r="BD186" s="11">
        <f t="shared" si="166"/>
        <v>70</v>
      </c>
      <c r="BF186" s="8">
        <f t="shared" si="167"/>
        <v>159</v>
      </c>
      <c r="BG186" s="8"/>
      <c r="BH186" s="78">
        <f>IF(BF186&lt;&gt;"",ROUND(IF($F$11="raty równe",-PMT(W186/12,$F$4-BF185+SUM(BV$28:$BV186)-SUM($BM$29:BM186),BK185,2),BI186+BJ186),2),"")</f>
        <v>3522.09</v>
      </c>
      <c r="BI186" s="78">
        <f>IF(BF186&lt;&gt;"",IF($F$11="raty malejące",MIN(BK185/($F$4-BF185+SUM($BG$27:BG186)-SUM($BM$27:BM186)),BK185),MIN(BH186-BJ186,BK185)),"")</f>
        <v>2429.2873791898455</v>
      </c>
      <c r="BJ186" s="78">
        <f t="shared" si="168"/>
        <v>1092.8026208101544</v>
      </c>
      <c r="BK186" s="79">
        <f t="shared" si="169"/>
        <v>148302.10859462456</v>
      </c>
      <c r="BL186" s="11"/>
      <c r="BM186" s="33"/>
      <c r="BN186" s="33">
        <f t="shared" si="181"/>
        <v>0</v>
      </c>
      <c r="BO186" s="33">
        <f t="shared" si="182"/>
        <v>-0.13915463778935216</v>
      </c>
      <c r="BP186" s="33">
        <f>IF(O186&lt;&gt;"",BO186-SUM($BN$44:BN186),"")</f>
        <v>-5.9154637791243914E-2</v>
      </c>
      <c r="BQ186" s="11">
        <f t="shared" si="143"/>
        <v>20</v>
      </c>
      <c r="BR186" s="11">
        <f>IF(BF186&lt;&gt;"",IF($B$16=listy!$K$8,'RZĄDOWY PROGRAM'!$F$3*'RZĄDOWY PROGRAM'!$F$15,BK185*$F$15),"")</f>
        <v>50</v>
      </c>
      <c r="BS186" s="11">
        <f t="shared" si="144"/>
        <v>70</v>
      </c>
      <c r="BU186" s="8">
        <f t="shared" si="170"/>
        <v>159</v>
      </c>
      <c r="BV186" s="8"/>
      <c r="BW186" s="78">
        <f>IF(BU186&lt;&gt;"",ROUND(IF($F$11="raty równe",-PMT(W186/12,$F$4-BU185+SUM($BV$28:BV186)-$CB$43,BZ185,2),BX186+BY186),2),"")</f>
        <v>3522.09</v>
      </c>
      <c r="BX186" s="78">
        <f>IF(BU186&lt;&gt;"",IF($F$11="raty malejące",MIN(BZ185/($F$4-BU185+SUM($BV$28:BV185)-SUM($CB$28:CB185)),BZ185),MIN(BW186-BY186,BZ185)),"")</f>
        <v>2424.0042782678929</v>
      </c>
      <c r="BY186" s="78">
        <f t="shared" si="177"/>
        <v>1098.0857217321075</v>
      </c>
      <c r="BZ186" s="79">
        <f t="shared" si="178"/>
        <v>149036.0952709883</v>
      </c>
      <c r="CA186" s="11"/>
      <c r="CB186" s="33"/>
      <c r="CC186" s="33">
        <f t="shared" si="171"/>
        <v>0</v>
      </c>
      <c r="CD186" s="33">
        <f t="shared" si="183"/>
        <v>0.4244413152186669</v>
      </c>
      <c r="CE186" s="33">
        <f>IF(O186&lt;&gt;"",CD186-SUM($CC$44:CC186),"")</f>
        <v>0.15444131522505156</v>
      </c>
      <c r="CF186" s="11">
        <f t="shared" si="145"/>
        <v>20</v>
      </c>
      <c r="CG186" s="11">
        <f>IF(BU186&lt;&gt;"",IF($B$16=listy!$K$8,'RZĄDOWY PROGRAM'!$F$3*'RZĄDOWY PROGRAM'!$F$15,BZ185*$F$15),"")</f>
        <v>50</v>
      </c>
      <c r="CH186" s="11">
        <f t="shared" si="146"/>
        <v>70</v>
      </c>
      <c r="CJ186" s="48">
        <f t="shared" si="147"/>
        <v>0.06</v>
      </c>
      <c r="CK186" s="18">
        <f t="shared" si="148"/>
        <v>4.8675505653430484E-3</v>
      </c>
      <c r="CL186" s="11">
        <f t="shared" si="179"/>
        <v>0</v>
      </c>
      <c r="CM186" s="11">
        <f t="shared" si="149"/>
        <v>51152.745971186821</v>
      </c>
      <c r="CN186" s="11">
        <f>IF(AB186&lt;&gt;"",CM186-SUM($CL$28:CL186),"")</f>
        <v>22975.985971186827</v>
      </c>
    </row>
    <row r="187" spans="1:92" x14ac:dyDescent="0.45">
      <c r="A187" s="68">
        <f t="shared" si="172"/>
        <v>49583</v>
      </c>
      <c r="B187" s="8">
        <f t="shared" si="132"/>
        <v>160</v>
      </c>
      <c r="C187" s="11">
        <f t="shared" si="133"/>
        <v>3522.1</v>
      </c>
      <c r="D187" s="11">
        <f t="shared" si="134"/>
        <v>1961.934912617078</v>
      </c>
      <c r="E187" s="11">
        <f t="shared" si="135"/>
        <v>1560.1650873829219</v>
      </c>
      <c r="F187" s="9">
        <f t="shared" si="150"/>
        <v>213233.24955399279</v>
      </c>
      <c r="G187" s="10">
        <f t="shared" si="136"/>
        <v>7.0000000000000007E-2</v>
      </c>
      <c r="H187" s="10">
        <f t="shared" si="137"/>
        <v>1.7000000000000001E-2</v>
      </c>
      <c r="I187" s="48">
        <f t="shared" si="151"/>
        <v>8.7000000000000008E-2</v>
      </c>
      <c r="J187" s="11">
        <f t="shared" si="138"/>
        <v>20</v>
      </c>
      <c r="K187" s="11">
        <f>IF(B187&lt;&gt;"",IF($B$16=listy!$K$8,'RZĄDOWY PROGRAM'!$F$3*'RZĄDOWY PROGRAM'!$F$15,F186*$F$15),"")</f>
        <v>50</v>
      </c>
      <c r="L187" s="11">
        <f t="shared" si="152"/>
        <v>70</v>
      </c>
      <c r="N187" s="54">
        <f t="shared" si="173"/>
        <v>49583</v>
      </c>
      <c r="O187" s="8">
        <f t="shared" si="153"/>
        <v>160</v>
      </c>
      <c r="P187" s="8"/>
      <c r="Q187" s="11">
        <f>IF(O187&lt;&gt;"",ROUND(IF($F$11="raty równe",-PMT(W187/12,$F$4-O186+SUM($P$28:P187),T186,2),R187+S187),2),"")</f>
        <v>3522.1</v>
      </c>
      <c r="R187" s="11">
        <f>IF(O187&lt;&gt;"",IF($F$11="raty malejące",T186/($F$4-O186+SUM($P$28:P187)),IF(Q187-S187&gt;T186,T186,Q187-S187)),"")</f>
        <v>1851.7674788265392</v>
      </c>
      <c r="S187" s="11">
        <f t="shared" si="175"/>
        <v>1670.3325211734607</v>
      </c>
      <c r="T187" s="9">
        <f t="shared" si="154"/>
        <v>228538.92509682319</v>
      </c>
      <c r="U187" s="10">
        <f t="shared" si="139"/>
        <v>7.0000000000000007E-2</v>
      </c>
      <c r="V187" s="10">
        <f t="shared" si="140"/>
        <v>1.7000000000000001E-2</v>
      </c>
      <c r="W187" s="48">
        <f t="shared" si="155"/>
        <v>8.7000000000000008E-2</v>
      </c>
      <c r="X187" s="11">
        <f t="shared" si="141"/>
        <v>20</v>
      </c>
      <c r="Y187" s="11">
        <f>IF(O187&lt;&gt;"",IF($B$16=listy!$K$8,'RZĄDOWY PROGRAM'!$F$3*'RZĄDOWY PROGRAM'!$F$15,T186*$F$15),"")</f>
        <v>50</v>
      </c>
      <c r="Z187" s="11">
        <f t="shared" si="156"/>
        <v>70</v>
      </c>
      <c r="AB187" s="8">
        <f t="shared" si="157"/>
        <v>160</v>
      </c>
      <c r="AC187" s="8"/>
      <c r="AD187" s="11">
        <f>IF(AB187&lt;&gt;"",ROUND(IF($F$11="raty równe",-PMT(W187/12,$F$4-AB186+SUM($AC$28:AC187),AG186,2),AE187+AF187),2),"")</f>
        <v>3280.39</v>
      </c>
      <c r="AE187" s="11">
        <f>IF(AB187&lt;&gt;"",IF($F$11="raty malejące",AG186/($F$4-AB186+SUM($AC$28:AC186)),MIN(AD187-AF187,AG186)),"")</f>
        <v>1724.6828088585187</v>
      </c>
      <c r="AF187" s="11">
        <f t="shared" si="176"/>
        <v>1555.7071911414812</v>
      </c>
      <c r="AG187" s="9">
        <f t="shared" si="174"/>
        <v>212855.61941755263</v>
      </c>
      <c r="AH187" s="11"/>
      <c r="AI187" s="33">
        <f>IF(AB187&lt;&gt;"",ROUND(IF($F$11="raty równe",-PMT(W187/12,($F$4-AB186+SUM($AC$27:AC186)),AG186,2),AG186/($F$4-AB186+SUM($AC$27:AC186))+AG186*W187/12),2),"")</f>
        <v>3280.39</v>
      </c>
      <c r="AJ187" s="33">
        <f t="shared" si="158"/>
        <v>241.71000000000004</v>
      </c>
      <c r="AK187" s="33">
        <f t="shared" si="142"/>
        <v>50460.112309231001</v>
      </c>
      <c r="AL187" s="33">
        <f>IF(AB187&lt;&gt;"",AK187-SUM($AJ$28:AJ187),"")</f>
        <v>13582.242309230998</v>
      </c>
      <c r="AM187" s="11">
        <f t="shared" si="159"/>
        <v>20</v>
      </c>
      <c r="AN187" s="11">
        <f>IF(AB187&lt;&gt;"",IF($B$16=listy!$K$8,'RZĄDOWY PROGRAM'!$F$3*'RZĄDOWY PROGRAM'!$F$15,AG186*$F$15),"")</f>
        <v>50</v>
      </c>
      <c r="AO187" s="11">
        <f t="shared" si="160"/>
        <v>70</v>
      </c>
      <c r="AQ187" s="8">
        <f t="shared" si="161"/>
        <v>160</v>
      </c>
      <c r="AR187" s="8"/>
      <c r="AS187" s="78">
        <f>IF(AQ187&lt;&gt;"",ROUND(IF($F$11="raty równe",-PMT(W187/12,$F$4-AQ186+SUM($AR$28:AR187),AV186,2),AT187+AU187),2),"")</f>
        <v>3263.83</v>
      </c>
      <c r="AT187" s="78">
        <f>IF(AQ187&lt;&gt;"",IF($F$11="raty malejące",AV186/($F$4-AQ186+SUM($AR$28:AR186)),MIN(AS187-AU187,AV186)),"")</f>
        <v>1715.981048028797</v>
      </c>
      <c r="AU187" s="78">
        <f t="shared" si="162"/>
        <v>1547.848951971203</v>
      </c>
      <c r="AV187" s="79">
        <f t="shared" si="163"/>
        <v>211780.42612041297</v>
      </c>
      <c r="AW187" s="11"/>
      <c r="AX187" s="33">
        <f>IF(AQ187&lt;&gt;"",ROUND(IF($F$11="raty równe",-PMT(W187/12,($F$4-AQ186+SUM($AR$27:AR186)),AV186,2),AV186/($F$4-AQ186+SUM($AR$27:AR186))+AV186*W187/12),2),"")</f>
        <v>3263.83</v>
      </c>
      <c r="AY187" s="33">
        <f t="shared" si="164"/>
        <v>258.27</v>
      </c>
      <c r="AZ187" s="33">
        <f t="shared" si="180"/>
        <v>49936.639782045342</v>
      </c>
      <c r="BA187" s="33">
        <f>IF(AQ187&lt;&gt;"",AZ187-SUM($AY$44:AY187),"")</f>
        <v>12745.769782045354</v>
      </c>
      <c r="BB187" s="11">
        <f t="shared" si="165"/>
        <v>20</v>
      </c>
      <c r="BC187" s="11">
        <f>IF(AQ187&lt;&gt;"",IF($B$16=listy!$K$8,'RZĄDOWY PROGRAM'!$F$3*'RZĄDOWY PROGRAM'!$F$15,AV186*$F$15),"")</f>
        <v>50</v>
      </c>
      <c r="BD187" s="11">
        <f t="shared" si="166"/>
        <v>70</v>
      </c>
      <c r="BF187" s="8">
        <f t="shared" si="167"/>
        <v>160</v>
      </c>
      <c r="BG187" s="8"/>
      <c r="BH187" s="78">
        <f>IF(BF187&lt;&gt;"",ROUND(IF($F$11="raty równe",-PMT(W187/12,$F$4-BF186+SUM(BV$28:$BV187)-SUM($BM$29:BM187),BK186,2),BI187+BJ187),2),"")</f>
        <v>3522.1</v>
      </c>
      <c r="BI187" s="78">
        <f>IF(BF187&lt;&gt;"",IF($F$11="raty malejące",MIN(BK186/($F$4-BF186+SUM($BG$27:BG187)-SUM($BM$27:BM187)),BK186),MIN(BH187-BJ187,BK186)),"")</f>
        <v>2446.9097126889719</v>
      </c>
      <c r="BJ187" s="78">
        <f t="shared" si="168"/>
        <v>1075.1902873110282</v>
      </c>
      <c r="BK187" s="79">
        <f t="shared" si="169"/>
        <v>145855.19888193559</v>
      </c>
      <c r="BL187" s="11"/>
      <c r="BM187" s="33"/>
      <c r="BN187" s="33">
        <f t="shared" si="181"/>
        <v>0</v>
      </c>
      <c r="BO187" s="33">
        <f t="shared" si="182"/>
        <v>-0.13970328500038393</v>
      </c>
      <c r="BP187" s="33">
        <f>IF(O187&lt;&gt;"",BO187-SUM($BN$44:BN187),"")</f>
        <v>-5.9703285002275674E-2</v>
      </c>
      <c r="BQ187" s="11">
        <f t="shared" si="143"/>
        <v>20</v>
      </c>
      <c r="BR187" s="11">
        <f>IF(BF187&lt;&gt;"",IF($B$16=listy!$K$8,'RZĄDOWY PROGRAM'!$F$3*'RZĄDOWY PROGRAM'!$F$15,BK186*$F$15),"")</f>
        <v>50</v>
      </c>
      <c r="BS187" s="11">
        <f t="shared" si="144"/>
        <v>70</v>
      </c>
      <c r="BU187" s="8">
        <f t="shared" si="170"/>
        <v>160</v>
      </c>
      <c r="BV187" s="8"/>
      <c r="BW187" s="78">
        <f>IF(BU187&lt;&gt;"",ROUND(IF($F$11="raty równe",-PMT(W187/12,$F$4-BU186+SUM($BV$28:BV187)-$CB$43,BZ186,2),BX187+BY187),2),"")</f>
        <v>3522.1</v>
      </c>
      <c r="BX187" s="78">
        <f>IF(BU187&lt;&gt;"",IF($F$11="raty malejące",MIN(BZ186/($F$4-BU186+SUM($BV$28:BV186)-SUM($CB$28:CB186)),BZ186),MIN(BW187-BY187,BZ186)),"")</f>
        <v>2441.5883092853346</v>
      </c>
      <c r="BY187" s="78">
        <f t="shared" si="177"/>
        <v>1080.5116907146653</v>
      </c>
      <c r="BZ187" s="79">
        <f t="shared" si="178"/>
        <v>146594.50696170295</v>
      </c>
      <c r="CA187" s="11"/>
      <c r="CB187" s="33"/>
      <c r="CC187" s="33">
        <f t="shared" si="171"/>
        <v>0</v>
      </c>
      <c r="CD187" s="33">
        <f t="shared" si="183"/>
        <v>0.42611476676538346</v>
      </c>
      <c r="CE187" s="33">
        <f>IF(O187&lt;&gt;"",CD187-SUM($CC$44:CC187),"")</f>
        <v>0.15611476677176811</v>
      </c>
      <c r="CF187" s="11">
        <f t="shared" si="145"/>
        <v>20</v>
      </c>
      <c r="CG187" s="11">
        <f>IF(BU187&lt;&gt;"",IF($B$16=listy!$K$8,'RZĄDOWY PROGRAM'!$F$3*'RZĄDOWY PROGRAM'!$F$15,BZ186*$F$15),"")</f>
        <v>50</v>
      </c>
      <c r="CH187" s="11">
        <f t="shared" si="146"/>
        <v>70</v>
      </c>
      <c r="CJ187" s="48">
        <f t="shared" si="147"/>
        <v>0.06</v>
      </c>
      <c r="CK187" s="18">
        <f t="shared" si="148"/>
        <v>4.8675505653430484E-3</v>
      </c>
      <c r="CL187" s="11">
        <f t="shared" si="179"/>
        <v>0</v>
      </c>
      <c r="CM187" s="11">
        <f t="shared" si="149"/>
        <v>51354.426719019255</v>
      </c>
      <c r="CN187" s="11">
        <f>IF(AB187&lt;&gt;"",CM187-SUM($CL$28:CL187),"")</f>
        <v>23177.66671901926</v>
      </c>
    </row>
    <row r="188" spans="1:92" x14ac:dyDescent="0.45">
      <c r="A188" s="68">
        <f t="shared" si="172"/>
        <v>49614</v>
      </c>
      <c r="B188" s="8">
        <f t="shared" si="132"/>
        <v>161</v>
      </c>
      <c r="C188" s="11">
        <f t="shared" si="133"/>
        <v>3522.09</v>
      </c>
      <c r="D188" s="11">
        <f t="shared" si="134"/>
        <v>1976.1489407335523</v>
      </c>
      <c r="E188" s="11">
        <f t="shared" si="135"/>
        <v>1545.9410592664478</v>
      </c>
      <c r="F188" s="9">
        <f t="shared" si="150"/>
        <v>211257.10061325924</v>
      </c>
      <c r="G188" s="10">
        <f t="shared" si="136"/>
        <v>7.0000000000000007E-2</v>
      </c>
      <c r="H188" s="10">
        <f t="shared" si="137"/>
        <v>1.7000000000000001E-2</v>
      </c>
      <c r="I188" s="48">
        <f t="shared" si="151"/>
        <v>8.7000000000000008E-2</v>
      </c>
      <c r="J188" s="11">
        <f t="shared" si="138"/>
        <v>20</v>
      </c>
      <c r="K188" s="11">
        <f>IF(B188&lt;&gt;"",IF($B$16=listy!$K$8,'RZĄDOWY PROGRAM'!$F$3*'RZĄDOWY PROGRAM'!$F$15,F187*$F$15),"")</f>
        <v>50</v>
      </c>
      <c r="L188" s="11">
        <f t="shared" si="152"/>
        <v>70</v>
      </c>
      <c r="N188" s="54">
        <f t="shared" si="173"/>
        <v>49614</v>
      </c>
      <c r="O188" s="8">
        <f t="shared" si="153"/>
        <v>161</v>
      </c>
      <c r="P188" s="8"/>
      <c r="Q188" s="11">
        <f>IF(O188&lt;&gt;"",ROUND(IF($F$11="raty równe",-PMT(W188/12,$F$4-O187+SUM($P$28:P188),T187,2),R188+S188),2),"")</f>
        <v>3522.09</v>
      </c>
      <c r="R188" s="11">
        <f>IF(O188&lt;&gt;"",IF($F$11="raty malejące",T187/($F$4-O187+SUM($P$28:P188)),IF(Q188-S188&gt;T187,T187,Q188-S188)),"")</f>
        <v>1865.182793048032</v>
      </c>
      <c r="S188" s="11">
        <f t="shared" si="175"/>
        <v>1656.9072069519682</v>
      </c>
      <c r="T188" s="9">
        <f t="shared" si="154"/>
        <v>226673.74230377516</v>
      </c>
      <c r="U188" s="10">
        <f t="shared" si="139"/>
        <v>7.0000000000000007E-2</v>
      </c>
      <c r="V188" s="10">
        <f t="shared" si="140"/>
        <v>1.7000000000000001E-2</v>
      </c>
      <c r="W188" s="48">
        <f t="shared" si="155"/>
        <v>8.7000000000000008E-2</v>
      </c>
      <c r="X188" s="11">
        <f t="shared" si="141"/>
        <v>20</v>
      </c>
      <c r="Y188" s="11">
        <f>IF(O188&lt;&gt;"",IF($B$16=listy!$K$8,'RZĄDOWY PROGRAM'!$F$3*'RZĄDOWY PROGRAM'!$F$15,T187*$F$15),"")</f>
        <v>50</v>
      </c>
      <c r="Z188" s="11">
        <f t="shared" si="156"/>
        <v>70</v>
      </c>
      <c r="AB188" s="8">
        <f t="shared" si="157"/>
        <v>161</v>
      </c>
      <c r="AC188" s="8"/>
      <c r="AD188" s="11">
        <f>IF(AB188&lt;&gt;"",ROUND(IF($F$11="raty równe",-PMT(W188/12,$F$4-AB187+SUM($AC$28:AC188),AG187,2),AE188+AF188),2),"")</f>
        <v>3280.4</v>
      </c>
      <c r="AE188" s="11">
        <f>IF(AB188&lt;&gt;"",IF($F$11="raty malejące",AG187/($F$4-AB187+SUM($AC$28:AC187)),MIN(AD188-AF188,AG187)),"")</f>
        <v>1737.1967592227434</v>
      </c>
      <c r="AF188" s="11">
        <f t="shared" si="176"/>
        <v>1543.2032407772567</v>
      </c>
      <c r="AG188" s="9">
        <f t="shared" si="174"/>
        <v>211118.42265832989</v>
      </c>
      <c r="AH188" s="11"/>
      <c r="AI188" s="33">
        <f>IF(AB188&lt;&gt;"",ROUND(IF($F$11="raty równe",-PMT(W188/12,($F$4-AB187+SUM($AC$27:AC187)),AG187,2),AG187/($F$4-AB187+SUM($AC$27:AC187))+AG187*W188/12),2),"")</f>
        <v>3280.4</v>
      </c>
      <c r="AJ188" s="33">
        <f t="shared" si="158"/>
        <v>241.69000000000005</v>
      </c>
      <c r="AK188" s="33">
        <f t="shared" si="142"/>
        <v>50900.752199271446</v>
      </c>
      <c r="AL188" s="33">
        <f>IF(AB188&lt;&gt;"",AK188-SUM($AJ$28:AJ188),"")</f>
        <v>13781.192199271441</v>
      </c>
      <c r="AM188" s="11">
        <f t="shared" si="159"/>
        <v>20</v>
      </c>
      <c r="AN188" s="11">
        <f>IF(AB188&lt;&gt;"",IF($B$16=listy!$K$8,'RZĄDOWY PROGRAM'!$F$3*'RZĄDOWY PROGRAM'!$F$15,AG187*$F$15),"")</f>
        <v>50</v>
      </c>
      <c r="AO188" s="11">
        <f t="shared" si="160"/>
        <v>70</v>
      </c>
      <c r="AQ188" s="8">
        <f t="shared" si="161"/>
        <v>161</v>
      </c>
      <c r="AR188" s="8"/>
      <c r="AS188" s="78">
        <f>IF(AQ188&lt;&gt;"",ROUND(IF($F$11="raty równe",-PMT(W188/12,$F$4-AQ187+SUM($AR$28:AR188),AV187,2),AT188+AU188),2),"")</f>
        <v>3263.82</v>
      </c>
      <c r="AT188" s="78">
        <f>IF(AQ188&lt;&gt;"",IF($F$11="raty malejące",AV187/($F$4-AQ187+SUM($AR$28:AR187)),MIN(AS188-AU188,AV187)),"")</f>
        <v>1728.4119106270059</v>
      </c>
      <c r="AU188" s="78">
        <f t="shared" si="162"/>
        <v>1535.4080893729943</v>
      </c>
      <c r="AV188" s="79">
        <f t="shared" si="163"/>
        <v>210052.01420978596</v>
      </c>
      <c r="AW188" s="11"/>
      <c r="AX188" s="33">
        <f>IF(AQ188&lt;&gt;"",ROUND(IF($F$11="raty równe",-PMT(W188/12,($F$4-AQ187+SUM($AR$27:AR187)),AV187,2),AV187/($F$4-AQ187+SUM($AR$27:AR187))+AV187*W188/12),2),"")</f>
        <v>3263.82</v>
      </c>
      <c r="AY188" s="33">
        <f t="shared" si="164"/>
        <v>258.27</v>
      </c>
      <c r="AZ188" s="33">
        <f t="shared" si="180"/>
        <v>50391.79576859931</v>
      </c>
      <c r="BA188" s="33">
        <f>IF(AQ188&lt;&gt;"",AZ188-SUM($AY$44:AY188),"")</f>
        <v>12942.655768599325</v>
      </c>
      <c r="BB188" s="11">
        <f t="shared" si="165"/>
        <v>20</v>
      </c>
      <c r="BC188" s="11">
        <f>IF(AQ188&lt;&gt;"",IF($B$16=listy!$K$8,'RZĄDOWY PROGRAM'!$F$3*'RZĄDOWY PROGRAM'!$F$15,AV187*$F$15),"")</f>
        <v>50</v>
      </c>
      <c r="BD188" s="11">
        <f t="shared" si="166"/>
        <v>70</v>
      </c>
      <c r="BF188" s="8">
        <f t="shared" si="167"/>
        <v>161</v>
      </c>
      <c r="BG188" s="8"/>
      <c r="BH188" s="78">
        <f>IF(BF188&lt;&gt;"",ROUND(IF($F$11="raty równe",-PMT(W188/12,$F$4-BF187+SUM(BV$28:$BV188)-SUM($BM$29:BM188),BK187,2),BI188+BJ188),2),"")</f>
        <v>3522.1</v>
      </c>
      <c r="BI188" s="78">
        <f>IF(BF188&lt;&gt;"",IF($F$11="raty malejące",MIN(BK187/($F$4-BF187+SUM($BG$27:BG188)-SUM($BM$27:BM188)),BK187),MIN(BH188-BJ188,BK187)),"")</f>
        <v>2464.6498081059667</v>
      </c>
      <c r="BJ188" s="78">
        <f t="shared" si="168"/>
        <v>1057.4501918940332</v>
      </c>
      <c r="BK188" s="79">
        <f t="shared" si="169"/>
        <v>143390.54907382964</v>
      </c>
      <c r="BL188" s="11"/>
      <c r="BM188" s="33"/>
      <c r="BN188" s="33">
        <f t="shared" si="181"/>
        <v>-9.9999999997635314E-3</v>
      </c>
      <c r="BO188" s="33">
        <f t="shared" si="182"/>
        <v>-0.15025409537129342</v>
      </c>
      <c r="BP188" s="33">
        <f>IF(O188&lt;&gt;"",BO188-SUM($BN$44:BN188),"")</f>
        <v>-6.0254095373421634E-2</v>
      </c>
      <c r="BQ188" s="11">
        <f t="shared" si="143"/>
        <v>20</v>
      </c>
      <c r="BR188" s="11">
        <f>IF(BF188&lt;&gt;"",IF($B$16=listy!$K$8,'RZĄDOWY PROGRAM'!$F$3*'RZĄDOWY PROGRAM'!$F$15,BK187*$F$15),"")</f>
        <v>50</v>
      </c>
      <c r="BS188" s="11">
        <f t="shared" si="144"/>
        <v>70</v>
      </c>
      <c r="BU188" s="8">
        <f t="shared" si="170"/>
        <v>161</v>
      </c>
      <c r="BV188" s="8"/>
      <c r="BW188" s="78">
        <f>IF(BU188&lt;&gt;"",ROUND(IF($F$11="raty równe",-PMT(W188/12,$F$4-BU187+SUM($BV$28:BV188)-$CB$43,BZ187,2),BX188+BY188),2),"")</f>
        <v>3522.1</v>
      </c>
      <c r="BX188" s="78">
        <f>IF(BU188&lt;&gt;"",IF($F$11="raty malejące",MIN(BZ187/($F$4-BU187+SUM($BV$28:BV187)-SUM($CB$28:CB187)),BZ187),MIN(BW188-BY188,BZ187)),"")</f>
        <v>2459.2898245276538</v>
      </c>
      <c r="BY188" s="78">
        <f t="shared" si="177"/>
        <v>1062.8101754723464</v>
      </c>
      <c r="BZ188" s="79">
        <f t="shared" si="178"/>
        <v>144135.21713717529</v>
      </c>
      <c r="CA188" s="11"/>
      <c r="CB188" s="33"/>
      <c r="CC188" s="33">
        <f t="shared" si="171"/>
        <v>-9.9999999997635314E-3</v>
      </c>
      <c r="CD188" s="33">
        <f t="shared" si="183"/>
        <v>0.41779481625645454</v>
      </c>
      <c r="CE188" s="33">
        <f>IF(O188&lt;&gt;"",CD188-SUM($CC$44:CC188),"")</f>
        <v>0.15779481626260272</v>
      </c>
      <c r="CF188" s="11">
        <f t="shared" si="145"/>
        <v>20</v>
      </c>
      <c r="CG188" s="11">
        <f>IF(BU188&lt;&gt;"",IF($B$16=listy!$K$8,'RZĄDOWY PROGRAM'!$F$3*'RZĄDOWY PROGRAM'!$F$15,BZ187*$F$15),"")</f>
        <v>50</v>
      </c>
      <c r="CH188" s="11">
        <f t="shared" si="146"/>
        <v>70</v>
      </c>
      <c r="CJ188" s="48">
        <f t="shared" si="147"/>
        <v>0.06</v>
      </c>
      <c r="CK188" s="18">
        <f t="shared" si="148"/>
        <v>4.8675505653430484E-3</v>
      </c>
      <c r="CL188" s="11">
        <f t="shared" si="179"/>
        <v>0</v>
      </c>
      <c r="CM188" s="11">
        <f t="shared" si="149"/>
        <v>51556.902636754574</v>
      </c>
      <c r="CN188" s="11">
        <f>IF(AB188&lt;&gt;"",CM188-SUM($CL$28:CL188),"")</f>
        <v>23380.142636754579</v>
      </c>
    </row>
    <row r="189" spans="1:92" x14ac:dyDescent="0.45">
      <c r="A189" s="68">
        <f t="shared" si="172"/>
        <v>49644</v>
      </c>
      <c r="B189" s="8">
        <f t="shared" si="132"/>
        <v>162</v>
      </c>
      <c r="C189" s="11">
        <f t="shared" si="133"/>
        <v>3522.1</v>
      </c>
      <c r="D189" s="11">
        <f t="shared" si="134"/>
        <v>1990.4860205538703</v>
      </c>
      <c r="E189" s="11">
        <f t="shared" si="135"/>
        <v>1531.6139794461296</v>
      </c>
      <c r="F189" s="9">
        <f t="shared" si="150"/>
        <v>209266.61459270539</v>
      </c>
      <c r="G189" s="10">
        <f t="shared" si="136"/>
        <v>7.0000000000000007E-2</v>
      </c>
      <c r="H189" s="10">
        <f t="shared" si="137"/>
        <v>1.7000000000000001E-2</v>
      </c>
      <c r="I189" s="48">
        <f t="shared" si="151"/>
        <v>8.7000000000000008E-2</v>
      </c>
      <c r="J189" s="11">
        <f t="shared" si="138"/>
        <v>20</v>
      </c>
      <c r="K189" s="11">
        <f>IF(B189&lt;&gt;"",IF($B$16=listy!$K$8,'RZĄDOWY PROGRAM'!$F$3*'RZĄDOWY PROGRAM'!$F$15,F188*$F$15),"")</f>
        <v>50</v>
      </c>
      <c r="L189" s="11">
        <f t="shared" si="152"/>
        <v>70</v>
      </c>
      <c r="N189" s="54">
        <f t="shared" si="173"/>
        <v>49644</v>
      </c>
      <c r="O189" s="8">
        <f t="shared" si="153"/>
        <v>162</v>
      </c>
      <c r="P189" s="8"/>
      <c r="Q189" s="11">
        <f>IF(O189&lt;&gt;"",ROUND(IF($F$11="raty równe",-PMT(W189/12,$F$4-O188+SUM($P$28:P189),T188,2),R189+S189),2),"")</f>
        <v>3522.1</v>
      </c>
      <c r="R189" s="11">
        <f>IF(O189&lt;&gt;"",IF($F$11="raty malejące",T188/($F$4-O188+SUM($P$28:P189)),IF(Q189-S189&gt;T188,T188,Q189-S189)),"")</f>
        <v>1878.71536829763</v>
      </c>
      <c r="S189" s="11">
        <f t="shared" si="175"/>
        <v>1643.3846317023699</v>
      </c>
      <c r="T189" s="9">
        <f t="shared" si="154"/>
        <v>224795.02693547754</v>
      </c>
      <c r="U189" s="10">
        <f t="shared" si="139"/>
        <v>7.0000000000000007E-2</v>
      </c>
      <c r="V189" s="10">
        <f t="shared" si="140"/>
        <v>1.7000000000000001E-2</v>
      </c>
      <c r="W189" s="48">
        <f t="shared" si="155"/>
        <v>8.7000000000000008E-2</v>
      </c>
      <c r="X189" s="11">
        <f t="shared" si="141"/>
        <v>20</v>
      </c>
      <c r="Y189" s="11">
        <f>IF(O189&lt;&gt;"",IF($B$16=listy!$K$8,'RZĄDOWY PROGRAM'!$F$3*'RZĄDOWY PROGRAM'!$F$15,T188*$F$15),"")</f>
        <v>50</v>
      </c>
      <c r="Z189" s="11">
        <f t="shared" si="156"/>
        <v>70</v>
      </c>
      <c r="AB189" s="8">
        <f t="shared" si="157"/>
        <v>162</v>
      </c>
      <c r="AC189" s="8"/>
      <c r="AD189" s="11">
        <f>IF(AB189&lt;&gt;"",ROUND(IF($F$11="raty równe",-PMT(W189/12,$F$4-AB188+SUM($AC$28:AC189),AG188,2),AE189+AF189),2),"")</f>
        <v>3280.39</v>
      </c>
      <c r="AE189" s="11">
        <f>IF(AB189&lt;&gt;"",IF($F$11="raty malejące",AG188/($F$4-AB188+SUM($AC$28:AC188)),MIN(AD189-AF189,AG188)),"")</f>
        <v>1749.7814357271079</v>
      </c>
      <c r="AF189" s="11">
        <f t="shared" si="176"/>
        <v>1530.608564272892</v>
      </c>
      <c r="AG189" s="9">
        <f t="shared" si="174"/>
        <v>209368.64122260278</v>
      </c>
      <c r="AH189" s="11"/>
      <c r="AI189" s="33">
        <f>IF(AB189&lt;&gt;"",ROUND(IF($F$11="raty równe",-PMT(W189/12,($F$4-AB188+SUM($AC$27:AC188)),AG188,2),AG188/($F$4-AB188+SUM($AC$27:AC188))+AG188*W189/12),2),"")</f>
        <v>3280.39</v>
      </c>
      <c r="AJ189" s="33">
        <f t="shared" si="158"/>
        <v>241.71000000000004</v>
      </c>
      <c r="AK189" s="33">
        <f t="shared" si="142"/>
        <v>51343.149407238052</v>
      </c>
      <c r="AL189" s="33">
        <f>IF(AB189&lt;&gt;"",AK189-SUM($AJ$28:AJ189),"")</f>
        <v>13981.879407238048</v>
      </c>
      <c r="AM189" s="11">
        <f t="shared" si="159"/>
        <v>20</v>
      </c>
      <c r="AN189" s="11">
        <f>IF(AB189&lt;&gt;"",IF($B$16=listy!$K$8,'RZĄDOWY PROGRAM'!$F$3*'RZĄDOWY PROGRAM'!$F$15,AG188*$F$15),"")</f>
        <v>50</v>
      </c>
      <c r="AO189" s="11">
        <f t="shared" si="160"/>
        <v>70</v>
      </c>
      <c r="AQ189" s="8">
        <f t="shared" si="161"/>
        <v>162</v>
      </c>
      <c r="AR189" s="8"/>
      <c r="AS189" s="78">
        <f>IF(AQ189&lt;&gt;"",ROUND(IF($F$11="raty równe",-PMT(W189/12,$F$4-AQ188+SUM($AR$28:AR189),AV188,2),AT189+AU189),2),"")</f>
        <v>3263.83</v>
      </c>
      <c r="AT189" s="78">
        <f>IF(AQ189&lt;&gt;"",IF($F$11="raty malejące",AV188/($F$4-AQ188+SUM($AR$28:AR188)),MIN(AS189-AU189,AV188)),"")</f>
        <v>1740.9528969790515</v>
      </c>
      <c r="AU189" s="78">
        <f t="shared" si="162"/>
        <v>1522.8771030209484</v>
      </c>
      <c r="AV189" s="79">
        <f t="shared" si="163"/>
        <v>208311.06131280691</v>
      </c>
      <c r="AW189" s="11"/>
      <c r="AX189" s="33">
        <f>IF(AQ189&lt;&gt;"",ROUND(IF($F$11="raty równe",-PMT(W189/12,($F$4-AQ188+SUM($AR$27:AR188)),AV188,2),AV188/($F$4-AQ188+SUM($AR$27:AR188))+AV188*W189/12),2),"")</f>
        <v>3263.83</v>
      </c>
      <c r="AY189" s="33">
        <f t="shared" si="164"/>
        <v>258.27</v>
      </c>
      <c r="AZ189" s="33">
        <f t="shared" si="180"/>
        <v>50848.746305924811</v>
      </c>
      <c r="BA189" s="33">
        <f>IF(AQ189&lt;&gt;"",AZ189-SUM($AY$44:AY189),"")</f>
        <v>13141.33630592483</v>
      </c>
      <c r="BB189" s="11">
        <f t="shared" si="165"/>
        <v>20</v>
      </c>
      <c r="BC189" s="11">
        <f>IF(AQ189&lt;&gt;"",IF($B$16=listy!$K$8,'RZĄDOWY PROGRAM'!$F$3*'RZĄDOWY PROGRAM'!$F$15,AV188*$F$15),"")</f>
        <v>50</v>
      </c>
      <c r="BD189" s="11">
        <f t="shared" si="166"/>
        <v>70</v>
      </c>
      <c r="BF189" s="8">
        <f t="shared" si="167"/>
        <v>162</v>
      </c>
      <c r="BG189" s="8"/>
      <c r="BH189" s="78">
        <f>IF(BF189&lt;&gt;"",ROUND(IF($F$11="raty równe",-PMT(W189/12,$F$4-BF188+SUM(BV$28:$BV189)-SUM($BM$29:BM189),BK188,2),BI189+BJ189),2),"")</f>
        <v>3522.09</v>
      </c>
      <c r="BI189" s="78">
        <f>IF(BF189&lt;&gt;"",IF($F$11="raty malejące",MIN(BK188/($F$4-BF188+SUM($BG$27:BG189)-SUM($BM$27:BM189)),BK188),MIN(BH189-BJ189,BK188)),"")</f>
        <v>2482.5085192147353</v>
      </c>
      <c r="BJ189" s="78">
        <f t="shared" si="168"/>
        <v>1039.5814807852651</v>
      </c>
      <c r="BK189" s="79">
        <f t="shared" si="169"/>
        <v>140908.04055461491</v>
      </c>
      <c r="BL189" s="11"/>
      <c r="BM189" s="33"/>
      <c r="BN189" s="33">
        <f t="shared" si="181"/>
        <v>9.9999999997635314E-3</v>
      </c>
      <c r="BO189" s="33">
        <f t="shared" si="182"/>
        <v>-0.14084650459109432</v>
      </c>
      <c r="BP189" s="33">
        <f>IF(O189&lt;&gt;"",BO189-SUM($BN$44:BN189),"")</f>
        <v>-6.0846504592986073E-2</v>
      </c>
      <c r="BQ189" s="11">
        <f t="shared" si="143"/>
        <v>20</v>
      </c>
      <c r="BR189" s="11">
        <f>IF(BF189&lt;&gt;"",IF($B$16=listy!$K$8,'RZĄDOWY PROGRAM'!$F$3*'RZĄDOWY PROGRAM'!$F$15,BK188*$F$15),"")</f>
        <v>50</v>
      </c>
      <c r="BS189" s="11">
        <f t="shared" si="144"/>
        <v>70</v>
      </c>
      <c r="BU189" s="8">
        <f t="shared" si="170"/>
        <v>162</v>
      </c>
      <c r="BV189" s="8"/>
      <c r="BW189" s="78">
        <f>IF(BU189&lt;&gt;"",ROUND(IF($F$11="raty równe",-PMT(W189/12,$F$4-BU188+SUM($BV$28:BV189)-$CB$43,BZ188,2),BX189+BY189),2),"")</f>
        <v>3522.09</v>
      </c>
      <c r="BX189" s="78">
        <f>IF(BU189&lt;&gt;"",IF($F$11="raty malejące",MIN(BZ188/($F$4-BU188+SUM($BV$28:BV188)-SUM($CB$28:CB188)),BZ188),MIN(BW189-BY189,BZ188)),"")</f>
        <v>2477.1096757554792</v>
      </c>
      <c r="BY189" s="78">
        <f t="shared" si="177"/>
        <v>1044.9803242445209</v>
      </c>
      <c r="BZ189" s="79">
        <f t="shared" si="178"/>
        <v>141658.1074614198</v>
      </c>
      <c r="CA189" s="11"/>
      <c r="CB189" s="33"/>
      <c r="CC189" s="33">
        <f t="shared" si="171"/>
        <v>9.9999999997635314E-3</v>
      </c>
      <c r="CD189" s="33">
        <f t="shared" si="183"/>
        <v>0.42944206254541195</v>
      </c>
      <c r="CE189" s="33">
        <f>IF(O189&lt;&gt;"",CD189-SUM($CC$44:CC189),"")</f>
        <v>0.1594420625517966</v>
      </c>
      <c r="CF189" s="11">
        <f t="shared" si="145"/>
        <v>20</v>
      </c>
      <c r="CG189" s="11">
        <f>IF(BU189&lt;&gt;"",IF($B$16=listy!$K$8,'RZĄDOWY PROGRAM'!$F$3*'RZĄDOWY PROGRAM'!$F$15,BZ188*$F$15),"")</f>
        <v>50</v>
      </c>
      <c r="CH189" s="11">
        <f t="shared" si="146"/>
        <v>70</v>
      </c>
      <c r="CJ189" s="48">
        <f t="shared" si="147"/>
        <v>0.06</v>
      </c>
      <c r="CK189" s="18">
        <f t="shared" si="148"/>
        <v>4.8675505653430484E-3</v>
      </c>
      <c r="CL189" s="11">
        <f t="shared" si="179"/>
        <v>0</v>
      </c>
      <c r="CM189" s="11">
        <f t="shared" si="149"/>
        <v>51760.176859521845</v>
      </c>
      <c r="CN189" s="11">
        <f>IF(AB189&lt;&gt;"",CM189-SUM($CL$28:CL189),"")</f>
        <v>23583.416859521851</v>
      </c>
    </row>
    <row r="190" spans="1:92" x14ac:dyDescent="0.45">
      <c r="A190" s="68">
        <f t="shared" si="172"/>
        <v>49675</v>
      </c>
      <c r="B190" s="8">
        <f t="shared" si="132"/>
        <v>163</v>
      </c>
      <c r="C190" s="11">
        <f t="shared" si="133"/>
        <v>3522.09</v>
      </c>
      <c r="D190" s="11">
        <f t="shared" si="134"/>
        <v>2004.907044202886</v>
      </c>
      <c r="E190" s="11">
        <f t="shared" si="135"/>
        <v>1517.1829557971141</v>
      </c>
      <c r="F190" s="9">
        <f t="shared" si="150"/>
        <v>207261.70754850251</v>
      </c>
      <c r="G190" s="10">
        <f t="shared" si="136"/>
        <v>7.0000000000000007E-2</v>
      </c>
      <c r="H190" s="10">
        <f t="shared" si="137"/>
        <v>1.7000000000000001E-2</v>
      </c>
      <c r="I190" s="48">
        <f t="shared" si="151"/>
        <v>8.7000000000000008E-2</v>
      </c>
      <c r="J190" s="11">
        <f t="shared" si="138"/>
        <v>20</v>
      </c>
      <c r="K190" s="11">
        <f>IF(B190&lt;&gt;"",IF($B$16=listy!$K$8,'RZĄDOWY PROGRAM'!$F$3*'RZĄDOWY PROGRAM'!$F$15,F189*$F$15),"")</f>
        <v>50</v>
      </c>
      <c r="L190" s="11">
        <f t="shared" si="152"/>
        <v>70</v>
      </c>
      <c r="N190" s="54">
        <f t="shared" si="173"/>
        <v>49675</v>
      </c>
      <c r="O190" s="8">
        <f t="shared" si="153"/>
        <v>163</v>
      </c>
      <c r="P190" s="8"/>
      <c r="Q190" s="11">
        <f>IF(O190&lt;&gt;"",ROUND(IF($F$11="raty równe",-PMT(W190/12,$F$4-O189+SUM($P$28:P190),T189,2),R190+S190),2),"")</f>
        <v>3522.09</v>
      </c>
      <c r="R190" s="11">
        <f>IF(O190&lt;&gt;"",IF($F$11="raty malejące",T189/($F$4-O189+SUM($P$28:P190)),IF(Q190-S190&gt;T189,T189,Q190-S190)),"")</f>
        <v>1892.3260547177879</v>
      </c>
      <c r="S190" s="11">
        <f t="shared" si="175"/>
        <v>1629.7639452822123</v>
      </c>
      <c r="T190" s="9">
        <f t="shared" si="154"/>
        <v>222902.70088075974</v>
      </c>
      <c r="U190" s="10">
        <f t="shared" si="139"/>
        <v>7.0000000000000007E-2</v>
      </c>
      <c r="V190" s="10">
        <f t="shared" si="140"/>
        <v>1.7000000000000001E-2</v>
      </c>
      <c r="W190" s="48">
        <f t="shared" si="155"/>
        <v>8.7000000000000008E-2</v>
      </c>
      <c r="X190" s="11">
        <f t="shared" si="141"/>
        <v>20</v>
      </c>
      <c r="Y190" s="11">
        <f>IF(O190&lt;&gt;"",IF($B$16=listy!$K$8,'RZĄDOWY PROGRAM'!$F$3*'RZĄDOWY PROGRAM'!$F$15,T189*$F$15),"")</f>
        <v>50</v>
      </c>
      <c r="Z190" s="11">
        <f t="shared" si="156"/>
        <v>70</v>
      </c>
      <c r="AB190" s="8">
        <f t="shared" si="157"/>
        <v>163</v>
      </c>
      <c r="AC190" s="8"/>
      <c r="AD190" s="11">
        <f>IF(AB190&lt;&gt;"",ROUND(IF($F$11="raty równe",-PMT(W190/12,$F$4-AB189+SUM($AC$28:AC190),AG189,2),AE190+AF190),2),"")</f>
        <v>3280.4</v>
      </c>
      <c r="AE190" s="11">
        <f>IF(AB190&lt;&gt;"",IF($F$11="raty malejące",AG189/($F$4-AB189+SUM($AC$28:AC189)),MIN(AD190-AF190,AG189)),"")</f>
        <v>1762.4773511361298</v>
      </c>
      <c r="AF190" s="11">
        <f t="shared" si="176"/>
        <v>1517.9226488638703</v>
      </c>
      <c r="AG190" s="9">
        <f t="shared" si="174"/>
        <v>207606.16387146665</v>
      </c>
      <c r="AH190" s="11"/>
      <c r="AI190" s="33">
        <f>IF(AB190&lt;&gt;"",ROUND(IF($F$11="raty równe",-PMT(W190/12,($F$4-AB189+SUM($AC$27:AC189)),AG189,2),AG189/($F$4-AB189+SUM($AC$27:AC189))+AG189*W190/12),2),"")</f>
        <v>3280.4</v>
      </c>
      <c r="AJ190" s="33">
        <f t="shared" si="158"/>
        <v>241.69000000000005</v>
      </c>
      <c r="AK190" s="33">
        <f t="shared" si="142"/>
        <v>51787.270861736251</v>
      </c>
      <c r="AL190" s="33">
        <f>IF(AB190&lt;&gt;"",AK190-SUM($AJ$28:AJ190),"")</f>
        <v>14184.310861736245</v>
      </c>
      <c r="AM190" s="11">
        <f t="shared" si="159"/>
        <v>20</v>
      </c>
      <c r="AN190" s="11">
        <f>IF(AB190&lt;&gt;"",IF($B$16=listy!$K$8,'RZĄDOWY PROGRAM'!$F$3*'RZĄDOWY PROGRAM'!$F$15,AG189*$F$15),"")</f>
        <v>50</v>
      </c>
      <c r="AO190" s="11">
        <f t="shared" si="160"/>
        <v>70</v>
      </c>
      <c r="AQ190" s="8">
        <f t="shared" si="161"/>
        <v>163</v>
      </c>
      <c r="AR190" s="8"/>
      <c r="AS190" s="78">
        <f>IF(AQ190&lt;&gt;"",ROUND(IF($F$11="raty równe",-PMT(W190/12,$F$4-AQ189+SUM($AR$28:AR190),AV189,2),AT190+AU190),2),"")</f>
        <v>3263.82</v>
      </c>
      <c r="AT190" s="78">
        <f>IF(AQ190&lt;&gt;"",IF($F$11="raty malejące",AV189/($F$4-AQ189+SUM($AR$28:AR189)),MIN(AS190-AU190,AV189)),"")</f>
        <v>1753.5648054821499</v>
      </c>
      <c r="AU190" s="78">
        <f t="shared" si="162"/>
        <v>1510.2551945178502</v>
      </c>
      <c r="AV190" s="79">
        <f t="shared" si="163"/>
        <v>206557.49650732477</v>
      </c>
      <c r="AW190" s="11"/>
      <c r="AX190" s="33">
        <f>IF(AQ190&lt;&gt;"",ROUND(IF($F$11="raty równe",-PMT(W190/12,($F$4-AQ189+SUM($AR$27:AR189)),AV189,2),AV189/($F$4-AQ189+SUM($AR$27:AR189))+AV189*W190/12),2),"")</f>
        <v>3263.82</v>
      </c>
      <c r="AY190" s="33">
        <f t="shared" si="164"/>
        <v>258.27</v>
      </c>
      <c r="AZ190" s="33">
        <f t="shared" si="180"/>
        <v>51307.498469425809</v>
      </c>
      <c r="BA190" s="33">
        <f>IF(AQ190&lt;&gt;"",AZ190-SUM($AY$44:AY190),"")</f>
        <v>13341.818469425831</v>
      </c>
      <c r="BB190" s="11">
        <f t="shared" si="165"/>
        <v>20</v>
      </c>
      <c r="BC190" s="11">
        <f>IF(AQ190&lt;&gt;"",IF($B$16=listy!$K$8,'RZĄDOWY PROGRAM'!$F$3*'RZĄDOWY PROGRAM'!$F$15,AV189*$F$15),"")</f>
        <v>50</v>
      </c>
      <c r="BD190" s="11">
        <f t="shared" si="166"/>
        <v>70</v>
      </c>
      <c r="BF190" s="8">
        <f t="shared" si="167"/>
        <v>163</v>
      </c>
      <c r="BG190" s="8"/>
      <c r="BH190" s="78">
        <f>IF(BF190&lt;&gt;"",ROUND(IF($F$11="raty równe",-PMT(W190/12,$F$4-BF189+SUM(BV$28:$BV190)-SUM($BM$29:BM190),BK189,2),BI190+BJ190),2),"")</f>
        <v>3522.09</v>
      </c>
      <c r="BI190" s="78">
        <f>IF(BF190&lt;&gt;"",IF($F$11="raty malejące",MIN(BK189/($F$4-BF189+SUM($BG$27:BG190)-SUM($BM$27:BM190)),BK189),MIN(BH190-BJ190,BK189)),"")</f>
        <v>2500.5067059790417</v>
      </c>
      <c r="BJ190" s="78">
        <f t="shared" si="168"/>
        <v>1021.5832940209583</v>
      </c>
      <c r="BK190" s="79">
        <f t="shared" si="169"/>
        <v>138407.53384863588</v>
      </c>
      <c r="BL190" s="11"/>
      <c r="BM190" s="33"/>
      <c r="BN190" s="33">
        <f t="shared" si="181"/>
        <v>0</v>
      </c>
      <c r="BO190" s="33">
        <f t="shared" si="182"/>
        <v>-0.14140182235236401</v>
      </c>
      <c r="BP190" s="33">
        <f>IF(O190&lt;&gt;"",BO190-SUM($BN$44:BN190),"")</f>
        <v>-6.1401822354255758E-2</v>
      </c>
      <c r="BQ190" s="11">
        <f t="shared" si="143"/>
        <v>20</v>
      </c>
      <c r="BR190" s="11">
        <f>IF(BF190&lt;&gt;"",IF($B$16=listy!$K$8,'RZĄDOWY PROGRAM'!$F$3*'RZĄDOWY PROGRAM'!$F$15,BK189*$F$15),"")</f>
        <v>50</v>
      </c>
      <c r="BS190" s="11">
        <f t="shared" si="144"/>
        <v>70</v>
      </c>
      <c r="BU190" s="8">
        <f t="shared" si="170"/>
        <v>163</v>
      </c>
      <c r="BV190" s="8"/>
      <c r="BW190" s="78">
        <f>IF(BU190&lt;&gt;"",ROUND(IF($F$11="raty równe",-PMT(W190/12,$F$4-BU189+SUM($BV$28:BV190)-$CB$43,BZ189,2),BX190+BY190),2),"")</f>
        <v>3522.09</v>
      </c>
      <c r="BX190" s="78">
        <f>IF(BU190&lt;&gt;"",IF($F$11="raty malejące",MIN(BZ189/($F$4-BU189+SUM($BV$28:BV189)-SUM($CB$28:CB189)),BZ189),MIN(BW190-BY190,BZ189)),"")</f>
        <v>2495.0687209047064</v>
      </c>
      <c r="BY190" s="78">
        <f t="shared" si="177"/>
        <v>1027.0212790952937</v>
      </c>
      <c r="BZ190" s="79">
        <f t="shared" si="178"/>
        <v>139163.0387405151</v>
      </c>
      <c r="CA190" s="11"/>
      <c r="CB190" s="33"/>
      <c r="CC190" s="33">
        <f t="shared" si="171"/>
        <v>0</v>
      </c>
      <c r="CD190" s="33">
        <f t="shared" si="183"/>
        <v>0.43113523061841524</v>
      </c>
      <c r="CE190" s="33">
        <f>IF(O190&lt;&gt;"",CD190-SUM($CC$44:CC190),"")</f>
        <v>0.1611352306247999</v>
      </c>
      <c r="CF190" s="11">
        <f t="shared" si="145"/>
        <v>20</v>
      </c>
      <c r="CG190" s="11">
        <f>IF(BU190&lt;&gt;"",IF($B$16=listy!$K$8,'RZĄDOWY PROGRAM'!$F$3*'RZĄDOWY PROGRAM'!$F$15,BZ189*$F$15),"")</f>
        <v>50</v>
      </c>
      <c r="CH190" s="11">
        <f t="shared" si="146"/>
        <v>70</v>
      </c>
      <c r="CJ190" s="48">
        <f t="shared" si="147"/>
        <v>0.06</v>
      </c>
      <c r="CK190" s="18">
        <f t="shared" si="148"/>
        <v>4.8675505653430484E-3</v>
      </c>
      <c r="CL190" s="11">
        <f t="shared" si="179"/>
        <v>0</v>
      </c>
      <c r="CM190" s="11">
        <f t="shared" si="149"/>
        <v>51964.252534811058</v>
      </c>
      <c r="CN190" s="11">
        <f>IF(AB190&lt;&gt;"",CM190-SUM($CL$28:CL190),"")</f>
        <v>23787.492534811063</v>
      </c>
    </row>
    <row r="191" spans="1:92" x14ac:dyDescent="0.45">
      <c r="A191" s="68">
        <f t="shared" si="172"/>
        <v>49706</v>
      </c>
      <c r="B191" s="8">
        <f t="shared" si="132"/>
        <v>164</v>
      </c>
      <c r="C191" s="11">
        <f t="shared" si="133"/>
        <v>3522.1</v>
      </c>
      <c r="D191" s="11">
        <f t="shared" si="134"/>
        <v>2019.4526202733566</v>
      </c>
      <c r="E191" s="11">
        <f t="shared" si="135"/>
        <v>1502.6473797266433</v>
      </c>
      <c r="F191" s="9">
        <f t="shared" si="150"/>
        <v>205242.25492822914</v>
      </c>
      <c r="G191" s="10">
        <f t="shared" si="136"/>
        <v>7.0000000000000007E-2</v>
      </c>
      <c r="H191" s="10">
        <f t="shared" si="137"/>
        <v>1.7000000000000001E-2</v>
      </c>
      <c r="I191" s="48">
        <f t="shared" si="151"/>
        <v>8.7000000000000008E-2</v>
      </c>
      <c r="J191" s="11">
        <f t="shared" si="138"/>
        <v>20</v>
      </c>
      <c r="K191" s="11">
        <f>IF(B191&lt;&gt;"",IF($B$16=listy!$K$8,'RZĄDOWY PROGRAM'!$F$3*'RZĄDOWY PROGRAM'!$F$15,F190*$F$15),"")</f>
        <v>50</v>
      </c>
      <c r="L191" s="11">
        <f t="shared" si="152"/>
        <v>70</v>
      </c>
      <c r="N191" s="54">
        <f t="shared" si="173"/>
        <v>49706</v>
      </c>
      <c r="O191" s="8">
        <f t="shared" si="153"/>
        <v>164</v>
      </c>
      <c r="P191" s="8"/>
      <c r="Q191" s="11">
        <f>IF(O191&lt;&gt;"",ROUND(IF($F$11="raty równe",-PMT(W191/12,$F$4-O190+SUM($P$28:P191),T190,2),R191+S191),2),"")</f>
        <v>3522.1</v>
      </c>
      <c r="R191" s="11">
        <f>IF(O191&lt;&gt;"",IF($F$11="raty malejące",T190/($F$4-O190+SUM($P$28:P191)),IF(Q191-S191&gt;T190,T190,Q191-S191)),"")</f>
        <v>1906.0554186144916</v>
      </c>
      <c r="S191" s="11">
        <f t="shared" si="175"/>
        <v>1616.0445813855083</v>
      </c>
      <c r="T191" s="9">
        <f t="shared" si="154"/>
        <v>220996.64546214524</v>
      </c>
      <c r="U191" s="10">
        <f t="shared" si="139"/>
        <v>7.0000000000000007E-2</v>
      </c>
      <c r="V191" s="10">
        <f t="shared" si="140"/>
        <v>1.7000000000000001E-2</v>
      </c>
      <c r="W191" s="48">
        <f t="shared" si="155"/>
        <v>8.7000000000000008E-2</v>
      </c>
      <c r="X191" s="11">
        <f t="shared" si="141"/>
        <v>20</v>
      </c>
      <c r="Y191" s="11">
        <f>IF(O191&lt;&gt;"",IF($B$16=listy!$K$8,'RZĄDOWY PROGRAM'!$F$3*'RZĄDOWY PROGRAM'!$F$15,T190*$F$15),"")</f>
        <v>50</v>
      </c>
      <c r="Z191" s="11">
        <f t="shared" si="156"/>
        <v>70</v>
      </c>
      <c r="AB191" s="8">
        <f t="shared" si="157"/>
        <v>164</v>
      </c>
      <c r="AC191" s="8"/>
      <c r="AD191" s="11">
        <f>IF(AB191&lt;&gt;"",ROUND(IF($F$11="raty równe",-PMT(W191/12,$F$4-AB190+SUM($AC$28:AC191),AG190,2),AE191+AF191),2),"")</f>
        <v>3280.39</v>
      </c>
      <c r="AE191" s="11">
        <f>IF(AB191&lt;&gt;"",IF($F$11="raty malejące",AG190/($F$4-AB190+SUM($AC$28:AC190)),MIN(AD191-AF191,AG190)),"")</f>
        <v>1775.2453119318666</v>
      </c>
      <c r="AF191" s="11">
        <f t="shared" si="176"/>
        <v>1505.1446880681333</v>
      </c>
      <c r="AG191" s="9">
        <f t="shared" si="174"/>
        <v>205830.9185595348</v>
      </c>
      <c r="AH191" s="11"/>
      <c r="AI191" s="33">
        <f>IF(AB191&lt;&gt;"",ROUND(IF($F$11="raty równe",-PMT(W191/12,($F$4-AB190+SUM($AC$27:AC190)),AG190,2),AG190/($F$4-AB190+SUM($AC$27:AC190))+AG190*W191/12),2),"")</f>
        <v>3280.39</v>
      </c>
      <c r="AJ191" s="33">
        <f t="shared" si="158"/>
        <v>241.71000000000004</v>
      </c>
      <c r="AK191" s="33">
        <f t="shared" si="142"/>
        <v>52233.163360980354</v>
      </c>
      <c r="AL191" s="33">
        <f>IF(AB191&lt;&gt;"",AK191-SUM($AJ$28:AJ191),"")</f>
        <v>14388.493360980348</v>
      </c>
      <c r="AM191" s="11">
        <f t="shared" si="159"/>
        <v>20</v>
      </c>
      <c r="AN191" s="11">
        <f>IF(AB191&lt;&gt;"",IF($B$16=listy!$K$8,'RZĄDOWY PROGRAM'!$F$3*'RZĄDOWY PROGRAM'!$F$15,AG190*$F$15),"")</f>
        <v>50</v>
      </c>
      <c r="AO191" s="11">
        <f t="shared" si="160"/>
        <v>70</v>
      </c>
      <c r="AQ191" s="8">
        <f t="shared" si="161"/>
        <v>164</v>
      </c>
      <c r="AR191" s="8"/>
      <c r="AS191" s="78">
        <f>IF(AQ191&lt;&gt;"",ROUND(IF($F$11="raty równe",-PMT(W191/12,$F$4-AQ190+SUM($AR$28:AR191),AV190,2),AT191+AU191),2),"")</f>
        <v>3263.83</v>
      </c>
      <c r="AT191" s="78">
        <f>IF(AQ191&lt;&gt;"",IF($F$11="raty malejące",AV190/($F$4-AQ190+SUM($AR$28:AR190)),MIN(AS191-AU191,AV190)),"")</f>
        <v>1766.288150321895</v>
      </c>
      <c r="AU191" s="78">
        <f t="shared" si="162"/>
        <v>1497.5418496781049</v>
      </c>
      <c r="AV191" s="79">
        <f t="shared" si="163"/>
        <v>204791.20835700288</v>
      </c>
      <c r="AW191" s="11"/>
      <c r="AX191" s="33">
        <f>IF(AQ191&lt;&gt;"",ROUND(IF($F$11="raty równe",-PMT(W191/12,($F$4-AQ190+SUM($AR$27:AR190)),AV190,2),AV190/($F$4-AQ190+SUM($AR$27:AR190))+AV190*W191/12),2),"")</f>
        <v>3263.83</v>
      </c>
      <c r="AY191" s="33">
        <f t="shared" si="164"/>
        <v>258.27</v>
      </c>
      <c r="AZ191" s="33">
        <f t="shared" si="180"/>
        <v>51768.059362402571</v>
      </c>
      <c r="BA191" s="33">
        <f>IF(AQ191&lt;&gt;"",AZ191-SUM($AY$44:AY191),"")</f>
        <v>13544.109362402596</v>
      </c>
      <c r="BB191" s="11">
        <f t="shared" si="165"/>
        <v>20</v>
      </c>
      <c r="BC191" s="11">
        <f>IF(AQ191&lt;&gt;"",IF($B$16=listy!$K$8,'RZĄDOWY PROGRAM'!$F$3*'RZĄDOWY PROGRAM'!$F$15,AV190*$F$15),"")</f>
        <v>50</v>
      </c>
      <c r="BD191" s="11">
        <f t="shared" si="166"/>
        <v>70</v>
      </c>
      <c r="BF191" s="8">
        <f t="shared" si="167"/>
        <v>164</v>
      </c>
      <c r="BG191" s="8"/>
      <c r="BH191" s="78">
        <f>IF(BF191&lt;&gt;"",ROUND(IF($F$11="raty równe",-PMT(W191/12,$F$4-BF190+SUM(BV$28:$BV191)-SUM($BM$29:BM191),BK190,2),BI191+BJ191),2),"")</f>
        <v>3522.1</v>
      </c>
      <c r="BI191" s="78">
        <f>IF(BF191&lt;&gt;"",IF($F$11="raty malejące",MIN(BK190/($F$4-BF190+SUM($BG$27:BG191)-SUM($BM$27:BM191)),BK190),MIN(BH191-BJ191,BK190)),"")</f>
        <v>2518.6453795973898</v>
      </c>
      <c r="BJ191" s="78">
        <f t="shared" si="168"/>
        <v>1003.4546204026102</v>
      </c>
      <c r="BK191" s="79">
        <f t="shared" si="169"/>
        <v>135888.8884690385</v>
      </c>
      <c r="BL191" s="11"/>
      <c r="BM191" s="33"/>
      <c r="BN191" s="33">
        <f t="shared" si="181"/>
        <v>0</v>
      </c>
      <c r="BO191" s="33">
        <f t="shared" si="182"/>
        <v>-0.14195932957383275</v>
      </c>
      <c r="BP191" s="33">
        <f>IF(O191&lt;&gt;"",BO191-SUM($BN$44:BN191),"")</f>
        <v>-6.1959329575724503E-2</v>
      </c>
      <c r="BQ191" s="11">
        <f t="shared" si="143"/>
        <v>20</v>
      </c>
      <c r="BR191" s="11">
        <f>IF(BF191&lt;&gt;"",IF($B$16=listy!$K$8,'RZĄDOWY PROGRAM'!$F$3*'RZĄDOWY PROGRAM'!$F$15,BK190*$F$15),"")</f>
        <v>50</v>
      </c>
      <c r="BS191" s="11">
        <f t="shared" si="144"/>
        <v>70</v>
      </c>
      <c r="BU191" s="8">
        <f t="shared" si="170"/>
        <v>164</v>
      </c>
      <c r="BV191" s="8"/>
      <c r="BW191" s="78">
        <f>IF(BU191&lt;&gt;"",ROUND(IF($F$11="raty równe",-PMT(W191/12,$F$4-BU190+SUM($BV$28:BV191)-$CB$43,BZ190,2),BX191+BY191),2),"")</f>
        <v>3522.1</v>
      </c>
      <c r="BX191" s="78">
        <f>IF(BU191&lt;&gt;"",IF($F$11="raty malejące",MIN(BZ190/($F$4-BU190+SUM($BV$28:BV190)-SUM($CB$28:CB190)),BZ190),MIN(BW191-BY191,BZ190)),"")</f>
        <v>2513.1679691312652</v>
      </c>
      <c r="BY191" s="78">
        <f t="shared" si="177"/>
        <v>1008.9320308687346</v>
      </c>
      <c r="BZ191" s="79">
        <f t="shared" si="178"/>
        <v>136649.87077138384</v>
      </c>
      <c r="CA191" s="11"/>
      <c r="CB191" s="33"/>
      <c r="CC191" s="33">
        <f t="shared" si="171"/>
        <v>0</v>
      </c>
      <c r="CD191" s="33">
        <f t="shared" si="183"/>
        <v>0.43283507437219942</v>
      </c>
      <c r="CE191" s="33">
        <f>IF(O191&lt;&gt;"",CD191-SUM($CC$44:CC191),"")</f>
        <v>0.16283507437858408</v>
      </c>
      <c r="CF191" s="11">
        <f t="shared" si="145"/>
        <v>20</v>
      </c>
      <c r="CG191" s="11">
        <f>IF(BU191&lt;&gt;"",IF($B$16=listy!$K$8,'RZĄDOWY PROGRAM'!$F$3*'RZĄDOWY PROGRAM'!$F$15,BZ190*$F$15),"")</f>
        <v>50</v>
      </c>
      <c r="CH191" s="11">
        <f t="shared" si="146"/>
        <v>70</v>
      </c>
      <c r="CJ191" s="48">
        <f t="shared" si="147"/>
        <v>0.06</v>
      </c>
      <c r="CK191" s="18">
        <f t="shared" si="148"/>
        <v>4.8675505653430484E-3</v>
      </c>
      <c r="CL191" s="11">
        <f t="shared" si="179"/>
        <v>0</v>
      </c>
      <c r="CM191" s="11">
        <f t="shared" si="149"/>
        <v>52169.132822521853</v>
      </c>
      <c r="CN191" s="11">
        <f>IF(AB191&lt;&gt;"",CM191-SUM($CL$28:CL191),"")</f>
        <v>23992.372822521858</v>
      </c>
    </row>
    <row r="192" spans="1:92" x14ac:dyDescent="0.45">
      <c r="A192" s="68">
        <f t="shared" si="172"/>
        <v>49735</v>
      </c>
      <c r="B192" s="8">
        <f t="shared" si="132"/>
        <v>165</v>
      </c>
      <c r="C192" s="11">
        <f t="shared" si="133"/>
        <v>3522.09</v>
      </c>
      <c r="D192" s="11">
        <f t="shared" si="134"/>
        <v>2034.0836517703385</v>
      </c>
      <c r="E192" s="11">
        <f t="shared" si="135"/>
        <v>1488.0063482296616</v>
      </c>
      <c r="F192" s="9">
        <f t="shared" si="150"/>
        <v>203208.1712764588</v>
      </c>
      <c r="G192" s="10">
        <f t="shared" si="136"/>
        <v>7.0000000000000007E-2</v>
      </c>
      <c r="H192" s="10">
        <f t="shared" si="137"/>
        <v>1.7000000000000001E-2</v>
      </c>
      <c r="I192" s="48">
        <f t="shared" si="151"/>
        <v>8.7000000000000008E-2</v>
      </c>
      <c r="J192" s="11">
        <f t="shared" si="138"/>
        <v>20</v>
      </c>
      <c r="K192" s="11">
        <f>IF(B192&lt;&gt;"",IF($B$16=listy!$K$8,'RZĄDOWY PROGRAM'!$F$3*'RZĄDOWY PROGRAM'!$F$15,F191*$F$15),"")</f>
        <v>50</v>
      </c>
      <c r="L192" s="11">
        <f t="shared" si="152"/>
        <v>70</v>
      </c>
      <c r="N192" s="54">
        <f t="shared" si="173"/>
        <v>49735</v>
      </c>
      <c r="O192" s="8">
        <f t="shared" si="153"/>
        <v>165</v>
      </c>
      <c r="P192" s="8"/>
      <c r="Q192" s="11">
        <f>IF(O192&lt;&gt;"",ROUND(IF($F$11="raty równe",-PMT(W192/12,$F$4-O191+SUM($P$28:P192),T191,2),R192+S192),2),"")</f>
        <v>3522.09</v>
      </c>
      <c r="R192" s="11">
        <f>IF(O192&lt;&gt;"",IF($F$11="raty malejące",T191/($F$4-O191+SUM($P$28:P192)),IF(Q192-S192&gt;T191,T191,Q192-S192)),"")</f>
        <v>1919.864320399447</v>
      </c>
      <c r="S192" s="11">
        <f t="shared" si="175"/>
        <v>1602.2256796005531</v>
      </c>
      <c r="T192" s="9">
        <f t="shared" si="154"/>
        <v>219076.7811417458</v>
      </c>
      <c r="U192" s="10">
        <f t="shared" si="139"/>
        <v>7.0000000000000007E-2</v>
      </c>
      <c r="V192" s="10">
        <f t="shared" si="140"/>
        <v>1.7000000000000001E-2</v>
      </c>
      <c r="W192" s="48">
        <f t="shared" si="155"/>
        <v>8.7000000000000008E-2</v>
      </c>
      <c r="X192" s="11">
        <f t="shared" si="141"/>
        <v>20</v>
      </c>
      <c r="Y192" s="11">
        <f>IF(O192&lt;&gt;"",IF($B$16=listy!$K$8,'RZĄDOWY PROGRAM'!$F$3*'RZĄDOWY PROGRAM'!$F$15,T191*$F$15),"")</f>
        <v>50</v>
      </c>
      <c r="Z192" s="11">
        <f t="shared" si="156"/>
        <v>70</v>
      </c>
      <c r="AB192" s="8">
        <f t="shared" si="157"/>
        <v>165</v>
      </c>
      <c r="AC192" s="8"/>
      <c r="AD192" s="11">
        <f>IF(AB192&lt;&gt;"",ROUND(IF($F$11="raty równe",-PMT(W192/12,$F$4-AB191+SUM($AC$28:AC192),AG191,2),AE192+AF192),2),"")</f>
        <v>3280.4</v>
      </c>
      <c r="AE192" s="11">
        <f>IF(AB192&lt;&gt;"",IF($F$11="raty malejące",AG191/($F$4-AB191+SUM($AC$28:AC191)),MIN(AD192-AF192,AG191)),"")</f>
        <v>1788.1258404433727</v>
      </c>
      <c r="AF192" s="11">
        <f t="shared" si="176"/>
        <v>1492.2741595566274</v>
      </c>
      <c r="AG192" s="9">
        <f t="shared" si="174"/>
        <v>204042.79271909143</v>
      </c>
      <c r="AH192" s="11"/>
      <c r="AI192" s="33">
        <f>IF(AB192&lt;&gt;"",ROUND(IF($F$11="raty równe",-PMT(W192/12,($F$4-AB191+SUM($AC$27:AC191)),AG191,2),AG191/($F$4-AB191+SUM($AC$27:AC191))+AG191*W192/12),2),"")</f>
        <v>3280.4</v>
      </c>
      <c r="AJ192" s="33">
        <f t="shared" si="158"/>
        <v>241.69000000000005</v>
      </c>
      <c r="AK192" s="33">
        <f t="shared" si="142"/>
        <v>52680.793887696753</v>
      </c>
      <c r="AL192" s="33">
        <f>IF(AB192&lt;&gt;"",AK192-SUM($AJ$28:AJ192),"")</f>
        <v>14594.433887696745</v>
      </c>
      <c r="AM192" s="11">
        <f t="shared" si="159"/>
        <v>20</v>
      </c>
      <c r="AN192" s="11">
        <f>IF(AB192&lt;&gt;"",IF($B$16=listy!$K$8,'RZĄDOWY PROGRAM'!$F$3*'RZĄDOWY PROGRAM'!$F$15,AG191*$F$15),"")</f>
        <v>50</v>
      </c>
      <c r="AO192" s="11">
        <f t="shared" si="160"/>
        <v>70</v>
      </c>
      <c r="AQ192" s="8">
        <f t="shared" si="161"/>
        <v>165</v>
      </c>
      <c r="AR192" s="8"/>
      <c r="AS192" s="78">
        <f>IF(AQ192&lt;&gt;"",ROUND(IF($F$11="raty równe",-PMT(W192/12,$F$4-AQ191+SUM($AR$28:AR192),AV191,2),AT192+AU192),2),"")</f>
        <v>3263.82</v>
      </c>
      <c r="AT192" s="78">
        <f>IF(AQ192&lt;&gt;"",IF($F$11="raty malejące",AV191/($F$4-AQ191+SUM($AR$28:AR191)),MIN(AS192-AU192,AV191)),"")</f>
        <v>1779.0837394117293</v>
      </c>
      <c r="AU192" s="78">
        <f t="shared" si="162"/>
        <v>1484.7362605882709</v>
      </c>
      <c r="AV192" s="79">
        <f t="shared" si="163"/>
        <v>203012.12461759115</v>
      </c>
      <c r="AW192" s="11"/>
      <c r="AX192" s="33">
        <f>IF(AQ192&lt;&gt;"",ROUND(IF($F$11="raty równe",-PMT(W192/12,($F$4-AQ191+SUM($AR$27:AR191)),AV191,2),AV191/($F$4-AQ191+SUM($AR$27:AR191))+AV191*W192/12),2),"")</f>
        <v>3263.82</v>
      </c>
      <c r="AY192" s="33">
        <f t="shared" si="164"/>
        <v>258.27</v>
      </c>
      <c r="AZ192" s="33">
        <f t="shared" si="180"/>
        <v>52230.436116161676</v>
      </c>
      <c r="BA192" s="33">
        <f>IF(AQ192&lt;&gt;"",AZ192-SUM($AY$44:AY192),"")</f>
        <v>13748.216116161704</v>
      </c>
      <c r="BB192" s="11">
        <f t="shared" si="165"/>
        <v>20</v>
      </c>
      <c r="BC192" s="11">
        <f>IF(AQ192&lt;&gt;"",IF($B$16=listy!$K$8,'RZĄDOWY PROGRAM'!$F$3*'RZĄDOWY PROGRAM'!$F$15,AV191*$F$15),"")</f>
        <v>50</v>
      </c>
      <c r="BD192" s="11">
        <f t="shared" si="166"/>
        <v>70</v>
      </c>
      <c r="BF192" s="8">
        <f t="shared" si="167"/>
        <v>165</v>
      </c>
      <c r="BG192" s="8"/>
      <c r="BH192" s="78">
        <f>IF(BF192&lt;&gt;"",ROUND(IF($F$11="raty równe",-PMT(W192/12,$F$4-BF191+SUM(BV$28:$BV192)-SUM($BM$29:BM192),BK191,2),BI192+BJ192),2),"")</f>
        <v>3522.1</v>
      </c>
      <c r="BI192" s="78">
        <f>IF(BF192&lt;&gt;"",IF($F$11="raty malejące",MIN(BK191/($F$4-BF191+SUM($BG$27:BG192)-SUM($BM$27:BM192)),BK191),MIN(BH192-BJ192,BK191)),"")</f>
        <v>2536.9055585994706</v>
      </c>
      <c r="BJ192" s="78">
        <f t="shared" si="168"/>
        <v>985.19444140052929</v>
      </c>
      <c r="BK192" s="79">
        <f t="shared" si="169"/>
        <v>133351.98291043902</v>
      </c>
      <c r="BL192" s="11"/>
      <c r="BM192" s="33"/>
      <c r="BN192" s="33">
        <f t="shared" si="181"/>
        <v>-9.9999999997635314E-3</v>
      </c>
      <c r="BO192" s="33">
        <f t="shared" si="182"/>
        <v>-0.15251903488768379</v>
      </c>
      <c r="BP192" s="33">
        <f>IF(O192&lt;&gt;"",BO192-SUM($BN$44:BN192),"")</f>
        <v>-6.2519034889812003E-2</v>
      </c>
      <c r="BQ192" s="11">
        <f t="shared" si="143"/>
        <v>20</v>
      </c>
      <c r="BR192" s="11">
        <f>IF(BF192&lt;&gt;"",IF($B$16=listy!$K$8,'RZĄDOWY PROGRAM'!$F$3*'RZĄDOWY PROGRAM'!$F$15,BK191*$F$15),"")</f>
        <v>50</v>
      </c>
      <c r="BS192" s="11">
        <f t="shared" si="144"/>
        <v>70</v>
      </c>
      <c r="BU192" s="8">
        <f t="shared" si="170"/>
        <v>165</v>
      </c>
      <c r="BV192" s="8"/>
      <c r="BW192" s="78">
        <f>IF(BU192&lt;&gt;"",ROUND(IF($F$11="raty równe",-PMT(W192/12,$F$4-BU191+SUM($BV$28:BV192)-$CB$43,BZ191,2),BX192+BY192),2),"")</f>
        <v>3522.1</v>
      </c>
      <c r="BX192" s="78">
        <f>IF(BU192&lt;&gt;"",IF($F$11="raty malejące",MIN(BZ191/($F$4-BU191+SUM($BV$28:BV191)-SUM($CB$28:CB191)),BZ191),MIN(BW192-BY192,BZ191)),"")</f>
        <v>2531.3884369074672</v>
      </c>
      <c r="BY192" s="78">
        <f t="shared" si="177"/>
        <v>990.71156309253286</v>
      </c>
      <c r="BZ192" s="79">
        <f t="shared" si="178"/>
        <v>134118.48233447637</v>
      </c>
      <c r="CA192" s="11"/>
      <c r="CB192" s="33"/>
      <c r="CC192" s="33">
        <f t="shared" si="171"/>
        <v>-9.9999999997635314E-3</v>
      </c>
      <c r="CD192" s="33">
        <f t="shared" si="183"/>
        <v>0.42454162012731411</v>
      </c>
      <c r="CE192" s="33">
        <f>IF(O192&lt;&gt;"",CD192-SUM($CC$44:CC192),"")</f>
        <v>0.1645416201334623</v>
      </c>
      <c r="CF192" s="11">
        <f t="shared" si="145"/>
        <v>20</v>
      </c>
      <c r="CG192" s="11">
        <f>IF(BU192&lt;&gt;"",IF($B$16=listy!$K$8,'RZĄDOWY PROGRAM'!$F$3*'RZĄDOWY PROGRAM'!$F$15,BZ191*$F$15),"")</f>
        <v>50</v>
      </c>
      <c r="CH192" s="11">
        <f t="shared" si="146"/>
        <v>70</v>
      </c>
      <c r="CJ192" s="48">
        <f t="shared" si="147"/>
        <v>0.06</v>
      </c>
      <c r="CK192" s="18">
        <f t="shared" si="148"/>
        <v>4.8675505653430484E-3</v>
      </c>
      <c r="CL192" s="11">
        <f t="shared" si="179"/>
        <v>0</v>
      </c>
      <c r="CM192" s="11">
        <f t="shared" si="149"/>
        <v>52374.820895012475</v>
      </c>
      <c r="CN192" s="11">
        <f>IF(AB192&lt;&gt;"",CM192-SUM($CL$28:CL192),"")</f>
        <v>24198.060895012481</v>
      </c>
    </row>
    <row r="193" spans="1:92" x14ac:dyDescent="0.45">
      <c r="A193" s="68">
        <f t="shared" si="172"/>
        <v>49766</v>
      </c>
      <c r="B193" s="8">
        <f t="shared" si="132"/>
        <v>166</v>
      </c>
      <c r="C193" s="11">
        <f t="shared" si="133"/>
        <v>3522.1</v>
      </c>
      <c r="D193" s="11">
        <f t="shared" si="134"/>
        <v>2048.8407582456734</v>
      </c>
      <c r="E193" s="11">
        <f t="shared" si="135"/>
        <v>1473.2592417543265</v>
      </c>
      <c r="F193" s="9">
        <f t="shared" si="150"/>
        <v>201159.33051821313</v>
      </c>
      <c r="G193" s="10">
        <f t="shared" si="136"/>
        <v>7.0000000000000007E-2</v>
      </c>
      <c r="H193" s="10">
        <f t="shared" si="137"/>
        <v>1.7000000000000001E-2</v>
      </c>
      <c r="I193" s="48">
        <f t="shared" si="151"/>
        <v>8.7000000000000008E-2</v>
      </c>
      <c r="J193" s="11">
        <f t="shared" si="138"/>
        <v>20</v>
      </c>
      <c r="K193" s="11">
        <f>IF(B193&lt;&gt;"",IF($B$16=listy!$K$8,'RZĄDOWY PROGRAM'!$F$3*'RZĄDOWY PROGRAM'!$F$15,F192*$F$15),"")</f>
        <v>50</v>
      </c>
      <c r="L193" s="11">
        <f t="shared" si="152"/>
        <v>70</v>
      </c>
      <c r="N193" s="54">
        <f t="shared" si="173"/>
        <v>49766</v>
      </c>
      <c r="O193" s="8">
        <f t="shared" si="153"/>
        <v>166</v>
      </c>
      <c r="P193" s="8"/>
      <c r="Q193" s="11">
        <f>IF(O193&lt;&gt;"",ROUND(IF($F$11="raty równe",-PMT(W193/12,$F$4-O192+SUM($P$28:P193),T192,2),R193+S193),2),"")</f>
        <v>3522.1</v>
      </c>
      <c r="R193" s="11">
        <f>IF(O193&lt;&gt;"",IF($F$11="raty malejące",T192/($F$4-O192+SUM($P$28:P193)),IF(Q193-S193&gt;T192,T192,Q193-S193)),"")</f>
        <v>1933.7933367223427</v>
      </c>
      <c r="S193" s="11">
        <f t="shared" si="175"/>
        <v>1588.3066632776572</v>
      </c>
      <c r="T193" s="9">
        <f t="shared" si="154"/>
        <v>217142.98780502347</v>
      </c>
      <c r="U193" s="10">
        <f t="shared" si="139"/>
        <v>7.0000000000000007E-2</v>
      </c>
      <c r="V193" s="10">
        <f t="shared" si="140"/>
        <v>1.7000000000000001E-2</v>
      </c>
      <c r="W193" s="48">
        <f t="shared" si="155"/>
        <v>8.7000000000000008E-2</v>
      </c>
      <c r="X193" s="11">
        <f t="shared" si="141"/>
        <v>20</v>
      </c>
      <c r="Y193" s="11">
        <f>IF(O193&lt;&gt;"",IF($B$16=listy!$K$8,'RZĄDOWY PROGRAM'!$F$3*'RZĄDOWY PROGRAM'!$F$15,T192*$F$15),"")</f>
        <v>50</v>
      </c>
      <c r="Z193" s="11">
        <f t="shared" si="156"/>
        <v>70</v>
      </c>
      <c r="AB193" s="8">
        <f t="shared" si="157"/>
        <v>166</v>
      </c>
      <c r="AC193" s="8"/>
      <c r="AD193" s="11">
        <f>IF(AB193&lt;&gt;"",ROUND(IF($F$11="raty równe",-PMT(W193/12,$F$4-AB192+SUM($AC$28:AC193),AG192,2),AE193+AF193),2),"")</f>
        <v>3280.39</v>
      </c>
      <c r="AE193" s="11">
        <f>IF(AB193&lt;&gt;"",IF($F$11="raty malejące",AG192/($F$4-AB192+SUM($AC$28:AC192)),MIN(AD193-AF193,AG192)),"")</f>
        <v>1801.0797527865868</v>
      </c>
      <c r="AF193" s="11">
        <f t="shared" si="176"/>
        <v>1479.310247213413</v>
      </c>
      <c r="AG193" s="9">
        <f t="shared" si="174"/>
        <v>202241.71296630485</v>
      </c>
      <c r="AH193" s="11"/>
      <c r="AI193" s="33">
        <f>IF(AB193&lt;&gt;"",ROUND(IF($F$11="raty równe",-PMT(W193/12,($F$4-AB192+SUM($AC$27:AC192)),AG192,2),AG192/($F$4-AB192+SUM($AC$27:AC192))+AG192*W193/12),2),"")</f>
        <v>3280.39</v>
      </c>
      <c r="AJ193" s="33">
        <f t="shared" si="158"/>
        <v>241.71000000000004</v>
      </c>
      <c r="AK193" s="33">
        <f t="shared" si="142"/>
        <v>53130.209294434084</v>
      </c>
      <c r="AL193" s="33">
        <f>IF(AB193&lt;&gt;"",AK193-SUM($AJ$28:AJ193),"")</f>
        <v>14802.139294434077</v>
      </c>
      <c r="AM193" s="11">
        <f t="shared" si="159"/>
        <v>20</v>
      </c>
      <c r="AN193" s="11">
        <f>IF(AB193&lt;&gt;"",IF($B$16=listy!$K$8,'RZĄDOWY PROGRAM'!$F$3*'RZĄDOWY PROGRAM'!$F$15,AG192*$F$15),"")</f>
        <v>50</v>
      </c>
      <c r="AO193" s="11">
        <f t="shared" si="160"/>
        <v>70</v>
      </c>
      <c r="AQ193" s="8">
        <f t="shared" si="161"/>
        <v>166</v>
      </c>
      <c r="AR193" s="8"/>
      <c r="AS193" s="78">
        <f>IF(AQ193&lt;&gt;"",ROUND(IF($F$11="raty równe",-PMT(W193/12,$F$4-AQ192+SUM($AR$28:AR193),AV192,2),AT193+AU193),2),"")</f>
        <v>3263.83</v>
      </c>
      <c r="AT193" s="78">
        <f>IF(AQ193&lt;&gt;"",IF($F$11="raty malejące",AV192/($F$4-AQ192+SUM($AR$28:AR192)),MIN(AS193-AU193,AV192)),"")</f>
        <v>1791.992096522464</v>
      </c>
      <c r="AU193" s="78">
        <f t="shared" si="162"/>
        <v>1471.837903477536</v>
      </c>
      <c r="AV193" s="79">
        <f t="shared" si="163"/>
        <v>201220.13252106868</v>
      </c>
      <c r="AW193" s="11"/>
      <c r="AX193" s="33">
        <f>IF(AQ193&lt;&gt;"",ROUND(IF($F$11="raty równe",-PMT(W193/12,($F$4-AQ192+SUM($AR$27:AR192)),AV192,2),AV192/($F$4-AQ192+SUM($AR$27:AR192))+AV192*W193/12),2),"")</f>
        <v>3263.83</v>
      </c>
      <c r="AY193" s="33">
        <f t="shared" si="164"/>
        <v>258.27</v>
      </c>
      <c r="AZ193" s="33">
        <f t="shared" si="180"/>
        <v>52694.635890126403</v>
      </c>
      <c r="BA193" s="33">
        <f>IF(AQ193&lt;&gt;"",AZ193-SUM($AY$44:AY193),"")</f>
        <v>13954.145890126434</v>
      </c>
      <c r="BB193" s="11">
        <f t="shared" si="165"/>
        <v>20</v>
      </c>
      <c r="BC193" s="11">
        <f>IF(AQ193&lt;&gt;"",IF($B$16=listy!$K$8,'RZĄDOWY PROGRAM'!$F$3*'RZĄDOWY PROGRAM'!$F$15,AV192*$F$15),"")</f>
        <v>50</v>
      </c>
      <c r="BD193" s="11">
        <f t="shared" si="166"/>
        <v>70</v>
      </c>
      <c r="BF193" s="8">
        <f t="shared" si="167"/>
        <v>166</v>
      </c>
      <c r="BG193" s="8"/>
      <c r="BH193" s="78">
        <f>IF(BF193&lt;&gt;"",ROUND(IF($F$11="raty równe",-PMT(W193/12,$F$4-BF192+SUM(BV$28:$BV193)-SUM($BM$29:BM193),BK192,2),BI193+BJ193),2),"")</f>
        <v>3522.09</v>
      </c>
      <c r="BI193" s="78">
        <f>IF(BF193&lt;&gt;"",IF($F$11="raty malejące",MIN(BK192/($F$4-BF192+SUM($BG$27:BG193)-SUM($BM$27:BM193)),BK192),MIN(BH193-BJ193,BK192)),"")</f>
        <v>2555.2881238993173</v>
      </c>
      <c r="BJ193" s="78">
        <f t="shared" si="168"/>
        <v>966.80187610068299</v>
      </c>
      <c r="BK193" s="79">
        <f t="shared" si="169"/>
        <v>130796.69478653971</v>
      </c>
      <c r="BL193" s="11"/>
      <c r="BM193" s="33"/>
      <c r="BN193" s="33">
        <f t="shared" si="181"/>
        <v>9.9999999997635314E-3</v>
      </c>
      <c r="BO193" s="33">
        <f t="shared" si="182"/>
        <v>-0.1431203741206597</v>
      </c>
      <c r="BP193" s="33">
        <f>IF(O193&lt;&gt;"",BO193-SUM($BN$44:BN193),"")</f>
        <v>-6.3120374122551448E-2</v>
      </c>
      <c r="BQ193" s="11">
        <f t="shared" si="143"/>
        <v>20</v>
      </c>
      <c r="BR193" s="11">
        <f>IF(BF193&lt;&gt;"",IF($B$16=listy!$K$8,'RZĄDOWY PROGRAM'!$F$3*'RZĄDOWY PROGRAM'!$F$15,BK192*$F$15),"")</f>
        <v>50</v>
      </c>
      <c r="BS193" s="11">
        <f t="shared" si="144"/>
        <v>70</v>
      </c>
      <c r="BU193" s="8">
        <f t="shared" si="170"/>
        <v>166</v>
      </c>
      <c r="BV193" s="8"/>
      <c r="BW193" s="78">
        <f>IF(BU193&lt;&gt;"",ROUND(IF($F$11="raty równe",-PMT(W193/12,$F$4-BU192+SUM($BV$28:BV193)-$CB$43,BZ192,2),BX193+BY193),2),"")</f>
        <v>3522.09</v>
      </c>
      <c r="BX193" s="78">
        <f>IF(BU193&lt;&gt;"",IF($F$11="raty malejące",MIN(BZ192/($F$4-BU192+SUM($BV$28:BV192)-SUM($CB$28:CB192)),BZ192),MIN(BW193-BY193,BZ192)),"")</f>
        <v>2549.7310030750464</v>
      </c>
      <c r="BY193" s="78">
        <f t="shared" si="177"/>
        <v>972.35899692495377</v>
      </c>
      <c r="BZ193" s="79">
        <f t="shared" si="178"/>
        <v>131568.75133140132</v>
      </c>
      <c r="CA193" s="11"/>
      <c r="CB193" s="33"/>
      <c r="CC193" s="33">
        <f t="shared" si="171"/>
        <v>9.9999999997635314E-3</v>
      </c>
      <c r="CD193" s="33">
        <f t="shared" si="183"/>
        <v>0.43621546714755821</v>
      </c>
      <c r="CE193" s="33">
        <f>IF(O193&lt;&gt;"",CD193-SUM($CC$44:CC193),"")</f>
        <v>0.16621546715394286</v>
      </c>
      <c r="CF193" s="11">
        <f t="shared" si="145"/>
        <v>20</v>
      </c>
      <c r="CG193" s="11">
        <f>IF(BU193&lt;&gt;"",IF($B$16=listy!$K$8,'RZĄDOWY PROGRAM'!$F$3*'RZĄDOWY PROGRAM'!$F$15,BZ192*$F$15),"")</f>
        <v>50</v>
      </c>
      <c r="CH193" s="11">
        <f t="shared" si="146"/>
        <v>70</v>
      </c>
      <c r="CJ193" s="48">
        <f t="shared" si="147"/>
        <v>0.06</v>
      </c>
      <c r="CK193" s="18">
        <f t="shared" si="148"/>
        <v>4.8675505653430484E-3</v>
      </c>
      <c r="CL193" s="11">
        <f t="shared" si="179"/>
        <v>0</v>
      </c>
      <c r="CM193" s="11">
        <f t="shared" si="149"/>
        <v>52581.319937148859</v>
      </c>
      <c r="CN193" s="11">
        <f>IF(AB193&lt;&gt;"",CM193-SUM($CL$28:CL193),"")</f>
        <v>24404.559937148864</v>
      </c>
    </row>
    <row r="194" spans="1:92" x14ac:dyDescent="0.45">
      <c r="A194" s="68">
        <f t="shared" si="172"/>
        <v>49796</v>
      </c>
      <c r="B194" s="8">
        <f t="shared" si="132"/>
        <v>167</v>
      </c>
      <c r="C194" s="11">
        <f t="shared" si="133"/>
        <v>3522.09</v>
      </c>
      <c r="D194" s="11">
        <f t="shared" si="134"/>
        <v>2063.6848537429551</v>
      </c>
      <c r="E194" s="11">
        <f t="shared" si="135"/>
        <v>1458.4051462570453</v>
      </c>
      <c r="F194" s="9">
        <f t="shared" si="150"/>
        <v>199095.64566447018</v>
      </c>
      <c r="G194" s="10">
        <f t="shared" si="136"/>
        <v>7.0000000000000007E-2</v>
      </c>
      <c r="H194" s="10">
        <f t="shared" si="137"/>
        <v>1.7000000000000001E-2</v>
      </c>
      <c r="I194" s="48">
        <f t="shared" si="151"/>
        <v>8.7000000000000008E-2</v>
      </c>
      <c r="J194" s="11">
        <f t="shared" si="138"/>
        <v>20</v>
      </c>
      <c r="K194" s="11">
        <f>IF(B194&lt;&gt;"",IF($B$16=listy!$K$8,'RZĄDOWY PROGRAM'!$F$3*'RZĄDOWY PROGRAM'!$F$15,F193*$F$15),"")</f>
        <v>50</v>
      </c>
      <c r="L194" s="11">
        <f t="shared" si="152"/>
        <v>70</v>
      </c>
      <c r="N194" s="54">
        <f t="shared" si="173"/>
        <v>49796</v>
      </c>
      <c r="O194" s="8">
        <f t="shared" si="153"/>
        <v>167</v>
      </c>
      <c r="P194" s="8"/>
      <c r="Q194" s="11">
        <f>IF(O194&lt;&gt;"",ROUND(IF($F$11="raty równe",-PMT(W194/12,$F$4-O193+SUM($P$28:P194),T193,2),R194+S194),2),"")</f>
        <v>3522.09</v>
      </c>
      <c r="R194" s="11">
        <f>IF(O194&lt;&gt;"",IF($F$11="raty malejące",T193/($F$4-O193+SUM($P$28:P194)),IF(Q194-S194&gt;T193,T193,Q194-S194)),"")</f>
        <v>1947.8033384135799</v>
      </c>
      <c r="S194" s="11">
        <f t="shared" si="175"/>
        <v>1574.2866615864202</v>
      </c>
      <c r="T194" s="9">
        <f t="shared" si="154"/>
        <v>215195.18446660988</v>
      </c>
      <c r="U194" s="10">
        <f t="shared" si="139"/>
        <v>7.0000000000000007E-2</v>
      </c>
      <c r="V194" s="10">
        <f t="shared" si="140"/>
        <v>1.7000000000000001E-2</v>
      </c>
      <c r="W194" s="48">
        <f t="shared" si="155"/>
        <v>8.7000000000000008E-2</v>
      </c>
      <c r="X194" s="11">
        <f t="shared" si="141"/>
        <v>20</v>
      </c>
      <c r="Y194" s="11">
        <f>IF(O194&lt;&gt;"",IF($B$16=listy!$K$8,'RZĄDOWY PROGRAM'!$F$3*'RZĄDOWY PROGRAM'!$F$15,T193*$F$15),"")</f>
        <v>50</v>
      </c>
      <c r="Z194" s="11">
        <f t="shared" si="156"/>
        <v>70</v>
      </c>
      <c r="AB194" s="8">
        <f t="shared" si="157"/>
        <v>167</v>
      </c>
      <c r="AC194" s="8"/>
      <c r="AD194" s="11">
        <f>IF(AB194&lt;&gt;"",ROUND(IF($F$11="raty równe",-PMT(W194/12,$F$4-AB193+SUM($AC$28:AC194),AG193,2),AE194+AF194),2),"")</f>
        <v>3280.4</v>
      </c>
      <c r="AE194" s="11">
        <f>IF(AB194&lt;&gt;"",IF($F$11="raty malejące",AG193/($F$4-AB193+SUM($AC$28:AC193)),MIN(AD194-AF194,AG193)),"")</f>
        <v>1814.1475809942899</v>
      </c>
      <c r="AF194" s="11">
        <f t="shared" si="176"/>
        <v>1466.2524190057102</v>
      </c>
      <c r="AG194" s="9">
        <f t="shared" si="174"/>
        <v>200427.56538531056</v>
      </c>
      <c r="AH194" s="11"/>
      <c r="AI194" s="33">
        <f>IF(AB194&lt;&gt;"",ROUND(IF($F$11="raty równe",-PMT(W194/12,($F$4-AB193+SUM($AC$27:AC193)),AG193,2),AG193/($F$4-AB193+SUM($AC$27:AC193))+AG193*W194/12),2),"")</f>
        <v>3280.4</v>
      </c>
      <c r="AJ194" s="33">
        <f t="shared" si="158"/>
        <v>241.69000000000005</v>
      </c>
      <c r="AK194" s="33">
        <f t="shared" si="142"/>
        <v>53581.3766184673</v>
      </c>
      <c r="AL194" s="33">
        <f>IF(AB194&lt;&gt;"",AK194-SUM($AJ$28:AJ194),"")</f>
        <v>15011.616618467291</v>
      </c>
      <c r="AM194" s="11">
        <f t="shared" si="159"/>
        <v>20</v>
      </c>
      <c r="AN194" s="11">
        <f>IF(AB194&lt;&gt;"",IF($B$16=listy!$K$8,'RZĄDOWY PROGRAM'!$F$3*'RZĄDOWY PROGRAM'!$F$15,AG193*$F$15),"")</f>
        <v>50</v>
      </c>
      <c r="AO194" s="11">
        <f t="shared" si="160"/>
        <v>70</v>
      </c>
      <c r="AQ194" s="8">
        <f t="shared" si="161"/>
        <v>167</v>
      </c>
      <c r="AR194" s="8"/>
      <c r="AS194" s="78">
        <f>IF(AQ194&lt;&gt;"",ROUND(IF($F$11="raty równe",-PMT(W194/12,$F$4-AQ193+SUM($AR$28:AR194),AV193,2),AT194+AU194),2),"")</f>
        <v>3263.82</v>
      </c>
      <c r="AT194" s="78">
        <f>IF(AQ194&lt;&gt;"",IF($F$11="raty malejące",AV193/($F$4-AQ193+SUM($AR$28:AR193)),MIN(AS194-AU194,AV193)),"")</f>
        <v>1804.9740392222523</v>
      </c>
      <c r="AU194" s="78">
        <f t="shared" si="162"/>
        <v>1458.8459607777479</v>
      </c>
      <c r="AV194" s="79">
        <f t="shared" si="163"/>
        <v>199415.15848184642</v>
      </c>
      <c r="AW194" s="11"/>
      <c r="AX194" s="33">
        <f>IF(AQ194&lt;&gt;"",ROUND(IF($F$11="raty równe",-PMT(W194/12,($F$4-AQ193+SUM($AR$27:AR193)),AV193,2),AV193/($F$4-AQ193+SUM($AR$27:AR193))+AV193*W194/12),2),"")</f>
        <v>3263.82</v>
      </c>
      <c r="AY194" s="33">
        <f t="shared" si="164"/>
        <v>258.27</v>
      </c>
      <c r="AZ194" s="33">
        <f t="shared" si="180"/>
        <v>53160.665871947604</v>
      </c>
      <c r="BA194" s="33">
        <f>IF(AQ194&lt;&gt;"",AZ194-SUM($AY$44:AY194),"")</f>
        <v>14161.905871947638</v>
      </c>
      <c r="BB194" s="11">
        <f t="shared" si="165"/>
        <v>20</v>
      </c>
      <c r="BC194" s="11">
        <f>IF(AQ194&lt;&gt;"",IF($B$16=listy!$K$8,'RZĄDOWY PROGRAM'!$F$3*'RZĄDOWY PROGRAM'!$F$15,AV193*$F$15),"")</f>
        <v>50</v>
      </c>
      <c r="BD194" s="11">
        <f t="shared" si="166"/>
        <v>70</v>
      </c>
      <c r="BF194" s="8">
        <f t="shared" si="167"/>
        <v>167</v>
      </c>
      <c r="BG194" s="8"/>
      <c r="BH194" s="78">
        <f>IF(BF194&lt;&gt;"",ROUND(IF($F$11="raty równe",-PMT(W194/12,$F$4-BF193+SUM(BV$28:$BV194)-SUM($BM$29:BM194),BK193,2),BI194+BJ194),2),"")</f>
        <v>3522.09</v>
      </c>
      <c r="BI194" s="78">
        <f>IF(BF194&lt;&gt;"",IF($F$11="raty malejące",MIN(BK193/($F$4-BF193+SUM($BG$27:BG194)-SUM($BM$27:BM194)),BK193),MIN(BH194-BJ194,BK193)),"")</f>
        <v>2573.813962797587</v>
      </c>
      <c r="BJ194" s="78">
        <f t="shared" si="168"/>
        <v>948.27603720241302</v>
      </c>
      <c r="BK194" s="79">
        <f t="shared" si="169"/>
        <v>128222.88082374212</v>
      </c>
      <c r="BL194" s="11"/>
      <c r="BM194" s="33"/>
      <c r="BN194" s="33">
        <f t="shared" si="181"/>
        <v>0</v>
      </c>
      <c r="BO194" s="33">
        <f t="shared" si="182"/>
        <v>-0.14368465710360984</v>
      </c>
      <c r="BP194" s="33">
        <f>IF(O194&lt;&gt;"",BO194-SUM($BN$44:BN194),"")</f>
        <v>-6.3684657105501585E-2</v>
      </c>
      <c r="BQ194" s="11">
        <f t="shared" si="143"/>
        <v>20</v>
      </c>
      <c r="BR194" s="11">
        <f>IF(BF194&lt;&gt;"",IF($B$16=listy!$K$8,'RZĄDOWY PROGRAM'!$F$3*'RZĄDOWY PROGRAM'!$F$15,BK193*$F$15),"")</f>
        <v>50</v>
      </c>
      <c r="BS194" s="11">
        <f t="shared" si="144"/>
        <v>70</v>
      </c>
      <c r="BU194" s="8">
        <f t="shared" si="170"/>
        <v>167</v>
      </c>
      <c r="BV194" s="8"/>
      <c r="BW194" s="78">
        <f>IF(BU194&lt;&gt;"",ROUND(IF($F$11="raty równe",-PMT(W194/12,$F$4-BU193+SUM($BV$28:BV194)-$CB$43,BZ193,2),BX194+BY194),2),"")</f>
        <v>3522.09</v>
      </c>
      <c r="BX194" s="78">
        <f>IF(BU194&lt;&gt;"",IF($F$11="raty malejące",MIN(BZ193/($F$4-BU193+SUM($BV$28:BV193)-SUM($CB$28:CB193)),BZ193),MIN(BW194-BY194,BZ193)),"")</f>
        <v>2568.2165528473406</v>
      </c>
      <c r="BY194" s="78">
        <f t="shared" si="177"/>
        <v>953.87344715265965</v>
      </c>
      <c r="BZ194" s="79">
        <f t="shared" si="178"/>
        <v>129000.53477855398</v>
      </c>
      <c r="CA194" s="11"/>
      <c r="CB194" s="33"/>
      <c r="CC194" s="33">
        <f t="shared" si="171"/>
        <v>0</v>
      </c>
      <c r="CD194" s="33">
        <f t="shared" si="183"/>
        <v>0.43793534083097591</v>
      </c>
      <c r="CE194" s="33">
        <f>IF(O194&lt;&gt;"",CD194-SUM($CC$44:CC194),"")</f>
        <v>0.16793534083736056</v>
      </c>
      <c r="CF194" s="11">
        <f t="shared" si="145"/>
        <v>20</v>
      </c>
      <c r="CG194" s="11">
        <f>IF(BU194&lt;&gt;"",IF($B$16=listy!$K$8,'RZĄDOWY PROGRAM'!$F$3*'RZĄDOWY PROGRAM'!$F$15,BZ193*$F$15),"")</f>
        <v>50</v>
      </c>
      <c r="CH194" s="11">
        <f t="shared" si="146"/>
        <v>70</v>
      </c>
      <c r="CJ194" s="48">
        <f t="shared" si="147"/>
        <v>0.06</v>
      </c>
      <c r="CK194" s="18">
        <f t="shared" si="148"/>
        <v>4.8675505653430484E-3</v>
      </c>
      <c r="CL194" s="11">
        <f t="shared" si="179"/>
        <v>0</v>
      </c>
      <c r="CM194" s="11">
        <f t="shared" si="149"/>
        <v>52788.633146353968</v>
      </c>
      <c r="CN194" s="11">
        <f>IF(AB194&lt;&gt;"",CM194-SUM($CL$28:CL194),"")</f>
        <v>24611.873146353973</v>
      </c>
    </row>
    <row r="195" spans="1:92" x14ac:dyDescent="0.45">
      <c r="A195" s="68">
        <f t="shared" si="172"/>
        <v>49827</v>
      </c>
      <c r="B195" s="8">
        <f t="shared" si="132"/>
        <v>168</v>
      </c>
      <c r="C195" s="11">
        <f t="shared" si="133"/>
        <v>3522.1</v>
      </c>
      <c r="D195" s="11">
        <f t="shared" si="134"/>
        <v>2078.6565689325907</v>
      </c>
      <c r="E195" s="11">
        <f t="shared" si="135"/>
        <v>1443.4434310674089</v>
      </c>
      <c r="F195" s="9">
        <f t="shared" si="150"/>
        <v>197016.9890955376</v>
      </c>
      <c r="G195" s="10">
        <f t="shared" si="136"/>
        <v>7.0000000000000007E-2</v>
      </c>
      <c r="H195" s="10">
        <f t="shared" si="137"/>
        <v>1.7000000000000001E-2</v>
      </c>
      <c r="I195" s="48">
        <f t="shared" si="151"/>
        <v>8.7000000000000008E-2</v>
      </c>
      <c r="J195" s="11">
        <f t="shared" si="138"/>
        <v>20</v>
      </c>
      <c r="K195" s="11">
        <f>IF(B195&lt;&gt;"",IF($B$16=listy!$K$8,'RZĄDOWY PROGRAM'!$F$3*'RZĄDOWY PROGRAM'!$F$15,F194*$F$15),"")</f>
        <v>50</v>
      </c>
      <c r="L195" s="11">
        <f t="shared" si="152"/>
        <v>70</v>
      </c>
      <c r="N195" s="54">
        <f t="shared" si="173"/>
        <v>49827</v>
      </c>
      <c r="O195" s="8">
        <f t="shared" si="153"/>
        <v>168</v>
      </c>
      <c r="P195" s="8"/>
      <c r="Q195" s="11">
        <f>IF(O195&lt;&gt;"",ROUND(IF($F$11="raty równe",-PMT(W195/12,$F$4-O194+SUM($P$28:P195),T194,2),R195+S195),2),"")</f>
        <v>3522.1</v>
      </c>
      <c r="R195" s="11">
        <f>IF(O195&lt;&gt;"",IF($F$11="raty malejące",T194/($F$4-O194+SUM($P$28:P195)),IF(Q195-S195&gt;T194,T194,Q195-S195)),"")</f>
        <v>1961.934912617078</v>
      </c>
      <c r="S195" s="11">
        <f t="shared" si="175"/>
        <v>1560.1650873829219</v>
      </c>
      <c r="T195" s="9">
        <f t="shared" si="154"/>
        <v>213233.24955399279</v>
      </c>
      <c r="U195" s="10">
        <f t="shared" si="139"/>
        <v>7.0000000000000007E-2</v>
      </c>
      <c r="V195" s="10">
        <f t="shared" si="140"/>
        <v>1.7000000000000001E-2</v>
      </c>
      <c r="W195" s="48">
        <f t="shared" si="155"/>
        <v>8.7000000000000008E-2</v>
      </c>
      <c r="X195" s="11">
        <f t="shared" si="141"/>
        <v>20</v>
      </c>
      <c r="Y195" s="11">
        <f>IF(O195&lt;&gt;"",IF($B$16=listy!$K$8,'RZĄDOWY PROGRAM'!$F$3*'RZĄDOWY PROGRAM'!$F$15,T194*$F$15),"")</f>
        <v>50</v>
      </c>
      <c r="Z195" s="11">
        <f t="shared" si="156"/>
        <v>70</v>
      </c>
      <c r="AB195" s="8">
        <f t="shared" si="157"/>
        <v>168</v>
      </c>
      <c r="AC195" s="8"/>
      <c r="AD195" s="11">
        <f>IF(AB195&lt;&gt;"",ROUND(IF($F$11="raty równe",-PMT(W195/12,$F$4-AB194+SUM($AC$28:AC195),AG194,2),AE195+AF195),2),"")</f>
        <v>3280.39</v>
      </c>
      <c r="AE195" s="11">
        <f>IF(AB195&lt;&gt;"",IF($F$11="raty malejące",AG194/($F$4-AB194+SUM($AC$28:AC194)),MIN(AD195-AF195,AG194)),"")</f>
        <v>1827.2901509564983</v>
      </c>
      <c r="AF195" s="11">
        <f t="shared" si="176"/>
        <v>1453.0998490435015</v>
      </c>
      <c r="AG195" s="9">
        <f t="shared" si="174"/>
        <v>198600.27523435405</v>
      </c>
      <c r="AH195" s="11"/>
      <c r="AI195" s="33">
        <f>IF(AB195&lt;&gt;"",ROUND(IF($F$11="raty równe",-PMT(W195/12,($F$4-AB194+SUM($AC$27:AC194)),AG194,2),AG194/($F$4-AB194+SUM($AC$27:AC194))+AG194*W195/12),2),"")</f>
        <v>3280.39</v>
      </c>
      <c r="AJ195" s="33">
        <f t="shared" si="158"/>
        <v>241.71000000000004</v>
      </c>
      <c r="AK195" s="33">
        <f t="shared" si="142"/>
        <v>54034.342767108676</v>
      </c>
      <c r="AL195" s="33">
        <f>IF(AB195&lt;&gt;"",AK195-SUM($AJ$28:AJ195),"")</f>
        <v>15222.872767108667</v>
      </c>
      <c r="AM195" s="11">
        <f t="shared" si="159"/>
        <v>20</v>
      </c>
      <c r="AN195" s="11">
        <f>IF(AB195&lt;&gt;"",IF($B$16=listy!$K$8,'RZĄDOWY PROGRAM'!$F$3*'RZĄDOWY PROGRAM'!$F$15,AG194*$F$15),"")</f>
        <v>50</v>
      </c>
      <c r="AO195" s="11">
        <f t="shared" si="160"/>
        <v>70</v>
      </c>
      <c r="AQ195" s="8">
        <f t="shared" si="161"/>
        <v>168</v>
      </c>
      <c r="AR195" s="8"/>
      <c r="AS195" s="78">
        <f>IF(AQ195&lt;&gt;"",ROUND(IF($F$11="raty równe",-PMT(W195/12,$F$4-AQ194+SUM($AR$28:AR195),AV194,2),AT195+AU195),2),"")</f>
        <v>3263.83</v>
      </c>
      <c r="AT195" s="78">
        <f>IF(AQ195&lt;&gt;"",IF($F$11="raty malejące",AV194/($F$4-AQ194+SUM($AR$28:AR194)),MIN(AS195-AU195,AV194)),"")</f>
        <v>1818.0701010066132</v>
      </c>
      <c r="AU195" s="78">
        <f t="shared" si="162"/>
        <v>1445.7598989933867</v>
      </c>
      <c r="AV195" s="79">
        <f t="shared" si="163"/>
        <v>197597.08838083979</v>
      </c>
      <c r="AW195" s="11"/>
      <c r="AX195" s="33">
        <f>IF(AQ195&lt;&gt;"",ROUND(IF($F$11="raty równe",-PMT(W195/12,($F$4-AQ194+SUM($AR$27:AR194)),AV194,2),AV194/($F$4-AQ194+SUM($AR$27:AR194))+AV194*W195/12),2),"")</f>
        <v>3263.83</v>
      </c>
      <c r="AY195" s="33">
        <f t="shared" si="164"/>
        <v>258.27</v>
      </c>
      <c r="AZ195" s="33">
        <f t="shared" si="180"/>
        <v>53628.533277615003</v>
      </c>
      <c r="BA195" s="33">
        <f>IF(AQ195&lt;&gt;"",AZ195-SUM($AY$44:AY195),"")</f>
        <v>14371.50327761504</v>
      </c>
      <c r="BB195" s="11">
        <f t="shared" si="165"/>
        <v>20</v>
      </c>
      <c r="BC195" s="11">
        <f>IF(AQ195&lt;&gt;"",IF($B$16=listy!$K$8,'RZĄDOWY PROGRAM'!$F$3*'RZĄDOWY PROGRAM'!$F$15,AV194*$F$15),"")</f>
        <v>50</v>
      </c>
      <c r="BD195" s="11">
        <f t="shared" si="166"/>
        <v>70</v>
      </c>
      <c r="BF195" s="8">
        <f t="shared" si="167"/>
        <v>168</v>
      </c>
      <c r="BG195" s="8"/>
      <c r="BH195" s="78">
        <f>IF(BF195&lt;&gt;"",ROUND(IF($F$11="raty równe",-PMT(W195/12,$F$4-BF194+SUM(BV$28:$BV195)-SUM($BM$29:BM195),BK194,2),BI195+BJ195),2),"")</f>
        <v>3522.1</v>
      </c>
      <c r="BI195" s="78">
        <f>IF(BF195&lt;&gt;"",IF($F$11="raty malejące",MIN(BK194/($F$4-BF194+SUM($BG$27:BG195)-SUM($BM$27:BM195)),BK194),MIN(BH195-BJ195,BK194)),"")</f>
        <v>2592.4841140278695</v>
      </c>
      <c r="BJ195" s="78">
        <f t="shared" si="168"/>
        <v>929.6158859721304</v>
      </c>
      <c r="BK195" s="79">
        <f t="shared" si="169"/>
        <v>125630.39670971424</v>
      </c>
      <c r="BL195" s="11"/>
      <c r="BM195" s="33"/>
      <c r="BN195" s="33">
        <f t="shared" si="181"/>
        <v>0</v>
      </c>
      <c r="BO195" s="33">
        <f t="shared" si="182"/>
        <v>-0.14425116489408166</v>
      </c>
      <c r="BP195" s="33">
        <f>IF(O195&lt;&gt;"",BO195-SUM($BN$44:BN195),"")</f>
        <v>-6.4251164895973406E-2</v>
      </c>
      <c r="BQ195" s="11">
        <f t="shared" si="143"/>
        <v>20</v>
      </c>
      <c r="BR195" s="11">
        <f>IF(BF195&lt;&gt;"",IF($B$16=listy!$K$8,'RZĄDOWY PROGRAM'!$F$3*'RZĄDOWY PROGRAM'!$F$15,BK194*$F$15),"")</f>
        <v>50</v>
      </c>
      <c r="BS195" s="11">
        <f t="shared" si="144"/>
        <v>70</v>
      </c>
      <c r="BU195" s="8">
        <f t="shared" si="170"/>
        <v>168</v>
      </c>
      <c r="BV195" s="8"/>
      <c r="BW195" s="78">
        <f>IF(BU195&lt;&gt;"",ROUND(IF($F$11="raty równe",-PMT(W195/12,$F$4-BU194+SUM($BV$28:BV195)-$CB$43,BZ194,2),BX195+BY195),2),"")</f>
        <v>3522.1</v>
      </c>
      <c r="BX195" s="78">
        <f>IF(BU195&lt;&gt;"",IF($F$11="raty malejące",MIN(BZ194/($F$4-BU194+SUM($BV$28:BV194)-SUM($CB$28:CB194)),BZ194),MIN(BW195-BY195,BZ194)),"")</f>
        <v>2586.8461228554834</v>
      </c>
      <c r="BY195" s="78">
        <f t="shared" si="177"/>
        <v>935.25387714451642</v>
      </c>
      <c r="BZ195" s="79">
        <f t="shared" si="178"/>
        <v>126413.6886556985</v>
      </c>
      <c r="CA195" s="11"/>
      <c r="CB195" s="33"/>
      <c r="CC195" s="33">
        <f t="shared" si="171"/>
        <v>0</v>
      </c>
      <c r="CD195" s="33">
        <f t="shared" si="183"/>
        <v>0.43966199548781082</v>
      </c>
      <c r="CE195" s="33">
        <f>IF(O195&lt;&gt;"",CD195-SUM($CC$44:CC195),"")</f>
        <v>0.16966199549419547</v>
      </c>
      <c r="CF195" s="11">
        <f t="shared" si="145"/>
        <v>20</v>
      </c>
      <c r="CG195" s="11">
        <f>IF(BU195&lt;&gt;"",IF($B$16=listy!$K$8,'RZĄDOWY PROGRAM'!$F$3*'RZĄDOWY PROGRAM'!$F$15,BZ194*$F$15),"")</f>
        <v>50</v>
      </c>
      <c r="CH195" s="11">
        <f t="shared" si="146"/>
        <v>70</v>
      </c>
      <c r="CJ195" s="48">
        <f t="shared" si="147"/>
        <v>0.06</v>
      </c>
      <c r="CK195" s="18">
        <f t="shared" si="148"/>
        <v>4.8675505653430484E-3</v>
      </c>
      <c r="CL195" s="11">
        <f t="shared" si="179"/>
        <v>0</v>
      </c>
      <c r="CM195" s="11">
        <f t="shared" si="149"/>
        <v>52996.763732657302</v>
      </c>
      <c r="CN195" s="11">
        <f>IF(AB195&lt;&gt;"",CM195-SUM($CL$28:CL195),"")</f>
        <v>24820.003732657307</v>
      </c>
    </row>
    <row r="196" spans="1:92" x14ac:dyDescent="0.45">
      <c r="A196" s="68">
        <f t="shared" si="172"/>
        <v>49857</v>
      </c>
      <c r="B196" s="8">
        <f t="shared" si="132"/>
        <v>169</v>
      </c>
      <c r="C196" s="11">
        <f t="shared" si="133"/>
        <v>3522.09</v>
      </c>
      <c r="D196" s="11">
        <f t="shared" si="134"/>
        <v>2093.7168290573527</v>
      </c>
      <c r="E196" s="11">
        <f t="shared" si="135"/>
        <v>1428.3731709426477</v>
      </c>
      <c r="F196" s="9">
        <f t="shared" si="150"/>
        <v>194923.27226648026</v>
      </c>
      <c r="G196" s="10">
        <f t="shared" si="136"/>
        <v>7.0000000000000007E-2</v>
      </c>
      <c r="H196" s="10">
        <f t="shared" si="137"/>
        <v>1.7000000000000001E-2</v>
      </c>
      <c r="I196" s="48">
        <f t="shared" si="151"/>
        <v>8.7000000000000008E-2</v>
      </c>
      <c r="J196" s="11">
        <f t="shared" si="138"/>
        <v>20</v>
      </c>
      <c r="K196" s="11">
        <f>IF(B196&lt;&gt;"",IF($B$16=listy!$K$8,'RZĄDOWY PROGRAM'!$F$3*'RZĄDOWY PROGRAM'!$F$15,F195*$F$15),"")</f>
        <v>50</v>
      </c>
      <c r="L196" s="11">
        <f t="shared" si="152"/>
        <v>70</v>
      </c>
      <c r="N196" s="54">
        <f t="shared" si="173"/>
        <v>49857</v>
      </c>
      <c r="O196" s="8">
        <f t="shared" si="153"/>
        <v>169</v>
      </c>
      <c r="P196" s="8"/>
      <c r="Q196" s="11">
        <f>IF(O196&lt;&gt;"",ROUND(IF($F$11="raty równe",-PMT(W196/12,$F$4-O195+SUM($P$28:P196),T195,2),R196+S196),2),"")</f>
        <v>3522.09</v>
      </c>
      <c r="R196" s="11">
        <f>IF(O196&lt;&gt;"",IF($F$11="raty malejące",T195/($F$4-O195+SUM($P$28:P196)),IF(Q196-S196&gt;T195,T195,Q196-S196)),"")</f>
        <v>1976.1489407335523</v>
      </c>
      <c r="S196" s="11">
        <f t="shared" si="175"/>
        <v>1545.9410592664478</v>
      </c>
      <c r="T196" s="9">
        <f t="shared" si="154"/>
        <v>211257.10061325924</v>
      </c>
      <c r="U196" s="10">
        <f t="shared" si="139"/>
        <v>7.0000000000000007E-2</v>
      </c>
      <c r="V196" s="10">
        <f t="shared" si="140"/>
        <v>1.7000000000000001E-2</v>
      </c>
      <c r="W196" s="48">
        <f t="shared" si="155"/>
        <v>8.7000000000000008E-2</v>
      </c>
      <c r="X196" s="11">
        <f t="shared" si="141"/>
        <v>20</v>
      </c>
      <c r="Y196" s="11">
        <f>IF(O196&lt;&gt;"",IF($B$16=listy!$K$8,'RZĄDOWY PROGRAM'!$F$3*'RZĄDOWY PROGRAM'!$F$15,T195*$F$15),"")</f>
        <v>50</v>
      </c>
      <c r="Z196" s="11">
        <f t="shared" si="156"/>
        <v>70</v>
      </c>
      <c r="AB196" s="8">
        <f t="shared" si="157"/>
        <v>169</v>
      </c>
      <c r="AC196" s="8"/>
      <c r="AD196" s="11">
        <f>IF(AB196&lt;&gt;"",ROUND(IF($F$11="raty równe",-PMT(W196/12,$F$4-AB195+SUM($AC$28:AC196),AG195,2),AE196+AF196),2),"")</f>
        <v>3280.4</v>
      </c>
      <c r="AE196" s="11">
        <f>IF(AB196&lt;&gt;"",IF($F$11="raty malejące",AG195/($F$4-AB195+SUM($AC$28:AC195)),MIN(AD196-AF196,AG195)),"")</f>
        <v>1840.5480045509332</v>
      </c>
      <c r="AF196" s="11">
        <f t="shared" si="176"/>
        <v>1439.8519954490669</v>
      </c>
      <c r="AG196" s="9">
        <f t="shared" si="174"/>
        <v>196759.7272298031</v>
      </c>
      <c r="AH196" s="11"/>
      <c r="AI196" s="33">
        <f>IF(AB196&lt;&gt;"",ROUND(IF($F$11="raty równe",-PMT(W196/12,($F$4-AB195+SUM($AC$27:AC195)),AG195,2),AG195/($F$4-AB195+SUM($AC$27:AC195))+AG195*W196/12),2),"")</f>
        <v>3280.4</v>
      </c>
      <c r="AJ196" s="33">
        <f t="shared" si="158"/>
        <v>241.69000000000005</v>
      </c>
      <c r="AK196" s="33">
        <f t="shared" si="142"/>
        <v>54489.074832612707</v>
      </c>
      <c r="AL196" s="33">
        <f>IF(AB196&lt;&gt;"",AK196-SUM($AJ$28:AJ196),"")</f>
        <v>15435.914832612696</v>
      </c>
      <c r="AM196" s="11">
        <f t="shared" si="159"/>
        <v>20</v>
      </c>
      <c r="AN196" s="11">
        <f>IF(AB196&lt;&gt;"",IF($B$16=listy!$K$8,'RZĄDOWY PROGRAM'!$F$3*'RZĄDOWY PROGRAM'!$F$15,AG195*$F$15),"")</f>
        <v>50</v>
      </c>
      <c r="AO196" s="11">
        <f t="shared" si="160"/>
        <v>70</v>
      </c>
      <c r="AQ196" s="8">
        <f t="shared" si="161"/>
        <v>169</v>
      </c>
      <c r="AR196" s="8"/>
      <c r="AS196" s="78">
        <f>IF(AQ196&lt;&gt;"",ROUND(IF($F$11="raty równe",-PMT(W196/12,$F$4-AQ195+SUM($AR$28:AR196),AV195,2),AT196+AU196),2),"")</f>
        <v>3263.82</v>
      </c>
      <c r="AT196" s="78">
        <f>IF(AQ196&lt;&gt;"",IF($F$11="raty malejące",AV195/($F$4-AQ195+SUM($AR$28:AR195)),MIN(AS196-AU196,AV195)),"")</f>
        <v>1831.2411092389116</v>
      </c>
      <c r="AU196" s="78">
        <f t="shared" si="162"/>
        <v>1432.5788907610886</v>
      </c>
      <c r="AV196" s="79">
        <f t="shared" si="163"/>
        <v>195765.84727160088</v>
      </c>
      <c r="AW196" s="11"/>
      <c r="AX196" s="33">
        <f>IF(AQ196&lt;&gt;"",ROUND(IF($F$11="raty równe",-PMT(W196/12,($F$4-AQ195+SUM($AR$27:AR195)),AV195,2),AV195/($F$4-AQ195+SUM($AR$27:AR195))+AV195*W196/12),2),"")</f>
        <v>3263.82</v>
      </c>
      <c r="AY196" s="33">
        <f t="shared" si="164"/>
        <v>258.27</v>
      </c>
      <c r="AZ196" s="33">
        <f t="shared" si="180"/>
        <v>54098.245351568919</v>
      </c>
      <c r="BA196" s="33">
        <f>IF(AQ196&lt;&gt;"",AZ196-SUM($AY$44:AY196),"")</f>
        <v>14582.94535156896</v>
      </c>
      <c r="BB196" s="11">
        <f t="shared" si="165"/>
        <v>20</v>
      </c>
      <c r="BC196" s="11">
        <f>IF(AQ196&lt;&gt;"",IF($B$16=listy!$K$8,'RZĄDOWY PROGRAM'!$F$3*'RZĄDOWY PROGRAM'!$F$15,AV195*$F$15),"")</f>
        <v>50</v>
      </c>
      <c r="BD196" s="11">
        <f t="shared" si="166"/>
        <v>70</v>
      </c>
      <c r="BF196" s="8">
        <f t="shared" si="167"/>
        <v>169</v>
      </c>
      <c r="BG196" s="8"/>
      <c r="BH196" s="78">
        <f>IF(BF196&lt;&gt;"",ROUND(IF($F$11="raty równe",-PMT(W196/12,$F$4-BF195+SUM(BV$28:$BV196)-SUM($BM$29:BM196),BK195,2),BI196+BJ196),2),"")</f>
        <v>3522.1</v>
      </c>
      <c r="BI196" s="78">
        <f>IF(BF196&lt;&gt;"",IF($F$11="raty malejące",MIN(BK195/($F$4-BF195+SUM($BG$27:BG196)-SUM($BM$27:BM196)),BK195),MIN(BH196-BJ196,BK195)),"")</f>
        <v>2611.2796238545716</v>
      </c>
      <c r="BJ196" s="78">
        <f t="shared" si="168"/>
        <v>910.82037614542833</v>
      </c>
      <c r="BK196" s="79">
        <f t="shared" si="169"/>
        <v>123019.11708585967</v>
      </c>
      <c r="BL196" s="11"/>
      <c r="BM196" s="33"/>
      <c r="BN196" s="33">
        <f t="shared" si="181"/>
        <v>-9.9999999997635314E-3</v>
      </c>
      <c r="BO196" s="33">
        <f t="shared" si="182"/>
        <v>-0.15481990626362277</v>
      </c>
      <c r="BP196" s="33">
        <f>IF(O196&lt;&gt;"",BO196-SUM($BN$44:BN196),"")</f>
        <v>-6.4819906265750987E-2</v>
      </c>
      <c r="BQ196" s="11">
        <f t="shared" si="143"/>
        <v>20</v>
      </c>
      <c r="BR196" s="11">
        <f>IF(BF196&lt;&gt;"",IF($B$16=listy!$K$8,'RZĄDOWY PROGRAM'!$F$3*'RZĄDOWY PROGRAM'!$F$15,BK195*$F$15),"")</f>
        <v>50</v>
      </c>
      <c r="BS196" s="11">
        <f t="shared" si="144"/>
        <v>70</v>
      </c>
      <c r="BU196" s="8">
        <f t="shared" si="170"/>
        <v>169</v>
      </c>
      <c r="BV196" s="8"/>
      <c r="BW196" s="78">
        <f>IF(BU196&lt;&gt;"",ROUND(IF($F$11="raty równe",-PMT(W196/12,$F$4-BU195+SUM($BV$28:BV196)-$CB$43,BZ195,2),BX196+BY196),2),"")</f>
        <v>3522.1</v>
      </c>
      <c r="BX196" s="78">
        <f>IF(BU196&lt;&gt;"",IF($F$11="raty malejące",MIN(BZ195/($F$4-BU195+SUM($BV$28:BV195)-SUM($CB$28:CB195)),BZ195),MIN(BW196-BY196,BZ195)),"")</f>
        <v>2605.6007572461858</v>
      </c>
      <c r="BY196" s="78">
        <f t="shared" si="177"/>
        <v>916.4992427538142</v>
      </c>
      <c r="BZ196" s="79">
        <f t="shared" si="178"/>
        <v>123808.08789845232</v>
      </c>
      <c r="CA196" s="11"/>
      <c r="CB196" s="33"/>
      <c r="CC196" s="33">
        <f t="shared" si="171"/>
        <v>-9.9999999997635314E-3</v>
      </c>
      <c r="CD196" s="33">
        <f t="shared" si="183"/>
        <v>0.4313954578537515</v>
      </c>
      <c r="CE196" s="33">
        <f>IF(O196&lt;&gt;"",CD196-SUM($CC$44:CC196),"")</f>
        <v>0.17139545785989968</v>
      </c>
      <c r="CF196" s="11">
        <f t="shared" si="145"/>
        <v>20</v>
      </c>
      <c r="CG196" s="11">
        <f>IF(BU196&lt;&gt;"",IF($B$16=listy!$K$8,'RZĄDOWY PROGRAM'!$F$3*'RZĄDOWY PROGRAM'!$F$15,BZ195*$F$15),"")</f>
        <v>50</v>
      </c>
      <c r="CH196" s="11">
        <f t="shared" si="146"/>
        <v>70</v>
      </c>
      <c r="CJ196" s="48">
        <f t="shared" si="147"/>
        <v>0.06</v>
      </c>
      <c r="CK196" s="18">
        <f t="shared" si="148"/>
        <v>4.8675505653430484E-3</v>
      </c>
      <c r="CL196" s="11">
        <f t="shared" si="179"/>
        <v>0</v>
      </c>
      <c r="CM196" s="11">
        <f t="shared" si="149"/>
        <v>53205.71491874459</v>
      </c>
      <c r="CN196" s="11">
        <f>IF(AB196&lt;&gt;"",CM196-SUM($CL$28:CL196),"")</f>
        <v>25028.954918744595</v>
      </c>
    </row>
    <row r="197" spans="1:92" x14ac:dyDescent="0.45">
      <c r="A197" s="68">
        <f t="shared" si="172"/>
        <v>49888</v>
      </c>
      <c r="B197" s="8">
        <f t="shared" si="132"/>
        <v>170</v>
      </c>
      <c r="C197" s="11">
        <f t="shared" si="133"/>
        <v>3522.1</v>
      </c>
      <c r="D197" s="11">
        <f t="shared" si="134"/>
        <v>2108.9062760680181</v>
      </c>
      <c r="E197" s="11">
        <f t="shared" si="135"/>
        <v>1413.193723931982</v>
      </c>
      <c r="F197" s="9">
        <f t="shared" si="150"/>
        <v>192814.36599041225</v>
      </c>
      <c r="G197" s="10">
        <f t="shared" si="136"/>
        <v>7.0000000000000007E-2</v>
      </c>
      <c r="H197" s="10">
        <f t="shared" si="137"/>
        <v>1.7000000000000001E-2</v>
      </c>
      <c r="I197" s="48">
        <f t="shared" si="151"/>
        <v>8.7000000000000008E-2</v>
      </c>
      <c r="J197" s="11">
        <f t="shared" si="138"/>
        <v>20</v>
      </c>
      <c r="K197" s="11">
        <f>IF(B197&lt;&gt;"",IF($B$16=listy!$K$8,'RZĄDOWY PROGRAM'!$F$3*'RZĄDOWY PROGRAM'!$F$15,F196*$F$15),"")</f>
        <v>50</v>
      </c>
      <c r="L197" s="11">
        <f t="shared" si="152"/>
        <v>70</v>
      </c>
      <c r="N197" s="54">
        <f t="shared" si="173"/>
        <v>49888</v>
      </c>
      <c r="O197" s="8">
        <f t="shared" si="153"/>
        <v>170</v>
      </c>
      <c r="P197" s="8"/>
      <c r="Q197" s="11">
        <f>IF(O197&lt;&gt;"",ROUND(IF($F$11="raty równe",-PMT(W197/12,$F$4-O196+SUM($P$28:P197),T196,2),R197+S197),2),"")</f>
        <v>3522.1</v>
      </c>
      <c r="R197" s="11">
        <f>IF(O197&lt;&gt;"",IF($F$11="raty malejące",T196/($F$4-O196+SUM($P$28:P197)),IF(Q197-S197&gt;T196,T196,Q197-S197)),"")</f>
        <v>1990.4860205538703</v>
      </c>
      <c r="S197" s="11">
        <f t="shared" si="175"/>
        <v>1531.6139794461296</v>
      </c>
      <c r="T197" s="9">
        <f t="shared" si="154"/>
        <v>209266.61459270539</v>
      </c>
      <c r="U197" s="10">
        <f t="shared" si="139"/>
        <v>7.0000000000000007E-2</v>
      </c>
      <c r="V197" s="10">
        <f t="shared" si="140"/>
        <v>1.7000000000000001E-2</v>
      </c>
      <c r="W197" s="48">
        <f t="shared" si="155"/>
        <v>8.7000000000000008E-2</v>
      </c>
      <c r="X197" s="11">
        <f t="shared" si="141"/>
        <v>20</v>
      </c>
      <c r="Y197" s="11">
        <f>IF(O197&lt;&gt;"",IF($B$16=listy!$K$8,'RZĄDOWY PROGRAM'!$F$3*'RZĄDOWY PROGRAM'!$F$15,T196*$F$15),"")</f>
        <v>50</v>
      </c>
      <c r="Z197" s="11">
        <f t="shared" si="156"/>
        <v>70</v>
      </c>
      <c r="AB197" s="8">
        <f t="shared" si="157"/>
        <v>170</v>
      </c>
      <c r="AC197" s="8"/>
      <c r="AD197" s="11">
        <f>IF(AB197&lt;&gt;"",ROUND(IF($F$11="raty równe",-PMT(W197/12,$F$4-AB196+SUM($AC$28:AC197),AG196,2),AE197+AF197),2),"")</f>
        <v>3280.39</v>
      </c>
      <c r="AE197" s="11">
        <f>IF(AB197&lt;&gt;"",IF($F$11="raty malejące",AG196/($F$4-AB196+SUM($AC$28:AC196)),MIN(AD197-AF197,AG196)),"")</f>
        <v>1853.8819775839272</v>
      </c>
      <c r="AF197" s="11">
        <f t="shared" si="176"/>
        <v>1426.5080224160727</v>
      </c>
      <c r="AG197" s="9">
        <f t="shared" si="174"/>
        <v>194905.84525221918</v>
      </c>
      <c r="AH197" s="11"/>
      <c r="AI197" s="33">
        <f>IF(AB197&lt;&gt;"",ROUND(IF($F$11="raty równe",-PMT(W197/12,($F$4-AB196+SUM($AC$27:AC196)),AG196,2),AG196/($F$4-AB196+SUM($AC$27:AC196))+AG196*W197/12),2),"")</f>
        <v>3280.39</v>
      </c>
      <c r="AJ197" s="33">
        <f t="shared" si="158"/>
        <v>241.71000000000004</v>
      </c>
      <c r="AK197" s="33">
        <f t="shared" si="142"/>
        <v>54945.619777487977</v>
      </c>
      <c r="AL197" s="33">
        <f>IF(AB197&lt;&gt;"",AK197-SUM($AJ$28:AJ197),"")</f>
        <v>15650.749777487967</v>
      </c>
      <c r="AM197" s="11">
        <f t="shared" si="159"/>
        <v>20</v>
      </c>
      <c r="AN197" s="11">
        <f>IF(AB197&lt;&gt;"",IF($B$16=listy!$K$8,'RZĄDOWY PROGRAM'!$F$3*'RZĄDOWY PROGRAM'!$F$15,AG196*$F$15),"")</f>
        <v>50</v>
      </c>
      <c r="AO197" s="11">
        <f t="shared" si="160"/>
        <v>70</v>
      </c>
      <c r="AQ197" s="8">
        <f t="shared" si="161"/>
        <v>170</v>
      </c>
      <c r="AR197" s="8"/>
      <c r="AS197" s="78">
        <f>IF(AQ197&lt;&gt;"",ROUND(IF($F$11="raty równe",-PMT(W197/12,$F$4-AQ196+SUM($AR$28:AR197),AV196,2),AT197+AU197),2),"")</f>
        <v>3263.83</v>
      </c>
      <c r="AT197" s="78">
        <f>IF(AQ197&lt;&gt;"",IF($F$11="raty malejące",AV196/($F$4-AQ196+SUM($AR$28:AR196)),MIN(AS197-AU197,AV196)),"")</f>
        <v>1844.5276072808936</v>
      </c>
      <c r="AU197" s="78">
        <f t="shared" si="162"/>
        <v>1419.3023927191064</v>
      </c>
      <c r="AV197" s="79">
        <f t="shared" si="163"/>
        <v>193921.31966431998</v>
      </c>
      <c r="AW197" s="11"/>
      <c r="AX197" s="33">
        <f>IF(AQ197&lt;&gt;"",ROUND(IF($F$11="raty równe",-PMT(W197/12,($F$4-AQ196+SUM($AR$27:AR196)),AV196,2),AV196/($F$4-AQ196+SUM($AR$27:AR196))+AV196*W197/12),2),"")</f>
        <v>3263.83</v>
      </c>
      <c r="AY197" s="33">
        <f t="shared" si="164"/>
        <v>258.27</v>
      </c>
      <c r="AZ197" s="33">
        <f t="shared" si="180"/>
        <v>54569.809366812449</v>
      </c>
      <c r="BA197" s="33">
        <f>IF(AQ197&lt;&gt;"",AZ197-SUM($AY$44:AY197),"")</f>
        <v>14796.239366812493</v>
      </c>
      <c r="BB197" s="11">
        <f t="shared" si="165"/>
        <v>20</v>
      </c>
      <c r="BC197" s="11">
        <f>IF(AQ197&lt;&gt;"",IF($B$16=listy!$K$8,'RZĄDOWY PROGRAM'!$F$3*'RZĄDOWY PROGRAM'!$F$15,AV196*$F$15),"")</f>
        <v>50</v>
      </c>
      <c r="BD197" s="11">
        <f t="shared" si="166"/>
        <v>70</v>
      </c>
      <c r="BF197" s="8">
        <f t="shared" si="167"/>
        <v>170</v>
      </c>
      <c r="BG197" s="8"/>
      <c r="BH197" s="78">
        <f>IF(BF197&lt;&gt;"",ROUND(IF($F$11="raty równe",-PMT(W197/12,$F$4-BF196+SUM(BV$28:$BV197)-SUM($BM$29:BM197),BK196,2),BI197+BJ197),2),"")</f>
        <v>3522.09</v>
      </c>
      <c r="BI197" s="78">
        <f>IF(BF197&lt;&gt;"",IF($F$11="raty malejące",MIN(BK196/($F$4-BF196+SUM($BG$27:BG197)-SUM($BM$27:BM197)),BK196),MIN(BH197-BJ197,BK196)),"")</f>
        <v>2630.2014011275173</v>
      </c>
      <c r="BJ197" s="78">
        <f t="shared" si="168"/>
        <v>891.8885988724827</v>
      </c>
      <c r="BK197" s="79">
        <f t="shared" si="169"/>
        <v>120388.91568473216</v>
      </c>
      <c r="BL197" s="11"/>
      <c r="BM197" s="33"/>
      <c r="BN197" s="33">
        <f t="shared" si="181"/>
        <v>9.9999999997635314E-3</v>
      </c>
      <c r="BO197" s="33">
        <f t="shared" si="182"/>
        <v>-0.14543031717888974</v>
      </c>
      <c r="BP197" s="33">
        <f>IF(O197&lt;&gt;"",BO197-SUM($BN$44:BN197),"")</f>
        <v>-6.5430317180781489E-2</v>
      </c>
      <c r="BQ197" s="11">
        <f t="shared" si="143"/>
        <v>20</v>
      </c>
      <c r="BR197" s="11">
        <f>IF(BF197&lt;&gt;"",IF($B$16=listy!$K$8,'RZĄDOWY PROGRAM'!$F$3*'RZĄDOWY PROGRAM'!$F$15,BK196*$F$15),"")</f>
        <v>50</v>
      </c>
      <c r="BS197" s="11">
        <f t="shared" si="144"/>
        <v>70</v>
      </c>
      <c r="BU197" s="8">
        <f t="shared" si="170"/>
        <v>170</v>
      </c>
      <c r="BV197" s="8"/>
      <c r="BW197" s="78">
        <f>IF(BU197&lt;&gt;"",ROUND(IF($F$11="raty równe",-PMT(W197/12,$F$4-BU196+SUM($BV$28:BV197)-$CB$43,BZ196,2),BX197+BY197),2),"")</f>
        <v>3522.09</v>
      </c>
      <c r="BX197" s="78">
        <f>IF(BU197&lt;&gt;"",IF($F$11="raty malejące",MIN(BZ196/($F$4-BU196+SUM($BV$28:BV196)-SUM($CB$28:CB196)),BZ196),MIN(BW197-BY197,BZ196)),"")</f>
        <v>2624.4813627362209</v>
      </c>
      <c r="BY197" s="78">
        <f t="shared" si="177"/>
        <v>897.60863726377931</v>
      </c>
      <c r="BZ197" s="79">
        <f t="shared" si="178"/>
        <v>121183.6065357161</v>
      </c>
      <c r="CA197" s="11"/>
      <c r="CB197" s="33"/>
      <c r="CC197" s="33">
        <f t="shared" si="171"/>
        <v>9.9999999997635314E-3</v>
      </c>
      <c r="CD197" s="33">
        <f t="shared" si="183"/>
        <v>0.44309632760937262</v>
      </c>
      <c r="CE197" s="33">
        <f>IF(O197&lt;&gt;"",CD197-SUM($CC$44:CC197),"")</f>
        <v>0.17309632761575727</v>
      </c>
      <c r="CF197" s="11">
        <f t="shared" si="145"/>
        <v>20</v>
      </c>
      <c r="CG197" s="11">
        <f>IF(BU197&lt;&gt;"",IF($B$16=listy!$K$8,'RZĄDOWY PROGRAM'!$F$3*'RZĄDOWY PROGRAM'!$F$15,BZ196*$F$15),"")</f>
        <v>50</v>
      </c>
      <c r="CH197" s="11">
        <f t="shared" si="146"/>
        <v>70</v>
      </c>
      <c r="CJ197" s="48">
        <f t="shared" si="147"/>
        <v>0.06</v>
      </c>
      <c r="CK197" s="18">
        <f t="shared" si="148"/>
        <v>4.8675505653430484E-3</v>
      </c>
      <c r="CL197" s="11">
        <f t="shared" si="179"/>
        <v>0</v>
      </c>
      <c r="CM197" s="11">
        <f t="shared" si="149"/>
        <v>53415.48994000769</v>
      </c>
      <c r="CN197" s="11">
        <f>IF(AB197&lt;&gt;"",CM197-SUM($CL$28:CL197),"")</f>
        <v>25238.729940007695</v>
      </c>
    </row>
    <row r="198" spans="1:92" x14ac:dyDescent="0.45">
      <c r="A198" s="68">
        <f t="shared" si="172"/>
        <v>49919</v>
      </c>
      <c r="B198" s="8">
        <f t="shared" si="132"/>
        <v>171</v>
      </c>
      <c r="C198" s="11">
        <f t="shared" si="133"/>
        <v>3522.09</v>
      </c>
      <c r="D198" s="11">
        <f t="shared" si="134"/>
        <v>2124.1858465695113</v>
      </c>
      <c r="E198" s="11">
        <f t="shared" si="135"/>
        <v>1397.9041534304888</v>
      </c>
      <c r="F198" s="9">
        <f t="shared" si="150"/>
        <v>190690.18014384274</v>
      </c>
      <c r="G198" s="10">
        <f t="shared" si="136"/>
        <v>7.0000000000000007E-2</v>
      </c>
      <c r="H198" s="10">
        <f t="shared" si="137"/>
        <v>1.7000000000000001E-2</v>
      </c>
      <c r="I198" s="48">
        <f t="shared" si="151"/>
        <v>8.7000000000000008E-2</v>
      </c>
      <c r="J198" s="11">
        <f t="shared" si="138"/>
        <v>20</v>
      </c>
      <c r="K198" s="11">
        <f>IF(B198&lt;&gt;"",IF($B$16=listy!$K$8,'RZĄDOWY PROGRAM'!$F$3*'RZĄDOWY PROGRAM'!$F$15,F197*$F$15),"")</f>
        <v>50</v>
      </c>
      <c r="L198" s="11">
        <f t="shared" si="152"/>
        <v>70</v>
      </c>
      <c r="N198" s="54">
        <f t="shared" si="173"/>
        <v>49919</v>
      </c>
      <c r="O198" s="8">
        <f t="shared" si="153"/>
        <v>171</v>
      </c>
      <c r="P198" s="8"/>
      <c r="Q198" s="11">
        <f>IF(O198&lt;&gt;"",ROUND(IF($F$11="raty równe",-PMT(W198/12,$F$4-O197+SUM($P$28:P198),T197,2),R198+S198),2),"")</f>
        <v>3522.09</v>
      </c>
      <c r="R198" s="11">
        <f>IF(O198&lt;&gt;"",IF($F$11="raty malejące",T197/($F$4-O197+SUM($P$28:P198)),IF(Q198-S198&gt;T197,T197,Q198-S198)),"")</f>
        <v>2004.907044202886</v>
      </c>
      <c r="S198" s="11">
        <f t="shared" si="175"/>
        <v>1517.1829557971141</v>
      </c>
      <c r="T198" s="9">
        <f t="shared" si="154"/>
        <v>207261.70754850251</v>
      </c>
      <c r="U198" s="10">
        <f t="shared" si="139"/>
        <v>7.0000000000000007E-2</v>
      </c>
      <c r="V198" s="10">
        <f t="shared" si="140"/>
        <v>1.7000000000000001E-2</v>
      </c>
      <c r="W198" s="48">
        <f t="shared" si="155"/>
        <v>8.7000000000000008E-2</v>
      </c>
      <c r="X198" s="11">
        <f t="shared" si="141"/>
        <v>20</v>
      </c>
      <c r="Y198" s="11">
        <f>IF(O198&lt;&gt;"",IF($B$16=listy!$K$8,'RZĄDOWY PROGRAM'!$F$3*'RZĄDOWY PROGRAM'!$F$15,T197*$F$15),"")</f>
        <v>50</v>
      </c>
      <c r="Z198" s="11">
        <f t="shared" si="156"/>
        <v>70</v>
      </c>
      <c r="AB198" s="8">
        <f t="shared" si="157"/>
        <v>171</v>
      </c>
      <c r="AC198" s="8"/>
      <c r="AD198" s="11">
        <f>IF(AB198&lt;&gt;"",ROUND(IF($F$11="raty równe",-PMT(W198/12,$F$4-AB197+SUM($AC$28:AC198),AG197,2),AE198+AF198),2),"")</f>
        <v>3280.4</v>
      </c>
      <c r="AE198" s="11">
        <f>IF(AB198&lt;&gt;"",IF($F$11="raty malejące",AG197/($F$4-AB197+SUM($AC$28:AC197)),MIN(AD198-AF198,AG197)),"")</f>
        <v>1867.3326219214109</v>
      </c>
      <c r="AF198" s="11">
        <f t="shared" si="176"/>
        <v>1413.0673780785892</v>
      </c>
      <c r="AG198" s="9">
        <f t="shared" si="174"/>
        <v>193038.51263029777</v>
      </c>
      <c r="AH198" s="11"/>
      <c r="AI198" s="33">
        <f>IF(AB198&lt;&gt;"",ROUND(IF($F$11="raty równe",-PMT(W198/12,($F$4-AB197+SUM($AC$27:AC197)),AG197,2),AG197/($F$4-AB197+SUM($AC$27:AC197))+AG197*W198/12),2),"")</f>
        <v>3280.4</v>
      </c>
      <c r="AJ198" s="33">
        <f t="shared" si="158"/>
        <v>241.69000000000005</v>
      </c>
      <c r="AK198" s="33">
        <f t="shared" si="142"/>
        <v>55403.944749402923</v>
      </c>
      <c r="AL198" s="33">
        <f>IF(AB198&lt;&gt;"",AK198-SUM($AJ$28:AJ198),"")</f>
        <v>15867.384749402911</v>
      </c>
      <c r="AM198" s="11">
        <f t="shared" si="159"/>
        <v>20</v>
      </c>
      <c r="AN198" s="11">
        <f>IF(AB198&lt;&gt;"",IF($B$16=listy!$K$8,'RZĄDOWY PROGRAM'!$F$3*'RZĄDOWY PROGRAM'!$F$15,AG197*$F$15),"")</f>
        <v>50</v>
      </c>
      <c r="AO198" s="11">
        <f t="shared" si="160"/>
        <v>70</v>
      </c>
      <c r="AQ198" s="8">
        <f t="shared" si="161"/>
        <v>171</v>
      </c>
      <c r="AR198" s="8"/>
      <c r="AS198" s="78">
        <f>IF(AQ198&lt;&gt;"",ROUND(IF($F$11="raty równe",-PMT(W198/12,$F$4-AQ197+SUM($AR$28:AR198),AV197,2),AT198+AU198),2),"")</f>
        <v>3263.82</v>
      </c>
      <c r="AT198" s="78">
        <f>IF(AQ198&lt;&gt;"",IF($F$11="raty malejące",AV197/($F$4-AQ197+SUM($AR$28:AR197)),MIN(AS198-AU198,AV197)),"")</f>
        <v>1857.8904324336802</v>
      </c>
      <c r="AU198" s="78">
        <f t="shared" si="162"/>
        <v>1405.92956756632</v>
      </c>
      <c r="AV198" s="79">
        <f t="shared" si="163"/>
        <v>192063.42923188629</v>
      </c>
      <c r="AW198" s="11"/>
      <c r="AX198" s="33">
        <f>IF(AQ198&lt;&gt;"",ROUND(IF($F$11="raty równe",-PMT(W198/12,($F$4-AQ197+SUM($AR$27:AR197)),AV197,2),AV197/($F$4-AQ197+SUM($AR$27:AR197))+AV197*W198/12),2),"")</f>
        <v>3263.82</v>
      </c>
      <c r="AY198" s="33">
        <f t="shared" si="164"/>
        <v>258.27</v>
      </c>
      <c r="AZ198" s="33">
        <f t="shared" si="180"/>
        <v>55043.232625024066</v>
      </c>
      <c r="BA198" s="33">
        <f>IF(AQ198&lt;&gt;"",AZ198-SUM($AY$44:AY198),"")</f>
        <v>15011.392625024113</v>
      </c>
      <c r="BB198" s="11">
        <f t="shared" si="165"/>
        <v>20</v>
      </c>
      <c r="BC198" s="11">
        <f>IF(AQ198&lt;&gt;"",IF($B$16=listy!$K$8,'RZĄDOWY PROGRAM'!$F$3*'RZĄDOWY PROGRAM'!$F$15,AV197*$F$15),"")</f>
        <v>50</v>
      </c>
      <c r="BD198" s="11">
        <f t="shared" si="166"/>
        <v>70</v>
      </c>
      <c r="BF198" s="8">
        <f t="shared" si="167"/>
        <v>171</v>
      </c>
      <c r="BG198" s="8"/>
      <c r="BH198" s="78">
        <f>IF(BF198&lt;&gt;"",ROUND(IF($F$11="raty równe",-PMT(W198/12,$F$4-BF197+SUM(BV$28:$BV198)-SUM($BM$29:BM198),BK197,2),BI198+BJ198),2),"")</f>
        <v>3522.09</v>
      </c>
      <c r="BI198" s="78">
        <f>IF(BF198&lt;&gt;"",IF($F$11="raty malejące",MIN(BK197/($F$4-BF197+SUM($BG$27:BG198)-SUM($BM$27:BM198)),BK197),MIN(BH198-BJ198,BK197)),"")</f>
        <v>2649.2703612856917</v>
      </c>
      <c r="BJ198" s="78">
        <f t="shared" si="168"/>
        <v>872.81963871430833</v>
      </c>
      <c r="BK198" s="79">
        <f t="shared" si="169"/>
        <v>117739.64532344647</v>
      </c>
      <c r="BL198" s="11"/>
      <c r="BM198" s="33"/>
      <c r="BN198" s="33">
        <f t="shared" si="181"/>
        <v>0</v>
      </c>
      <c r="BO198" s="33">
        <f t="shared" si="182"/>
        <v>-0.14600370761119746</v>
      </c>
      <c r="BP198" s="33">
        <f>IF(O198&lt;&gt;"",BO198-SUM($BN$44:BN198),"")</f>
        <v>-6.6003707613089213E-2</v>
      </c>
      <c r="BQ198" s="11">
        <f t="shared" si="143"/>
        <v>20</v>
      </c>
      <c r="BR198" s="11">
        <f>IF(BF198&lt;&gt;"",IF($B$16=listy!$K$8,'RZĄDOWY PROGRAM'!$F$3*'RZĄDOWY PROGRAM'!$F$15,BK197*$F$15),"")</f>
        <v>50</v>
      </c>
      <c r="BS198" s="11">
        <f t="shared" si="144"/>
        <v>70</v>
      </c>
      <c r="BU198" s="8">
        <f t="shared" si="170"/>
        <v>171</v>
      </c>
      <c r="BV198" s="8"/>
      <c r="BW198" s="78">
        <f>IF(BU198&lt;&gt;"",ROUND(IF($F$11="raty równe",-PMT(W198/12,$F$4-BU197+SUM($BV$28:BV198)-$CB$43,BZ197,2),BX198+BY198),2),"")</f>
        <v>3522.09</v>
      </c>
      <c r="BX198" s="78">
        <f>IF(BU198&lt;&gt;"",IF($F$11="raty malejące",MIN(BZ197/($F$4-BU197+SUM($BV$28:BV197)-SUM($CB$28:CB197)),BZ197),MIN(BW198-BY198,BZ197)),"")</f>
        <v>2643.5088526160584</v>
      </c>
      <c r="BY198" s="78">
        <f t="shared" si="177"/>
        <v>878.58114738394181</v>
      </c>
      <c r="BZ198" s="79">
        <f t="shared" si="178"/>
        <v>118540.09768310004</v>
      </c>
      <c r="CA198" s="11"/>
      <c r="CB198" s="33"/>
      <c r="CC198" s="33">
        <f t="shared" si="171"/>
        <v>0</v>
      </c>
      <c r="CD198" s="33">
        <f t="shared" si="183"/>
        <v>0.44484333057113734</v>
      </c>
      <c r="CE198" s="33">
        <f>IF(O198&lt;&gt;"",CD198-SUM($CC$44:CC198),"")</f>
        <v>0.17484333057752199</v>
      </c>
      <c r="CF198" s="11">
        <f t="shared" si="145"/>
        <v>20</v>
      </c>
      <c r="CG198" s="11">
        <f>IF(BU198&lt;&gt;"",IF($B$16=listy!$K$8,'RZĄDOWY PROGRAM'!$F$3*'RZĄDOWY PROGRAM'!$F$15,BZ197*$F$15),"")</f>
        <v>50</v>
      </c>
      <c r="CH198" s="11">
        <f t="shared" si="146"/>
        <v>70</v>
      </c>
      <c r="CJ198" s="48">
        <f t="shared" si="147"/>
        <v>0.06</v>
      </c>
      <c r="CK198" s="18">
        <f t="shared" si="148"/>
        <v>4.8675505653430484E-3</v>
      </c>
      <c r="CL198" s="11">
        <f t="shared" si="179"/>
        <v>0</v>
      </c>
      <c r="CM198" s="11">
        <f t="shared" si="149"/>
        <v>53626.092044594698</v>
      </c>
      <c r="CN198" s="11">
        <f>IF(AB198&lt;&gt;"",CM198-SUM($CL$28:CL198),"")</f>
        <v>25449.332044594703</v>
      </c>
    </row>
    <row r="199" spans="1:92" x14ac:dyDescent="0.45">
      <c r="A199" s="68">
        <f t="shared" si="172"/>
        <v>49949</v>
      </c>
      <c r="B199" s="8">
        <f t="shared" si="132"/>
        <v>172</v>
      </c>
      <c r="C199" s="11">
        <f t="shared" si="133"/>
        <v>3522.1</v>
      </c>
      <c r="D199" s="11">
        <f t="shared" si="134"/>
        <v>2139.5961939571398</v>
      </c>
      <c r="E199" s="11">
        <f t="shared" si="135"/>
        <v>1382.5038060428599</v>
      </c>
      <c r="F199" s="9">
        <f t="shared" si="150"/>
        <v>188550.58394988559</v>
      </c>
      <c r="G199" s="10">
        <f t="shared" si="136"/>
        <v>7.0000000000000007E-2</v>
      </c>
      <c r="H199" s="10">
        <f t="shared" si="137"/>
        <v>1.7000000000000001E-2</v>
      </c>
      <c r="I199" s="48">
        <f t="shared" si="151"/>
        <v>8.7000000000000008E-2</v>
      </c>
      <c r="J199" s="11">
        <f t="shared" si="138"/>
        <v>20</v>
      </c>
      <c r="K199" s="11">
        <f>IF(B199&lt;&gt;"",IF($B$16=listy!$K$8,'RZĄDOWY PROGRAM'!$F$3*'RZĄDOWY PROGRAM'!$F$15,F198*$F$15),"")</f>
        <v>50</v>
      </c>
      <c r="L199" s="11">
        <f t="shared" si="152"/>
        <v>70</v>
      </c>
      <c r="N199" s="54">
        <f t="shared" si="173"/>
        <v>49949</v>
      </c>
      <c r="O199" s="8">
        <f t="shared" si="153"/>
        <v>172</v>
      </c>
      <c r="P199" s="8"/>
      <c r="Q199" s="11">
        <f>IF(O199&lt;&gt;"",ROUND(IF($F$11="raty równe",-PMT(W199/12,$F$4-O198+SUM($P$28:P199),T198,2),R199+S199),2),"")</f>
        <v>3522.1</v>
      </c>
      <c r="R199" s="11">
        <f>IF(O199&lt;&gt;"",IF($F$11="raty malejące",T198/($F$4-O198+SUM($P$28:P199)),IF(Q199-S199&gt;T198,T198,Q199-S199)),"")</f>
        <v>2019.4526202733566</v>
      </c>
      <c r="S199" s="11">
        <f t="shared" si="175"/>
        <v>1502.6473797266433</v>
      </c>
      <c r="T199" s="9">
        <f t="shared" si="154"/>
        <v>205242.25492822914</v>
      </c>
      <c r="U199" s="10">
        <f t="shared" si="139"/>
        <v>7.0000000000000007E-2</v>
      </c>
      <c r="V199" s="10">
        <f t="shared" si="140"/>
        <v>1.7000000000000001E-2</v>
      </c>
      <c r="W199" s="48">
        <f t="shared" si="155"/>
        <v>8.7000000000000008E-2</v>
      </c>
      <c r="X199" s="11">
        <f t="shared" si="141"/>
        <v>20</v>
      </c>
      <c r="Y199" s="11">
        <f>IF(O199&lt;&gt;"",IF($B$16=listy!$K$8,'RZĄDOWY PROGRAM'!$F$3*'RZĄDOWY PROGRAM'!$F$15,T198*$F$15),"")</f>
        <v>50</v>
      </c>
      <c r="Z199" s="11">
        <f t="shared" si="156"/>
        <v>70</v>
      </c>
      <c r="AB199" s="8">
        <f t="shared" si="157"/>
        <v>172</v>
      </c>
      <c r="AC199" s="8"/>
      <c r="AD199" s="11">
        <f>IF(AB199&lt;&gt;"",ROUND(IF($F$11="raty równe",-PMT(W199/12,$F$4-AB198+SUM($AC$28:AC199),AG198,2),AE199+AF199),2),"")</f>
        <v>3280.39</v>
      </c>
      <c r="AE199" s="11">
        <f>IF(AB199&lt;&gt;"",IF($F$11="raty malejące",AG198/($F$4-AB198+SUM($AC$28:AC198)),MIN(AD199-AF199,AG198)),"")</f>
        <v>1880.8607834303409</v>
      </c>
      <c r="AF199" s="11">
        <f t="shared" si="176"/>
        <v>1399.529216569659</v>
      </c>
      <c r="AG199" s="9">
        <f t="shared" si="174"/>
        <v>191157.65184686743</v>
      </c>
      <c r="AH199" s="11"/>
      <c r="AI199" s="33">
        <f>IF(AB199&lt;&gt;"",ROUND(IF($F$11="raty równe",-PMT(W199/12,($F$4-AB198+SUM($AC$27:AC198)),AG198,2),AG198/($F$4-AB198+SUM($AC$27:AC198))+AG198*W199/12),2),"")</f>
        <v>3280.39</v>
      </c>
      <c r="AJ199" s="33">
        <f t="shared" si="158"/>
        <v>241.71000000000004</v>
      </c>
      <c r="AK199" s="33">
        <f t="shared" si="142"/>
        <v>55864.096766498551</v>
      </c>
      <c r="AL199" s="33">
        <f>IF(AB199&lt;&gt;"",AK199-SUM($AJ$28:AJ199),"")</f>
        <v>16085.82676649854</v>
      </c>
      <c r="AM199" s="11">
        <f t="shared" si="159"/>
        <v>20</v>
      </c>
      <c r="AN199" s="11">
        <f>IF(AB199&lt;&gt;"",IF($B$16=listy!$K$8,'RZĄDOWY PROGRAM'!$F$3*'RZĄDOWY PROGRAM'!$F$15,AG198*$F$15),"")</f>
        <v>50</v>
      </c>
      <c r="AO199" s="11">
        <f t="shared" si="160"/>
        <v>70</v>
      </c>
      <c r="AQ199" s="8">
        <f t="shared" si="161"/>
        <v>172</v>
      </c>
      <c r="AR199" s="8"/>
      <c r="AS199" s="78">
        <f>IF(AQ199&lt;&gt;"",ROUND(IF($F$11="raty równe",-PMT(W199/12,$F$4-AQ198+SUM($AR$28:AR199),AV198,2),AT199+AU199),2),"")</f>
        <v>3263.83</v>
      </c>
      <c r="AT199" s="78">
        <f>IF(AQ199&lt;&gt;"",IF($F$11="raty malejące",AV198/($F$4-AQ198+SUM($AR$28:AR198)),MIN(AS199-AU199,AV198)),"")</f>
        <v>1871.3701380688242</v>
      </c>
      <c r="AU199" s="78">
        <f t="shared" si="162"/>
        <v>1392.4598619311757</v>
      </c>
      <c r="AV199" s="79">
        <f t="shared" si="163"/>
        <v>190192.05909381746</v>
      </c>
      <c r="AW199" s="11"/>
      <c r="AX199" s="33">
        <f>IF(AQ199&lt;&gt;"",ROUND(IF($F$11="raty równe",-PMT(W199/12,($F$4-AQ198+SUM($AR$27:AR198)),AV198,2),AV198/($F$4-AQ198+SUM($AR$27:AR198))+AV198*W199/12),2),"")</f>
        <v>3263.83</v>
      </c>
      <c r="AY199" s="33">
        <f t="shared" si="164"/>
        <v>258.27</v>
      </c>
      <c r="AZ199" s="33">
        <f t="shared" si="180"/>
        <v>55518.522456670682</v>
      </c>
      <c r="BA199" s="33">
        <f>IF(AQ199&lt;&gt;"",AZ199-SUM($AY$44:AY199),"")</f>
        <v>15228.412456670732</v>
      </c>
      <c r="BB199" s="11">
        <f t="shared" si="165"/>
        <v>20</v>
      </c>
      <c r="BC199" s="11">
        <f>IF(AQ199&lt;&gt;"",IF($B$16=listy!$K$8,'RZĄDOWY PROGRAM'!$F$3*'RZĄDOWY PROGRAM'!$F$15,AV198*$F$15),"")</f>
        <v>50</v>
      </c>
      <c r="BD199" s="11">
        <f t="shared" si="166"/>
        <v>70</v>
      </c>
      <c r="BF199" s="8">
        <f t="shared" si="167"/>
        <v>172</v>
      </c>
      <c r="BG199" s="8"/>
      <c r="BH199" s="78">
        <f>IF(BF199&lt;&gt;"",ROUND(IF($F$11="raty równe",-PMT(W199/12,$F$4-BF198+SUM(BV$28:$BV199)-SUM($BM$29:BM199),BK198,2),BI199+BJ199),2),"")</f>
        <v>3522.1</v>
      </c>
      <c r="BI199" s="78">
        <f>IF(BF199&lt;&gt;"",IF($F$11="raty malejące",MIN(BK198/($F$4-BF198+SUM($BG$27:BG199)-SUM($BM$27:BM199)),BK198),MIN(BH199-BJ199,BK198)),"")</f>
        <v>2668.4875714050131</v>
      </c>
      <c r="BJ199" s="78">
        <f t="shared" si="168"/>
        <v>853.61242859498691</v>
      </c>
      <c r="BK199" s="79">
        <f t="shared" si="169"/>
        <v>115071.15775204146</v>
      </c>
      <c r="BL199" s="11"/>
      <c r="BM199" s="33"/>
      <c r="BN199" s="33">
        <f t="shared" si="181"/>
        <v>0</v>
      </c>
      <c r="BO199" s="33">
        <f t="shared" si="182"/>
        <v>-0.14657935875911277</v>
      </c>
      <c r="BP199" s="33">
        <f>IF(O199&lt;&gt;"",BO199-SUM($BN$44:BN199),"")</f>
        <v>-6.6579358761004515E-2</v>
      </c>
      <c r="BQ199" s="11">
        <f t="shared" si="143"/>
        <v>20</v>
      </c>
      <c r="BR199" s="11">
        <f>IF(BF199&lt;&gt;"",IF($B$16=listy!$K$8,'RZĄDOWY PROGRAM'!$F$3*'RZĄDOWY PROGRAM'!$F$15,BK198*$F$15),"")</f>
        <v>50</v>
      </c>
      <c r="BS199" s="11">
        <f t="shared" si="144"/>
        <v>70</v>
      </c>
      <c r="BU199" s="8">
        <f t="shared" si="170"/>
        <v>172</v>
      </c>
      <c r="BV199" s="8"/>
      <c r="BW199" s="78">
        <f>IF(BU199&lt;&gt;"",ROUND(IF($F$11="raty równe",-PMT(W199/12,$F$4-BU198+SUM($BV$28:BV199)-$CB$43,BZ198,2),BX199+BY199),2),"")</f>
        <v>3522.1</v>
      </c>
      <c r="BX199" s="78">
        <f>IF(BU199&lt;&gt;"",IF($F$11="raty malejące",MIN(BZ198/($F$4-BU198+SUM($BV$28:BV198)-SUM($CB$28:CB198)),BZ198),MIN(BW199-BY199,BZ198)),"")</f>
        <v>2662.6842917975246</v>
      </c>
      <c r="BY199" s="78">
        <f t="shared" si="177"/>
        <v>859.41570820247534</v>
      </c>
      <c r="BZ199" s="79">
        <f t="shared" si="178"/>
        <v>115877.41339130251</v>
      </c>
      <c r="CA199" s="11"/>
      <c r="CB199" s="33"/>
      <c r="CC199" s="33">
        <f t="shared" si="171"/>
        <v>0</v>
      </c>
      <c r="CD199" s="33">
        <f t="shared" si="183"/>
        <v>0.44659722146935799</v>
      </c>
      <c r="CE199" s="33">
        <f>IF(O199&lt;&gt;"",CD199-SUM($CC$44:CC199),"")</f>
        <v>0.17659722147574264</v>
      </c>
      <c r="CF199" s="11">
        <f t="shared" si="145"/>
        <v>20</v>
      </c>
      <c r="CG199" s="11">
        <f>IF(BU199&lt;&gt;"",IF($B$16=listy!$K$8,'RZĄDOWY PROGRAM'!$F$3*'RZĄDOWY PROGRAM'!$F$15,BZ198*$F$15),"")</f>
        <v>50</v>
      </c>
      <c r="CH199" s="11">
        <f t="shared" si="146"/>
        <v>70</v>
      </c>
      <c r="CJ199" s="48">
        <f t="shared" si="147"/>
        <v>0.06</v>
      </c>
      <c r="CK199" s="18">
        <f t="shared" si="148"/>
        <v>4.8675505653430484E-3</v>
      </c>
      <c r="CL199" s="11">
        <f t="shared" si="179"/>
        <v>0</v>
      </c>
      <c r="CM199" s="11">
        <f t="shared" si="149"/>
        <v>53837.524493460231</v>
      </c>
      <c r="CN199" s="11">
        <f>IF(AB199&lt;&gt;"",CM199-SUM($CL$28:CL199),"")</f>
        <v>25660.764493460236</v>
      </c>
    </row>
    <row r="200" spans="1:92" x14ac:dyDescent="0.45">
      <c r="A200" s="68">
        <f t="shared" si="172"/>
        <v>49980</v>
      </c>
      <c r="B200" s="8">
        <f t="shared" si="132"/>
        <v>173</v>
      </c>
      <c r="C200" s="11">
        <f t="shared" si="133"/>
        <v>3522.09</v>
      </c>
      <c r="D200" s="11">
        <f t="shared" si="134"/>
        <v>2155.0982663633295</v>
      </c>
      <c r="E200" s="11">
        <f t="shared" si="135"/>
        <v>1366.9917336366707</v>
      </c>
      <c r="F200" s="9">
        <f t="shared" si="150"/>
        <v>186395.48568352227</v>
      </c>
      <c r="G200" s="10">
        <f t="shared" si="136"/>
        <v>7.0000000000000007E-2</v>
      </c>
      <c r="H200" s="10">
        <f t="shared" si="137"/>
        <v>1.7000000000000001E-2</v>
      </c>
      <c r="I200" s="48">
        <f t="shared" si="151"/>
        <v>8.7000000000000008E-2</v>
      </c>
      <c r="J200" s="11">
        <f t="shared" si="138"/>
        <v>20</v>
      </c>
      <c r="K200" s="11">
        <f>IF(B200&lt;&gt;"",IF($B$16=listy!$K$8,'RZĄDOWY PROGRAM'!$F$3*'RZĄDOWY PROGRAM'!$F$15,F199*$F$15),"")</f>
        <v>50</v>
      </c>
      <c r="L200" s="11">
        <f t="shared" si="152"/>
        <v>70</v>
      </c>
      <c r="N200" s="54">
        <f t="shared" si="173"/>
        <v>49980</v>
      </c>
      <c r="O200" s="8">
        <f t="shared" si="153"/>
        <v>173</v>
      </c>
      <c r="P200" s="8"/>
      <c r="Q200" s="11">
        <f>IF(O200&lt;&gt;"",ROUND(IF($F$11="raty równe",-PMT(W200/12,$F$4-O199+SUM($P$28:P200),T199,2),R200+S200),2),"")</f>
        <v>3522.09</v>
      </c>
      <c r="R200" s="11">
        <f>IF(O200&lt;&gt;"",IF($F$11="raty malejące",T199/($F$4-O199+SUM($P$28:P200)),IF(Q200-S200&gt;T199,T199,Q200-S200)),"")</f>
        <v>2034.0836517703385</v>
      </c>
      <c r="S200" s="11">
        <f t="shared" si="175"/>
        <v>1488.0063482296616</v>
      </c>
      <c r="T200" s="9">
        <f t="shared" si="154"/>
        <v>203208.1712764588</v>
      </c>
      <c r="U200" s="10">
        <f t="shared" si="139"/>
        <v>7.0000000000000007E-2</v>
      </c>
      <c r="V200" s="10">
        <f t="shared" si="140"/>
        <v>1.7000000000000001E-2</v>
      </c>
      <c r="W200" s="48">
        <f t="shared" si="155"/>
        <v>8.7000000000000008E-2</v>
      </c>
      <c r="X200" s="11">
        <f t="shared" si="141"/>
        <v>20</v>
      </c>
      <c r="Y200" s="11">
        <f>IF(O200&lt;&gt;"",IF($B$16=listy!$K$8,'RZĄDOWY PROGRAM'!$F$3*'RZĄDOWY PROGRAM'!$F$15,T199*$F$15),"")</f>
        <v>50</v>
      </c>
      <c r="Z200" s="11">
        <f t="shared" si="156"/>
        <v>70</v>
      </c>
      <c r="AB200" s="8">
        <f t="shared" si="157"/>
        <v>173</v>
      </c>
      <c r="AC200" s="8"/>
      <c r="AD200" s="11">
        <f>IF(AB200&lt;&gt;"",ROUND(IF($F$11="raty równe",-PMT(W200/12,$F$4-AB199+SUM($AC$28:AC200),AG199,2),AE200+AF200),2),"")</f>
        <v>3280.4</v>
      </c>
      <c r="AE200" s="11">
        <f>IF(AB200&lt;&gt;"",IF($F$11="raty malejące",AG199/($F$4-AB199+SUM($AC$28:AC199)),MIN(AD200-AF200,AG199)),"")</f>
        <v>1894.507024110211</v>
      </c>
      <c r="AF200" s="11">
        <f t="shared" si="176"/>
        <v>1385.8929758897891</v>
      </c>
      <c r="AG200" s="9">
        <f t="shared" si="174"/>
        <v>189263.14482275723</v>
      </c>
      <c r="AH200" s="11"/>
      <c r="AI200" s="33">
        <f>IF(AB200&lt;&gt;"",ROUND(IF($F$11="raty równe",-PMT(W200/12,($F$4-AB199+SUM($AC$27:AC199)),AG199,2),AG199/($F$4-AB199+SUM($AC$27:AC199))+AG199*W200/12),2),"")</f>
        <v>3280.4</v>
      </c>
      <c r="AJ200" s="33">
        <f t="shared" si="158"/>
        <v>241.69000000000005</v>
      </c>
      <c r="AK200" s="33">
        <f t="shared" si="142"/>
        <v>56326.043032295056</v>
      </c>
      <c r="AL200" s="33">
        <f>IF(AB200&lt;&gt;"",AK200-SUM($AJ$28:AJ200),"")</f>
        <v>16306.083032295042</v>
      </c>
      <c r="AM200" s="11">
        <f t="shared" si="159"/>
        <v>20</v>
      </c>
      <c r="AN200" s="11">
        <f>IF(AB200&lt;&gt;"",IF($B$16=listy!$K$8,'RZĄDOWY PROGRAM'!$F$3*'RZĄDOWY PROGRAM'!$F$15,AG199*$F$15),"")</f>
        <v>50</v>
      </c>
      <c r="AO200" s="11">
        <f t="shared" si="160"/>
        <v>70</v>
      </c>
      <c r="AQ200" s="8">
        <f t="shared" si="161"/>
        <v>173</v>
      </c>
      <c r="AR200" s="8"/>
      <c r="AS200" s="78">
        <f>IF(AQ200&lt;&gt;"",ROUND(IF($F$11="raty równe",-PMT(W200/12,$F$4-AQ199+SUM($AR$28:AR200),AV199,2),AT200+AU200),2),"")</f>
        <v>3263.82</v>
      </c>
      <c r="AT200" s="78">
        <f>IF(AQ200&lt;&gt;"",IF($F$11="raty malejące",AV199/($F$4-AQ199+SUM($AR$28:AR199)),MIN(AS200-AU200,AV199)),"")</f>
        <v>1884.9275715698236</v>
      </c>
      <c r="AU200" s="78">
        <f t="shared" si="162"/>
        <v>1378.8924284301766</v>
      </c>
      <c r="AV200" s="79">
        <f t="shared" si="163"/>
        <v>188307.13152224763</v>
      </c>
      <c r="AW200" s="11"/>
      <c r="AX200" s="33">
        <f>IF(AQ200&lt;&gt;"",ROUND(IF($F$11="raty równe",-PMT(W200/12,($F$4-AQ199+SUM($AR$27:AR199)),AV199,2),AV199/($F$4-AQ199+SUM($AR$27:AR199))+AV199*W200/12),2),"")</f>
        <v>3263.82</v>
      </c>
      <c r="AY200" s="33">
        <f t="shared" si="164"/>
        <v>258.27</v>
      </c>
      <c r="AZ200" s="33">
        <f t="shared" si="180"/>
        <v>55995.686221121177</v>
      </c>
      <c r="BA200" s="33">
        <f>IF(AQ200&lt;&gt;"",AZ200-SUM($AY$44:AY200),"")</f>
        <v>15447.306221121231</v>
      </c>
      <c r="BB200" s="11">
        <f t="shared" si="165"/>
        <v>20</v>
      </c>
      <c r="BC200" s="11">
        <f>IF(AQ200&lt;&gt;"",IF($B$16=listy!$K$8,'RZĄDOWY PROGRAM'!$F$3*'RZĄDOWY PROGRAM'!$F$15,AV199*$F$15),"")</f>
        <v>50</v>
      </c>
      <c r="BD200" s="11">
        <f t="shared" si="166"/>
        <v>70</v>
      </c>
      <c r="BF200" s="8">
        <f t="shared" si="167"/>
        <v>173</v>
      </c>
      <c r="BG200" s="8"/>
      <c r="BH200" s="78">
        <f>IF(BF200&lt;&gt;"",ROUND(IF($F$11="raty równe",-PMT(W200/12,$F$4-BF199+SUM(BV$28:$BV200)-SUM($BM$29:BM200),BK199,2),BI200+BJ200),2),"")</f>
        <v>3522.1</v>
      </c>
      <c r="BI200" s="78">
        <f>IF(BF200&lt;&gt;"",IF($F$11="raty malejące",MIN(BK199/($F$4-BF199+SUM($BG$27:BG200)-SUM($BM$27:BM200)),BK199),MIN(BH200-BJ200,BK199)),"")</f>
        <v>2687.8341062976992</v>
      </c>
      <c r="BJ200" s="78">
        <f t="shared" si="168"/>
        <v>834.26589370230067</v>
      </c>
      <c r="BK200" s="79">
        <f t="shared" si="169"/>
        <v>112383.32364574376</v>
      </c>
      <c r="BL200" s="11"/>
      <c r="BM200" s="33"/>
      <c r="BN200" s="33">
        <f t="shared" si="181"/>
        <v>-9.9999999997635314E-3</v>
      </c>
      <c r="BO200" s="33">
        <f t="shared" si="182"/>
        <v>-0.1571572795357587</v>
      </c>
      <c r="BP200" s="33">
        <f>IF(O200&lt;&gt;"",BO200-SUM($BN$44:BN200),"")</f>
        <v>-6.7157279537886916E-2</v>
      </c>
      <c r="BQ200" s="11">
        <f t="shared" si="143"/>
        <v>20</v>
      </c>
      <c r="BR200" s="11">
        <f>IF(BF200&lt;&gt;"",IF($B$16=listy!$K$8,'RZĄDOWY PROGRAM'!$F$3*'RZĄDOWY PROGRAM'!$F$15,BK199*$F$15),"")</f>
        <v>50</v>
      </c>
      <c r="BS200" s="11">
        <f t="shared" si="144"/>
        <v>70</v>
      </c>
      <c r="BU200" s="8">
        <f t="shared" si="170"/>
        <v>173</v>
      </c>
      <c r="BV200" s="8"/>
      <c r="BW200" s="78">
        <f>IF(BU200&lt;&gt;"",ROUND(IF($F$11="raty równe",-PMT(W200/12,$F$4-BU199+SUM($BV$28:BV200)-$CB$43,BZ199,2),BX200+BY200),2),"")</f>
        <v>3522.1</v>
      </c>
      <c r="BX200" s="78">
        <f>IF(BU200&lt;&gt;"",IF($F$11="raty malejące",MIN(BZ199/($F$4-BU199+SUM($BV$28:BV199)-SUM($CB$28:CB199)),BZ199),MIN(BW200-BY200,BZ199)),"")</f>
        <v>2681.9887529130565</v>
      </c>
      <c r="BY200" s="78">
        <f t="shared" si="177"/>
        <v>840.11124708694331</v>
      </c>
      <c r="BZ200" s="79">
        <f t="shared" si="178"/>
        <v>113195.42463838946</v>
      </c>
      <c r="CA200" s="11"/>
      <c r="CB200" s="33"/>
      <c r="CC200" s="33">
        <f t="shared" si="171"/>
        <v>-9.9999999997635314E-3</v>
      </c>
      <c r="CD200" s="33">
        <f t="shared" si="183"/>
        <v>0.43835802746144797</v>
      </c>
      <c r="CE200" s="33">
        <f>IF(O200&lt;&gt;"",CD200-SUM($CC$44:CC200),"")</f>
        <v>0.17835802746759616</v>
      </c>
      <c r="CF200" s="11">
        <f t="shared" si="145"/>
        <v>20</v>
      </c>
      <c r="CG200" s="11">
        <f>IF(BU200&lt;&gt;"",IF($B$16=listy!$K$8,'RZĄDOWY PROGRAM'!$F$3*'RZĄDOWY PROGRAM'!$F$15,BZ199*$F$15),"")</f>
        <v>50</v>
      </c>
      <c r="CH200" s="11">
        <f t="shared" si="146"/>
        <v>70</v>
      </c>
      <c r="CJ200" s="48">
        <f t="shared" si="147"/>
        <v>0.06</v>
      </c>
      <c r="CK200" s="18">
        <f t="shared" si="148"/>
        <v>4.8675505653430484E-3</v>
      </c>
      <c r="CL200" s="11">
        <f t="shared" si="179"/>
        <v>0</v>
      </c>
      <c r="CM200" s="11">
        <f t="shared" si="149"/>
        <v>54049.790560415931</v>
      </c>
      <c r="CN200" s="11">
        <f>IF(AB200&lt;&gt;"",CM200-SUM($CL$28:CL200),"")</f>
        <v>25873.030560415937</v>
      </c>
    </row>
    <row r="201" spans="1:92" x14ac:dyDescent="0.45">
      <c r="A201" s="68">
        <f t="shared" si="172"/>
        <v>50010</v>
      </c>
      <c r="B201" s="8">
        <f t="shared" si="132"/>
        <v>174</v>
      </c>
      <c r="C201" s="11">
        <f t="shared" si="133"/>
        <v>3522.1</v>
      </c>
      <c r="D201" s="11">
        <f t="shared" si="134"/>
        <v>2170.7327287944636</v>
      </c>
      <c r="E201" s="11">
        <f t="shared" si="135"/>
        <v>1351.3672712055366</v>
      </c>
      <c r="F201" s="9">
        <f t="shared" si="150"/>
        <v>184224.75295472782</v>
      </c>
      <c r="G201" s="10">
        <f t="shared" si="136"/>
        <v>7.0000000000000007E-2</v>
      </c>
      <c r="H201" s="10">
        <f t="shared" si="137"/>
        <v>1.7000000000000001E-2</v>
      </c>
      <c r="I201" s="48">
        <f t="shared" si="151"/>
        <v>8.7000000000000008E-2</v>
      </c>
      <c r="J201" s="11">
        <f t="shared" si="138"/>
        <v>20</v>
      </c>
      <c r="K201" s="11">
        <f>IF(B201&lt;&gt;"",IF($B$16=listy!$K$8,'RZĄDOWY PROGRAM'!$F$3*'RZĄDOWY PROGRAM'!$F$15,F200*$F$15),"")</f>
        <v>50</v>
      </c>
      <c r="L201" s="11">
        <f t="shared" si="152"/>
        <v>70</v>
      </c>
      <c r="N201" s="54">
        <f t="shared" si="173"/>
        <v>50010</v>
      </c>
      <c r="O201" s="8">
        <f t="shared" si="153"/>
        <v>174</v>
      </c>
      <c r="P201" s="8"/>
      <c r="Q201" s="11">
        <f>IF(O201&lt;&gt;"",ROUND(IF($F$11="raty równe",-PMT(W201/12,$F$4-O200+SUM($P$28:P201),T200,2),R201+S201),2),"")</f>
        <v>3522.1</v>
      </c>
      <c r="R201" s="11">
        <f>IF(O201&lt;&gt;"",IF($F$11="raty malejące",T200/($F$4-O200+SUM($P$28:P201)),IF(Q201-S201&gt;T200,T200,Q201-S201)),"")</f>
        <v>2048.8407582456734</v>
      </c>
      <c r="S201" s="11">
        <f t="shared" si="175"/>
        <v>1473.2592417543265</v>
      </c>
      <c r="T201" s="9">
        <f t="shared" si="154"/>
        <v>201159.33051821313</v>
      </c>
      <c r="U201" s="10">
        <f t="shared" si="139"/>
        <v>7.0000000000000007E-2</v>
      </c>
      <c r="V201" s="10">
        <f t="shared" si="140"/>
        <v>1.7000000000000001E-2</v>
      </c>
      <c r="W201" s="48">
        <f t="shared" si="155"/>
        <v>8.7000000000000008E-2</v>
      </c>
      <c r="X201" s="11">
        <f t="shared" si="141"/>
        <v>20</v>
      </c>
      <c r="Y201" s="11">
        <f>IF(O201&lt;&gt;"",IF($B$16=listy!$K$8,'RZĄDOWY PROGRAM'!$F$3*'RZĄDOWY PROGRAM'!$F$15,T200*$F$15),"")</f>
        <v>50</v>
      </c>
      <c r="Z201" s="11">
        <f t="shared" si="156"/>
        <v>70</v>
      </c>
      <c r="AB201" s="8">
        <f t="shared" si="157"/>
        <v>174</v>
      </c>
      <c r="AC201" s="8"/>
      <c r="AD201" s="11">
        <f>IF(AB201&lt;&gt;"",ROUND(IF($F$11="raty równe",-PMT(W201/12,$F$4-AB200+SUM($AC$28:AC201),AG200,2),AE201+AF201),2),"")</f>
        <v>3280.39</v>
      </c>
      <c r="AE201" s="11">
        <f>IF(AB201&lt;&gt;"",IF($F$11="raty malejące",AG200/($F$4-AB200+SUM($AC$28:AC200)),MIN(AD201-AF201,AG200)),"")</f>
        <v>1908.23220003501</v>
      </c>
      <c r="AF201" s="11">
        <f t="shared" si="176"/>
        <v>1372.1577999649899</v>
      </c>
      <c r="AG201" s="9">
        <f t="shared" si="174"/>
        <v>187354.91262272222</v>
      </c>
      <c r="AH201" s="11"/>
      <c r="AI201" s="33">
        <f>IF(AB201&lt;&gt;"",ROUND(IF($F$11="raty równe",-PMT(W201/12,($F$4-AB200+SUM($AC$27:AC200)),AG200,2),AG200/($F$4-AB200+SUM($AC$27:AC200))+AG200*W201/12),2),"")</f>
        <v>3280.39</v>
      </c>
      <c r="AJ201" s="33">
        <f t="shared" si="158"/>
        <v>241.71000000000004</v>
      </c>
      <c r="AK201" s="33">
        <f t="shared" si="142"/>
        <v>56789.830621005422</v>
      </c>
      <c r="AL201" s="33">
        <f>IF(AB201&lt;&gt;"",AK201-SUM($AJ$28:AJ201),"")</f>
        <v>16528.160621005409</v>
      </c>
      <c r="AM201" s="11">
        <f t="shared" si="159"/>
        <v>20</v>
      </c>
      <c r="AN201" s="11">
        <f>IF(AB201&lt;&gt;"",IF($B$16=listy!$K$8,'RZĄDOWY PROGRAM'!$F$3*'RZĄDOWY PROGRAM'!$F$15,AG200*$F$15),"")</f>
        <v>50</v>
      </c>
      <c r="AO201" s="11">
        <f t="shared" si="160"/>
        <v>70</v>
      </c>
      <c r="AQ201" s="8">
        <f t="shared" si="161"/>
        <v>174</v>
      </c>
      <c r="AR201" s="8"/>
      <c r="AS201" s="78">
        <f>IF(AQ201&lt;&gt;"",ROUND(IF($F$11="raty równe",-PMT(W201/12,$F$4-AQ200+SUM($AR$28:AR201),AV200,2),AT201+AU201),2),"")</f>
        <v>3263.83</v>
      </c>
      <c r="AT201" s="78">
        <f>IF(AQ201&lt;&gt;"",IF($F$11="raty malejące",AV200/($F$4-AQ200+SUM($AR$28:AR200)),MIN(AS201-AU201,AV200)),"")</f>
        <v>1898.6032964637045</v>
      </c>
      <c r="AU201" s="78">
        <f t="shared" si="162"/>
        <v>1365.2267035362954</v>
      </c>
      <c r="AV201" s="79">
        <f t="shared" si="163"/>
        <v>186408.52822578393</v>
      </c>
      <c r="AW201" s="11"/>
      <c r="AX201" s="33">
        <f>IF(AQ201&lt;&gt;"",ROUND(IF($F$11="raty równe",-PMT(W201/12,($F$4-AQ200+SUM($AR$27:AR200)),AV200,2),AV200/($F$4-AQ200+SUM($AR$27:AR200))+AV200*W201/12),2),"")</f>
        <v>3263.83</v>
      </c>
      <c r="AY201" s="33">
        <f t="shared" si="164"/>
        <v>258.27</v>
      </c>
      <c r="AZ201" s="33">
        <f t="shared" si="180"/>
        <v>56474.731306760317</v>
      </c>
      <c r="BA201" s="33">
        <f>IF(AQ201&lt;&gt;"",AZ201-SUM($AY$44:AY201),"")</f>
        <v>15668.081306760374</v>
      </c>
      <c r="BB201" s="11">
        <f t="shared" si="165"/>
        <v>20</v>
      </c>
      <c r="BC201" s="11">
        <f>IF(AQ201&lt;&gt;"",IF($B$16=listy!$K$8,'RZĄDOWY PROGRAM'!$F$3*'RZĄDOWY PROGRAM'!$F$15,AV200*$F$15),"")</f>
        <v>50</v>
      </c>
      <c r="BD201" s="11">
        <f t="shared" si="166"/>
        <v>70</v>
      </c>
      <c r="BF201" s="8">
        <f t="shared" si="167"/>
        <v>174</v>
      </c>
      <c r="BG201" s="8"/>
      <c r="BH201" s="78">
        <f>IF(BF201&lt;&gt;"",ROUND(IF($F$11="raty równe",-PMT(W201/12,$F$4-BF200+SUM(BV$28:$BV201)-SUM($BM$29:BM201),BK200,2),BI201+BJ201),2),"")</f>
        <v>3522.09</v>
      </c>
      <c r="BI201" s="78">
        <f>IF(BF201&lt;&gt;"",IF($F$11="raty malejące",MIN(BK200/($F$4-BF200+SUM($BG$27:BG201)-SUM($BM$27:BM201)),BK200),MIN(BH201-BJ201,BK200)),"")</f>
        <v>2707.3109035683578</v>
      </c>
      <c r="BJ201" s="78">
        <f t="shared" si="168"/>
        <v>814.7790964316423</v>
      </c>
      <c r="BK201" s="79">
        <f t="shared" si="169"/>
        <v>109676.0127421754</v>
      </c>
      <c r="BL201" s="11"/>
      <c r="BM201" s="33"/>
      <c r="BN201" s="33">
        <f t="shared" si="181"/>
        <v>9.9999999997635314E-3</v>
      </c>
      <c r="BO201" s="33">
        <f t="shared" si="182"/>
        <v>-0.14777690604992536</v>
      </c>
      <c r="BP201" s="33">
        <f>IF(O201&lt;&gt;"",BO201-SUM($BN$44:BN201),"")</f>
        <v>-6.7776906051817104E-2</v>
      </c>
      <c r="BQ201" s="11">
        <f t="shared" si="143"/>
        <v>20</v>
      </c>
      <c r="BR201" s="11">
        <f>IF(BF201&lt;&gt;"",IF($B$16=listy!$K$8,'RZĄDOWY PROGRAM'!$F$3*'RZĄDOWY PROGRAM'!$F$15,BK200*$F$15),"")</f>
        <v>50</v>
      </c>
      <c r="BS201" s="11">
        <f t="shared" si="144"/>
        <v>70</v>
      </c>
      <c r="BU201" s="8">
        <f t="shared" si="170"/>
        <v>174</v>
      </c>
      <c r="BV201" s="8"/>
      <c r="BW201" s="78">
        <f>IF(BU201&lt;&gt;"",ROUND(IF($F$11="raty równe",-PMT(W201/12,$F$4-BU200+SUM($BV$28:BV201)-$CB$43,BZ200,2),BX201+BY201),2),"")</f>
        <v>3522.09</v>
      </c>
      <c r="BX201" s="78">
        <f>IF(BU201&lt;&gt;"",IF($F$11="raty malejące",MIN(BZ200/($F$4-BU200+SUM($BV$28:BV200)-SUM($CB$28:CB200)),BZ200),MIN(BW201-BY201,BZ200)),"")</f>
        <v>2701.4231713716763</v>
      </c>
      <c r="BY201" s="78">
        <f t="shared" si="177"/>
        <v>820.66682862832374</v>
      </c>
      <c r="BZ201" s="79">
        <f t="shared" si="178"/>
        <v>110494.00146701779</v>
      </c>
      <c r="CA201" s="11"/>
      <c r="CB201" s="33"/>
      <c r="CC201" s="33">
        <f t="shared" si="171"/>
        <v>9.9999999997635314E-3</v>
      </c>
      <c r="CD201" s="33">
        <f t="shared" si="183"/>
        <v>0.45008634865136959</v>
      </c>
      <c r="CE201" s="33">
        <f>IF(O201&lt;&gt;"",CD201-SUM($CC$44:CC201),"")</f>
        <v>0.18008634865775425</v>
      </c>
      <c r="CF201" s="11">
        <f t="shared" si="145"/>
        <v>20</v>
      </c>
      <c r="CG201" s="11">
        <f>IF(BU201&lt;&gt;"",IF($B$16=listy!$K$8,'RZĄDOWY PROGRAM'!$F$3*'RZĄDOWY PROGRAM'!$F$15,BZ200*$F$15),"")</f>
        <v>50</v>
      </c>
      <c r="CH201" s="11">
        <f t="shared" si="146"/>
        <v>70</v>
      </c>
      <c r="CJ201" s="48">
        <f t="shared" si="147"/>
        <v>0.06</v>
      </c>
      <c r="CK201" s="18">
        <f t="shared" si="148"/>
        <v>4.8675505653430484E-3</v>
      </c>
      <c r="CL201" s="11">
        <f t="shared" si="179"/>
        <v>0</v>
      </c>
      <c r="CM201" s="11">
        <f t="shared" si="149"/>
        <v>54262.893532181144</v>
      </c>
      <c r="CN201" s="11">
        <f>IF(AB201&lt;&gt;"",CM201-SUM($CL$28:CL201),"")</f>
        <v>26086.133532181149</v>
      </c>
    </row>
    <row r="202" spans="1:92" x14ac:dyDescent="0.45">
      <c r="A202" s="68">
        <f t="shared" si="172"/>
        <v>50041</v>
      </c>
      <c r="B202" s="8">
        <f t="shared" si="132"/>
        <v>175</v>
      </c>
      <c r="C202" s="11">
        <f t="shared" si="133"/>
        <v>3522.09</v>
      </c>
      <c r="D202" s="11">
        <f t="shared" si="134"/>
        <v>2186.4605410782233</v>
      </c>
      <c r="E202" s="11">
        <f t="shared" si="135"/>
        <v>1335.6294589217769</v>
      </c>
      <c r="F202" s="9">
        <f t="shared" si="150"/>
        <v>182038.29241364961</v>
      </c>
      <c r="G202" s="10">
        <f t="shared" si="136"/>
        <v>7.0000000000000007E-2</v>
      </c>
      <c r="H202" s="10">
        <f t="shared" si="137"/>
        <v>1.7000000000000001E-2</v>
      </c>
      <c r="I202" s="48">
        <f t="shared" si="151"/>
        <v>8.7000000000000008E-2</v>
      </c>
      <c r="J202" s="11">
        <f t="shared" si="138"/>
        <v>20</v>
      </c>
      <c r="K202" s="11">
        <f>IF(B202&lt;&gt;"",IF($B$16=listy!$K$8,'RZĄDOWY PROGRAM'!$F$3*'RZĄDOWY PROGRAM'!$F$15,F201*$F$15),"")</f>
        <v>50</v>
      </c>
      <c r="L202" s="11">
        <f t="shared" si="152"/>
        <v>70</v>
      </c>
      <c r="N202" s="54">
        <f t="shared" si="173"/>
        <v>50041</v>
      </c>
      <c r="O202" s="8">
        <f t="shared" si="153"/>
        <v>175</v>
      </c>
      <c r="P202" s="8"/>
      <c r="Q202" s="11">
        <f>IF(O202&lt;&gt;"",ROUND(IF($F$11="raty równe",-PMT(W202/12,$F$4-O201+SUM($P$28:P202),T201,2),R202+S202),2),"")</f>
        <v>3522.09</v>
      </c>
      <c r="R202" s="11">
        <f>IF(O202&lt;&gt;"",IF($F$11="raty malejące",T201/($F$4-O201+SUM($P$28:P202)),IF(Q202-S202&gt;T201,T201,Q202-S202)),"")</f>
        <v>2063.6848537429551</v>
      </c>
      <c r="S202" s="11">
        <f t="shared" si="175"/>
        <v>1458.4051462570453</v>
      </c>
      <c r="T202" s="9">
        <f t="shared" si="154"/>
        <v>199095.64566447018</v>
      </c>
      <c r="U202" s="10">
        <f t="shared" si="139"/>
        <v>7.0000000000000007E-2</v>
      </c>
      <c r="V202" s="10">
        <f t="shared" si="140"/>
        <v>1.7000000000000001E-2</v>
      </c>
      <c r="W202" s="48">
        <f t="shared" si="155"/>
        <v>8.7000000000000008E-2</v>
      </c>
      <c r="X202" s="11">
        <f t="shared" si="141"/>
        <v>20</v>
      </c>
      <c r="Y202" s="11">
        <f>IF(O202&lt;&gt;"",IF($B$16=listy!$K$8,'RZĄDOWY PROGRAM'!$F$3*'RZĄDOWY PROGRAM'!$F$15,T201*$F$15),"")</f>
        <v>50</v>
      </c>
      <c r="Z202" s="11">
        <f t="shared" si="156"/>
        <v>70</v>
      </c>
      <c r="AB202" s="8">
        <f t="shared" si="157"/>
        <v>175</v>
      </c>
      <c r="AC202" s="8"/>
      <c r="AD202" s="11">
        <f>IF(AB202&lt;&gt;"",ROUND(IF($F$11="raty równe",-PMT(W202/12,$F$4-AB201+SUM($AC$28:AC202),AG201,2),AE202+AF202),2),"")</f>
        <v>3280.4</v>
      </c>
      <c r="AE202" s="11">
        <f>IF(AB202&lt;&gt;"",IF($F$11="raty malejące",AG201/($F$4-AB201+SUM($AC$28:AC201)),MIN(AD202-AF202,AG201)),"")</f>
        <v>1922.076883485264</v>
      </c>
      <c r="AF202" s="11">
        <f t="shared" si="176"/>
        <v>1358.3231165147361</v>
      </c>
      <c r="AG202" s="9">
        <f t="shared" si="174"/>
        <v>185432.83573923697</v>
      </c>
      <c r="AH202" s="11"/>
      <c r="AI202" s="33">
        <f>IF(AB202&lt;&gt;"",ROUND(IF($F$11="raty równe",-PMT(W202/12,($F$4-AB201+SUM($AC$27:AC201)),AG201,2),AG201/($F$4-AB201+SUM($AC$27:AC201))+AG201*W202/12),2),"")</f>
        <v>3280.4</v>
      </c>
      <c r="AJ202" s="33">
        <f t="shared" si="158"/>
        <v>241.69000000000005</v>
      </c>
      <c r="AK202" s="33">
        <f t="shared" si="142"/>
        <v>57255.426792442886</v>
      </c>
      <c r="AL202" s="33">
        <f>IF(AB202&lt;&gt;"",AK202-SUM($AJ$28:AJ202),"")</f>
        <v>16752.066792442871</v>
      </c>
      <c r="AM202" s="11">
        <f t="shared" si="159"/>
        <v>20</v>
      </c>
      <c r="AN202" s="11">
        <f>IF(AB202&lt;&gt;"",IF($B$16=listy!$K$8,'RZĄDOWY PROGRAM'!$F$3*'RZĄDOWY PROGRAM'!$F$15,AG201*$F$15),"")</f>
        <v>50</v>
      </c>
      <c r="AO202" s="11">
        <f t="shared" si="160"/>
        <v>70</v>
      </c>
      <c r="AQ202" s="8">
        <f t="shared" si="161"/>
        <v>175</v>
      </c>
      <c r="AR202" s="8"/>
      <c r="AS202" s="78">
        <f>IF(AQ202&lt;&gt;"",ROUND(IF($F$11="raty równe",-PMT(W202/12,$F$4-AQ201+SUM($AR$28:AR202),AV201,2),AT202+AU202),2),"")</f>
        <v>3263.82</v>
      </c>
      <c r="AT202" s="78">
        <f>IF(AQ202&lt;&gt;"",IF($F$11="raty malejące",AV201/($F$4-AQ201+SUM($AR$28:AR201)),MIN(AS202-AU202,AV201)),"")</f>
        <v>1912.3581703630666</v>
      </c>
      <c r="AU202" s="78">
        <f t="shared" si="162"/>
        <v>1351.4618296369335</v>
      </c>
      <c r="AV202" s="79">
        <f t="shared" si="163"/>
        <v>184496.17005542087</v>
      </c>
      <c r="AW202" s="11"/>
      <c r="AX202" s="33">
        <f>IF(AQ202&lt;&gt;"",ROUND(IF($F$11="raty równe",-PMT(W202/12,($F$4-AQ201+SUM($AR$27:AR201)),AV201,2),AV201/($F$4-AQ201+SUM($AR$27:AR201))+AV201*W202/12),2),"")</f>
        <v>3263.82</v>
      </c>
      <c r="AY202" s="33">
        <f t="shared" si="164"/>
        <v>258.27</v>
      </c>
      <c r="AZ202" s="33">
        <f t="shared" si="180"/>
        <v>56955.665131103167</v>
      </c>
      <c r="BA202" s="33">
        <f>IF(AQ202&lt;&gt;"",AZ202-SUM($AY$44:AY202),"")</f>
        <v>15890.745131103227</v>
      </c>
      <c r="BB202" s="11">
        <f t="shared" si="165"/>
        <v>20</v>
      </c>
      <c r="BC202" s="11">
        <f>IF(AQ202&lt;&gt;"",IF($B$16=listy!$K$8,'RZĄDOWY PROGRAM'!$F$3*'RZĄDOWY PROGRAM'!$F$15,AV201*$F$15),"")</f>
        <v>50</v>
      </c>
      <c r="BD202" s="11">
        <f t="shared" si="166"/>
        <v>70</v>
      </c>
      <c r="BF202" s="8">
        <f t="shared" si="167"/>
        <v>175</v>
      </c>
      <c r="BG202" s="8"/>
      <c r="BH202" s="78">
        <f>IF(BF202&lt;&gt;"",ROUND(IF($F$11="raty równe",-PMT(W202/12,$F$4-BF201+SUM(BV$28:$BV202)-SUM($BM$29:BM202),BK201,2),BI202+BJ202),2),"")</f>
        <v>3522.09</v>
      </c>
      <c r="BI202" s="78">
        <f>IF(BF202&lt;&gt;"",IF($F$11="raty malejące",MIN(BK201/($F$4-BF201+SUM($BG$27:BG202)-SUM($BM$27:BM202)),BK201),MIN(BH202-BJ202,BK201)),"")</f>
        <v>2726.9389076192283</v>
      </c>
      <c r="BJ202" s="78">
        <f t="shared" si="168"/>
        <v>795.15109238077173</v>
      </c>
      <c r="BK202" s="79">
        <f t="shared" si="169"/>
        <v>106949.07383455617</v>
      </c>
      <c r="BL202" s="11"/>
      <c r="BM202" s="33"/>
      <c r="BN202" s="33">
        <f t="shared" si="181"/>
        <v>0</v>
      </c>
      <c r="BO202" s="33">
        <f t="shared" si="182"/>
        <v>-0.14835954841562163</v>
      </c>
      <c r="BP202" s="33">
        <f>IF(O202&lt;&gt;"",BO202-SUM($BN$44:BN202),"")</f>
        <v>-6.8359548417513377E-2</v>
      </c>
      <c r="BQ202" s="11">
        <f t="shared" si="143"/>
        <v>20</v>
      </c>
      <c r="BR202" s="11">
        <f>IF(BF202&lt;&gt;"",IF($B$16=listy!$K$8,'RZĄDOWY PROGRAM'!$F$3*'RZĄDOWY PROGRAM'!$F$15,BK201*$F$15),"")</f>
        <v>50</v>
      </c>
      <c r="BS202" s="11">
        <f t="shared" si="144"/>
        <v>70</v>
      </c>
      <c r="BU202" s="8">
        <f t="shared" si="170"/>
        <v>175</v>
      </c>
      <c r="BV202" s="8"/>
      <c r="BW202" s="78">
        <f>IF(BU202&lt;&gt;"",ROUND(IF($F$11="raty równe",-PMT(W202/12,$F$4-BU201+SUM($BV$28:BV202)-$CB$43,BZ201,2),BX202+BY202),2),"")</f>
        <v>3522.09</v>
      </c>
      <c r="BX202" s="78">
        <f>IF(BU202&lt;&gt;"",IF($F$11="raty malejące",MIN(BZ201/($F$4-BU201+SUM($BV$28:BV201)-SUM($CB$28:CB201)),BZ201),MIN(BW202-BY202,BZ201)),"")</f>
        <v>2721.008489364121</v>
      </c>
      <c r="BY202" s="78">
        <f t="shared" si="177"/>
        <v>801.08151063587911</v>
      </c>
      <c r="BZ202" s="79">
        <f t="shared" si="178"/>
        <v>107772.99297765367</v>
      </c>
      <c r="CA202" s="11"/>
      <c r="CB202" s="33"/>
      <c r="CC202" s="33">
        <f t="shared" si="171"/>
        <v>0</v>
      </c>
      <c r="CD202" s="33">
        <f t="shared" si="183"/>
        <v>0.45186091128064287</v>
      </c>
      <c r="CE202" s="33">
        <f>IF(O202&lt;&gt;"",CD202-SUM($CC$44:CC202),"")</f>
        <v>0.18186091128702753</v>
      </c>
      <c r="CF202" s="11">
        <f t="shared" si="145"/>
        <v>20</v>
      </c>
      <c r="CG202" s="11">
        <f>IF(BU202&lt;&gt;"",IF($B$16=listy!$K$8,'RZĄDOWY PROGRAM'!$F$3*'RZĄDOWY PROGRAM'!$F$15,BZ201*$F$15),"")</f>
        <v>50</v>
      </c>
      <c r="CH202" s="11">
        <f t="shared" si="146"/>
        <v>70</v>
      </c>
      <c r="CJ202" s="48">
        <f t="shared" si="147"/>
        <v>0.06</v>
      </c>
      <c r="CK202" s="18">
        <f t="shared" si="148"/>
        <v>4.8675505653430484E-3</v>
      </c>
      <c r="CL202" s="11">
        <f t="shared" si="179"/>
        <v>0</v>
      </c>
      <c r="CM202" s="11">
        <f t="shared" si="149"/>
        <v>54476.836708433817</v>
      </c>
      <c r="CN202" s="11">
        <f>IF(AB202&lt;&gt;"",CM202-SUM($CL$28:CL202),"")</f>
        <v>26300.076708433822</v>
      </c>
    </row>
    <row r="203" spans="1:92" x14ac:dyDescent="0.45">
      <c r="A203" s="68">
        <f t="shared" si="172"/>
        <v>50072</v>
      </c>
      <c r="B203" s="8">
        <f t="shared" si="132"/>
        <v>176</v>
      </c>
      <c r="C203" s="11">
        <f t="shared" si="133"/>
        <v>3522.1</v>
      </c>
      <c r="D203" s="11">
        <f t="shared" si="134"/>
        <v>2202.3223800010401</v>
      </c>
      <c r="E203" s="11">
        <f t="shared" si="135"/>
        <v>1319.7776199989598</v>
      </c>
      <c r="F203" s="9">
        <f t="shared" si="150"/>
        <v>179835.97003364857</v>
      </c>
      <c r="G203" s="10">
        <f t="shared" si="136"/>
        <v>7.0000000000000007E-2</v>
      </c>
      <c r="H203" s="10">
        <f t="shared" si="137"/>
        <v>1.7000000000000001E-2</v>
      </c>
      <c r="I203" s="48">
        <f t="shared" si="151"/>
        <v>8.7000000000000008E-2</v>
      </c>
      <c r="J203" s="11">
        <f t="shared" si="138"/>
        <v>20</v>
      </c>
      <c r="K203" s="11">
        <f>IF(B203&lt;&gt;"",IF($B$16=listy!$K$8,'RZĄDOWY PROGRAM'!$F$3*'RZĄDOWY PROGRAM'!$F$15,F202*$F$15),"")</f>
        <v>50</v>
      </c>
      <c r="L203" s="11">
        <f t="shared" si="152"/>
        <v>70</v>
      </c>
      <c r="N203" s="54">
        <f t="shared" si="173"/>
        <v>50072</v>
      </c>
      <c r="O203" s="8">
        <f t="shared" si="153"/>
        <v>176</v>
      </c>
      <c r="P203" s="8"/>
      <c r="Q203" s="11">
        <f>IF(O203&lt;&gt;"",ROUND(IF($F$11="raty równe",-PMT(W203/12,$F$4-O202+SUM($P$28:P203),T202,2),R203+S203),2),"")</f>
        <v>3522.1</v>
      </c>
      <c r="R203" s="11">
        <f>IF(O203&lt;&gt;"",IF($F$11="raty malejące",T202/($F$4-O202+SUM($P$28:P203)),IF(Q203-S203&gt;T202,T202,Q203-S203)),"")</f>
        <v>2078.6565689325907</v>
      </c>
      <c r="S203" s="11">
        <f t="shared" si="175"/>
        <v>1443.4434310674089</v>
      </c>
      <c r="T203" s="9">
        <f t="shared" si="154"/>
        <v>197016.9890955376</v>
      </c>
      <c r="U203" s="10">
        <f t="shared" si="139"/>
        <v>7.0000000000000007E-2</v>
      </c>
      <c r="V203" s="10">
        <f t="shared" si="140"/>
        <v>1.7000000000000001E-2</v>
      </c>
      <c r="W203" s="48">
        <f t="shared" si="155"/>
        <v>8.7000000000000008E-2</v>
      </c>
      <c r="X203" s="11">
        <f t="shared" si="141"/>
        <v>20</v>
      </c>
      <c r="Y203" s="11">
        <f>IF(O203&lt;&gt;"",IF($B$16=listy!$K$8,'RZĄDOWY PROGRAM'!$F$3*'RZĄDOWY PROGRAM'!$F$15,T202*$F$15),"")</f>
        <v>50</v>
      </c>
      <c r="Z203" s="11">
        <f t="shared" si="156"/>
        <v>70</v>
      </c>
      <c r="AB203" s="8">
        <f t="shared" si="157"/>
        <v>176</v>
      </c>
      <c r="AC203" s="8"/>
      <c r="AD203" s="11">
        <f>IF(AB203&lt;&gt;"",ROUND(IF($F$11="raty równe",-PMT(W203/12,$F$4-AB202+SUM($AC$28:AC203),AG202,2),AE203+AF203),2),"")</f>
        <v>3280.39</v>
      </c>
      <c r="AE203" s="11">
        <f>IF(AB203&lt;&gt;"",IF($F$11="raty malejące",AG202/($F$4-AB202+SUM($AC$28:AC202)),MIN(AD203-AF203,AG202)),"")</f>
        <v>1936.0019408905316</v>
      </c>
      <c r="AF203" s="11">
        <f t="shared" si="176"/>
        <v>1344.3880591094683</v>
      </c>
      <c r="AG203" s="9">
        <f t="shared" si="174"/>
        <v>183496.83379834643</v>
      </c>
      <c r="AH203" s="11"/>
      <c r="AI203" s="33">
        <f>IF(AB203&lt;&gt;"",ROUND(IF($F$11="raty równe",-PMT(W203/12,($F$4-AB202+SUM($AC$27:AC202)),AG202,2),AG202/($F$4-AB202+SUM($AC$27:AC202))+AG202*W203/12),2),"")</f>
        <v>3280.39</v>
      </c>
      <c r="AJ203" s="33">
        <f t="shared" si="158"/>
        <v>241.71000000000004</v>
      </c>
      <c r="AK203" s="33">
        <f t="shared" si="142"/>
        <v>57722.878677335422</v>
      </c>
      <c r="AL203" s="33">
        <f>IF(AB203&lt;&gt;"",AK203-SUM($AJ$28:AJ203),"")</f>
        <v>16977.808677335408</v>
      </c>
      <c r="AM203" s="11">
        <f t="shared" si="159"/>
        <v>20</v>
      </c>
      <c r="AN203" s="11">
        <f>IF(AB203&lt;&gt;"",IF($B$16=listy!$K$8,'RZĄDOWY PROGRAM'!$F$3*'RZĄDOWY PROGRAM'!$F$15,AG202*$F$15),"")</f>
        <v>50</v>
      </c>
      <c r="AO203" s="11">
        <f t="shared" si="160"/>
        <v>70</v>
      </c>
      <c r="AQ203" s="8">
        <f t="shared" si="161"/>
        <v>176</v>
      </c>
      <c r="AR203" s="8"/>
      <c r="AS203" s="78">
        <f>IF(AQ203&lt;&gt;"",ROUND(IF($F$11="raty równe",-PMT(W203/12,$F$4-AQ202+SUM($AR$28:AR203),AV202,2),AT203+AU203),2),"")</f>
        <v>3263.83</v>
      </c>
      <c r="AT203" s="78">
        <f>IF(AQ203&lt;&gt;"",IF($F$11="raty malejące",AV202/($F$4-AQ202+SUM($AR$28:AR202)),MIN(AS203-AU203,AV202)),"")</f>
        <v>1926.2327670981986</v>
      </c>
      <c r="AU203" s="78">
        <f t="shared" si="162"/>
        <v>1337.5972329018014</v>
      </c>
      <c r="AV203" s="79">
        <f t="shared" si="163"/>
        <v>182569.93728832266</v>
      </c>
      <c r="AW203" s="11"/>
      <c r="AX203" s="33">
        <f>IF(AQ203&lt;&gt;"",ROUND(IF($F$11="raty równe",-PMT(W203/12,($F$4-AQ202+SUM($AR$27:AR202)),AV202,2),AV202/($F$4-AQ202+SUM($AR$27:AR202))+AV202*W203/12),2),"")</f>
        <v>3263.83</v>
      </c>
      <c r="AY203" s="33">
        <f t="shared" si="164"/>
        <v>258.27</v>
      </c>
      <c r="AZ203" s="33">
        <f t="shared" si="180"/>
        <v>57438.495140909967</v>
      </c>
      <c r="BA203" s="33">
        <f>IF(AQ203&lt;&gt;"",AZ203-SUM($AY$44:AY203),"")</f>
        <v>16115.30514091003</v>
      </c>
      <c r="BB203" s="11">
        <f t="shared" si="165"/>
        <v>20</v>
      </c>
      <c r="BC203" s="11">
        <f>IF(AQ203&lt;&gt;"",IF($B$16=listy!$K$8,'RZĄDOWY PROGRAM'!$F$3*'RZĄDOWY PROGRAM'!$F$15,AV202*$F$15),"")</f>
        <v>50</v>
      </c>
      <c r="BD203" s="11">
        <f t="shared" si="166"/>
        <v>70</v>
      </c>
      <c r="BF203" s="8">
        <f t="shared" si="167"/>
        <v>176</v>
      </c>
      <c r="BG203" s="8"/>
      <c r="BH203" s="78">
        <f>IF(BF203&lt;&gt;"",ROUND(IF($F$11="raty równe",-PMT(W203/12,$F$4-BF202+SUM(BV$28:$BV203)-SUM($BM$29:BM203),BK202,2),BI203+BJ203),2),"")</f>
        <v>3522.1</v>
      </c>
      <c r="BI203" s="78">
        <f>IF(BF203&lt;&gt;"",IF($F$11="raty malejące",MIN(BK202/($F$4-BF202+SUM($BG$27:BG203)-SUM($BM$27:BM203)),BK202),MIN(BH203-BJ203,BK202)),"")</f>
        <v>2746.7192146994676</v>
      </c>
      <c r="BJ203" s="78">
        <f t="shared" si="168"/>
        <v>775.38078530053235</v>
      </c>
      <c r="BK203" s="79">
        <f t="shared" si="169"/>
        <v>104202.35461985671</v>
      </c>
      <c r="BL203" s="11"/>
      <c r="BM203" s="33"/>
      <c r="BN203" s="33">
        <f t="shared" si="181"/>
        <v>0</v>
      </c>
      <c r="BO203" s="33">
        <f t="shared" si="182"/>
        <v>-0.14894448797467089</v>
      </c>
      <c r="BP203" s="33">
        <f>IF(O203&lt;&gt;"",BO203-SUM($BN$44:BN203),"")</f>
        <v>-6.8944487976562635E-2</v>
      </c>
      <c r="BQ203" s="11">
        <f t="shared" si="143"/>
        <v>20</v>
      </c>
      <c r="BR203" s="11">
        <f>IF(BF203&lt;&gt;"",IF($B$16=listy!$K$8,'RZĄDOWY PROGRAM'!$F$3*'RZĄDOWY PROGRAM'!$F$15,BK202*$F$15),"")</f>
        <v>50</v>
      </c>
      <c r="BS203" s="11">
        <f t="shared" si="144"/>
        <v>70</v>
      </c>
      <c r="BU203" s="8">
        <f t="shared" si="170"/>
        <v>176</v>
      </c>
      <c r="BV203" s="8"/>
      <c r="BW203" s="78">
        <f>IF(BU203&lt;&gt;"",ROUND(IF($F$11="raty równe",-PMT(W203/12,$F$4-BU202+SUM($BV$28:BV203)-$CB$43,BZ202,2),BX203+BY203),2),"")</f>
        <v>3522.1</v>
      </c>
      <c r="BX203" s="78">
        <f>IF(BU203&lt;&gt;"",IF($F$11="raty malejące",MIN(BZ202/($F$4-BU202+SUM($BV$28:BV202)-SUM($CB$28:CB202)),BZ202),MIN(BW203-BY203,BZ202)),"")</f>
        <v>2740.7458009120105</v>
      </c>
      <c r="BY203" s="78">
        <f t="shared" si="177"/>
        <v>781.35419908798929</v>
      </c>
      <c r="BZ203" s="79">
        <f t="shared" si="178"/>
        <v>105032.24717674166</v>
      </c>
      <c r="CA203" s="11"/>
      <c r="CB203" s="33"/>
      <c r="CC203" s="33">
        <f t="shared" si="171"/>
        <v>0</v>
      </c>
      <c r="CD203" s="33">
        <f t="shared" si="183"/>
        <v>0.4536424705063129</v>
      </c>
      <c r="CE203" s="33">
        <f>IF(O203&lt;&gt;"",CD203-SUM($CC$44:CC203),"")</f>
        <v>0.18364247051269755</v>
      </c>
      <c r="CF203" s="11">
        <f t="shared" si="145"/>
        <v>20</v>
      </c>
      <c r="CG203" s="11">
        <f>IF(BU203&lt;&gt;"",IF($B$16=listy!$K$8,'RZĄDOWY PROGRAM'!$F$3*'RZĄDOWY PROGRAM'!$F$15,BZ202*$F$15),"")</f>
        <v>50</v>
      </c>
      <c r="CH203" s="11">
        <f t="shared" si="146"/>
        <v>70</v>
      </c>
      <c r="CJ203" s="48">
        <f t="shared" si="147"/>
        <v>0.06</v>
      </c>
      <c r="CK203" s="18">
        <f t="shared" si="148"/>
        <v>4.8675505653430484E-3</v>
      </c>
      <c r="CL203" s="11">
        <f t="shared" si="179"/>
        <v>0</v>
      </c>
      <c r="CM203" s="11">
        <f t="shared" si="149"/>
        <v>54691.623401861594</v>
      </c>
      <c r="CN203" s="11">
        <f>IF(AB203&lt;&gt;"",CM203-SUM($CL$28:CL203),"")</f>
        <v>26514.863401861599</v>
      </c>
    </row>
    <row r="204" spans="1:92" x14ac:dyDescent="0.45">
      <c r="A204" s="68">
        <f t="shared" si="172"/>
        <v>50100</v>
      </c>
      <c r="B204" s="8">
        <f t="shared" si="132"/>
        <v>177</v>
      </c>
      <c r="C204" s="11">
        <f t="shared" si="133"/>
        <v>3522.09</v>
      </c>
      <c r="D204" s="11">
        <f t="shared" si="134"/>
        <v>2218.2792172560476</v>
      </c>
      <c r="E204" s="11">
        <f t="shared" si="135"/>
        <v>1303.8107827439524</v>
      </c>
      <c r="F204" s="9">
        <f t="shared" si="150"/>
        <v>177617.69081639251</v>
      </c>
      <c r="G204" s="10">
        <f t="shared" si="136"/>
        <v>7.0000000000000007E-2</v>
      </c>
      <c r="H204" s="10">
        <f t="shared" si="137"/>
        <v>1.7000000000000001E-2</v>
      </c>
      <c r="I204" s="48">
        <f t="shared" si="151"/>
        <v>8.7000000000000008E-2</v>
      </c>
      <c r="J204" s="11">
        <f t="shared" si="138"/>
        <v>20</v>
      </c>
      <c r="K204" s="11">
        <f>IF(B204&lt;&gt;"",IF($B$16=listy!$K$8,'RZĄDOWY PROGRAM'!$F$3*'RZĄDOWY PROGRAM'!$F$15,F203*$F$15),"")</f>
        <v>50</v>
      </c>
      <c r="L204" s="11">
        <f t="shared" si="152"/>
        <v>70</v>
      </c>
      <c r="N204" s="54">
        <f t="shared" si="173"/>
        <v>50100</v>
      </c>
      <c r="O204" s="8">
        <f t="shared" si="153"/>
        <v>177</v>
      </c>
      <c r="P204" s="8"/>
      <c r="Q204" s="11">
        <f>IF(O204&lt;&gt;"",ROUND(IF($F$11="raty równe",-PMT(W204/12,$F$4-O203+SUM($P$28:P204),T203,2),R204+S204),2),"")</f>
        <v>3522.09</v>
      </c>
      <c r="R204" s="11">
        <f>IF(O204&lt;&gt;"",IF($F$11="raty malejące",T203/($F$4-O203+SUM($P$28:P204)),IF(Q204-S204&gt;T203,T203,Q204-S204)),"")</f>
        <v>2093.7168290573527</v>
      </c>
      <c r="S204" s="11">
        <f t="shared" si="175"/>
        <v>1428.3731709426477</v>
      </c>
      <c r="T204" s="9">
        <f t="shared" si="154"/>
        <v>194923.27226648026</v>
      </c>
      <c r="U204" s="10">
        <f t="shared" si="139"/>
        <v>7.0000000000000007E-2</v>
      </c>
      <c r="V204" s="10">
        <f t="shared" si="140"/>
        <v>1.7000000000000001E-2</v>
      </c>
      <c r="W204" s="48">
        <f t="shared" si="155"/>
        <v>8.7000000000000008E-2</v>
      </c>
      <c r="X204" s="11">
        <f t="shared" si="141"/>
        <v>20</v>
      </c>
      <c r="Y204" s="11">
        <f>IF(O204&lt;&gt;"",IF($B$16=listy!$K$8,'RZĄDOWY PROGRAM'!$F$3*'RZĄDOWY PROGRAM'!$F$15,T203*$F$15),"")</f>
        <v>50</v>
      </c>
      <c r="Z204" s="11">
        <f t="shared" si="156"/>
        <v>70</v>
      </c>
      <c r="AB204" s="8">
        <f t="shared" si="157"/>
        <v>177</v>
      </c>
      <c r="AC204" s="8"/>
      <c r="AD204" s="11">
        <f>IF(AB204&lt;&gt;"",ROUND(IF($F$11="raty równe",-PMT(W204/12,$F$4-AB203+SUM($AC$28:AC204),AG203,2),AE204+AF204),2),"")</f>
        <v>3280.4</v>
      </c>
      <c r="AE204" s="11">
        <f>IF(AB204&lt;&gt;"",IF($F$11="raty malejące",AG203/($F$4-AB203+SUM($AC$28:AC203)),MIN(AD204-AF204,AG203)),"")</f>
        <v>1950.0479549619884</v>
      </c>
      <c r="AF204" s="11">
        <f t="shared" si="176"/>
        <v>1330.3520450380117</v>
      </c>
      <c r="AG204" s="9">
        <f t="shared" si="174"/>
        <v>181546.78584338445</v>
      </c>
      <c r="AH204" s="11"/>
      <c r="AI204" s="33">
        <f>IF(AB204&lt;&gt;"",ROUND(IF($F$11="raty równe",-PMT(W204/12,($F$4-AB203+SUM($AC$27:AC203)),AG203,2),AG203/($F$4-AB203+SUM($AC$27:AC203))+AG203*W204/12),2),"")</f>
        <v>3280.4</v>
      </c>
      <c r="AJ204" s="33">
        <f t="shared" si="158"/>
        <v>241.69000000000005</v>
      </c>
      <c r="AK204" s="33">
        <f t="shared" si="142"/>
        <v>58192.153592234092</v>
      </c>
      <c r="AL204" s="33">
        <f>IF(AB204&lt;&gt;"",AK204-SUM($AJ$28:AJ204),"")</f>
        <v>17205.393592234075</v>
      </c>
      <c r="AM204" s="11">
        <f t="shared" si="159"/>
        <v>20</v>
      </c>
      <c r="AN204" s="11">
        <f>IF(AB204&lt;&gt;"",IF($B$16=listy!$K$8,'RZĄDOWY PROGRAM'!$F$3*'RZĄDOWY PROGRAM'!$F$15,AG203*$F$15),"")</f>
        <v>50</v>
      </c>
      <c r="AO204" s="11">
        <f t="shared" si="160"/>
        <v>70</v>
      </c>
      <c r="AQ204" s="8">
        <f t="shared" si="161"/>
        <v>177</v>
      </c>
      <c r="AR204" s="8"/>
      <c r="AS204" s="78">
        <f>IF(AQ204&lt;&gt;"",ROUND(IF($F$11="raty równe",-PMT(W204/12,$F$4-AQ203+SUM($AR$28:AR204),AV203,2),AT204+AU204),2),"")</f>
        <v>3263.82</v>
      </c>
      <c r="AT204" s="78">
        <f>IF(AQ204&lt;&gt;"",IF($F$11="raty malejące",AV203/($F$4-AQ203+SUM($AR$28:AR203)),MIN(AS204-AU204,AV203)),"")</f>
        <v>1940.1879546596608</v>
      </c>
      <c r="AU204" s="78">
        <f t="shared" si="162"/>
        <v>1323.6320453403393</v>
      </c>
      <c r="AV204" s="79">
        <f t="shared" si="163"/>
        <v>180629.749333663</v>
      </c>
      <c r="AW204" s="11"/>
      <c r="AX204" s="33">
        <f>IF(AQ204&lt;&gt;"",ROUND(IF($F$11="raty równe",-PMT(W204/12,($F$4-AQ203+SUM($AR$27:AR203)),AV203,2),AV203/($F$4-AQ203+SUM($AR$27:AR203))+AV203*W204/12),2),"")</f>
        <v>3263.82</v>
      </c>
      <c r="AY204" s="33">
        <f t="shared" si="164"/>
        <v>258.27</v>
      </c>
      <c r="AZ204" s="33">
        <f t="shared" si="180"/>
        <v>57923.228812301393</v>
      </c>
      <c r="BA204" s="33">
        <f>IF(AQ204&lt;&gt;"",AZ204-SUM($AY$44:AY204),"")</f>
        <v>16341.76881230146</v>
      </c>
      <c r="BB204" s="11">
        <f t="shared" si="165"/>
        <v>20</v>
      </c>
      <c r="BC204" s="11">
        <f>IF(AQ204&lt;&gt;"",IF($B$16=listy!$K$8,'RZĄDOWY PROGRAM'!$F$3*'RZĄDOWY PROGRAM'!$F$15,AV203*$F$15),"")</f>
        <v>50</v>
      </c>
      <c r="BD204" s="11">
        <f t="shared" si="166"/>
        <v>70</v>
      </c>
      <c r="BF204" s="8">
        <f t="shared" si="167"/>
        <v>177</v>
      </c>
      <c r="BG204" s="8"/>
      <c r="BH204" s="78">
        <f>IF(BF204&lt;&gt;"",ROUND(IF($F$11="raty równe",-PMT(W204/12,$F$4-BF203+SUM(BV$28:$BV204)-SUM($BM$29:BM204),BK203,2),BI204+BJ204),2),"")</f>
        <v>3522.1</v>
      </c>
      <c r="BI204" s="78">
        <f>IF(BF204&lt;&gt;"",IF($F$11="raty malejące",MIN(BK203/($F$4-BF203+SUM($BG$27:BG204)-SUM($BM$27:BM204)),BK203),MIN(BH204-BJ204,BK203)),"")</f>
        <v>2766.6329290060389</v>
      </c>
      <c r="BJ204" s="78">
        <f t="shared" si="168"/>
        <v>755.4670709939611</v>
      </c>
      <c r="BK204" s="79">
        <f t="shared" si="169"/>
        <v>101435.72169085067</v>
      </c>
      <c r="BL204" s="11"/>
      <c r="BM204" s="33"/>
      <c r="BN204" s="33">
        <f t="shared" si="181"/>
        <v>-9.9999999997635314E-3</v>
      </c>
      <c r="BO204" s="33">
        <f t="shared" si="182"/>
        <v>-0.15953173378401755</v>
      </c>
      <c r="BP204" s="33">
        <f>IF(O204&lt;&gt;"",BO204-SUM($BN$44:BN204),"")</f>
        <v>-6.9531733786145772E-2</v>
      </c>
      <c r="BQ204" s="11">
        <f t="shared" si="143"/>
        <v>20</v>
      </c>
      <c r="BR204" s="11">
        <f>IF(BF204&lt;&gt;"",IF($B$16=listy!$K$8,'RZĄDOWY PROGRAM'!$F$3*'RZĄDOWY PROGRAM'!$F$15,BK203*$F$15),"")</f>
        <v>50</v>
      </c>
      <c r="BS204" s="11">
        <f t="shared" si="144"/>
        <v>70</v>
      </c>
      <c r="BU204" s="8">
        <f t="shared" si="170"/>
        <v>177</v>
      </c>
      <c r="BV204" s="8"/>
      <c r="BW204" s="78">
        <f>IF(BU204&lt;&gt;"",ROUND(IF($F$11="raty równe",-PMT(W204/12,$F$4-BU203+SUM($BV$28:BV204)-$CB$43,BZ203,2),BX204+BY204),2),"")</f>
        <v>3522.1</v>
      </c>
      <c r="BX204" s="78">
        <f>IF(BU204&lt;&gt;"",IF($F$11="raty malejące",MIN(BZ203/($F$4-BU203+SUM($BV$28:BV203)-SUM($CB$28:CB203)),BZ203),MIN(BW204-BY204,BZ203)),"")</f>
        <v>2760.6162079686228</v>
      </c>
      <c r="BY204" s="78">
        <f t="shared" ref="BY204:BY239" si="184">IF(BU204&lt;&gt;"",BZ203*W204/12,"")</f>
        <v>761.48379203137711</v>
      </c>
      <c r="BZ204" s="79">
        <f t="shared" si="178"/>
        <v>102271.63096877304</v>
      </c>
      <c r="CA204" s="11"/>
      <c r="CB204" s="33"/>
      <c r="CC204" s="33">
        <f t="shared" si="171"/>
        <v>-9.9999999997635314E-3</v>
      </c>
      <c r="CD204" s="33">
        <f t="shared" si="183"/>
        <v>0.44543105391420845</v>
      </c>
      <c r="CE204" s="33">
        <f>IF(O204&lt;&gt;"",CD204-SUM($CC$44:CC204),"")</f>
        <v>0.18543105392035664</v>
      </c>
      <c r="CF204" s="11">
        <f t="shared" si="145"/>
        <v>20</v>
      </c>
      <c r="CG204" s="11">
        <f>IF(BU204&lt;&gt;"",IF($B$16=listy!$K$8,'RZĄDOWY PROGRAM'!$F$3*'RZĄDOWY PROGRAM'!$F$15,BZ203*$F$15),"")</f>
        <v>50</v>
      </c>
      <c r="CH204" s="11">
        <f t="shared" si="146"/>
        <v>70</v>
      </c>
      <c r="CJ204" s="48">
        <f t="shared" si="147"/>
        <v>0.06</v>
      </c>
      <c r="CK204" s="18">
        <f t="shared" si="148"/>
        <v>4.8675505653430484E-3</v>
      </c>
      <c r="CL204" s="11">
        <f t="shared" ref="CL204:CL235" si="185">IF(N204&lt;&gt;"",IF(ISNUMBER(C204),C204,0)-Q204,"")</f>
        <v>0</v>
      </c>
      <c r="CM204" s="11">
        <f t="shared" si="149"/>
        <v>54907.256938213097</v>
      </c>
      <c r="CN204" s="11">
        <f>IF(AB204&lt;&gt;"",CM204-SUM($CL$28:CL204),"")</f>
        <v>26730.496938213102</v>
      </c>
    </row>
    <row r="205" spans="1:92" x14ac:dyDescent="0.45">
      <c r="A205" s="68">
        <f t="shared" si="172"/>
        <v>50131</v>
      </c>
      <c r="B205" s="8">
        <f t="shared" si="132"/>
        <v>178</v>
      </c>
      <c r="C205" s="11">
        <f t="shared" si="133"/>
        <v>3522.1</v>
      </c>
      <c r="D205" s="11">
        <f t="shared" si="134"/>
        <v>2234.3717415811543</v>
      </c>
      <c r="E205" s="11">
        <f t="shared" si="135"/>
        <v>1287.7282584188458</v>
      </c>
      <c r="F205" s="9">
        <f t="shared" si="150"/>
        <v>175383.31907481136</v>
      </c>
      <c r="G205" s="10">
        <f t="shared" si="136"/>
        <v>7.0000000000000007E-2</v>
      </c>
      <c r="H205" s="10">
        <f t="shared" si="137"/>
        <v>1.7000000000000001E-2</v>
      </c>
      <c r="I205" s="48">
        <f t="shared" si="151"/>
        <v>8.7000000000000008E-2</v>
      </c>
      <c r="J205" s="11">
        <f t="shared" si="138"/>
        <v>20</v>
      </c>
      <c r="K205" s="11">
        <f>IF(B205&lt;&gt;"",IF($B$16=listy!$K$8,'RZĄDOWY PROGRAM'!$F$3*'RZĄDOWY PROGRAM'!$F$15,F204*$F$15),"")</f>
        <v>50</v>
      </c>
      <c r="L205" s="11">
        <f t="shared" si="152"/>
        <v>70</v>
      </c>
      <c r="N205" s="54">
        <f t="shared" si="173"/>
        <v>50131</v>
      </c>
      <c r="O205" s="8">
        <f t="shared" si="153"/>
        <v>178</v>
      </c>
      <c r="P205" s="8"/>
      <c r="Q205" s="11">
        <f>IF(O205&lt;&gt;"",ROUND(IF($F$11="raty równe",-PMT(W205/12,$F$4-O204+SUM($P$28:P205),T204,2),R205+S205),2),"")</f>
        <v>3522.1</v>
      </c>
      <c r="R205" s="11">
        <f>IF(O205&lt;&gt;"",IF($F$11="raty malejące",T204/($F$4-O204+SUM($P$28:P205)),IF(Q205-S205&gt;T204,T204,Q205-S205)),"")</f>
        <v>2108.9062760680181</v>
      </c>
      <c r="S205" s="11">
        <f t="shared" si="175"/>
        <v>1413.193723931982</v>
      </c>
      <c r="T205" s="9">
        <f t="shared" si="154"/>
        <v>192814.36599041225</v>
      </c>
      <c r="U205" s="10">
        <f t="shared" si="139"/>
        <v>7.0000000000000007E-2</v>
      </c>
      <c r="V205" s="10">
        <f t="shared" si="140"/>
        <v>1.7000000000000001E-2</v>
      </c>
      <c r="W205" s="48">
        <f t="shared" si="155"/>
        <v>8.7000000000000008E-2</v>
      </c>
      <c r="X205" s="11">
        <f t="shared" si="141"/>
        <v>20</v>
      </c>
      <c r="Y205" s="11">
        <f>IF(O205&lt;&gt;"",IF($B$16=listy!$K$8,'RZĄDOWY PROGRAM'!$F$3*'RZĄDOWY PROGRAM'!$F$15,T204*$F$15),"")</f>
        <v>50</v>
      </c>
      <c r="Z205" s="11">
        <f t="shared" si="156"/>
        <v>70</v>
      </c>
      <c r="AB205" s="8">
        <f t="shared" si="157"/>
        <v>178</v>
      </c>
      <c r="AC205" s="8"/>
      <c r="AD205" s="11">
        <f>IF(AB205&lt;&gt;"",ROUND(IF($F$11="raty równe",-PMT(W205/12,$F$4-AB204+SUM($AC$28:AC205),AG204,2),AE205+AF205),2),"")</f>
        <v>3280.39</v>
      </c>
      <c r="AE205" s="11">
        <f>IF(AB205&lt;&gt;"",IF($F$11="raty malejące",AG204/($F$4-AB204+SUM($AC$28:AC204)),MIN(AD205-AF205,AG204)),"")</f>
        <v>1964.1758026354626</v>
      </c>
      <c r="AF205" s="11">
        <f t="shared" si="176"/>
        <v>1316.2141973645373</v>
      </c>
      <c r="AG205" s="9">
        <f t="shared" si="174"/>
        <v>179582.61004074899</v>
      </c>
      <c r="AH205" s="11"/>
      <c r="AI205" s="33">
        <f>IF(AB205&lt;&gt;"",ROUND(IF($F$11="raty równe",-PMT(W205/12,($F$4-AB204+SUM($AC$27:AC204)),AG204,2),AG204/($F$4-AB204+SUM($AC$27:AC204))+AG204*W205/12),2),"")</f>
        <v>3280.39</v>
      </c>
      <c r="AJ205" s="33">
        <f t="shared" si="158"/>
        <v>241.71000000000004</v>
      </c>
      <c r="AK205" s="33">
        <f t="shared" si="142"/>
        <v>58663.29872482839</v>
      </c>
      <c r="AL205" s="33">
        <f>IF(AB205&lt;&gt;"",AK205-SUM($AJ$28:AJ205),"")</f>
        <v>17434.828724828374</v>
      </c>
      <c r="AM205" s="11">
        <f t="shared" si="159"/>
        <v>20</v>
      </c>
      <c r="AN205" s="11">
        <f>IF(AB205&lt;&gt;"",IF($B$16=listy!$K$8,'RZĄDOWY PROGRAM'!$F$3*'RZĄDOWY PROGRAM'!$F$15,AG204*$F$15),"")</f>
        <v>50</v>
      </c>
      <c r="AO205" s="11">
        <f t="shared" si="160"/>
        <v>70</v>
      </c>
      <c r="AQ205" s="8">
        <f t="shared" si="161"/>
        <v>178</v>
      </c>
      <c r="AR205" s="8"/>
      <c r="AS205" s="78">
        <f>IF(AQ205&lt;&gt;"",ROUND(IF($F$11="raty równe",-PMT(W205/12,$F$4-AQ204+SUM($AR$28:AR205),AV204,2),AT205+AU205),2),"")</f>
        <v>3263.83</v>
      </c>
      <c r="AT205" s="78">
        <f>IF(AQ205&lt;&gt;"",IF($F$11="raty malejące",AV204/($F$4-AQ204+SUM($AR$28:AR204)),MIN(AS205-AU205,AV204)),"")</f>
        <v>1954.2643173309432</v>
      </c>
      <c r="AU205" s="78">
        <f t="shared" si="162"/>
        <v>1309.5656826690567</v>
      </c>
      <c r="AV205" s="79">
        <f t="shared" si="163"/>
        <v>178675.48501633207</v>
      </c>
      <c r="AW205" s="11"/>
      <c r="AX205" s="33">
        <f>IF(AQ205&lt;&gt;"",ROUND(IF($F$11="raty równe",-PMT(W205/12,($F$4-AQ204+SUM($AR$27:AR204)),AV204,2),AV204/($F$4-AQ204+SUM($AR$27:AR204))+AV204*W205/12),2),"")</f>
        <v>3263.83</v>
      </c>
      <c r="AY205" s="33">
        <f t="shared" si="164"/>
        <v>258.27</v>
      </c>
      <c r="AZ205" s="33">
        <f t="shared" si="180"/>
        <v>58409.87365087436</v>
      </c>
      <c r="BA205" s="33">
        <f>IF(AQ205&lt;&gt;"",AZ205-SUM($AY$44:AY205),"")</f>
        <v>16570.14365087443</v>
      </c>
      <c r="BB205" s="11">
        <f t="shared" si="165"/>
        <v>20</v>
      </c>
      <c r="BC205" s="11">
        <f>IF(AQ205&lt;&gt;"",IF($B$16=listy!$K$8,'RZĄDOWY PROGRAM'!$F$3*'RZĄDOWY PROGRAM'!$F$15,AV204*$F$15),"")</f>
        <v>50</v>
      </c>
      <c r="BD205" s="11">
        <f t="shared" si="166"/>
        <v>70</v>
      </c>
      <c r="BF205" s="8">
        <f t="shared" si="167"/>
        <v>178</v>
      </c>
      <c r="BG205" s="8"/>
      <c r="BH205" s="78">
        <f>IF(BF205&lt;&gt;"",ROUND(IF($F$11="raty równe",-PMT(W205/12,$F$4-BF204+SUM(BV$28:$BV205)-SUM($BM$29:BM205),BK204,2),BI205+BJ205),2),"")</f>
        <v>3522.09</v>
      </c>
      <c r="BI205" s="78">
        <f>IF(BF205&lt;&gt;"",IF($F$11="raty malejące",MIN(BK204/($F$4-BF204+SUM($BG$27:BG205)-SUM($BM$27:BM205)),BK204),MIN(BH205-BJ205,BK204)),"")</f>
        <v>2786.6810177413327</v>
      </c>
      <c r="BJ205" s="78">
        <f t="shared" si="168"/>
        <v>735.40898225866738</v>
      </c>
      <c r="BK205" s="79">
        <f t="shared" si="169"/>
        <v>98649.040673109339</v>
      </c>
      <c r="BL205" s="11"/>
      <c r="BM205" s="33"/>
      <c r="BN205" s="33">
        <f t="shared" si="181"/>
        <v>9.9999999997635314E-3</v>
      </c>
      <c r="BO205" s="33">
        <f t="shared" si="182"/>
        <v>-0.15016072209684017</v>
      </c>
      <c r="BP205" s="33">
        <f>IF(O205&lt;&gt;"",BO205-SUM($BN$44:BN205),"")</f>
        <v>-7.016072209873192E-2</v>
      </c>
      <c r="BQ205" s="11">
        <f t="shared" si="143"/>
        <v>20</v>
      </c>
      <c r="BR205" s="11">
        <f>IF(BF205&lt;&gt;"",IF($B$16=listy!$K$8,'RZĄDOWY PROGRAM'!$F$3*'RZĄDOWY PROGRAM'!$F$15,BK204*$F$15),"")</f>
        <v>50</v>
      </c>
      <c r="BS205" s="11">
        <f t="shared" si="144"/>
        <v>70</v>
      </c>
      <c r="BU205" s="8">
        <f t="shared" si="170"/>
        <v>178</v>
      </c>
      <c r="BV205" s="8"/>
      <c r="BW205" s="78">
        <f>IF(BU205&lt;&gt;"",ROUND(IF($F$11="raty równe",-PMT(W205/12,$F$4-BU204+SUM($BV$28:BV205)-$CB$43,BZ204,2),BX205+BY205),2),"")</f>
        <v>3522.09</v>
      </c>
      <c r="BX205" s="78">
        <f>IF(BU205&lt;&gt;"",IF($F$11="raty malejące",MIN(BZ204/($F$4-BU204+SUM($BV$28:BV204)-SUM($CB$28:CB204)),BZ204),MIN(BW205-BY205,BZ204)),"")</f>
        <v>2780.6206754763957</v>
      </c>
      <c r="BY205" s="78">
        <f t="shared" si="184"/>
        <v>741.46932452360454</v>
      </c>
      <c r="BZ205" s="79">
        <f t="shared" si="178"/>
        <v>99491.01029329664</v>
      </c>
      <c r="CA205" s="11"/>
      <c r="CB205" s="33"/>
      <c r="CC205" s="33">
        <f t="shared" si="171"/>
        <v>9.9999999997635314E-3</v>
      </c>
      <c r="CD205" s="33">
        <f t="shared" si="183"/>
        <v>0.45718726203839621</v>
      </c>
      <c r="CE205" s="33">
        <f>IF(O205&lt;&gt;"",CD205-SUM($CC$44:CC205),"")</f>
        <v>0.18718726204478087</v>
      </c>
      <c r="CF205" s="11">
        <f t="shared" si="145"/>
        <v>20</v>
      </c>
      <c r="CG205" s="11">
        <f>IF(BU205&lt;&gt;"",IF($B$16=listy!$K$8,'RZĄDOWY PROGRAM'!$F$3*'RZĄDOWY PROGRAM'!$F$15,BZ204*$F$15),"")</f>
        <v>50</v>
      </c>
      <c r="CH205" s="11">
        <f t="shared" si="146"/>
        <v>70</v>
      </c>
      <c r="CJ205" s="48">
        <f t="shared" si="147"/>
        <v>0.06</v>
      </c>
      <c r="CK205" s="18">
        <f t="shared" si="148"/>
        <v>4.8675505653430484E-3</v>
      </c>
      <c r="CL205" s="11">
        <f t="shared" si="185"/>
        <v>0</v>
      </c>
      <c r="CM205" s="11">
        <f t="shared" si="149"/>
        <v>55123.740656349437</v>
      </c>
      <c r="CN205" s="11">
        <f>IF(AB205&lt;&gt;"",CM205-SUM($CL$28:CL205),"")</f>
        <v>26946.980656349442</v>
      </c>
    </row>
    <row r="206" spans="1:92" x14ac:dyDescent="0.45">
      <c r="A206" s="68">
        <f t="shared" si="172"/>
        <v>50161</v>
      </c>
      <c r="B206" s="8">
        <f t="shared" si="132"/>
        <v>179</v>
      </c>
      <c r="C206" s="11">
        <f t="shared" si="133"/>
        <v>3522.09</v>
      </c>
      <c r="D206" s="11">
        <f t="shared" si="134"/>
        <v>2250.5609367076177</v>
      </c>
      <c r="E206" s="11">
        <f t="shared" si="135"/>
        <v>1271.5290632923825</v>
      </c>
      <c r="F206" s="9">
        <f t="shared" si="150"/>
        <v>173132.75813810373</v>
      </c>
      <c r="G206" s="10">
        <f t="shared" si="136"/>
        <v>7.0000000000000007E-2</v>
      </c>
      <c r="H206" s="10">
        <f t="shared" si="137"/>
        <v>1.7000000000000001E-2</v>
      </c>
      <c r="I206" s="48">
        <f t="shared" si="151"/>
        <v>8.7000000000000008E-2</v>
      </c>
      <c r="J206" s="11">
        <f t="shared" si="138"/>
        <v>20</v>
      </c>
      <c r="K206" s="11">
        <f>IF(B206&lt;&gt;"",IF($B$16=listy!$K$8,'RZĄDOWY PROGRAM'!$F$3*'RZĄDOWY PROGRAM'!$F$15,F205*$F$15),"")</f>
        <v>50</v>
      </c>
      <c r="L206" s="11">
        <f t="shared" si="152"/>
        <v>70</v>
      </c>
      <c r="N206" s="54">
        <f t="shared" si="173"/>
        <v>50161</v>
      </c>
      <c r="O206" s="8">
        <f t="shared" si="153"/>
        <v>179</v>
      </c>
      <c r="P206" s="8"/>
      <c r="Q206" s="11">
        <f>IF(O206&lt;&gt;"",ROUND(IF($F$11="raty równe",-PMT(W206/12,$F$4-O205+SUM($P$28:P206),T205,2),R206+S206),2),"")</f>
        <v>3522.09</v>
      </c>
      <c r="R206" s="11">
        <f>IF(O206&lt;&gt;"",IF($F$11="raty malejące",T205/($F$4-O205+SUM($P$28:P206)),IF(Q206-S206&gt;T205,T205,Q206-S206)),"")</f>
        <v>2124.1858465695113</v>
      </c>
      <c r="S206" s="11">
        <f t="shared" si="175"/>
        <v>1397.9041534304888</v>
      </c>
      <c r="T206" s="9">
        <f t="shared" si="154"/>
        <v>190690.18014384274</v>
      </c>
      <c r="U206" s="10">
        <f t="shared" si="139"/>
        <v>7.0000000000000007E-2</v>
      </c>
      <c r="V206" s="10">
        <f t="shared" si="140"/>
        <v>1.7000000000000001E-2</v>
      </c>
      <c r="W206" s="48">
        <f t="shared" si="155"/>
        <v>8.7000000000000008E-2</v>
      </c>
      <c r="X206" s="11">
        <f t="shared" si="141"/>
        <v>20</v>
      </c>
      <c r="Y206" s="11">
        <f>IF(O206&lt;&gt;"",IF($B$16=listy!$K$8,'RZĄDOWY PROGRAM'!$F$3*'RZĄDOWY PROGRAM'!$F$15,T205*$F$15),"")</f>
        <v>50</v>
      </c>
      <c r="Z206" s="11">
        <f t="shared" si="156"/>
        <v>70</v>
      </c>
      <c r="AB206" s="8">
        <f t="shared" si="157"/>
        <v>179</v>
      </c>
      <c r="AC206" s="8"/>
      <c r="AD206" s="11">
        <f>IF(AB206&lt;&gt;"",ROUND(IF($F$11="raty równe",-PMT(W206/12,$F$4-AB205+SUM($AC$28:AC206),AG205,2),AE206+AF206),2),"")</f>
        <v>3280.4</v>
      </c>
      <c r="AE206" s="11">
        <f>IF(AB206&lt;&gt;"",IF($F$11="raty malejące",AG205/($F$4-AB205+SUM($AC$28:AC205)),MIN(AD206-AF206,AG205)),"")</f>
        <v>1978.4260772045698</v>
      </c>
      <c r="AF206" s="11">
        <f t="shared" si="176"/>
        <v>1301.9739227954303</v>
      </c>
      <c r="AG206" s="9">
        <f t="shared" si="174"/>
        <v>177604.1839635444</v>
      </c>
      <c r="AH206" s="11"/>
      <c r="AI206" s="33">
        <f>IF(AB206&lt;&gt;"",ROUND(IF($F$11="raty równe",-PMT(W206/12,($F$4-AB205+SUM($AC$27:AC205)),AG205,2),AG205/($F$4-AB205+SUM($AC$27:AC205))+AG205*W206/12),2),"")</f>
        <v>3280.4</v>
      </c>
      <c r="AJ206" s="33">
        <f t="shared" si="158"/>
        <v>241.69000000000005</v>
      </c>
      <c r="AK206" s="33">
        <f t="shared" si="142"/>
        <v>59136.281448855465</v>
      </c>
      <c r="AL206" s="33">
        <f>IF(AB206&lt;&gt;"",AK206-SUM($AJ$28:AJ206),"")</f>
        <v>17666.121448855447</v>
      </c>
      <c r="AM206" s="11">
        <f t="shared" si="159"/>
        <v>20</v>
      </c>
      <c r="AN206" s="11">
        <f>IF(AB206&lt;&gt;"",IF($B$16=listy!$K$8,'RZĄDOWY PROGRAM'!$F$3*'RZĄDOWY PROGRAM'!$F$15,AG205*$F$15),"")</f>
        <v>50</v>
      </c>
      <c r="AO206" s="11">
        <f t="shared" si="160"/>
        <v>70</v>
      </c>
      <c r="AQ206" s="8">
        <f t="shared" si="161"/>
        <v>179</v>
      </c>
      <c r="AR206" s="8"/>
      <c r="AS206" s="78">
        <f>IF(AQ206&lt;&gt;"",ROUND(IF($F$11="raty równe",-PMT(W206/12,$F$4-AQ205+SUM($AR$28:AR206),AV205,2),AT206+AU206),2),"")</f>
        <v>3263.82</v>
      </c>
      <c r="AT206" s="78">
        <f>IF(AQ206&lt;&gt;"",IF($F$11="raty malejące",AV205/($F$4-AQ205+SUM($AR$28:AR205)),MIN(AS206-AU206,AV205)),"")</f>
        <v>1968.4227336315926</v>
      </c>
      <c r="AU206" s="78">
        <f t="shared" si="162"/>
        <v>1295.3972663684076</v>
      </c>
      <c r="AV206" s="79">
        <f t="shared" si="163"/>
        <v>176707.06228270047</v>
      </c>
      <c r="AW206" s="11"/>
      <c r="AX206" s="33">
        <f>IF(AQ206&lt;&gt;"",ROUND(IF($F$11="raty równe",-PMT(W206/12,($F$4-AQ205+SUM($AR$27:AR205)),AV205,2),AV205/($F$4-AQ205+SUM($AR$27:AR205))+AV205*W206/12),2),"")</f>
        <v>3263.82</v>
      </c>
      <c r="AY206" s="33">
        <f t="shared" si="164"/>
        <v>258.27</v>
      </c>
      <c r="AZ206" s="33">
        <f t="shared" si="180"/>
        <v>58898.437191818215</v>
      </c>
      <c r="BA206" s="33">
        <f>IF(AQ206&lt;&gt;"",AZ206-SUM($AY$44:AY206),"")</f>
        <v>16800.437191818288</v>
      </c>
      <c r="BB206" s="11">
        <f t="shared" si="165"/>
        <v>20</v>
      </c>
      <c r="BC206" s="11">
        <f>IF(AQ206&lt;&gt;"",IF($B$16=listy!$K$8,'RZĄDOWY PROGRAM'!$F$3*'RZĄDOWY PROGRAM'!$F$15,AV205*$F$15),"")</f>
        <v>50</v>
      </c>
      <c r="BD206" s="11">
        <f t="shared" si="166"/>
        <v>70</v>
      </c>
      <c r="BF206" s="8">
        <f t="shared" si="167"/>
        <v>179</v>
      </c>
      <c r="BG206" s="8"/>
      <c r="BH206" s="78">
        <f>IF(BF206&lt;&gt;"",ROUND(IF($F$11="raty równe",-PMT(W206/12,$F$4-BF205+SUM(BV$28:$BV206)-SUM($BM$29:BM206),BK205,2),BI206+BJ206),2),"")</f>
        <v>3522.09</v>
      </c>
      <c r="BI206" s="78">
        <f>IF(BF206&lt;&gt;"",IF($F$11="raty malejące",MIN(BK205/($F$4-BF205+SUM($BG$27:BG206)-SUM($BM$27:BM206)),BK205),MIN(BH206-BJ206,BK205)),"")</f>
        <v>2806.8844551199572</v>
      </c>
      <c r="BJ206" s="78">
        <f t="shared" si="168"/>
        <v>715.20554488004279</v>
      </c>
      <c r="BK206" s="79">
        <f t="shared" si="169"/>
        <v>95842.156217989381</v>
      </c>
      <c r="BL206" s="11"/>
      <c r="BM206" s="33"/>
      <c r="BN206" s="33">
        <f t="shared" si="181"/>
        <v>0</v>
      </c>
      <c r="BO206" s="33">
        <f t="shared" si="182"/>
        <v>-0.15075276317210537</v>
      </c>
      <c r="BP206" s="33">
        <f>IF(O206&lt;&gt;"",BO206-SUM($BN$44:BN206),"")</f>
        <v>-7.0752763173997119E-2</v>
      </c>
      <c r="BQ206" s="11">
        <f t="shared" si="143"/>
        <v>20</v>
      </c>
      <c r="BR206" s="11">
        <f>IF(BF206&lt;&gt;"",IF($B$16=listy!$K$8,'RZĄDOWY PROGRAM'!$F$3*'RZĄDOWY PROGRAM'!$F$15,BK205*$F$15),"")</f>
        <v>50</v>
      </c>
      <c r="BS206" s="11">
        <f t="shared" si="144"/>
        <v>70</v>
      </c>
      <c r="BU206" s="8">
        <f t="shared" si="170"/>
        <v>179</v>
      </c>
      <c r="BV206" s="8"/>
      <c r="BW206" s="78">
        <f>IF(BU206&lt;&gt;"",ROUND(IF($F$11="raty równe",-PMT(W206/12,$F$4-BU205+SUM($BV$28:BV206)-$CB$43,BZ205,2),BX206+BY206),2),"")</f>
        <v>3522.09</v>
      </c>
      <c r="BX206" s="78">
        <f>IF(BU206&lt;&gt;"",IF($F$11="raty malejące",MIN(BZ205/($F$4-BU205+SUM($BV$28:BV205)-SUM($CB$28:CB205)),BZ205),MIN(BW206-BY206,BZ205)),"")</f>
        <v>2800.7801753735994</v>
      </c>
      <c r="BY206" s="78">
        <f t="shared" si="184"/>
        <v>721.30982462640077</v>
      </c>
      <c r="BZ206" s="79">
        <f t="shared" si="178"/>
        <v>96690.230117923042</v>
      </c>
      <c r="CA206" s="11"/>
      <c r="CB206" s="33"/>
      <c r="CC206" s="33">
        <f t="shared" si="171"/>
        <v>0</v>
      </c>
      <c r="CD206" s="33">
        <f t="shared" si="183"/>
        <v>0.45898982155219636</v>
      </c>
      <c r="CE206" s="33">
        <f>IF(O206&lt;&gt;"",CD206-SUM($CC$44:CC206),"")</f>
        <v>0.18898982155858102</v>
      </c>
      <c r="CF206" s="11">
        <f t="shared" si="145"/>
        <v>20</v>
      </c>
      <c r="CG206" s="11">
        <f>IF(BU206&lt;&gt;"",IF($B$16=listy!$K$8,'RZĄDOWY PROGRAM'!$F$3*'RZĄDOWY PROGRAM'!$F$15,BZ205*$F$15),"")</f>
        <v>50</v>
      </c>
      <c r="CH206" s="11">
        <f t="shared" si="146"/>
        <v>70</v>
      </c>
      <c r="CJ206" s="48">
        <f t="shared" si="147"/>
        <v>0.06</v>
      </c>
      <c r="CK206" s="18">
        <f t="shared" si="148"/>
        <v>4.8675505653430484E-3</v>
      </c>
      <c r="CL206" s="11">
        <f t="shared" si="185"/>
        <v>0</v>
      </c>
      <c r="CM206" s="11">
        <f t="shared" si="149"/>
        <v>55341.077908295905</v>
      </c>
      <c r="CN206" s="11">
        <f>IF(AB206&lt;&gt;"",CM206-SUM($CL$28:CL206),"")</f>
        <v>27164.31790829591</v>
      </c>
    </row>
    <row r="207" spans="1:92" x14ac:dyDescent="0.45">
      <c r="A207" s="68">
        <f t="shared" si="172"/>
        <v>50192</v>
      </c>
      <c r="B207" s="8">
        <f t="shared" si="132"/>
        <v>180</v>
      </c>
      <c r="C207" s="11">
        <f t="shared" si="133"/>
        <v>3522.1</v>
      </c>
      <c r="D207" s="11">
        <f t="shared" si="134"/>
        <v>2266.8875034987477</v>
      </c>
      <c r="E207" s="11">
        <f t="shared" si="135"/>
        <v>1255.2124965012522</v>
      </c>
      <c r="F207" s="9">
        <f t="shared" si="150"/>
        <v>170865.87063460497</v>
      </c>
      <c r="G207" s="10">
        <f t="shared" si="136"/>
        <v>7.0000000000000007E-2</v>
      </c>
      <c r="H207" s="10">
        <f t="shared" si="137"/>
        <v>1.7000000000000001E-2</v>
      </c>
      <c r="I207" s="48">
        <f t="shared" si="151"/>
        <v>8.7000000000000008E-2</v>
      </c>
      <c r="J207" s="11">
        <f t="shared" si="138"/>
        <v>20</v>
      </c>
      <c r="K207" s="11">
        <f>IF(B207&lt;&gt;"",IF($B$16=listy!$K$8,'RZĄDOWY PROGRAM'!$F$3*'RZĄDOWY PROGRAM'!$F$15,F206*$F$15),"")</f>
        <v>50</v>
      </c>
      <c r="L207" s="11">
        <f t="shared" si="152"/>
        <v>70</v>
      </c>
      <c r="N207" s="54">
        <f t="shared" si="173"/>
        <v>50192</v>
      </c>
      <c r="O207" s="8">
        <f t="shared" si="153"/>
        <v>180</v>
      </c>
      <c r="P207" s="8"/>
      <c r="Q207" s="11">
        <f>IF(O207&lt;&gt;"",ROUND(IF($F$11="raty równe",-PMT(W207/12,$F$4-O206+SUM($P$28:P207),T206,2),R207+S207),2),"")</f>
        <v>3522.1</v>
      </c>
      <c r="R207" s="11">
        <f>IF(O207&lt;&gt;"",IF($F$11="raty malejące",T206/($F$4-O206+SUM($P$28:P207)),IF(Q207-S207&gt;T206,T206,Q207-S207)),"")</f>
        <v>2139.5961939571398</v>
      </c>
      <c r="S207" s="11">
        <f t="shared" si="175"/>
        <v>1382.5038060428599</v>
      </c>
      <c r="T207" s="9">
        <f t="shared" si="154"/>
        <v>188550.58394988559</v>
      </c>
      <c r="U207" s="10">
        <f t="shared" si="139"/>
        <v>7.0000000000000007E-2</v>
      </c>
      <c r="V207" s="10">
        <f t="shared" si="140"/>
        <v>1.7000000000000001E-2</v>
      </c>
      <c r="W207" s="48">
        <f t="shared" si="155"/>
        <v>8.7000000000000008E-2</v>
      </c>
      <c r="X207" s="11">
        <f t="shared" si="141"/>
        <v>20</v>
      </c>
      <c r="Y207" s="11">
        <f>IF(O207&lt;&gt;"",IF($B$16=listy!$K$8,'RZĄDOWY PROGRAM'!$F$3*'RZĄDOWY PROGRAM'!$F$15,T206*$F$15),"")</f>
        <v>50</v>
      </c>
      <c r="Z207" s="11">
        <f t="shared" si="156"/>
        <v>70</v>
      </c>
      <c r="AB207" s="8">
        <f t="shared" si="157"/>
        <v>180</v>
      </c>
      <c r="AC207" s="8"/>
      <c r="AD207" s="11">
        <f>IF(AB207&lt;&gt;"",ROUND(IF($F$11="raty równe",-PMT(W207/12,$F$4-AB206+SUM($AC$28:AC207),AG206,2),AE207+AF207),2),"")</f>
        <v>3280.39</v>
      </c>
      <c r="AE207" s="11">
        <f>IF(AB207&lt;&gt;"",IF($F$11="raty malejące",AG206/($F$4-AB206+SUM($AC$28:AC206)),MIN(AD207-AF207,AG206)),"")</f>
        <v>1992.759666264303</v>
      </c>
      <c r="AF207" s="11">
        <f t="shared" si="176"/>
        <v>1287.6303337356969</v>
      </c>
      <c r="AG207" s="9">
        <f t="shared" si="174"/>
        <v>175611.42429728011</v>
      </c>
      <c r="AH207" s="11"/>
      <c r="AI207" s="33">
        <f>IF(AB207&lt;&gt;"",ROUND(IF($F$11="raty równe",-PMT(W207/12,($F$4-AB206+SUM($AC$27:AC206)),AG206,2),AG206/($F$4-AB206+SUM($AC$27:AC206))+AG206*W207/12),2),"")</f>
        <v>3280.39</v>
      </c>
      <c r="AJ207" s="33">
        <f t="shared" si="158"/>
        <v>241.71000000000004</v>
      </c>
      <c r="AK207" s="33">
        <f t="shared" si="142"/>
        <v>59611.149009416382</v>
      </c>
      <c r="AL207" s="33">
        <f>IF(AB207&lt;&gt;"",AK207-SUM($AJ$28:AJ207),"")</f>
        <v>17899.279009416365</v>
      </c>
      <c r="AM207" s="11">
        <f t="shared" si="159"/>
        <v>20</v>
      </c>
      <c r="AN207" s="11">
        <f>IF(AB207&lt;&gt;"",IF($B$16=listy!$K$8,'RZĄDOWY PROGRAM'!$F$3*'RZĄDOWY PROGRAM'!$F$15,AG206*$F$15),"")</f>
        <v>50</v>
      </c>
      <c r="AO207" s="11">
        <f t="shared" si="160"/>
        <v>70</v>
      </c>
      <c r="AQ207" s="8">
        <f t="shared" si="161"/>
        <v>180</v>
      </c>
      <c r="AR207" s="8"/>
      <c r="AS207" s="78">
        <f>IF(AQ207&lt;&gt;"",ROUND(IF($F$11="raty równe",-PMT(W207/12,$F$4-AQ206+SUM($AR$28:AR207),AV206,2),AT207+AU207),2),"")</f>
        <v>3263.83</v>
      </c>
      <c r="AT207" s="78">
        <f>IF(AQ207&lt;&gt;"",IF($F$11="raty malejące",AV206/($F$4-AQ206+SUM($AR$28:AR206)),MIN(AS207-AU207,AV206)),"")</f>
        <v>1982.7037984504213</v>
      </c>
      <c r="AU207" s="78">
        <f t="shared" si="162"/>
        <v>1281.1262015495786</v>
      </c>
      <c r="AV207" s="79">
        <f t="shared" si="163"/>
        <v>174724.35848425006</v>
      </c>
      <c r="AW207" s="11"/>
      <c r="AX207" s="33">
        <f>IF(AQ207&lt;&gt;"",ROUND(IF($F$11="raty równe",-PMT(W207/12,($F$4-AQ206+SUM($AR$27:AR206)),AV206,2),AV206/($F$4-AQ206+SUM($AR$27:AR206))+AV206*W207/12),2),"")</f>
        <v>3263.83</v>
      </c>
      <c r="AY207" s="33">
        <f t="shared" si="164"/>
        <v>258.27</v>
      </c>
      <c r="AZ207" s="33">
        <f t="shared" si="180"/>
        <v>59388.927000031414</v>
      </c>
      <c r="BA207" s="33">
        <f>IF(AQ207&lt;&gt;"",AZ207-SUM($AY$44:AY207),"")</f>
        <v>17032.65700003149</v>
      </c>
      <c r="BB207" s="11">
        <f t="shared" si="165"/>
        <v>20</v>
      </c>
      <c r="BC207" s="11">
        <f>IF(AQ207&lt;&gt;"",IF($B$16=listy!$K$8,'RZĄDOWY PROGRAM'!$F$3*'RZĄDOWY PROGRAM'!$F$15,AV206*$F$15),"")</f>
        <v>50</v>
      </c>
      <c r="BD207" s="11">
        <f t="shared" si="166"/>
        <v>70</v>
      </c>
      <c r="BF207" s="8">
        <f t="shared" si="167"/>
        <v>180</v>
      </c>
      <c r="BG207" s="8"/>
      <c r="BH207" s="78">
        <f>IF(BF207&lt;&gt;"",ROUND(IF($F$11="raty równe",-PMT(W207/12,$F$4-BF206+SUM(BV$28:$BV207)-SUM($BM$29:BM207),BK206,2),BI207+BJ207),2),"")</f>
        <v>3522.1</v>
      </c>
      <c r="BI207" s="78">
        <f>IF(BF207&lt;&gt;"",IF($F$11="raty malejące",MIN(BK206/($F$4-BF206+SUM($BG$27:BG207)-SUM($BM$27:BM207)),BK206),MIN(BH207-BJ207,BK206)),"")</f>
        <v>2827.244367419577</v>
      </c>
      <c r="BJ207" s="78">
        <f t="shared" si="168"/>
        <v>694.85563258042305</v>
      </c>
      <c r="BK207" s="79">
        <f t="shared" si="169"/>
        <v>93014.911850569799</v>
      </c>
      <c r="BL207" s="11"/>
      <c r="BM207" s="33"/>
      <c r="BN207" s="33">
        <f t="shared" si="181"/>
        <v>0</v>
      </c>
      <c r="BO207" s="33">
        <f t="shared" si="182"/>
        <v>-0.15134713849716577</v>
      </c>
      <c r="BP207" s="33">
        <f>IF(O207&lt;&gt;"",BO207-SUM($BN$44:BN207),"")</f>
        <v>-7.1347138499057522E-2</v>
      </c>
      <c r="BQ207" s="11">
        <f t="shared" si="143"/>
        <v>20</v>
      </c>
      <c r="BR207" s="11">
        <f>IF(BF207&lt;&gt;"",IF($B$16=listy!$K$8,'RZĄDOWY PROGRAM'!$F$3*'RZĄDOWY PROGRAM'!$F$15,BK206*$F$15),"")</f>
        <v>50</v>
      </c>
      <c r="BS207" s="11">
        <f t="shared" si="144"/>
        <v>70</v>
      </c>
      <c r="BU207" s="8">
        <f t="shared" si="170"/>
        <v>180</v>
      </c>
      <c r="BV207" s="8"/>
      <c r="BW207" s="78">
        <f>IF(BU207&lt;&gt;"",ROUND(IF($F$11="raty równe",-PMT(W207/12,$F$4-BU206+SUM($BV$28:BV207)-$CB$43,BZ206,2),BX207+BY207),2),"")</f>
        <v>3522.1</v>
      </c>
      <c r="BX207" s="78">
        <f>IF(BU207&lt;&gt;"",IF($F$11="raty malejące",MIN(BZ206/($F$4-BU206+SUM($BV$28:BV206)-SUM($CB$28:CB206)),BZ206),MIN(BW207-BY207,BZ206)),"")</f>
        <v>2821.0958316450578</v>
      </c>
      <c r="BY207" s="78">
        <f t="shared" si="184"/>
        <v>701.00416835494207</v>
      </c>
      <c r="BZ207" s="79">
        <f t="shared" si="178"/>
        <v>93869.134286277986</v>
      </c>
      <c r="CA207" s="11"/>
      <c r="CB207" s="33"/>
      <c r="CC207" s="33">
        <f t="shared" si="171"/>
        <v>0</v>
      </c>
      <c r="CD207" s="33">
        <f t="shared" si="183"/>
        <v>0.46079948804615672</v>
      </c>
      <c r="CE207" s="33">
        <f>IF(O207&lt;&gt;"",CD207-SUM($CC$44:CC207),"")</f>
        <v>0.19079948805254138</v>
      </c>
      <c r="CF207" s="11">
        <f t="shared" si="145"/>
        <v>20</v>
      </c>
      <c r="CG207" s="11">
        <f>IF(BU207&lt;&gt;"",IF($B$16=listy!$K$8,'RZĄDOWY PROGRAM'!$F$3*'RZĄDOWY PROGRAM'!$F$15,BZ206*$F$15),"")</f>
        <v>50</v>
      </c>
      <c r="CH207" s="11">
        <f t="shared" si="146"/>
        <v>70</v>
      </c>
      <c r="CJ207" s="48">
        <f t="shared" si="147"/>
        <v>0.06</v>
      </c>
      <c r="CK207" s="18">
        <f t="shared" si="148"/>
        <v>4.8675505653430484E-3</v>
      </c>
      <c r="CL207" s="11">
        <f t="shared" si="185"/>
        <v>0</v>
      </c>
      <c r="CM207" s="11">
        <f t="shared" si="149"/>
        <v>55559.272059293879</v>
      </c>
      <c r="CN207" s="11">
        <f>IF(AB207&lt;&gt;"",CM207-SUM($CL$28:CL207),"")</f>
        <v>27382.512059293884</v>
      </c>
    </row>
    <row r="208" spans="1:92" x14ac:dyDescent="0.45">
      <c r="A208" s="68">
        <f t="shared" si="172"/>
        <v>50222</v>
      </c>
      <c r="B208" s="8">
        <f t="shared" si="132"/>
        <v>181</v>
      </c>
      <c r="C208" s="11">
        <f t="shared" si="133"/>
        <v>3522.09</v>
      </c>
      <c r="D208" s="11">
        <f t="shared" si="134"/>
        <v>2283.3124378991142</v>
      </c>
      <c r="E208" s="11">
        <f t="shared" si="135"/>
        <v>1238.7775621008861</v>
      </c>
      <c r="F208" s="9">
        <f t="shared" si="150"/>
        <v>168582.55819670585</v>
      </c>
      <c r="G208" s="10">
        <f t="shared" si="136"/>
        <v>7.0000000000000007E-2</v>
      </c>
      <c r="H208" s="10">
        <f t="shared" si="137"/>
        <v>1.7000000000000001E-2</v>
      </c>
      <c r="I208" s="48">
        <f t="shared" si="151"/>
        <v>8.7000000000000008E-2</v>
      </c>
      <c r="J208" s="11">
        <f t="shared" si="138"/>
        <v>20</v>
      </c>
      <c r="K208" s="11">
        <f>IF(B208&lt;&gt;"",IF($B$16=listy!$K$8,'RZĄDOWY PROGRAM'!$F$3*'RZĄDOWY PROGRAM'!$F$15,F207*$F$15),"")</f>
        <v>50</v>
      </c>
      <c r="L208" s="11">
        <f t="shared" si="152"/>
        <v>70</v>
      </c>
      <c r="N208" s="54">
        <f t="shared" si="173"/>
        <v>50222</v>
      </c>
      <c r="O208" s="8">
        <f t="shared" si="153"/>
        <v>181</v>
      </c>
      <c r="P208" s="8"/>
      <c r="Q208" s="11">
        <f>IF(O208&lt;&gt;"",ROUND(IF($F$11="raty równe",-PMT(W208/12,$F$4-O207+SUM($P$28:P208),T207,2),R208+S208),2),"")</f>
        <v>3522.09</v>
      </c>
      <c r="R208" s="11">
        <f>IF(O208&lt;&gt;"",IF($F$11="raty malejące",T207/($F$4-O207+SUM($P$28:P208)),IF(Q208-S208&gt;T207,T207,Q208-S208)),"")</f>
        <v>2155.0982663633295</v>
      </c>
      <c r="S208" s="11">
        <f t="shared" si="175"/>
        <v>1366.9917336366707</v>
      </c>
      <c r="T208" s="9">
        <f t="shared" si="154"/>
        <v>186395.48568352227</v>
      </c>
      <c r="U208" s="10">
        <f t="shared" si="139"/>
        <v>7.0000000000000007E-2</v>
      </c>
      <c r="V208" s="10">
        <f t="shared" si="140"/>
        <v>1.7000000000000001E-2</v>
      </c>
      <c r="W208" s="48">
        <f t="shared" si="155"/>
        <v>8.7000000000000008E-2</v>
      </c>
      <c r="X208" s="11">
        <f t="shared" si="141"/>
        <v>20</v>
      </c>
      <c r="Y208" s="11">
        <f>IF(O208&lt;&gt;"",IF($B$16=listy!$K$8,'RZĄDOWY PROGRAM'!$F$3*'RZĄDOWY PROGRAM'!$F$15,T207*$F$15),"")</f>
        <v>50</v>
      </c>
      <c r="Z208" s="11">
        <f t="shared" si="156"/>
        <v>70</v>
      </c>
      <c r="AB208" s="8">
        <f t="shared" si="157"/>
        <v>181</v>
      </c>
      <c r="AC208" s="8"/>
      <c r="AD208" s="11">
        <f>IF(AB208&lt;&gt;"",ROUND(IF($F$11="raty równe",-PMT(W208/12,$F$4-AB207+SUM($AC$28:AC208),AG207,2),AE208+AF208),2),"")</f>
        <v>3280.4</v>
      </c>
      <c r="AE208" s="11">
        <f>IF(AB208&lt;&gt;"",IF($F$11="raty malejące",AG207/($F$4-AB207+SUM($AC$28:AC207)),MIN(AD208-AF208,AG207)),"")</f>
        <v>2007.2171738447191</v>
      </c>
      <c r="AF208" s="11">
        <f t="shared" si="176"/>
        <v>1273.182826155281</v>
      </c>
      <c r="AG208" s="9">
        <f t="shared" si="174"/>
        <v>173604.20712343539</v>
      </c>
      <c r="AH208" s="11"/>
      <c r="AI208" s="33">
        <f>IF(AB208&lt;&gt;"",ROUND(IF($F$11="raty równe",-PMT(W208/12,($F$4-AB207+SUM($AC$27:AC207)),AG207,2),AG207/($F$4-AB207+SUM($AC$27:AC207))+AG207*W208/12),2),"")</f>
        <v>3280.4</v>
      </c>
      <c r="AJ208" s="33">
        <f t="shared" si="158"/>
        <v>241.69000000000005</v>
      </c>
      <c r="AK208" s="33">
        <f t="shared" si="142"/>
        <v>60087.868837886228</v>
      </c>
      <c r="AL208" s="33">
        <f>IF(AB208&lt;&gt;"",AK208-SUM($AJ$28:AJ208),"")</f>
        <v>18134.308837886208</v>
      </c>
      <c r="AM208" s="11">
        <f t="shared" si="159"/>
        <v>20</v>
      </c>
      <c r="AN208" s="11">
        <f>IF(AB208&lt;&gt;"",IF($B$16=listy!$K$8,'RZĄDOWY PROGRAM'!$F$3*'RZĄDOWY PROGRAM'!$F$15,AG207*$F$15),"")</f>
        <v>50</v>
      </c>
      <c r="AO208" s="11">
        <f t="shared" si="160"/>
        <v>70</v>
      </c>
      <c r="AQ208" s="8">
        <f t="shared" si="161"/>
        <v>181</v>
      </c>
      <c r="AR208" s="8"/>
      <c r="AS208" s="78">
        <f>IF(AQ208&lt;&gt;"",ROUND(IF($F$11="raty równe",-PMT(W208/12,$F$4-AQ207+SUM($AR$28:AR208),AV207,2),AT208+AU208),2),"")</f>
        <v>3263.82</v>
      </c>
      <c r="AT208" s="78">
        <f>IF(AQ208&lt;&gt;"",IF($F$11="raty malejące",AV207/($F$4-AQ207+SUM($AR$28:AR207)),MIN(AS208-AU208,AV207)),"")</f>
        <v>1997.0684009891872</v>
      </c>
      <c r="AU208" s="78">
        <f t="shared" si="162"/>
        <v>1266.7515990108129</v>
      </c>
      <c r="AV208" s="79">
        <f t="shared" si="163"/>
        <v>172727.29008326086</v>
      </c>
      <c r="AW208" s="11"/>
      <c r="AX208" s="33">
        <f>IF(AQ208&lt;&gt;"",ROUND(IF($F$11="raty równe",-PMT(W208/12,($F$4-AQ207+SUM($AR$27:AR207)),AV207,2),AV207/($F$4-AQ207+SUM($AR$27:AR207))+AV207*W208/12),2),"")</f>
        <v>3263.82</v>
      </c>
      <c r="AY208" s="33">
        <f t="shared" si="164"/>
        <v>258.27</v>
      </c>
      <c r="AZ208" s="33">
        <f t="shared" si="180"/>
        <v>59881.350670238651</v>
      </c>
      <c r="BA208" s="33">
        <f>IF(AQ208&lt;&gt;"",AZ208-SUM($AY$44:AY208),"")</f>
        <v>17266.81067023873</v>
      </c>
      <c r="BB208" s="11">
        <f t="shared" si="165"/>
        <v>20</v>
      </c>
      <c r="BC208" s="11">
        <f>IF(AQ208&lt;&gt;"",IF($B$16=listy!$K$8,'RZĄDOWY PROGRAM'!$F$3*'RZĄDOWY PROGRAM'!$F$15,AV207*$F$15),"")</f>
        <v>50</v>
      </c>
      <c r="BD208" s="11">
        <f t="shared" si="166"/>
        <v>70</v>
      </c>
      <c r="BF208" s="8">
        <f t="shared" si="167"/>
        <v>181</v>
      </c>
      <c r="BG208" s="8"/>
      <c r="BH208" s="78">
        <f>IF(BF208&lt;&gt;"",ROUND(IF($F$11="raty równe",-PMT(W208/12,$F$4-BF207+SUM(BV$28:$BV208)-SUM($BM$29:BM208),BK207,2),BI208+BJ208),2),"")</f>
        <v>3522.1</v>
      </c>
      <c r="BI208" s="78">
        <f>IF(BF208&lt;&gt;"",IF($F$11="raty malejące",MIN(BK207/($F$4-BF207+SUM($BG$27:BG208)-SUM($BM$27:BM208)),BK207),MIN(BH208-BJ208,BK207)),"")</f>
        <v>2847.7418890833687</v>
      </c>
      <c r="BJ208" s="78">
        <f t="shared" si="168"/>
        <v>674.35811091663106</v>
      </c>
      <c r="BK208" s="79">
        <f t="shared" si="169"/>
        <v>90167.169961486434</v>
      </c>
      <c r="BL208" s="11"/>
      <c r="BM208" s="33"/>
      <c r="BN208" s="33">
        <f t="shared" si="181"/>
        <v>-9.9999999997635314E-3</v>
      </c>
      <c r="BO208" s="33">
        <f t="shared" si="182"/>
        <v>-0.1619438572750688</v>
      </c>
      <c r="BP208" s="33">
        <f>IF(O208&lt;&gt;"",BO208-SUM($BN$44:BN208),"")</f>
        <v>-7.1943857277197015E-2</v>
      </c>
      <c r="BQ208" s="11">
        <f t="shared" si="143"/>
        <v>20</v>
      </c>
      <c r="BR208" s="11">
        <f>IF(BF208&lt;&gt;"",IF($B$16=listy!$K$8,'RZĄDOWY PROGRAM'!$F$3*'RZĄDOWY PROGRAM'!$F$15,BK207*$F$15),"")</f>
        <v>50</v>
      </c>
      <c r="BS208" s="11">
        <f t="shared" si="144"/>
        <v>70</v>
      </c>
      <c r="BU208" s="8">
        <f t="shared" si="170"/>
        <v>181</v>
      </c>
      <c r="BV208" s="8"/>
      <c r="BW208" s="78">
        <f>IF(BU208&lt;&gt;"",ROUND(IF($F$11="raty równe",-PMT(W208/12,$F$4-BU207+SUM($BV$28:BV208)-$CB$43,BZ207,2),BX208+BY208),2),"")</f>
        <v>3522.1</v>
      </c>
      <c r="BX208" s="78">
        <f>IF(BU208&lt;&gt;"",IF($F$11="raty malejące",MIN(BZ207/($F$4-BU207+SUM($BV$28:BV207)-SUM($CB$28:CB207)),BZ207),MIN(BW208-BY208,BZ207)),"")</f>
        <v>2841.5487764244845</v>
      </c>
      <c r="BY208" s="78">
        <f t="shared" si="184"/>
        <v>680.55122357551545</v>
      </c>
      <c r="BZ208" s="79">
        <f t="shared" si="178"/>
        <v>91027.585509853496</v>
      </c>
      <c r="CA208" s="11"/>
      <c r="CB208" s="33"/>
      <c r="CC208" s="33">
        <f t="shared" si="171"/>
        <v>-9.9999999997635314E-3</v>
      </c>
      <c r="CD208" s="33">
        <f t="shared" si="183"/>
        <v>0.45261628954131783</v>
      </c>
      <c r="CE208" s="33">
        <f>IF(O208&lt;&gt;"",CD208-SUM($CC$44:CC208),"")</f>
        <v>0.19261628954746601</v>
      </c>
      <c r="CF208" s="11">
        <f t="shared" si="145"/>
        <v>20</v>
      </c>
      <c r="CG208" s="11">
        <f>IF(BU208&lt;&gt;"",IF($B$16=listy!$K$8,'RZĄDOWY PROGRAM'!$F$3*'RZĄDOWY PROGRAM'!$F$15,BZ207*$F$15),"")</f>
        <v>50</v>
      </c>
      <c r="CH208" s="11">
        <f t="shared" si="146"/>
        <v>70</v>
      </c>
      <c r="CJ208" s="48">
        <f t="shared" si="147"/>
        <v>0.06</v>
      </c>
      <c r="CK208" s="18">
        <f t="shared" si="148"/>
        <v>4.8675505653430484E-3</v>
      </c>
      <c r="CL208" s="11">
        <f t="shared" si="185"/>
        <v>0</v>
      </c>
      <c r="CM208" s="11">
        <f t="shared" si="149"/>
        <v>55778.326487852915</v>
      </c>
      <c r="CN208" s="11">
        <f>IF(AB208&lt;&gt;"",CM208-SUM($CL$28:CL208),"")</f>
        <v>27601.566487852921</v>
      </c>
    </row>
    <row r="209" spans="1:92" x14ac:dyDescent="0.45">
      <c r="A209" s="68">
        <f t="shared" si="172"/>
        <v>50253</v>
      </c>
      <c r="B209" s="8">
        <f t="shared" si="132"/>
        <v>182</v>
      </c>
      <c r="C209" s="11">
        <f t="shared" si="133"/>
        <v>3522.1</v>
      </c>
      <c r="D209" s="11">
        <f t="shared" si="134"/>
        <v>2299.8764530738827</v>
      </c>
      <c r="E209" s="11">
        <f t="shared" si="135"/>
        <v>1222.2235469261175</v>
      </c>
      <c r="F209" s="9">
        <f t="shared" si="150"/>
        <v>166282.68174363198</v>
      </c>
      <c r="G209" s="10">
        <f t="shared" si="136"/>
        <v>7.0000000000000007E-2</v>
      </c>
      <c r="H209" s="10">
        <f t="shared" si="137"/>
        <v>1.7000000000000001E-2</v>
      </c>
      <c r="I209" s="48">
        <f t="shared" si="151"/>
        <v>8.7000000000000008E-2</v>
      </c>
      <c r="J209" s="11">
        <f t="shared" si="138"/>
        <v>20</v>
      </c>
      <c r="K209" s="11">
        <f>IF(B209&lt;&gt;"",IF($B$16=listy!$K$8,'RZĄDOWY PROGRAM'!$F$3*'RZĄDOWY PROGRAM'!$F$15,F208*$F$15),"")</f>
        <v>50</v>
      </c>
      <c r="L209" s="11">
        <f t="shared" si="152"/>
        <v>70</v>
      </c>
      <c r="N209" s="54">
        <f t="shared" si="173"/>
        <v>50253</v>
      </c>
      <c r="O209" s="8">
        <f t="shared" si="153"/>
        <v>182</v>
      </c>
      <c r="P209" s="8"/>
      <c r="Q209" s="11">
        <f>IF(O209&lt;&gt;"",ROUND(IF($F$11="raty równe",-PMT(W209/12,$F$4-O208+SUM($P$28:P209),T208,2),R209+S209),2),"")</f>
        <v>3522.1</v>
      </c>
      <c r="R209" s="11">
        <f>IF(O209&lt;&gt;"",IF($F$11="raty malejące",T208/($F$4-O208+SUM($P$28:P209)),IF(Q209-S209&gt;T208,T208,Q209-S209)),"")</f>
        <v>2170.7327287944636</v>
      </c>
      <c r="S209" s="11">
        <f t="shared" si="175"/>
        <v>1351.3672712055366</v>
      </c>
      <c r="T209" s="9">
        <f t="shared" si="154"/>
        <v>184224.75295472782</v>
      </c>
      <c r="U209" s="10">
        <f t="shared" si="139"/>
        <v>7.0000000000000007E-2</v>
      </c>
      <c r="V209" s="10">
        <f t="shared" si="140"/>
        <v>1.7000000000000001E-2</v>
      </c>
      <c r="W209" s="48">
        <f t="shared" si="155"/>
        <v>8.7000000000000008E-2</v>
      </c>
      <c r="X209" s="11">
        <f t="shared" si="141"/>
        <v>20</v>
      </c>
      <c r="Y209" s="11">
        <f>IF(O209&lt;&gt;"",IF($B$16=listy!$K$8,'RZĄDOWY PROGRAM'!$F$3*'RZĄDOWY PROGRAM'!$F$15,T208*$F$15),"")</f>
        <v>50</v>
      </c>
      <c r="Z209" s="11">
        <f t="shared" si="156"/>
        <v>70</v>
      </c>
      <c r="AB209" s="8">
        <f t="shared" si="157"/>
        <v>182</v>
      </c>
      <c r="AC209" s="8"/>
      <c r="AD209" s="11">
        <f>IF(AB209&lt;&gt;"",ROUND(IF($F$11="raty równe",-PMT(W209/12,$F$4-AB208+SUM($AC$28:AC209),AG208,2),AE209+AF209),2),"")</f>
        <v>3280.39</v>
      </c>
      <c r="AE209" s="11">
        <f>IF(AB209&lt;&gt;"",IF($F$11="raty malejące",AG208/($F$4-AB208+SUM($AC$28:AC208)),MIN(AD209-AF209,AG208)),"")</f>
        <v>2021.7594983550932</v>
      </c>
      <c r="AF209" s="11">
        <f t="shared" si="176"/>
        <v>1258.6305016449066</v>
      </c>
      <c r="AG209" s="9">
        <f t="shared" si="174"/>
        <v>171582.4476250803</v>
      </c>
      <c r="AH209" s="11"/>
      <c r="AI209" s="33">
        <f>IF(AB209&lt;&gt;"",ROUND(IF($F$11="raty równe",-PMT(W209/12,($F$4-AB208+SUM($AC$27:AC208)),AG208,2),AG208/($F$4-AB208+SUM($AC$27:AC208))+AG208*W209/12),2),"")</f>
        <v>3280.39</v>
      </c>
      <c r="AJ209" s="33">
        <f t="shared" si="158"/>
        <v>241.71000000000004</v>
      </c>
      <c r="AK209" s="33">
        <f t="shared" si="142"/>
        <v>60566.488237231242</v>
      </c>
      <c r="AL209" s="33">
        <f>IF(AB209&lt;&gt;"",AK209-SUM($AJ$28:AJ209),"")</f>
        <v>18371.218237231224</v>
      </c>
      <c r="AM209" s="11">
        <f t="shared" si="159"/>
        <v>20</v>
      </c>
      <c r="AN209" s="11">
        <f>IF(AB209&lt;&gt;"",IF($B$16=listy!$K$8,'RZĄDOWY PROGRAM'!$F$3*'RZĄDOWY PROGRAM'!$F$15,AG208*$F$15),"")</f>
        <v>50</v>
      </c>
      <c r="AO209" s="11">
        <f t="shared" si="160"/>
        <v>70</v>
      </c>
      <c r="AQ209" s="8">
        <f t="shared" si="161"/>
        <v>182</v>
      </c>
      <c r="AR209" s="8"/>
      <c r="AS209" s="78">
        <f>IF(AQ209&lt;&gt;"",ROUND(IF($F$11="raty równe",-PMT(W209/12,$F$4-AQ208+SUM($AR$28:AR209),AV208,2),AT209+AU209),2),"")</f>
        <v>3263.83</v>
      </c>
      <c r="AT209" s="78">
        <f>IF(AQ209&lt;&gt;"",IF($F$11="raty malejące",AV208/($F$4-AQ208+SUM($AR$28:AR208)),MIN(AS209-AU209,AV208)),"")</f>
        <v>2011.5571468963587</v>
      </c>
      <c r="AU209" s="78">
        <f t="shared" si="162"/>
        <v>1252.2728531036412</v>
      </c>
      <c r="AV209" s="79">
        <f t="shared" si="163"/>
        <v>170715.73293636451</v>
      </c>
      <c r="AW209" s="11"/>
      <c r="AX209" s="33">
        <f>IF(AQ209&lt;&gt;"",ROUND(IF($F$11="raty równe",-PMT(W209/12,($F$4-AQ208+SUM($AR$27:AR208)),AV208,2),AV208/($F$4-AQ208+SUM($AR$27:AR208))+AV208*W209/12),2),"")</f>
        <v>3263.83</v>
      </c>
      <c r="AY209" s="33">
        <f t="shared" si="164"/>
        <v>258.27</v>
      </c>
      <c r="AZ209" s="33">
        <f t="shared" si="180"/>
        <v>60375.715827108477</v>
      </c>
      <c r="BA209" s="33">
        <f>IF(AQ209&lt;&gt;"",AZ209-SUM($AY$44:AY209),"")</f>
        <v>17502.90582710856</v>
      </c>
      <c r="BB209" s="11">
        <f t="shared" si="165"/>
        <v>20</v>
      </c>
      <c r="BC209" s="11">
        <f>IF(AQ209&lt;&gt;"",IF($B$16=listy!$K$8,'RZĄDOWY PROGRAM'!$F$3*'RZĄDOWY PROGRAM'!$F$15,AV208*$F$15),"")</f>
        <v>50</v>
      </c>
      <c r="BD209" s="11">
        <f t="shared" si="166"/>
        <v>70</v>
      </c>
      <c r="BF209" s="8">
        <f t="shared" si="167"/>
        <v>182</v>
      </c>
      <c r="BG209" s="8"/>
      <c r="BH209" s="78">
        <f>IF(BF209&lt;&gt;"",ROUND(IF($F$11="raty równe",-PMT(W209/12,$F$4-BF208+SUM(BV$28:$BV209)-SUM($BM$29:BM209),BK208,2),BI209+BJ209),2),"")</f>
        <v>3522.09</v>
      </c>
      <c r="BI209" s="78">
        <f>IF(BF209&lt;&gt;"",IF($F$11="raty malejące",MIN(BK208/($F$4-BF208+SUM($BG$27:BG209)-SUM($BM$27:BM209)),BK208),MIN(BH209-BJ209,BK208)),"")</f>
        <v>2868.3780177792232</v>
      </c>
      <c r="BJ209" s="78">
        <f t="shared" si="168"/>
        <v>653.71198222077669</v>
      </c>
      <c r="BK209" s="79">
        <f t="shared" si="169"/>
        <v>87298.791943707212</v>
      </c>
      <c r="BL209" s="11"/>
      <c r="BM209" s="33"/>
      <c r="BN209" s="33">
        <f t="shared" si="181"/>
        <v>9.9999999997635314E-3</v>
      </c>
      <c r="BO209" s="33">
        <f t="shared" si="182"/>
        <v>-0.1525823559056721</v>
      </c>
      <c r="BP209" s="33">
        <f>IF(O209&lt;&gt;"",BO209-SUM($BN$44:BN209),"")</f>
        <v>-7.2582355907563845E-2</v>
      </c>
      <c r="BQ209" s="11">
        <f t="shared" si="143"/>
        <v>20</v>
      </c>
      <c r="BR209" s="11">
        <f>IF(BF209&lt;&gt;"",IF($B$16=listy!$K$8,'RZĄDOWY PROGRAM'!$F$3*'RZĄDOWY PROGRAM'!$F$15,BK208*$F$15),"")</f>
        <v>50</v>
      </c>
      <c r="BS209" s="11">
        <f t="shared" si="144"/>
        <v>70</v>
      </c>
      <c r="BU209" s="8">
        <f t="shared" si="170"/>
        <v>182</v>
      </c>
      <c r="BV209" s="8"/>
      <c r="BW209" s="78">
        <f>IF(BU209&lt;&gt;"",ROUND(IF($F$11="raty równe",-PMT(W209/12,$F$4-BU208+SUM($BV$28:BV209)-$CB$43,BZ208,2),BX209+BY209),2),"")</f>
        <v>3522.09</v>
      </c>
      <c r="BX209" s="78">
        <f>IF(BU209&lt;&gt;"",IF($F$11="raty malejące",MIN(BZ208/($F$4-BU208+SUM($BV$28:BV208)-SUM($CB$28:CB208)),BZ208),MIN(BW209-BY209,BZ208)),"")</f>
        <v>2862.1400050535622</v>
      </c>
      <c r="BY209" s="78">
        <f t="shared" si="184"/>
        <v>659.94999494643787</v>
      </c>
      <c r="BZ209" s="79">
        <f t="shared" si="178"/>
        <v>88165.445504799936</v>
      </c>
      <c r="CA209" s="11"/>
      <c r="CB209" s="33"/>
      <c r="CC209" s="33">
        <f t="shared" si="171"/>
        <v>9.9999999997635314E-3</v>
      </c>
      <c r="CD209" s="33">
        <f t="shared" si="183"/>
        <v>0.46440082700867402</v>
      </c>
      <c r="CE209" s="33">
        <f>IF(O209&lt;&gt;"",CD209-SUM($CC$44:CC209),"")</f>
        <v>0.19440082701505867</v>
      </c>
      <c r="CF209" s="11">
        <f t="shared" si="145"/>
        <v>20</v>
      </c>
      <c r="CG209" s="11">
        <f>IF(BU209&lt;&gt;"",IF($B$16=listy!$K$8,'RZĄDOWY PROGRAM'!$F$3*'RZĄDOWY PROGRAM'!$F$15,BZ208*$F$15),"")</f>
        <v>50</v>
      </c>
      <c r="CH209" s="11">
        <f t="shared" si="146"/>
        <v>70</v>
      </c>
      <c r="CJ209" s="48">
        <f t="shared" si="147"/>
        <v>0.06</v>
      </c>
      <c r="CK209" s="18">
        <f t="shared" si="148"/>
        <v>4.8675505653430484E-3</v>
      </c>
      <c r="CL209" s="11">
        <f t="shared" si="185"/>
        <v>0</v>
      </c>
      <c r="CM209" s="11">
        <f t="shared" si="149"/>
        <v>55998.244585803091</v>
      </c>
      <c r="CN209" s="11">
        <f>IF(AB209&lt;&gt;"",CM209-SUM($CL$28:CL209),"")</f>
        <v>27821.484585803097</v>
      </c>
    </row>
    <row r="210" spans="1:92" x14ac:dyDescent="0.45">
      <c r="A210" s="68">
        <f t="shared" si="172"/>
        <v>50284</v>
      </c>
      <c r="B210" s="8">
        <f t="shared" si="132"/>
        <v>183</v>
      </c>
      <c r="C210" s="11">
        <f t="shared" si="133"/>
        <v>3522.09</v>
      </c>
      <c r="D210" s="11">
        <f t="shared" si="134"/>
        <v>2316.5405573586681</v>
      </c>
      <c r="E210" s="11">
        <f t="shared" si="135"/>
        <v>1205.549442641332</v>
      </c>
      <c r="F210" s="9">
        <f t="shared" si="150"/>
        <v>163966.14118627331</v>
      </c>
      <c r="G210" s="10">
        <f t="shared" si="136"/>
        <v>7.0000000000000007E-2</v>
      </c>
      <c r="H210" s="10">
        <f t="shared" si="137"/>
        <v>1.7000000000000001E-2</v>
      </c>
      <c r="I210" s="48">
        <f t="shared" si="151"/>
        <v>8.7000000000000008E-2</v>
      </c>
      <c r="J210" s="11">
        <f t="shared" si="138"/>
        <v>20</v>
      </c>
      <c r="K210" s="11">
        <f>IF(B210&lt;&gt;"",IF($B$16=listy!$K$8,'RZĄDOWY PROGRAM'!$F$3*'RZĄDOWY PROGRAM'!$F$15,F209*$F$15),"")</f>
        <v>50</v>
      </c>
      <c r="L210" s="11">
        <f t="shared" si="152"/>
        <v>70</v>
      </c>
      <c r="N210" s="54">
        <f t="shared" si="173"/>
        <v>50284</v>
      </c>
      <c r="O210" s="8">
        <f t="shared" si="153"/>
        <v>183</v>
      </c>
      <c r="P210" s="8"/>
      <c r="Q210" s="11">
        <f>IF(O210&lt;&gt;"",ROUND(IF($F$11="raty równe",-PMT(W210/12,$F$4-O209+SUM($P$28:P210),T209,2),R210+S210),2),"")</f>
        <v>3522.09</v>
      </c>
      <c r="R210" s="11">
        <f>IF(O210&lt;&gt;"",IF($F$11="raty malejące",T209/($F$4-O209+SUM($P$28:P210)),IF(Q210-S210&gt;T209,T209,Q210-S210)),"")</f>
        <v>2186.4605410782233</v>
      </c>
      <c r="S210" s="11">
        <f t="shared" si="175"/>
        <v>1335.6294589217769</v>
      </c>
      <c r="T210" s="9">
        <f t="shared" si="154"/>
        <v>182038.29241364961</v>
      </c>
      <c r="U210" s="10">
        <f t="shared" si="139"/>
        <v>7.0000000000000007E-2</v>
      </c>
      <c r="V210" s="10">
        <f t="shared" si="140"/>
        <v>1.7000000000000001E-2</v>
      </c>
      <c r="W210" s="48">
        <f t="shared" si="155"/>
        <v>8.7000000000000008E-2</v>
      </c>
      <c r="X210" s="11">
        <f t="shared" si="141"/>
        <v>20</v>
      </c>
      <c r="Y210" s="11">
        <f>IF(O210&lt;&gt;"",IF($B$16=listy!$K$8,'RZĄDOWY PROGRAM'!$F$3*'RZĄDOWY PROGRAM'!$F$15,T209*$F$15),"")</f>
        <v>50</v>
      </c>
      <c r="Z210" s="11">
        <f t="shared" si="156"/>
        <v>70</v>
      </c>
      <c r="AB210" s="8">
        <f t="shared" si="157"/>
        <v>183</v>
      </c>
      <c r="AC210" s="8"/>
      <c r="AD210" s="11">
        <f>IF(AB210&lt;&gt;"",ROUND(IF($F$11="raty równe",-PMT(W210/12,$F$4-AB209+SUM($AC$28:AC210),AG209,2),AE210+AF210),2),"")</f>
        <v>3280.4</v>
      </c>
      <c r="AE210" s="11">
        <f>IF(AB210&lt;&gt;"",IF($F$11="raty malejące",AG209/($F$4-AB209+SUM($AC$28:AC209)),MIN(AD210-AF210,AG209)),"")</f>
        <v>2036.4272547181679</v>
      </c>
      <c r="AF210" s="11">
        <f t="shared" si="176"/>
        <v>1243.9727452818322</v>
      </c>
      <c r="AG210" s="9">
        <f t="shared" si="174"/>
        <v>169546.02037036212</v>
      </c>
      <c r="AH210" s="11"/>
      <c r="AI210" s="33">
        <f>IF(AB210&lt;&gt;"",ROUND(IF($F$11="raty równe",-PMT(W210/12,($F$4-AB209+SUM($AC$27:AC209)),AG209,2),AG209/($F$4-AB209+SUM($AC$27:AC209))+AG209*W210/12),2),"")</f>
        <v>3280.4</v>
      </c>
      <c r="AJ210" s="33">
        <f t="shared" si="158"/>
        <v>241.69000000000005</v>
      </c>
      <c r="AK210" s="33">
        <f t="shared" si="142"/>
        <v>61046.974696919831</v>
      </c>
      <c r="AL210" s="33">
        <f>IF(AB210&lt;&gt;"",AK210-SUM($AJ$28:AJ210),"")</f>
        <v>18610.01469691981</v>
      </c>
      <c r="AM210" s="11">
        <f t="shared" si="159"/>
        <v>20</v>
      </c>
      <c r="AN210" s="11">
        <f>IF(AB210&lt;&gt;"",IF($B$16=listy!$K$8,'RZĄDOWY PROGRAM'!$F$3*'RZĄDOWY PROGRAM'!$F$15,AG209*$F$15),"")</f>
        <v>50</v>
      </c>
      <c r="AO210" s="11">
        <f t="shared" si="160"/>
        <v>70</v>
      </c>
      <c r="AQ210" s="8">
        <f t="shared" si="161"/>
        <v>183</v>
      </c>
      <c r="AR210" s="8"/>
      <c r="AS210" s="78">
        <f>IF(AQ210&lt;&gt;"",ROUND(IF($F$11="raty równe",-PMT(W210/12,$F$4-AQ209+SUM($AR$28:AR210),AV209,2),AT210+AU210),2),"")</f>
        <v>3263.82</v>
      </c>
      <c r="AT210" s="78">
        <f>IF(AQ210&lt;&gt;"",IF($F$11="raty malejące",AV209/($F$4-AQ209+SUM($AR$28:AR209)),MIN(AS210-AU210,AV209)),"")</f>
        <v>2026.1309362113573</v>
      </c>
      <c r="AU210" s="78">
        <f t="shared" si="162"/>
        <v>1237.6890637886429</v>
      </c>
      <c r="AV210" s="79">
        <f t="shared" si="163"/>
        <v>168689.60200015316</v>
      </c>
      <c r="AW210" s="11"/>
      <c r="AX210" s="33">
        <f>IF(AQ210&lt;&gt;"",ROUND(IF($F$11="raty równe",-PMT(W210/12,($F$4-AQ209+SUM($AR$27:AR209)),AV209,2),AV209/($F$4-AQ209+SUM($AR$27:AR209))+AV209*W210/12),2),"")</f>
        <v>3263.82</v>
      </c>
      <c r="AY210" s="33">
        <f t="shared" si="164"/>
        <v>258.27</v>
      </c>
      <c r="AZ210" s="33">
        <f t="shared" si="180"/>
        <v>60872.030125371341</v>
      </c>
      <c r="BA210" s="33">
        <f>IF(AQ210&lt;&gt;"",AZ210-SUM($AY$44:AY210),"")</f>
        <v>17740.950125371426</v>
      </c>
      <c r="BB210" s="11">
        <f t="shared" si="165"/>
        <v>20</v>
      </c>
      <c r="BC210" s="11">
        <f>IF(AQ210&lt;&gt;"",IF($B$16=listy!$K$8,'RZĄDOWY PROGRAM'!$F$3*'RZĄDOWY PROGRAM'!$F$15,AV209*$F$15),"")</f>
        <v>50</v>
      </c>
      <c r="BD210" s="11">
        <f t="shared" si="166"/>
        <v>70</v>
      </c>
      <c r="BF210" s="8">
        <f t="shared" si="167"/>
        <v>183</v>
      </c>
      <c r="BG210" s="8"/>
      <c r="BH210" s="78">
        <f>IF(BF210&lt;&gt;"",ROUND(IF($F$11="raty równe",-PMT(W210/12,$F$4-BF209+SUM(BV$28:$BV210)-SUM($BM$29:BM210),BK209,2),BI210+BJ210),2),"")</f>
        <v>3522.09</v>
      </c>
      <c r="BI210" s="78">
        <f>IF(BF210&lt;&gt;"",IF($F$11="raty malejące",MIN(BK209/($F$4-BF209+SUM($BG$27:BG210)-SUM($BM$27:BM210)),BK209),MIN(BH210-BJ210,BK209)),"")</f>
        <v>2889.1737584081229</v>
      </c>
      <c r="BJ210" s="78">
        <f t="shared" si="168"/>
        <v>632.91624159187734</v>
      </c>
      <c r="BK210" s="79">
        <f t="shared" si="169"/>
        <v>84409.618185299085</v>
      </c>
      <c r="BL210" s="11"/>
      <c r="BM210" s="33"/>
      <c r="BN210" s="33">
        <f t="shared" si="181"/>
        <v>0</v>
      </c>
      <c r="BO210" s="33">
        <f t="shared" si="182"/>
        <v>-0.15318394479519962</v>
      </c>
      <c r="BP210" s="33">
        <f>IF(O210&lt;&gt;"",BO210-SUM($BN$44:BN210),"")</f>
        <v>-7.3183944797091366E-2</v>
      </c>
      <c r="BQ210" s="11">
        <f t="shared" si="143"/>
        <v>20</v>
      </c>
      <c r="BR210" s="11">
        <f>IF(BF210&lt;&gt;"",IF($B$16=listy!$K$8,'RZĄDOWY PROGRAM'!$F$3*'RZĄDOWY PROGRAM'!$F$15,BK209*$F$15),"")</f>
        <v>50</v>
      </c>
      <c r="BS210" s="11">
        <f t="shared" si="144"/>
        <v>70</v>
      </c>
      <c r="BU210" s="8">
        <f t="shared" si="170"/>
        <v>183</v>
      </c>
      <c r="BV210" s="8"/>
      <c r="BW210" s="78">
        <f>IF(BU210&lt;&gt;"",ROUND(IF($F$11="raty równe",-PMT(W210/12,$F$4-BU209+SUM($BV$28:BV210)-$CB$43,BZ209,2),BX210+BY210),2),"")</f>
        <v>3522.09</v>
      </c>
      <c r="BX210" s="78">
        <f>IF(BU210&lt;&gt;"",IF($F$11="raty malejące",MIN(BZ209/($F$4-BU209+SUM($BV$28:BV209)-SUM($CB$28:CB209)),BZ209),MIN(BW210-BY210,BZ209)),"")</f>
        <v>2882.8905200902004</v>
      </c>
      <c r="BY210" s="78">
        <f t="shared" si="184"/>
        <v>639.19947990979961</v>
      </c>
      <c r="BZ210" s="79">
        <f t="shared" si="178"/>
        <v>85282.554984709743</v>
      </c>
      <c r="CA210" s="11"/>
      <c r="CB210" s="33"/>
      <c r="CC210" s="33">
        <f t="shared" si="171"/>
        <v>0</v>
      </c>
      <c r="CD210" s="33">
        <f t="shared" si="183"/>
        <v>0.46623182756019604</v>
      </c>
      <c r="CE210" s="33">
        <f>IF(O210&lt;&gt;"",CD210-SUM($CC$44:CC210),"")</f>
        <v>0.1962318275665807</v>
      </c>
      <c r="CF210" s="11">
        <f t="shared" si="145"/>
        <v>20</v>
      </c>
      <c r="CG210" s="11">
        <f>IF(BU210&lt;&gt;"",IF($B$16=listy!$K$8,'RZĄDOWY PROGRAM'!$F$3*'RZĄDOWY PROGRAM'!$F$15,BZ209*$F$15),"")</f>
        <v>50</v>
      </c>
      <c r="CH210" s="11">
        <f t="shared" si="146"/>
        <v>70</v>
      </c>
      <c r="CJ210" s="48">
        <f t="shared" si="147"/>
        <v>0.06</v>
      </c>
      <c r="CK210" s="18">
        <f t="shared" si="148"/>
        <v>4.8675505653430484E-3</v>
      </c>
      <c r="CL210" s="11">
        <f t="shared" si="185"/>
        <v>0</v>
      </c>
      <c r="CM210" s="11">
        <f t="shared" si="149"/>
        <v>56219.029758347489</v>
      </c>
      <c r="CN210" s="11">
        <f>IF(AB210&lt;&gt;"",CM210-SUM($CL$28:CL210),"")</f>
        <v>28042.269758347495</v>
      </c>
    </row>
    <row r="211" spans="1:92" x14ac:dyDescent="0.45">
      <c r="A211" s="68">
        <f t="shared" si="172"/>
        <v>50314</v>
      </c>
      <c r="B211" s="8">
        <f t="shared" si="132"/>
        <v>184</v>
      </c>
      <c r="C211" s="11">
        <f t="shared" si="133"/>
        <v>3522.1</v>
      </c>
      <c r="D211" s="11">
        <f t="shared" si="134"/>
        <v>2333.3454763995182</v>
      </c>
      <c r="E211" s="11">
        <f t="shared" si="135"/>
        <v>1188.7545236004817</v>
      </c>
      <c r="F211" s="9">
        <f t="shared" si="150"/>
        <v>161632.79570987378</v>
      </c>
      <c r="G211" s="10">
        <f t="shared" si="136"/>
        <v>7.0000000000000007E-2</v>
      </c>
      <c r="H211" s="10">
        <f t="shared" si="137"/>
        <v>1.7000000000000001E-2</v>
      </c>
      <c r="I211" s="48">
        <f t="shared" si="151"/>
        <v>8.7000000000000008E-2</v>
      </c>
      <c r="J211" s="11">
        <f t="shared" si="138"/>
        <v>20</v>
      </c>
      <c r="K211" s="11">
        <f>IF(B211&lt;&gt;"",IF($B$16=listy!$K$8,'RZĄDOWY PROGRAM'!$F$3*'RZĄDOWY PROGRAM'!$F$15,F210*$F$15),"")</f>
        <v>50</v>
      </c>
      <c r="L211" s="11">
        <f t="shared" si="152"/>
        <v>70</v>
      </c>
      <c r="N211" s="54">
        <f t="shared" si="173"/>
        <v>50314</v>
      </c>
      <c r="O211" s="8">
        <f t="shared" si="153"/>
        <v>184</v>
      </c>
      <c r="P211" s="8"/>
      <c r="Q211" s="11">
        <f>IF(O211&lt;&gt;"",ROUND(IF($F$11="raty równe",-PMT(W211/12,$F$4-O210+SUM($P$28:P211),T210,2),R211+S211),2),"")</f>
        <v>3522.1</v>
      </c>
      <c r="R211" s="11">
        <f>IF(O211&lt;&gt;"",IF($F$11="raty malejące",T210/($F$4-O210+SUM($P$28:P211)),IF(Q211-S211&gt;T210,T210,Q211-S211)),"")</f>
        <v>2202.3223800010401</v>
      </c>
      <c r="S211" s="11">
        <f t="shared" si="175"/>
        <v>1319.7776199989598</v>
      </c>
      <c r="T211" s="9">
        <f t="shared" si="154"/>
        <v>179835.97003364857</v>
      </c>
      <c r="U211" s="10">
        <f t="shared" si="139"/>
        <v>7.0000000000000007E-2</v>
      </c>
      <c r="V211" s="10">
        <f t="shared" si="140"/>
        <v>1.7000000000000001E-2</v>
      </c>
      <c r="W211" s="48">
        <f t="shared" si="155"/>
        <v>8.7000000000000008E-2</v>
      </c>
      <c r="X211" s="11">
        <f t="shared" si="141"/>
        <v>20</v>
      </c>
      <c r="Y211" s="11">
        <f>IF(O211&lt;&gt;"",IF($B$16=listy!$K$8,'RZĄDOWY PROGRAM'!$F$3*'RZĄDOWY PROGRAM'!$F$15,T210*$F$15),"")</f>
        <v>50</v>
      </c>
      <c r="Z211" s="11">
        <f t="shared" si="156"/>
        <v>70</v>
      </c>
      <c r="AB211" s="8">
        <f t="shared" si="157"/>
        <v>184</v>
      </c>
      <c r="AC211" s="8"/>
      <c r="AD211" s="11">
        <f>IF(AB211&lt;&gt;"",ROUND(IF($F$11="raty równe",-PMT(W211/12,$F$4-AB210+SUM($AC$28:AC211),AG210,2),AE211+AF211),2),"")</f>
        <v>3280.39</v>
      </c>
      <c r="AE211" s="11">
        <f>IF(AB211&lt;&gt;"",IF($F$11="raty malejące",AG210/($F$4-AB210+SUM($AC$28:AC210)),MIN(AD211-AF211,AG210)),"")</f>
        <v>2051.1813523148744</v>
      </c>
      <c r="AF211" s="11">
        <f t="shared" si="176"/>
        <v>1229.2086476851255</v>
      </c>
      <c r="AG211" s="9">
        <f t="shared" si="174"/>
        <v>167494.83901804723</v>
      </c>
      <c r="AH211" s="11"/>
      <c r="AI211" s="33">
        <f>IF(AB211&lt;&gt;"",ROUND(IF($F$11="raty równe",-PMT(W211/12,($F$4-AB210+SUM($AC$27:AC210)),AG210,2),AG210/($F$4-AB210+SUM($AC$27:AC210))+AG210*W211/12),2),"")</f>
        <v>3280.39</v>
      </c>
      <c r="AJ211" s="33">
        <f t="shared" si="158"/>
        <v>241.71000000000004</v>
      </c>
      <c r="AK211" s="33">
        <f t="shared" si="142"/>
        <v>61529.375578240601</v>
      </c>
      <c r="AL211" s="33">
        <f>IF(AB211&lt;&gt;"",AK211-SUM($AJ$28:AJ211),"")</f>
        <v>18850.705578240581</v>
      </c>
      <c r="AM211" s="11">
        <f t="shared" si="159"/>
        <v>20</v>
      </c>
      <c r="AN211" s="11">
        <f>IF(AB211&lt;&gt;"",IF($B$16=listy!$K$8,'RZĄDOWY PROGRAM'!$F$3*'RZĄDOWY PROGRAM'!$F$15,AG210*$F$15),"")</f>
        <v>50</v>
      </c>
      <c r="AO211" s="11">
        <f t="shared" si="160"/>
        <v>70</v>
      </c>
      <c r="AQ211" s="8">
        <f t="shared" si="161"/>
        <v>184</v>
      </c>
      <c r="AR211" s="8"/>
      <c r="AS211" s="78">
        <f>IF(AQ211&lt;&gt;"",ROUND(IF($F$11="raty równe",-PMT(W211/12,$F$4-AQ210+SUM($AR$28:AR211),AV210,2),AT211+AU211),2),"")</f>
        <v>3263.83</v>
      </c>
      <c r="AT211" s="78">
        <f>IF(AQ211&lt;&gt;"",IF($F$11="raty malejące",AV210/($F$4-AQ210+SUM($AR$28:AR210)),MIN(AS211-AU211,AV210)),"")</f>
        <v>2040.8303854988894</v>
      </c>
      <c r="AU211" s="78">
        <f t="shared" si="162"/>
        <v>1222.9996145011105</v>
      </c>
      <c r="AV211" s="79">
        <f t="shared" si="163"/>
        <v>166648.77161465428</v>
      </c>
      <c r="AW211" s="11"/>
      <c r="AX211" s="33">
        <f>IF(AQ211&lt;&gt;"",ROUND(IF($F$11="raty równe",-PMT(W211/12,($F$4-AQ210+SUM($AR$27:AR210)),AV210,2),AV210/($F$4-AQ210+SUM($AR$27:AR210))+AV210*W211/12),2),"")</f>
        <v>3263.83</v>
      </c>
      <c r="AY211" s="33">
        <f t="shared" si="164"/>
        <v>258.27</v>
      </c>
      <c r="AZ211" s="33">
        <f t="shared" si="180"/>
        <v>61370.301249938108</v>
      </c>
      <c r="BA211" s="33">
        <f>IF(AQ211&lt;&gt;"",AZ211-SUM($AY$44:AY211),"")</f>
        <v>17980.951249938196</v>
      </c>
      <c r="BB211" s="11">
        <f t="shared" si="165"/>
        <v>20</v>
      </c>
      <c r="BC211" s="11">
        <f>IF(AQ211&lt;&gt;"",IF($B$16=listy!$K$8,'RZĄDOWY PROGRAM'!$F$3*'RZĄDOWY PROGRAM'!$F$15,AV210*$F$15),"")</f>
        <v>50</v>
      </c>
      <c r="BD211" s="11">
        <f t="shared" si="166"/>
        <v>70</v>
      </c>
      <c r="BF211" s="8">
        <f t="shared" si="167"/>
        <v>184</v>
      </c>
      <c r="BG211" s="8"/>
      <c r="BH211" s="78">
        <f>IF(BF211&lt;&gt;"",ROUND(IF($F$11="raty równe",-PMT(W211/12,$F$4-BF210+SUM(BV$28:$BV211)-SUM($BM$29:BM211),BK210,2),BI211+BJ211),2),"")</f>
        <v>3522.1</v>
      </c>
      <c r="BI211" s="78">
        <f>IF(BF211&lt;&gt;"",IF($F$11="raty malejące",MIN(BK210/($F$4-BF210+SUM($BG$27:BG211)-SUM($BM$27:BM211)),BK210),MIN(BH211-BJ211,BK210)),"")</f>
        <v>2910.1302681565812</v>
      </c>
      <c r="BJ211" s="78">
        <f t="shared" si="168"/>
        <v>611.96973184341846</v>
      </c>
      <c r="BK211" s="79">
        <f t="shared" si="169"/>
        <v>81499.487917142498</v>
      </c>
      <c r="BL211" s="11"/>
      <c r="BM211" s="33"/>
      <c r="BN211" s="33">
        <f t="shared" si="181"/>
        <v>0</v>
      </c>
      <c r="BO211" s="33">
        <f t="shared" si="182"/>
        <v>-0.153787905578842</v>
      </c>
      <c r="BP211" s="33">
        <f>IF(O211&lt;&gt;"",BO211-SUM($BN$44:BN211),"")</f>
        <v>-7.3787905580733754E-2</v>
      </c>
      <c r="BQ211" s="11">
        <f t="shared" si="143"/>
        <v>20</v>
      </c>
      <c r="BR211" s="11">
        <f>IF(BF211&lt;&gt;"",IF($B$16=listy!$K$8,'RZĄDOWY PROGRAM'!$F$3*'RZĄDOWY PROGRAM'!$F$15,BK210*$F$15),"")</f>
        <v>50</v>
      </c>
      <c r="BS211" s="11">
        <f t="shared" si="144"/>
        <v>70</v>
      </c>
      <c r="BU211" s="8">
        <f t="shared" si="170"/>
        <v>184</v>
      </c>
      <c r="BV211" s="8"/>
      <c r="BW211" s="78">
        <f>IF(BU211&lt;&gt;"",ROUND(IF($F$11="raty równe",-PMT(W211/12,$F$4-BU210+SUM($BV$28:BV211)-$CB$43,BZ210,2),BX211+BY211),2),"")</f>
        <v>3522.1</v>
      </c>
      <c r="BX211" s="78">
        <f>IF(BU211&lt;&gt;"",IF($F$11="raty malejące",MIN(BZ210/($F$4-BU210+SUM($BV$28:BV210)-SUM($CB$28:CB210)),BZ210),MIN(BW211-BY211,BZ210)),"")</f>
        <v>2903.8014763608544</v>
      </c>
      <c r="BY211" s="78">
        <f t="shared" si="184"/>
        <v>618.29852363914563</v>
      </c>
      <c r="BZ211" s="79">
        <f t="shared" si="178"/>
        <v>82378.753508348891</v>
      </c>
      <c r="CA211" s="11"/>
      <c r="CB211" s="33"/>
      <c r="CC211" s="33">
        <f t="shared" si="171"/>
        <v>0</v>
      </c>
      <c r="CD211" s="33">
        <f t="shared" si="183"/>
        <v>0.46807004722681156</v>
      </c>
      <c r="CE211" s="33">
        <f>IF(O211&lt;&gt;"",CD211-SUM($CC$44:CC211),"")</f>
        <v>0.19807004723319621</v>
      </c>
      <c r="CF211" s="11">
        <f t="shared" si="145"/>
        <v>20</v>
      </c>
      <c r="CG211" s="11">
        <f>IF(BU211&lt;&gt;"",IF($B$16=listy!$K$8,'RZĄDOWY PROGRAM'!$F$3*'RZĄDOWY PROGRAM'!$F$15,BZ210*$F$15),"")</f>
        <v>50</v>
      </c>
      <c r="CH211" s="11">
        <f t="shared" si="146"/>
        <v>70</v>
      </c>
      <c r="CJ211" s="48">
        <f t="shared" si="147"/>
        <v>0.06</v>
      </c>
      <c r="CK211" s="18">
        <f t="shared" si="148"/>
        <v>4.8675505653430484E-3</v>
      </c>
      <c r="CL211" s="11">
        <f t="shared" si="185"/>
        <v>0</v>
      </c>
      <c r="CM211" s="11">
        <f t="shared" si="149"/>
        <v>56440.685424114949</v>
      </c>
      <c r="CN211" s="11">
        <f>IF(AB211&lt;&gt;"",CM211-SUM($CL$28:CL211),"")</f>
        <v>28263.925424114954</v>
      </c>
    </row>
    <row r="212" spans="1:92" x14ac:dyDescent="0.45">
      <c r="A212" s="68">
        <f t="shared" si="172"/>
        <v>50345</v>
      </c>
      <c r="B212" s="8">
        <f t="shared" si="132"/>
        <v>185</v>
      </c>
      <c r="C212" s="11">
        <f t="shared" si="133"/>
        <v>3522.09</v>
      </c>
      <c r="D212" s="11">
        <f t="shared" si="134"/>
        <v>2350.2522311034154</v>
      </c>
      <c r="E212" s="11">
        <f t="shared" si="135"/>
        <v>1171.837768896585</v>
      </c>
      <c r="F212" s="9">
        <f t="shared" si="150"/>
        <v>159282.54347877036</v>
      </c>
      <c r="G212" s="10">
        <f t="shared" si="136"/>
        <v>7.0000000000000007E-2</v>
      </c>
      <c r="H212" s="10">
        <f t="shared" si="137"/>
        <v>1.7000000000000001E-2</v>
      </c>
      <c r="I212" s="48">
        <f t="shared" si="151"/>
        <v>8.7000000000000008E-2</v>
      </c>
      <c r="J212" s="11">
        <f t="shared" si="138"/>
        <v>20</v>
      </c>
      <c r="K212" s="11">
        <f>IF(B212&lt;&gt;"",IF($B$16=listy!$K$8,'RZĄDOWY PROGRAM'!$F$3*'RZĄDOWY PROGRAM'!$F$15,F211*$F$15),"")</f>
        <v>50</v>
      </c>
      <c r="L212" s="11">
        <f t="shared" si="152"/>
        <v>70</v>
      </c>
      <c r="N212" s="54">
        <f t="shared" si="173"/>
        <v>50345</v>
      </c>
      <c r="O212" s="8">
        <f t="shared" si="153"/>
        <v>185</v>
      </c>
      <c r="P212" s="8"/>
      <c r="Q212" s="11">
        <f>IF(O212&lt;&gt;"",ROUND(IF($F$11="raty równe",-PMT(W212/12,$F$4-O211+SUM($P$28:P212),T211,2),R212+S212),2),"")</f>
        <v>3522.09</v>
      </c>
      <c r="R212" s="11">
        <f>IF(O212&lt;&gt;"",IF($F$11="raty malejące",T211/($F$4-O211+SUM($P$28:P212)),IF(Q212-S212&gt;T211,T211,Q212-S212)),"")</f>
        <v>2218.2792172560476</v>
      </c>
      <c r="S212" s="11">
        <f t="shared" si="175"/>
        <v>1303.8107827439524</v>
      </c>
      <c r="T212" s="9">
        <f t="shared" si="154"/>
        <v>177617.69081639251</v>
      </c>
      <c r="U212" s="10">
        <f t="shared" si="139"/>
        <v>7.0000000000000007E-2</v>
      </c>
      <c r="V212" s="10">
        <f t="shared" si="140"/>
        <v>1.7000000000000001E-2</v>
      </c>
      <c r="W212" s="48">
        <f t="shared" si="155"/>
        <v>8.7000000000000008E-2</v>
      </c>
      <c r="X212" s="11">
        <f t="shared" si="141"/>
        <v>20</v>
      </c>
      <c r="Y212" s="11">
        <f>IF(O212&lt;&gt;"",IF($B$16=listy!$K$8,'RZĄDOWY PROGRAM'!$F$3*'RZĄDOWY PROGRAM'!$F$15,T211*$F$15),"")</f>
        <v>50</v>
      </c>
      <c r="Z212" s="11">
        <f t="shared" si="156"/>
        <v>70</v>
      </c>
      <c r="AB212" s="8">
        <f t="shared" si="157"/>
        <v>185</v>
      </c>
      <c r="AC212" s="8"/>
      <c r="AD212" s="11">
        <f>IF(AB212&lt;&gt;"",ROUND(IF($F$11="raty równe",-PMT(W212/12,$F$4-AB211+SUM($AC$28:AC212),AG211,2),AE212+AF212),2),"")</f>
        <v>3280.4</v>
      </c>
      <c r="AE212" s="11">
        <f>IF(AB212&lt;&gt;"",IF($F$11="raty malejące",AG211/($F$4-AB211+SUM($AC$28:AC211)),MIN(AD212-AF212,AG211)),"")</f>
        <v>2066.0624171191575</v>
      </c>
      <c r="AF212" s="11">
        <f t="shared" si="176"/>
        <v>1214.3375828808425</v>
      </c>
      <c r="AG212" s="9">
        <f t="shared" si="174"/>
        <v>165428.77660092807</v>
      </c>
      <c r="AH212" s="11"/>
      <c r="AI212" s="33">
        <f>IF(AB212&lt;&gt;"",ROUND(IF($F$11="raty równe",-PMT(W212/12,($F$4-AB211+SUM($AC$27:AC211)),AG211,2),AG211/($F$4-AB211+SUM($AC$27:AC211))+AG211*W212/12),2),"")</f>
        <v>3280.4</v>
      </c>
      <c r="AJ212" s="33">
        <f t="shared" si="158"/>
        <v>241.69000000000005</v>
      </c>
      <c r="AK212" s="33">
        <f t="shared" si="142"/>
        <v>62013.658429214272</v>
      </c>
      <c r="AL212" s="33">
        <f>IF(AB212&lt;&gt;"",AK212-SUM($AJ$28:AJ212),"")</f>
        <v>19093.29842921425</v>
      </c>
      <c r="AM212" s="11">
        <f t="shared" si="159"/>
        <v>20</v>
      </c>
      <c r="AN212" s="11">
        <f>IF(AB212&lt;&gt;"",IF($B$16=listy!$K$8,'RZĄDOWY PROGRAM'!$F$3*'RZĄDOWY PROGRAM'!$F$15,AG211*$F$15),"")</f>
        <v>50</v>
      </c>
      <c r="AO212" s="11">
        <f t="shared" si="160"/>
        <v>70</v>
      </c>
      <c r="AQ212" s="8">
        <f t="shared" si="161"/>
        <v>185</v>
      </c>
      <c r="AR212" s="8"/>
      <c r="AS212" s="78">
        <f>IF(AQ212&lt;&gt;"",ROUND(IF($F$11="raty równe",-PMT(W212/12,$F$4-AQ211+SUM($AR$28:AR212),AV211,2),AT212+AU212),2),"")</f>
        <v>3263.82</v>
      </c>
      <c r="AT212" s="78">
        <f>IF(AQ212&lt;&gt;"",IF($F$11="raty malejące",AV211/($F$4-AQ211+SUM($AR$28:AR211)),MIN(AS212-AU212,AV211)),"")</f>
        <v>2055.6164057937567</v>
      </c>
      <c r="AU212" s="78">
        <f t="shared" si="162"/>
        <v>1208.2035942062437</v>
      </c>
      <c r="AV212" s="79">
        <f t="shared" si="163"/>
        <v>164593.15520886052</v>
      </c>
      <c r="AW212" s="11"/>
      <c r="AX212" s="33">
        <f>IF(AQ212&lt;&gt;"",ROUND(IF($F$11="raty równe",-PMT(W212/12,($F$4-AQ211+SUM($AR$27:AR211)),AV211,2),AV211/($F$4-AQ211+SUM($AR$27:AR211))+AV211*W212/12),2),"")</f>
        <v>3263.82</v>
      </c>
      <c r="AY212" s="33">
        <f t="shared" si="164"/>
        <v>258.27</v>
      </c>
      <c r="AZ212" s="33">
        <f t="shared" si="180"/>
        <v>61870.536916019082</v>
      </c>
      <c r="BA212" s="33">
        <f>IF(AQ212&lt;&gt;"",AZ212-SUM($AY$44:AY212),"")</f>
        <v>18222.916916019174</v>
      </c>
      <c r="BB212" s="11">
        <f t="shared" si="165"/>
        <v>20</v>
      </c>
      <c r="BC212" s="11">
        <f>IF(AQ212&lt;&gt;"",IF($B$16=listy!$K$8,'RZĄDOWY PROGRAM'!$F$3*'RZĄDOWY PROGRAM'!$F$15,AV211*$F$15),"")</f>
        <v>50</v>
      </c>
      <c r="BD212" s="11">
        <f t="shared" si="166"/>
        <v>70</v>
      </c>
      <c r="BF212" s="8">
        <f t="shared" si="167"/>
        <v>185</v>
      </c>
      <c r="BG212" s="8"/>
      <c r="BH212" s="78">
        <f>IF(BF212&lt;&gt;"",ROUND(IF($F$11="raty równe",-PMT(W212/12,$F$4-BF211+SUM(BV$28:$BV212)-SUM($BM$29:BM212),BK211,2),BI212+BJ212),2),"")</f>
        <v>3522.1</v>
      </c>
      <c r="BI212" s="78">
        <f>IF(BF212&lt;&gt;"",IF($F$11="raty malejące",MIN(BK211/($F$4-BF211+SUM($BG$27:BG212)-SUM($BM$27:BM212)),BK211),MIN(BH212-BJ212,BK211)),"")</f>
        <v>2931.2287126007168</v>
      </c>
      <c r="BJ212" s="78">
        <f t="shared" si="168"/>
        <v>590.87128739928323</v>
      </c>
      <c r="BK212" s="79">
        <f t="shared" si="169"/>
        <v>78568.259204541784</v>
      </c>
      <c r="BL212" s="11"/>
      <c r="BM212" s="33"/>
      <c r="BN212" s="33">
        <f t="shared" si="181"/>
        <v>-9.9999999997635314E-3</v>
      </c>
      <c r="BO212" s="33">
        <f t="shared" si="182"/>
        <v>-0.16439424760806756</v>
      </c>
      <c r="BP212" s="33">
        <f>IF(O212&lt;&gt;"",BO212-SUM($BN$44:BN212),"")</f>
        <v>-7.4394247610195779E-2</v>
      </c>
      <c r="BQ212" s="11">
        <f t="shared" si="143"/>
        <v>20</v>
      </c>
      <c r="BR212" s="11">
        <f>IF(BF212&lt;&gt;"",IF($B$16=listy!$K$8,'RZĄDOWY PROGRAM'!$F$3*'RZĄDOWY PROGRAM'!$F$15,BK211*$F$15),"")</f>
        <v>50</v>
      </c>
      <c r="BS212" s="11">
        <f t="shared" si="144"/>
        <v>70</v>
      </c>
      <c r="BU212" s="8">
        <f t="shared" si="170"/>
        <v>185</v>
      </c>
      <c r="BV212" s="8"/>
      <c r="BW212" s="78">
        <f>IF(BU212&lt;&gt;"",ROUND(IF($F$11="raty równe",-PMT(W212/12,$F$4-BU211+SUM($BV$28:BV212)-$CB$43,BZ211,2),BX212+BY212),2),"")</f>
        <v>3522.1</v>
      </c>
      <c r="BX212" s="78">
        <f>IF(BU212&lt;&gt;"",IF($F$11="raty malejące",MIN(BZ211/($F$4-BU211+SUM($BV$28:BV211)-SUM($CB$28:CB211)),BZ211),MIN(BW212-BY212,BZ211)),"")</f>
        <v>2924.8540370644705</v>
      </c>
      <c r="BY212" s="78">
        <f t="shared" si="184"/>
        <v>597.24596293552952</v>
      </c>
      <c r="BZ212" s="79">
        <f t="shared" si="178"/>
        <v>79453.899471284414</v>
      </c>
      <c r="CA212" s="11"/>
      <c r="CB212" s="33"/>
      <c r="CC212" s="33">
        <f t="shared" si="171"/>
        <v>-9.9999999997635314E-3</v>
      </c>
      <c r="CD212" s="33">
        <f t="shared" si="183"/>
        <v>0.45991551447167728</v>
      </c>
      <c r="CE212" s="33">
        <f>IF(O212&lt;&gt;"",CD212-SUM($CC$44:CC212),"")</f>
        <v>0.19991551447782546</v>
      </c>
      <c r="CF212" s="11">
        <f t="shared" si="145"/>
        <v>20</v>
      </c>
      <c r="CG212" s="11">
        <f>IF(BU212&lt;&gt;"",IF($B$16=listy!$K$8,'RZĄDOWY PROGRAM'!$F$3*'RZĄDOWY PROGRAM'!$F$15,BZ211*$F$15),"")</f>
        <v>50</v>
      </c>
      <c r="CH212" s="11">
        <f t="shared" si="146"/>
        <v>70</v>
      </c>
      <c r="CJ212" s="48">
        <f t="shared" si="147"/>
        <v>0.06</v>
      </c>
      <c r="CK212" s="18">
        <f t="shared" si="148"/>
        <v>4.8675505653430484E-3</v>
      </c>
      <c r="CL212" s="11">
        <f t="shared" si="185"/>
        <v>0</v>
      </c>
      <c r="CM212" s="11">
        <f t="shared" si="149"/>
        <v>56663.215015212998</v>
      </c>
      <c r="CN212" s="11">
        <f>IF(AB212&lt;&gt;"",CM212-SUM($CL$28:CL212),"")</f>
        <v>28486.455015213003</v>
      </c>
    </row>
    <row r="213" spans="1:92" x14ac:dyDescent="0.45">
      <c r="A213" s="68">
        <f t="shared" si="172"/>
        <v>50375</v>
      </c>
      <c r="B213" s="8">
        <f t="shared" si="132"/>
        <v>186</v>
      </c>
      <c r="C213" s="11">
        <f t="shared" si="133"/>
        <v>3522.1</v>
      </c>
      <c r="D213" s="11">
        <f t="shared" si="134"/>
        <v>2367.3015597789145</v>
      </c>
      <c r="E213" s="11">
        <f t="shared" si="135"/>
        <v>1154.7984402210852</v>
      </c>
      <c r="F213" s="9">
        <f t="shared" si="150"/>
        <v>156915.24191899144</v>
      </c>
      <c r="G213" s="10">
        <f t="shared" si="136"/>
        <v>7.0000000000000007E-2</v>
      </c>
      <c r="H213" s="10">
        <f t="shared" si="137"/>
        <v>1.7000000000000001E-2</v>
      </c>
      <c r="I213" s="48">
        <f t="shared" si="151"/>
        <v>8.7000000000000008E-2</v>
      </c>
      <c r="J213" s="11">
        <f t="shared" si="138"/>
        <v>20</v>
      </c>
      <c r="K213" s="11">
        <f>IF(B213&lt;&gt;"",IF($B$16=listy!$K$8,'RZĄDOWY PROGRAM'!$F$3*'RZĄDOWY PROGRAM'!$F$15,F212*$F$15),"")</f>
        <v>50</v>
      </c>
      <c r="L213" s="11">
        <f t="shared" si="152"/>
        <v>70</v>
      </c>
      <c r="N213" s="54">
        <f t="shared" si="173"/>
        <v>50375</v>
      </c>
      <c r="O213" s="8">
        <f t="shared" si="153"/>
        <v>186</v>
      </c>
      <c r="P213" s="8"/>
      <c r="Q213" s="11">
        <f>IF(O213&lt;&gt;"",ROUND(IF($F$11="raty równe",-PMT(W213/12,$F$4-O212+SUM($P$28:P213),T212,2),R213+S213),2),"")</f>
        <v>3522.1</v>
      </c>
      <c r="R213" s="11">
        <f>IF(O213&lt;&gt;"",IF($F$11="raty malejące",T212/($F$4-O212+SUM($P$28:P213)),IF(Q213-S213&gt;T212,T212,Q213-S213)),"")</f>
        <v>2234.3717415811543</v>
      </c>
      <c r="S213" s="11">
        <f t="shared" si="175"/>
        <v>1287.7282584188458</v>
      </c>
      <c r="T213" s="9">
        <f t="shared" si="154"/>
        <v>175383.31907481136</v>
      </c>
      <c r="U213" s="10">
        <f t="shared" si="139"/>
        <v>7.0000000000000007E-2</v>
      </c>
      <c r="V213" s="10">
        <f t="shared" si="140"/>
        <v>1.7000000000000001E-2</v>
      </c>
      <c r="W213" s="48">
        <f t="shared" si="155"/>
        <v>8.7000000000000008E-2</v>
      </c>
      <c r="X213" s="11">
        <f t="shared" si="141"/>
        <v>20</v>
      </c>
      <c r="Y213" s="11">
        <f>IF(O213&lt;&gt;"",IF($B$16=listy!$K$8,'RZĄDOWY PROGRAM'!$F$3*'RZĄDOWY PROGRAM'!$F$15,T212*$F$15),"")</f>
        <v>50</v>
      </c>
      <c r="Z213" s="11">
        <f t="shared" si="156"/>
        <v>70</v>
      </c>
      <c r="AB213" s="8">
        <f t="shared" si="157"/>
        <v>186</v>
      </c>
      <c r="AC213" s="8"/>
      <c r="AD213" s="11">
        <f>IF(AB213&lt;&gt;"",ROUND(IF($F$11="raty równe",-PMT(W213/12,$F$4-AB212+SUM($AC$28:AC213),AG212,2),AE213+AF213),2),"")</f>
        <v>3280.39</v>
      </c>
      <c r="AE213" s="11">
        <f>IF(AB213&lt;&gt;"",IF($F$11="raty malejące",AG212/($F$4-AB212+SUM($AC$28:AC212)),MIN(AD213-AF213,AG212)),"")</f>
        <v>2081.0313696432713</v>
      </c>
      <c r="AF213" s="11">
        <f t="shared" si="176"/>
        <v>1199.3586303567288</v>
      </c>
      <c r="AG213" s="9">
        <f t="shared" si="174"/>
        <v>163347.74523128482</v>
      </c>
      <c r="AH213" s="11"/>
      <c r="AI213" s="33">
        <f>IF(AB213&lt;&gt;"",ROUND(IF($F$11="raty równe",-PMT(W213/12,($F$4-AB212+SUM($AC$27:AC212)),AG212,2),AG212/($F$4-AB212+SUM($AC$27:AC212))+AG212*W213/12),2),"")</f>
        <v>3280.39</v>
      </c>
      <c r="AJ213" s="33">
        <f t="shared" si="158"/>
        <v>241.71000000000004</v>
      </c>
      <c r="AK213" s="33">
        <f t="shared" si="142"/>
        <v>62499.870669912627</v>
      </c>
      <c r="AL213" s="33">
        <f>IF(AB213&lt;&gt;"",AK213-SUM($AJ$28:AJ213),"")</f>
        <v>19337.800669912605</v>
      </c>
      <c r="AM213" s="11">
        <f t="shared" si="159"/>
        <v>20</v>
      </c>
      <c r="AN213" s="11">
        <f>IF(AB213&lt;&gt;"",IF($B$16=listy!$K$8,'RZĄDOWY PROGRAM'!$F$3*'RZĄDOWY PROGRAM'!$F$15,AG212*$F$15),"")</f>
        <v>50</v>
      </c>
      <c r="AO213" s="11">
        <f t="shared" si="160"/>
        <v>70</v>
      </c>
      <c r="AQ213" s="8">
        <f t="shared" si="161"/>
        <v>186</v>
      </c>
      <c r="AR213" s="8"/>
      <c r="AS213" s="78">
        <f>IF(AQ213&lt;&gt;"",ROUND(IF($F$11="raty równe",-PMT(W213/12,$F$4-AQ212+SUM($AR$28:AR213),AV212,2),AT213+AU213),2),"")</f>
        <v>3263.83</v>
      </c>
      <c r="AT213" s="78">
        <f>IF(AQ213&lt;&gt;"",IF($F$11="raty malejące",AV212/($F$4-AQ212+SUM($AR$28:AR212)),MIN(AS213-AU213,AV212)),"")</f>
        <v>2070.529624735761</v>
      </c>
      <c r="AU213" s="78">
        <f t="shared" si="162"/>
        <v>1193.3003752642389</v>
      </c>
      <c r="AV213" s="79">
        <f t="shared" si="163"/>
        <v>162522.62558412476</v>
      </c>
      <c r="AW213" s="11"/>
      <c r="AX213" s="33">
        <f>IF(AQ213&lt;&gt;"",ROUND(IF($F$11="raty równe",-PMT(W213/12,($F$4-AQ212+SUM($AR$27:AR212)),AV212,2),AV212/($F$4-AQ212+SUM($AR$27:AR212))+AV212*W213/12),2),"")</f>
        <v>3263.83</v>
      </c>
      <c r="AY213" s="33">
        <f t="shared" si="164"/>
        <v>258.27</v>
      </c>
      <c r="AZ213" s="33">
        <f t="shared" si="180"/>
        <v>62372.744869243441</v>
      </c>
      <c r="BA213" s="33">
        <f>IF(AQ213&lt;&gt;"",AZ213-SUM($AY$44:AY213),"")</f>
        <v>18466.854869243536</v>
      </c>
      <c r="BB213" s="11">
        <f t="shared" si="165"/>
        <v>20</v>
      </c>
      <c r="BC213" s="11">
        <f>IF(AQ213&lt;&gt;"",IF($B$16=listy!$K$8,'RZĄDOWY PROGRAM'!$F$3*'RZĄDOWY PROGRAM'!$F$15,AV212*$F$15),"")</f>
        <v>50</v>
      </c>
      <c r="BD213" s="11">
        <f t="shared" si="166"/>
        <v>70</v>
      </c>
      <c r="BF213" s="8">
        <f t="shared" si="167"/>
        <v>186</v>
      </c>
      <c r="BG213" s="8"/>
      <c r="BH213" s="78">
        <f>IF(BF213&lt;&gt;"",ROUND(IF($F$11="raty równe",-PMT(W213/12,$F$4-BF212+SUM(BV$28:$BV213)-SUM($BM$29:BM213),BK212,2),BI213+BJ213),2),"")</f>
        <v>3522.09</v>
      </c>
      <c r="BI213" s="78">
        <f>IF(BF213&lt;&gt;"",IF($F$11="raty malejące",MIN(BK212/($F$4-BF212+SUM($BG$27:BG213)-SUM($BM$27:BM213)),BK212),MIN(BH213-BJ213,BK212)),"")</f>
        <v>2952.4701207670723</v>
      </c>
      <c r="BJ213" s="78">
        <f t="shared" si="168"/>
        <v>569.61987923292793</v>
      </c>
      <c r="BK213" s="79">
        <f t="shared" si="169"/>
        <v>75615.789083774711</v>
      </c>
      <c r="BL213" s="11"/>
      <c r="BM213" s="33"/>
      <c r="BN213" s="33">
        <f t="shared" si="181"/>
        <v>9.9999999997635314E-3</v>
      </c>
      <c r="BO213" s="33">
        <f t="shared" si="182"/>
        <v>-0.15504240743173991</v>
      </c>
      <c r="BP213" s="33">
        <f>IF(O213&lt;&gt;"",BO213-SUM($BN$44:BN213),"")</f>
        <v>-7.5042407433631664E-2</v>
      </c>
      <c r="BQ213" s="11">
        <f t="shared" si="143"/>
        <v>20</v>
      </c>
      <c r="BR213" s="11">
        <f>IF(BF213&lt;&gt;"",IF($B$16=listy!$K$8,'RZĄDOWY PROGRAM'!$F$3*'RZĄDOWY PROGRAM'!$F$15,BK212*$F$15),"")</f>
        <v>50</v>
      </c>
      <c r="BS213" s="11">
        <f t="shared" si="144"/>
        <v>70</v>
      </c>
      <c r="BU213" s="8">
        <f t="shared" si="170"/>
        <v>186</v>
      </c>
      <c r="BV213" s="8"/>
      <c r="BW213" s="78">
        <f>IF(BU213&lt;&gt;"",ROUND(IF($F$11="raty równe",-PMT(W213/12,$F$4-BU212+SUM($BV$28:BV213)-$CB$43,BZ212,2),BX213+BY213),2),"")</f>
        <v>3522.09</v>
      </c>
      <c r="BX213" s="78">
        <f>IF(BU213&lt;&gt;"",IF($F$11="raty malejące",MIN(BZ212/($F$4-BU212+SUM($BV$28:BV212)-SUM($CB$28:CB212)),BZ212),MIN(BW213-BY213,BZ212)),"")</f>
        <v>2946.049228833188</v>
      </c>
      <c r="BY213" s="78">
        <f t="shared" si="184"/>
        <v>576.04077116681208</v>
      </c>
      <c r="BZ213" s="79">
        <f t="shared" si="178"/>
        <v>76507.850242451226</v>
      </c>
      <c r="CA213" s="11"/>
      <c r="CB213" s="33"/>
      <c r="CC213" s="33">
        <f t="shared" si="171"/>
        <v>9.9999999997635314E-3</v>
      </c>
      <c r="CD213" s="33">
        <f t="shared" si="183"/>
        <v>0.47172883070964694</v>
      </c>
      <c r="CE213" s="33">
        <f>IF(O213&lt;&gt;"",CD213-SUM($CC$44:CC213),"")</f>
        <v>0.20172883071603159</v>
      </c>
      <c r="CF213" s="11">
        <f t="shared" si="145"/>
        <v>20</v>
      </c>
      <c r="CG213" s="11">
        <f>IF(BU213&lt;&gt;"",IF($B$16=listy!$K$8,'RZĄDOWY PROGRAM'!$F$3*'RZĄDOWY PROGRAM'!$F$15,BZ212*$F$15),"")</f>
        <v>50</v>
      </c>
      <c r="CH213" s="11">
        <f t="shared" si="146"/>
        <v>70</v>
      </c>
      <c r="CJ213" s="48">
        <f t="shared" si="147"/>
        <v>0.06</v>
      </c>
      <c r="CK213" s="18">
        <f t="shared" si="148"/>
        <v>4.8675505653430484E-3</v>
      </c>
      <c r="CL213" s="11">
        <f t="shared" si="185"/>
        <v>0</v>
      </c>
      <c r="CM213" s="11">
        <f t="shared" si="149"/>
        <v>56886.621977280978</v>
      </c>
      <c r="CN213" s="11">
        <f>IF(AB213&lt;&gt;"",CM213-SUM($CL$28:CL213),"")</f>
        <v>28709.861977280983</v>
      </c>
    </row>
    <row r="214" spans="1:92" x14ac:dyDescent="0.45">
      <c r="A214" s="68">
        <f t="shared" si="172"/>
        <v>50406</v>
      </c>
      <c r="B214" s="8">
        <f t="shared" si="132"/>
        <v>187</v>
      </c>
      <c r="C214" s="11">
        <f t="shared" si="133"/>
        <v>3522.09</v>
      </c>
      <c r="D214" s="11">
        <f t="shared" si="134"/>
        <v>2384.4544960873118</v>
      </c>
      <c r="E214" s="11">
        <f t="shared" si="135"/>
        <v>1137.6355039126881</v>
      </c>
      <c r="F214" s="9">
        <f t="shared" si="150"/>
        <v>154530.78742290413</v>
      </c>
      <c r="G214" s="10">
        <f t="shared" si="136"/>
        <v>7.0000000000000007E-2</v>
      </c>
      <c r="H214" s="10">
        <f t="shared" si="137"/>
        <v>1.7000000000000001E-2</v>
      </c>
      <c r="I214" s="48">
        <f t="shared" si="151"/>
        <v>8.7000000000000008E-2</v>
      </c>
      <c r="J214" s="11">
        <f t="shared" si="138"/>
        <v>20</v>
      </c>
      <c r="K214" s="11">
        <f>IF(B214&lt;&gt;"",IF($B$16=listy!$K$8,'RZĄDOWY PROGRAM'!$F$3*'RZĄDOWY PROGRAM'!$F$15,F213*$F$15),"")</f>
        <v>50</v>
      </c>
      <c r="L214" s="11">
        <f t="shared" si="152"/>
        <v>70</v>
      </c>
      <c r="N214" s="54">
        <f t="shared" si="173"/>
        <v>50406</v>
      </c>
      <c r="O214" s="8">
        <f t="shared" si="153"/>
        <v>187</v>
      </c>
      <c r="P214" s="8"/>
      <c r="Q214" s="11">
        <f>IF(O214&lt;&gt;"",ROUND(IF($F$11="raty równe",-PMT(W214/12,$F$4-O213+SUM($P$28:P214),T213,2),R214+S214),2),"")</f>
        <v>3522.09</v>
      </c>
      <c r="R214" s="11">
        <f>IF(O214&lt;&gt;"",IF($F$11="raty malejące",T213/($F$4-O213+SUM($P$28:P214)),IF(Q214-S214&gt;T213,T213,Q214-S214)),"")</f>
        <v>2250.5609367076177</v>
      </c>
      <c r="S214" s="11">
        <f t="shared" si="175"/>
        <v>1271.5290632923825</v>
      </c>
      <c r="T214" s="9">
        <f t="shared" si="154"/>
        <v>173132.75813810373</v>
      </c>
      <c r="U214" s="10">
        <f t="shared" si="139"/>
        <v>7.0000000000000007E-2</v>
      </c>
      <c r="V214" s="10">
        <f t="shared" si="140"/>
        <v>1.7000000000000001E-2</v>
      </c>
      <c r="W214" s="48">
        <f t="shared" si="155"/>
        <v>8.7000000000000008E-2</v>
      </c>
      <c r="X214" s="11">
        <f t="shared" si="141"/>
        <v>20</v>
      </c>
      <c r="Y214" s="11">
        <f>IF(O214&lt;&gt;"",IF($B$16=listy!$K$8,'RZĄDOWY PROGRAM'!$F$3*'RZĄDOWY PROGRAM'!$F$15,T213*$F$15),"")</f>
        <v>50</v>
      </c>
      <c r="Z214" s="11">
        <f t="shared" si="156"/>
        <v>70</v>
      </c>
      <c r="AB214" s="8">
        <f t="shared" si="157"/>
        <v>187</v>
      </c>
      <c r="AC214" s="8"/>
      <c r="AD214" s="11">
        <f>IF(AB214&lt;&gt;"",ROUND(IF($F$11="raty równe",-PMT(W214/12,$F$4-AB213+SUM($AC$28:AC214),AG213,2),AE214+AF214),2),"")</f>
        <v>3280.4</v>
      </c>
      <c r="AE214" s="11">
        <f>IF(AB214&lt;&gt;"",IF($F$11="raty malejące",AG213/($F$4-AB213+SUM($AC$28:AC213)),MIN(AD214-AF214,AG213)),"")</f>
        <v>2096.1288470731852</v>
      </c>
      <c r="AF214" s="11">
        <f t="shared" si="176"/>
        <v>1184.2711529268151</v>
      </c>
      <c r="AG214" s="9">
        <f t="shared" si="174"/>
        <v>161251.61638421164</v>
      </c>
      <c r="AH214" s="11"/>
      <c r="AI214" s="33">
        <f>IF(AB214&lt;&gt;"",ROUND(IF($F$11="raty równe",-PMT(W214/12,($F$4-AB213+SUM($AC$27:AC213)),AG213,2),AG213/($F$4-AB213+SUM($AC$27:AC213))+AG213*W214/12),2),"")</f>
        <v>3280.4</v>
      </c>
      <c r="AJ214" s="33">
        <f t="shared" si="158"/>
        <v>241.69000000000005</v>
      </c>
      <c r="AK214" s="33">
        <f t="shared" si="142"/>
        <v>62987.979907371329</v>
      </c>
      <c r="AL214" s="33">
        <f>IF(AB214&lt;&gt;"",AK214-SUM($AJ$28:AJ214),"")</f>
        <v>19584.219907371305</v>
      </c>
      <c r="AM214" s="11">
        <f t="shared" si="159"/>
        <v>20</v>
      </c>
      <c r="AN214" s="11">
        <f>IF(AB214&lt;&gt;"",IF($B$16=listy!$K$8,'RZĄDOWY PROGRAM'!$F$3*'RZĄDOWY PROGRAM'!$F$15,AG213*$F$15),"")</f>
        <v>50</v>
      </c>
      <c r="AO214" s="11">
        <f t="shared" si="160"/>
        <v>70</v>
      </c>
      <c r="AQ214" s="8">
        <f t="shared" si="161"/>
        <v>187</v>
      </c>
      <c r="AR214" s="8"/>
      <c r="AS214" s="78">
        <f>IF(AQ214&lt;&gt;"",ROUND(IF($F$11="raty równe",-PMT(W214/12,$F$4-AQ213+SUM($AR$28:AR214),AV213,2),AT214+AU214),2),"")</f>
        <v>3263.82</v>
      </c>
      <c r="AT214" s="78">
        <f>IF(AQ214&lt;&gt;"",IF($F$11="raty malejące",AV213/($F$4-AQ213+SUM($AR$28:AR213)),MIN(AS214-AU214,AV213)),"")</f>
        <v>2085.5309645150955</v>
      </c>
      <c r="AU214" s="78">
        <f t="shared" si="162"/>
        <v>1178.2890354849046</v>
      </c>
      <c r="AV214" s="79">
        <f t="shared" si="163"/>
        <v>160437.09461960968</v>
      </c>
      <c r="AW214" s="11"/>
      <c r="AX214" s="33">
        <f>IF(AQ214&lt;&gt;"",ROUND(IF($F$11="raty równe",-PMT(W214/12,($F$4-AQ213+SUM($AR$27:AR213)),AV213,2),AV213/($F$4-AQ213+SUM($AR$27:AR213))+AV213*W214/12),2),"")</f>
        <v>3263.82</v>
      </c>
      <c r="AY214" s="33">
        <f t="shared" si="164"/>
        <v>258.27</v>
      </c>
      <c r="AZ214" s="33">
        <f t="shared" si="180"/>
        <v>62876.93288577917</v>
      </c>
      <c r="BA214" s="33">
        <f>IF(AQ214&lt;&gt;"",AZ214-SUM($AY$44:AY214),"")</f>
        <v>18712.772885779268</v>
      </c>
      <c r="BB214" s="11">
        <f t="shared" si="165"/>
        <v>20</v>
      </c>
      <c r="BC214" s="11">
        <f>IF(AQ214&lt;&gt;"",IF($B$16=listy!$K$8,'RZĄDOWY PROGRAM'!$F$3*'RZĄDOWY PROGRAM'!$F$15,AV213*$F$15),"")</f>
        <v>50</v>
      </c>
      <c r="BD214" s="11">
        <f t="shared" si="166"/>
        <v>70</v>
      </c>
      <c r="BF214" s="8">
        <f t="shared" si="167"/>
        <v>187</v>
      </c>
      <c r="BG214" s="8"/>
      <c r="BH214" s="78">
        <f>IF(BF214&lt;&gt;"",ROUND(IF($F$11="raty równe",-PMT(W214/12,$F$4-BF213+SUM(BV$28:$BV214)-SUM($BM$29:BM214),BK213,2),BI214+BJ214),2),"")</f>
        <v>3522.09</v>
      </c>
      <c r="BI214" s="78">
        <f>IF(BF214&lt;&gt;"",IF($F$11="raty malejące",MIN(BK213/($F$4-BF213+SUM($BG$27:BG214)-SUM($BM$27:BM214)),BK213),MIN(BH214-BJ214,BK213)),"")</f>
        <v>2973.8755291426332</v>
      </c>
      <c r="BJ214" s="78">
        <f t="shared" si="168"/>
        <v>548.21447085736668</v>
      </c>
      <c r="BK214" s="79">
        <f t="shared" si="169"/>
        <v>72641.913554632076</v>
      </c>
      <c r="BL214" s="11"/>
      <c r="BM214" s="33"/>
      <c r="BN214" s="33">
        <f t="shared" si="181"/>
        <v>0</v>
      </c>
      <c r="BO214" s="33">
        <f t="shared" si="182"/>
        <v>-0.1556536956056766</v>
      </c>
      <c r="BP214" s="33">
        <f>IF(O214&lt;&gt;"",BO214-SUM($BN$44:BN214),"")</f>
        <v>-7.565369560756835E-2</v>
      </c>
      <c r="BQ214" s="11">
        <f t="shared" si="143"/>
        <v>20</v>
      </c>
      <c r="BR214" s="11">
        <f>IF(BF214&lt;&gt;"",IF($B$16=listy!$K$8,'RZĄDOWY PROGRAM'!$F$3*'RZĄDOWY PROGRAM'!$F$15,BK213*$F$15),"")</f>
        <v>50</v>
      </c>
      <c r="BS214" s="11">
        <f t="shared" si="144"/>
        <v>70</v>
      </c>
      <c r="BU214" s="8">
        <f t="shared" si="170"/>
        <v>187</v>
      </c>
      <c r="BV214" s="8"/>
      <c r="BW214" s="78">
        <f>IF(BU214&lt;&gt;"",ROUND(IF($F$11="raty równe",-PMT(W214/12,$F$4-BU213+SUM($BV$28:BV214)-$CB$43,BZ213,2),BX214+BY214),2),"")</f>
        <v>3522.09</v>
      </c>
      <c r="BX214" s="78">
        <f>IF(BU214&lt;&gt;"",IF($F$11="raty malejące",MIN(BZ213/($F$4-BU213+SUM($BV$28:BV213)-SUM($CB$28:CB213)),BZ213),MIN(BW214-BY214,BZ213)),"")</f>
        <v>2967.4080857422286</v>
      </c>
      <c r="BY214" s="78">
        <f t="shared" si="184"/>
        <v>554.68191425777138</v>
      </c>
      <c r="BZ214" s="79">
        <f t="shared" si="178"/>
        <v>73540.442156709003</v>
      </c>
      <c r="CA214" s="11"/>
      <c r="CB214" s="33"/>
      <c r="CC214" s="33">
        <f t="shared" si="171"/>
        <v>0</v>
      </c>
      <c r="CD214" s="33">
        <f t="shared" si="183"/>
        <v>0.47358872349830056</v>
      </c>
      <c r="CE214" s="33">
        <f>IF(O214&lt;&gt;"",CD214-SUM($CC$44:CC214),"")</f>
        <v>0.20358872350468521</v>
      </c>
      <c r="CF214" s="11">
        <f t="shared" si="145"/>
        <v>20</v>
      </c>
      <c r="CG214" s="11">
        <f>IF(BU214&lt;&gt;"",IF($B$16=listy!$K$8,'RZĄDOWY PROGRAM'!$F$3*'RZĄDOWY PROGRAM'!$F$15,BZ213*$F$15),"")</f>
        <v>50</v>
      </c>
      <c r="CH214" s="11">
        <f t="shared" si="146"/>
        <v>70</v>
      </c>
      <c r="CJ214" s="48">
        <f t="shared" si="147"/>
        <v>0.06</v>
      </c>
      <c r="CK214" s="18">
        <f t="shared" si="148"/>
        <v>4.8675505653430484E-3</v>
      </c>
      <c r="CL214" s="11">
        <f t="shared" si="185"/>
        <v>0</v>
      </c>
      <c r="CM214" s="11">
        <f t="shared" si="149"/>
        <v>57110.909769543417</v>
      </c>
      <c r="CN214" s="11">
        <f>IF(AB214&lt;&gt;"",CM214-SUM($CL$28:CL214),"")</f>
        <v>28934.149769543423</v>
      </c>
    </row>
    <row r="215" spans="1:92" x14ac:dyDescent="0.45">
      <c r="A215" s="68">
        <f t="shared" si="172"/>
        <v>50437</v>
      </c>
      <c r="B215" s="8">
        <f t="shared" si="132"/>
        <v>188</v>
      </c>
      <c r="C215" s="11">
        <f t="shared" si="133"/>
        <v>3522.1</v>
      </c>
      <c r="D215" s="11">
        <f t="shared" si="134"/>
        <v>2401.751791183945</v>
      </c>
      <c r="E215" s="11">
        <f t="shared" si="135"/>
        <v>1120.3482088160551</v>
      </c>
      <c r="F215" s="9">
        <f t="shared" si="150"/>
        <v>152129.03563172018</v>
      </c>
      <c r="G215" s="10">
        <f t="shared" si="136"/>
        <v>7.0000000000000007E-2</v>
      </c>
      <c r="H215" s="10">
        <f t="shared" si="137"/>
        <v>1.7000000000000001E-2</v>
      </c>
      <c r="I215" s="48">
        <f t="shared" si="151"/>
        <v>8.7000000000000008E-2</v>
      </c>
      <c r="J215" s="11">
        <f t="shared" si="138"/>
        <v>20</v>
      </c>
      <c r="K215" s="11">
        <f>IF(B215&lt;&gt;"",IF($B$16=listy!$K$8,'RZĄDOWY PROGRAM'!$F$3*'RZĄDOWY PROGRAM'!$F$15,F214*$F$15),"")</f>
        <v>50</v>
      </c>
      <c r="L215" s="11">
        <f t="shared" si="152"/>
        <v>70</v>
      </c>
      <c r="N215" s="54">
        <f t="shared" si="173"/>
        <v>50437</v>
      </c>
      <c r="O215" s="8">
        <f t="shared" si="153"/>
        <v>188</v>
      </c>
      <c r="P215" s="8"/>
      <c r="Q215" s="11">
        <f>IF(O215&lt;&gt;"",ROUND(IF($F$11="raty równe",-PMT(W215/12,$F$4-O214+SUM($P$28:P215),T214,2),R215+S215),2),"")</f>
        <v>3522.1</v>
      </c>
      <c r="R215" s="11">
        <f>IF(O215&lt;&gt;"",IF($F$11="raty malejące",T214/($F$4-O214+SUM($P$28:P215)),IF(Q215-S215&gt;T214,T214,Q215-S215)),"")</f>
        <v>2266.8875034987477</v>
      </c>
      <c r="S215" s="11">
        <f t="shared" si="175"/>
        <v>1255.2124965012522</v>
      </c>
      <c r="T215" s="9">
        <f t="shared" si="154"/>
        <v>170865.87063460497</v>
      </c>
      <c r="U215" s="10">
        <f t="shared" si="139"/>
        <v>7.0000000000000007E-2</v>
      </c>
      <c r="V215" s="10">
        <f t="shared" si="140"/>
        <v>1.7000000000000001E-2</v>
      </c>
      <c r="W215" s="48">
        <f t="shared" si="155"/>
        <v>8.7000000000000008E-2</v>
      </c>
      <c r="X215" s="11">
        <f t="shared" si="141"/>
        <v>20</v>
      </c>
      <c r="Y215" s="11">
        <f>IF(O215&lt;&gt;"",IF($B$16=listy!$K$8,'RZĄDOWY PROGRAM'!$F$3*'RZĄDOWY PROGRAM'!$F$15,T214*$F$15),"")</f>
        <v>50</v>
      </c>
      <c r="Z215" s="11">
        <f t="shared" si="156"/>
        <v>70</v>
      </c>
      <c r="AB215" s="8">
        <f t="shared" si="157"/>
        <v>188</v>
      </c>
      <c r="AC215" s="8"/>
      <c r="AD215" s="11">
        <f>IF(AB215&lt;&gt;"",ROUND(IF($F$11="raty równe",-PMT(W215/12,$F$4-AB214+SUM($AC$28:AC215),AG214,2),AE215+AF215),2),"")</f>
        <v>3280.39</v>
      </c>
      <c r="AE215" s="11">
        <f>IF(AB215&lt;&gt;"",IF($F$11="raty malejące",AG214/($F$4-AB214+SUM($AC$28:AC214)),MIN(AD215-AF215,AG214)),"")</f>
        <v>2111.3157812144655</v>
      </c>
      <c r="AF215" s="11">
        <f t="shared" si="176"/>
        <v>1169.0742187855344</v>
      </c>
      <c r="AG215" s="9">
        <f t="shared" si="174"/>
        <v>159140.30060299716</v>
      </c>
      <c r="AH215" s="11"/>
      <c r="AI215" s="33">
        <f>IF(AB215&lt;&gt;"",ROUND(IF($F$11="raty równe",-PMT(W215/12,($F$4-AB214+SUM($AC$27:AC214)),AG214,2),AG214/($F$4-AB214+SUM($AC$27:AC214))+AG214*W215/12),2),"")</f>
        <v>3280.39</v>
      </c>
      <c r="AJ215" s="33">
        <f t="shared" si="158"/>
        <v>241.71000000000004</v>
      </c>
      <c r="AK215" s="33">
        <f t="shared" si="142"/>
        <v>63478.033620909766</v>
      </c>
      <c r="AL215" s="33">
        <f>IF(AB215&lt;&gt;"",AK215-SUM($AJ$28:AJ215),"")</f>
        <v>19832.563620909743</v>
      </c>
      <c r="AM215" s="11">
        <f t="shared" si="159"/>
        <v>20</v>
      </c>
      <c r="AN215" s="11">
        <f>IF(AB215&lt;&gt;"",IF($B$16=listy!$K$8,'RZĄDOWY PROGRAM'!$F$3*'RZĄDOWY PROGRAM'!$F$15,AG214*$F$15),"")</f>
        <v>50</v>
      </c>
      <c r="AO215" s="11">
        <f t="shared" si="160"/>
        <v>70</v>
      </c>
      <c r="AQ215" s="8">
        <f t="shared" si="161"/>
        <v>188</v>
      </c>
      <c r="AR215" s="8"/>
      <c r="AS215" s="78">
        <f>IF(AQ215&lt;&gt;"",ROUND(IF($F$11="raty równe",-PMT(W215/12,$F$4-AQ214+SUM($AR$28:AR215),AV214,2),AT215+AU215),2),"")</f>
        <v>3263.83</v>
      </c>
      <c r="AT215" s="78">
        <f>IF(AQ215&lt;&gt;"",IF($F$11="raty malejące",AV214/($F$4-AQ214+SUM($AR$28:AR214)),MIN(AS215-AU215,AV214)),"")</f>
        <v>2100.6610640078297</v>
      </c>
      <c r="AU215" s="78">
        <f t="shared" si="162"/>
        <v>1163.1689359921704</v>
      </c>
      <c r="AV215" s="79">
        <f t="shared" si="163"/>
        <v>158336.43355560183</v>
      </c>
      <c r="AW215" s="11"/>
      <c r="AX215" s="33">
        <f>IF(AQ215&lt;&gt;"",ROUND(IF($F$11="raty równe",-PMT(W215/12,($F$4-AQ214+SUM($AR$27:AR214)),AV214,2),AV214/($F$4-AQ214+SUM($AR$27:AR214))+AV214*W215/12),2),"")</f>
        <v>3263.83</v>
      </c>
      <c r="AY215" s="33">
        <f t="shared" si="164"/>
        <v>258.27</v>
      </c>
      <c r="AZ215" s="33">
        <f t="shared" si="180"/>
        <v>63383.108772453495</v>
      </c>
      <c r="BA215" s="33">
        <f>IF(AQ215&lt;&gt;"",AZ215-SUM($AY$44:AY215),"")</f>
        <v>18960.678772453597</v>
      </c>
      <c r="BB215" s="11">
        <f t="shared" si="165"/>
        <v>20</v>
      </c>
      <c r="BC215" s="11">
        <f>IF(AQ215&lt;&gt;"",IF($B$16=listy!$K$8,'RZĄDOWY PROGRAM'!$F$3*'RZĄDOWY PROGRAM'!$F$15,AV214*$F$15),"")</f>
        <v>50</v>
      </c>
      <c r="BD215" s="11">
        <f t="shared" si="166"/>
        <v>70</v>
      </c>
      <c r="BF215" s="8">
        <f t="shared" si="167"/>
        <v>188</v>
      </c>
      <c r="BG215" s="8"/>
      <c r="BH215" s="78">
        <f>IF(BF215&lt;&gt;"",ROUND(IF($F$11="raty równe",-PMT(W215/12,$F$4-BF214+SUM(BV$28:$BV215)-SUM($BM$29:BM215),BK214,2),BI215+BJ215),2),"")</f>
        <v>3522.1</v>
      </c>
      <c r="BI215" s="78">
        <f>IF(BF215&lt;&gt;"",IF($F$11="raty malejące",MIN(BK214/($F$4-BF214+SUM($BG$27:BG215)-SUM($BM$27:BM215)),BK214),MIN(BH215-BJ215,BK214)),"")</f>
        <v>2995.4461267289171</v>
      </c>
      <c r="BJ215" s="78">
        <f t="shared" si="168"/>
        <v>526.6538732710826</v>
      </c>
      <c r="BK215" s="79">
        <f t="shared" si="169"/>
        <v>69646.467427903161</v>
      </c>
      <c r="BL215" s="11"/>
      <c r="BM215" s="33"/>
      <c r="BN215" s="33">
        <f t="shared" si="181"/>
        <v>0</v>
      </c>
      <c r="BO215" s="33">
        <f t="shared" si="182"/>
        <v>-0.15626739391525157</v>
      </c>
      <c r="BP215" s="33">
        <f>IF(O215&lt;&gt;"",BO215-SUM($BN$44:BN215),"")</f>
        <v>-7.6267393917143322E-2</v>
      </c>
      <c r="BQ215" s="11">
        <f t="shared" si="143"/>
        <v>20</v>
      </c>
      <c r="BR215" s="11">
        <f>IF(BF215&lt;&gt;"",IF($B$16=listy!$K$8,'RZĄDOWY PROGRAM'!$F$3*'RZĄDOWY PROGRAM'!$F$15,BK214*$F$15),"")</f>
        <v>50</v>
      </c>
      <c r="BS215" s="11">
        <f t="shared" si="144"/>
        <v>70</v>
      </c>
      <c r="BU215" s="8">
        <f t="shared" si="170"/>
        <v>188</v>
      </c>
      <c r="BV215" s="8"/>
      <c r="BW215" s="78">
        <f>IF(BU215&lt;&gt;"",ROUND(IF($F$11="raty równe",-PMT(W215/12,$F$4-BU214+SUM($BV$28:BV215)-$CB$43,BZ214,2),BX215+BY215),2),"")</f>
        <v>3522.1</v>
      </c>
      <c r="BX215" s="78">
        <f>IF(BU215&lt;&gt;"",IF($F$11="raty malejące",MIN(BZ214/($F$4-BU214+SUM($BV$28:BV214)-SUM($CB$28:CB214)),BZ214),MIN(BW215-BY215,BZ214)),"")</f>
        <v>2988.9317943638598</v>
      </c>
      <c r="BY215" s="78">
        <f t="shared" si="184"/>
        <v>533.16820563614033</v>
      </c>
      <c r="BZ215" s="79">
        <f t="shared" si="178"/>
        <v>70551.510362345143</v>
      </c>
      <c r="CA215" s="11"/>
      <c r="CB215" s="33"/>
      <c r="CC215" s="33">
        <f t="shared" si="171"/>
        <v>0</v>
      </c>
      <c r="CD215" s="33">
        <f t="shared" si="183"/>
        <v>0.47545594931593205</v>
      </c>
      <c r="CE215" s="33">
        <f>IF(O215&lt;&gt;"",CD215-SUM($CC$44:CC215),"")</f>
        <v>0.2054559493223167</v>
      </c>
      <c r="CF215" s="11">
        <f t="shared" si="145"/>
        <v>20</v>
      </c>
      <c r="CG215" s="11">
        <f>IF(BU215&lt;&gt;"",IF($B$16=listy!$K$8,'RZĄDOWY PROGRAM'!$F$3*'RZĄDOWY PROGRAM'!$F$15,BZ214*$F$15),"")</f>
        <v>50</v>
      </c>
      <c r="CH215" s="11">
        <f t="shared" si="146"/>
        <v>70</v>
      </c>
      <c r="CJ215" s="48">
        <f t="shared" si="147"/>
        <v>0.06</v>
      </c>
      <c r="CK215" s="18">
        <f t="shared" si="148"/>
        <v>4.8675505653430484E-3</v>
      </c>
      <c r="CL215" s="11">
        <f t="shared" si="185"/>
        <v>0</v>
      </c>
      <c r="CM215" s="11">
        <f t="shared" si="149"/>
        <v>57336.081864863576</v>
      </c>
      <c r="CN215" s="11">
        <f>IF(AB215&lt;&gt;"",CM215-SUM($CL$28:CL215),"")</f>
        <v>29159.321864863581</v>
      </c>
    </row>
    <row r="216" spans="1:92" x14ac:dyDescent="0.45">
      <c r="A216" s="68">
        <f t="shared" si="172"/>
        <v>50465</v>
      </c>
      <c r="B216" s="8">
        <f t="shared" si="132"/>
        <v>189</v>
      </c>
      <c r="C216" s="11">
        <f t="shared" si="133"/>
        <v>3522.09</v>
      </c>
      <c r="D216" s="11">
        <f t="shared" si="134"/>
        <v>2419.1544916700286</v>
      </c>
      <c r="E216" s="11">
        <f t="shared" si="135"/>
        <v>1102.9355083299713</v>
      </c>
      <c r="F216" s="9">
        <f t="shared" si="150"/>
        <v>149709.88114005016</v>
      </c>
      <c r="G216" s="10">
        <f t="shared" si="136"/>
        <v>7.0000000000000007E-2</v>
      </c>
      <c r="H216" s="10">
        <f t="shared" si="137"/>
        <v>1.7000000000000001E-2</v>
      </c>
      <c r="I216" s="48">
        <f t="shared" si="151"/>
        <v>8.7000000000000008E-2</v>
      </c>
      <c r="J216" s="11">
        <f t="shared" si="138"/>
        <v>20</v>
      </c>
      <c r="K216" s="11">
        <f>IF(B216&lt;&gt;"",IF($B$16=listy!$K$8,'RZĄDOWY PROGRAM'!$F$3*'RZĄDOWY PROGRAM'!$F$15,F215*$F$15),"")</f>
        <v>50</v>
      </c>
      <c r="L216" s="11">
        <f t="shared" si="152"/>
        <v>70</v>
      </c>
      <c r="N216" s="54">
        <f t="shared" si="173"/>
        <v>50465</v>
      </c>
      <c r="O216" s="8">
        <f t="shared" si="153"/>
        <v>189</v>
      </c>
      <c r="P216" s="8"/>
      <c r="Q216" s="11">
        <f>IF(O216&lt;&gt;"",ROUND(IF($F$11="raty równe",-PMT(W216/12,$F$4-O215+SUM($P$28:P216),T215,2),R216+S216),2),"")</f>
        <v>3522.09</v>
      </c>
      <c r="R216" s="11">
        <f>IF(O216&lt;&gt;"",IF($F$11="raty malejące",T215/($F$4-O215+SUM($P$28:P216)),IF(Q216-S216&gt;T215,T215,Q216-S216)),"")</f>
        <v>2283.3124378991142</v>
      </c>
      <c r="S216" s="11">
        <f t="shared" si="175"/>
        <v>1238.7775621008861</v>
      </c>
      <c r="T216" s="9">
        <f t="shared" si="154"/>
        <v>168582.55819670585</v>
      </c>
      <c r="U216" s="10">
        <f t="shared" si="139"/>
        <v>7.0000000000000007E-2</v>
      </c>
      <c r="V216" s="10">
        <f t="shared" si="140"/>
        <v>1.7000000000000001E-2</v>
      </c>
      <c r="W216" s="48">
        <f t="shared" si="155"/>
        <v>8.7000000000000008E-2</v>
      </c>
      <c r="X216" s="11">
        <f t="shared" si="141"/>
        <v>20</v>
      </c>
      <c r="Y216" s="11">
        <f>IF(O216&lt;&gt;"",IF($B$16=listy!$K$8,'RZĄDOWY PROGRAM'!$F$3*'RZĄDOWY PROGRAM'!$F$15,T215*$F$15),"")</f>
        <v>50</v>
      </c>
      <c r="Z216" s="11">
        <f t="shared" si="156"/>
        <v>70</v>
      </c>
      <c r="AB216" s="8">
        <f t="shared" si="157"/>
        <v>189</v>
      </c>
      <c r="AC216" s="8"/>
      <c r="AD216" s="11">
        <f>IF(AB216&lt;&gt;"",ROUND(IF($F$11="raty równe",-PMT(W216/12,$F$4-AB215+SUM($AC$28:AC216),AG215,2),AE216+AF216),2),"")</f>
        <v>3280.4</v>
      </c>
      <c r="AE216" s="11">
        <f>IF(AB216&lt;&gt;"",IF($F$11="raty malejące",AG215/($F$4-AB215+SUM($AC$28:AC215)),MIN(AD216-AF216,AG215)),"")</f>
        <v>2126.6328206282706</v>
      </c>
      <c r="AF216" s="11">
        <f t="shared" si="176"/>
        <v>1153.7671793717295</v>
      </c>
      <c r="AG216" s="9">
        <f t="shared" si="174"/>
        <v>157013.6677823689</v>
      </c>
      <c r="AH216" s="11"/>
      <c r="AI216" s="33">
        <f>IF(AB216&lt;&gt;"",ROUND(IF($F$11="raty równe",-PMT(W216/12,($F$4-AB215+SUM($AC$27:AC215)),AG215,2),AG215/($F$4-AB215+SUM($AC$27:AC215))+AG215*W216/12),2),"")</f>
        <v>3280.4</v>
      </c>
      <c r="AJ216" s="33">
        <f t="shared" si="158"/>
        <v>241.69000000000005</v>
      </c>
      <c r="AK216" s="33">
        <f t="shared" si="142"/>
        <v>63969.999477044817</v>
      </c>
      <c r="AL216" s="33">
        <f>IF(AB216&lt;&gt;"",AK216-SUM($AJ$28:AJ216),"")</f>
        <v>20082.839477044792</v>
      </c>
      <c r="AM216" s="11">
        <f t="shared" si="159"/>
        <v>20</v>
      </c>
      <c r="AN216" s="11">
        <f>IF(AB216&lt;&gt;"",IF($B$16=listy!$K$8,'RZĄDOWY PROGRAM'!$F$3*'RZĄDOWY PROGRAM'!$F$15,AG215*$F$15),"")</f>
        <v>50</v>
      </c>
      <c r="AO216" s="11">
        <f t="shared" si="160"/>
        <v>70</v>
      </c>
      <c r="AQ216" s="8">
        <f t="shared" si="161"/>
        <v>189</v>
      </c>
      <c r="AR216" s="8"/>
      <c r="AS216" s="78">
        <f>IF(AQ216&lt;&gt;"",ROUND(IF($F$11="raty równe",-PMT(W216/12,$F$4-AQ215+SUM($AR$28:AR216),AV215,2),AT216+AU216),2),"")</f>
        <v>3263.82</v>
      </c>
      <c r="AT216" s="78">
        <f>IF(AQ216&lt;&gt;"",IF($F$11="raty malejące",AV215/($F$4-AQ215+SUM($AR$28:AR215)),MIN(AS216-AU216,AV215)),"")</f>
        <v>2115.8808567218866</v>
      </c>
      <c r="AU216" s="78">
        <f t="shared" si="162"/>
        <v>1147.9391432781133</v>
      </c>
      <c r="AV216" s="79">
        <f t="shared" si="163"/>
        <v>156220.55269887994</v>
      </c>
      <c r="AW216" s="11"/>
      <c r="AX216" s="33">
        <f>IF(AQ216&lt;&gt;"",ROUND(IF($F$11="raty równe",-PMT(W216/12,($F$4-AQ215+SUM($AR$27:AR215)),AV215,2),AV215/($F$4-AQ215+SUM($AR$27:AR215))+AV215*W216/12),2),"")</f>
        <v>3263.82</v>
      </c>
      <c r="AY216" s="33">
        <f t="shared" si="164"/>
        <v>258.27</v>
      </c>
      <c r="AZ216" s="33">
        <f t="shared" si="180"/>
        <v>63891.280366873725</v>
      </c>
      <c r="BA216" s="33">
        <f>IF(AQ216&lt;&gt;"",AZ216-SUM($AY$44:AY216),"")</f>
        <v>19210.58036687383</v>
      </c>
      <c r="BB216" s="11">
        <f t="shared" si="165"/>
        <v>20</v>
      </c>
      <c r="BC216" s="11">
        <f>IF(AQ216&lt;&gt;"",IF($B$16=listy!$K$8,'RZĄDOWY PROGRAM'!$F$3*'RZĄDOWY PROGRAM'!$F$15,AV215*$F$15),"")</f>
        <v>50</v>
      </c>
      <c r="BD216" s="11">
        <f t="shared" si="166"/>
        <v>70</v>
      </c>
      <c r="BF216" s="8">
        <f t="shared" si="167"/>
        <v>189</v>
      </c>
      <c r="BG216" s="8"/>
      <c r="BH216" s="78">
        <f>IF(BF216&lt;&gt;"",ROUND(IF($F$11="raty równe",-PMT(W216/12,$F$4-BF215+SUM(BV$28:$BV216)-SUM($BM$29:BM216),BK215,2),BI216+BJ216),2),"")</f>
        <v>3522.1</v>
      </c>
      <c r="BI216" s="78">
        <f>IF(BF216&lt;&gt;"",IF($F$11="raty malejące",MIN(BK215/($F$4-BF215+SUM($BG$27:BG216)-SUM($BM$27:BM216)),BK215),MIN(BH216-BJ216,BK215)),"")</f>
        <v>3017.1631111477018</v>
      </c>
      <c r="BJ216" s="78">
        <f t="shared" si="168"/>
        <v>504.93688885229795</v>
      </c>
      <c r="BK216" s="79">
        <f t="shared" si="169"/>
        <v>66629.304316755457</v>
      </c>
      <c r="BL216" s="11"/>
      <c r="BM216" s="33"/>
      <c r="BN216" s="33">
        <f t="shared" si="181"/>
        <v>-9.9999999997635314E-3</v>
      </c>
      <c r="BO216" s="33">
        <f t="shared" si="182"/>
        <v>-0.16688351186270858</v>
      </c>
      <c r="BP216" s="33">
        <f>IF(O216&lt;&gt;"",BO216-SUM($BN$44:BN216),"")</f>
        <v>-7.6883511864836801E-2</v>
      </c>
      <c r="BQ216" s="11">
        <f t="shared" si="143"/>
        <v>20</v>
      </c>
      <c r="BR216" s="11">
        <f>IF(BF216&lt;&gt;"",IF($B$16=listy!$K$8,'RZĄDOWY PROGRAM'!$F$3*'RZĄDOWY PROGRAM'!$F$15,BK215*$F$15),"")</f>
        <v>50</v>
      </c>
      <c r="BS216" s="11">
        <f t="shared" si="144"/>
        <v>70</v>
      </c>
      <c r="BU216" s="8">
        <f t="shared" si="170"/>
        <v>189</v>
      </c>
      <c r="BV216" s="8"/>
      <c r="BW216" s="78">
        <f>IF(BU216&lt;&gt;"",ROUND(IF($F$11="raty równe",-PMT(W216/12,$F$4-BU215+SUM($BV$28:BV216)-$CB$43,BZ215,2),BX216+BY216),2),"")</f>
        <v>3522.1</v>
      </c>
      <c r="BX216" s="78">
        <f>IF(BU216&lt;&gt;"",IF($F$11="raty malejące",MIN(BZ215/($F$4-BU215+SUM($BV$28:BV215)-SUM($CB$28:CB215)),BZ215),MIN(BW216-BY216,BZ215)),"")</f>
        <v>3010.6015498729976</v>
      </c>
      <c r="BY216" s="78">
        <f t="shared" si="184"/>
        <v>511.49845012700234</v>
      </c>
      <c r="BZ216" s="79">
        <f t="shared" si="178"/>
        <v>67540.908812472146</v>
      </c>
      <c r="CA216" s="11"/>
      <c r="CB216" s="33"/>
      <c r="CC216" s="33">
        <f t="shared" si="171"/>
        <v>-9.9999999997635314E-3</v>
      </c>
      <c r="CD216" s="33">
        <f t="shared" si="183"/>
        <v>0.46733053707482825</v>
      </c>
      <c r="CE216" s="33">
        <f>IF(O216&lt;&gt;"",CD216-SUM($CC$44:CC216),"")</f>
        <v>0.20733053708097643</v>
      </c>
      <c r="CF216" s="11">
        <f t="shared" si="145"/>
        <v>20</v>
      </c>
      <c r="CG216" s="11">
        <f>IF(BU216&lt;&gt;"",IF($B$16=listy!$K$8,'RZĄDOWY PROGRAM'!$F$3*'RZĄDOWY PROGRAM'!$F$15,BZ215*$F$15),"")</f>
        <v>50</v>
      </c>
      <c r="CH216" s="11">
        <f t="shared" si="146"/>
        <v>70</v>
      </c>
      <c r="CJ216" s="48">
        <f t="shared" si="147"/>
        <v>0.06</v>
      </c>
      <c r="CK216" s="18">
        <f t="shared" si="148"/>
        <v>4.8675505653430484E-3</v>
      </c>
      <c r="CL216" s="11">
        <f t="shared" si="185"/>
        <v>0</v>
      </c>
      <c r="CM216" s="11">
        <f t="shared" si="149"/>
        <v>57562.141749797236</v>
      </c>
      <c r="CN216" s="11">
        <f>IF(AB216&lt;&gt;"",CM216-SUM($CL$28:CL216),"")</f>
        <v>29385.381749797241</v>
      </c>
    </row>
    <row r="217" spans="1:92" x14ac:dyDescent="0.45">
      <c r="A217" s="68">
        <f t="shared" si="172"/>
        <v>50496</v>
      </c>
      <c r="B217" s="8">
        <f t="shared" si="132"/>
        <v>190</v>
      </c>
      <c r="C217" s="11">
        <f t="shared" si="133"/>
        <v>3522.1</v>
      </c>
      <c r="D217" s="11">
        <f t="shared" si="134"/>
        <v>2436.703361734636</v>
      </c>
      <c r="E217" s="11">
        <f t="shared" si="135"/>
        <v>1085.3966382653637</v>
      </c>
      <c r="F217" s="9">
        <f t="shared" si="150"/>
        <v>147273.17777831553</v>
      </c>
      <c r="G217" s="10">
        <f t="shared" si="136"/>
        <v>7.0000000000000007E-2</v>
      </c>
      <c r="H217" s="10">
        <f t="shared" si="137"/>
        <v>1.7000000000000001E-2</v>
      </c>
      <c r="I217" s="48">
        <f t="shared" si="151"/>
        <v>8.7000000000000008E-2</v>
      </c>
      <c r="J217" s="11">
        <f t="shared" si="138"/>
        <v>20</v>
      </c>
      <c r="K217" s="11">
        <f>IF(B217&lt;&gt;"",IF($B$16=listy!$K$8,'RZĄDOWY PROGRAM'!$F$3*'RZĄDOWY PROGRAM'!$F$15,F216*$F$15),"")</f>
        <v>50</v>
      </c>
      <c r="L217" s="11">
        <f t="shared" si="152"/>
        <v>70</v>
      </c>
      <c r="N217" s="54">
        <f t="shared" si="173"/>
        <v>50496</v>
      </c>
      <c r="O217" s="8">
        <f t="shared" si="153"/>
        <v>190</v>
      </c>
      <c r="P217" s="8"/>
      <c r="Q217" s="11">
        <f>IF(O217&lt;&gt;"",ROUND(IF($F$11="raty równe",-PMT(W217/12,$F$4-O216+SUM($P$28:P217),T216,2),R217+S217),2),"")</f>
        <v>3522.1</v>
      </c>
      <c r="R217" s="11">
        <f>IF(O217&lt;&gt;"",IF($F$11="raty malejące",T216/($F$4-O216+SUM($P$28:P217)),IF(Q217-S217&gt;T216,T216,Q217-S217)),"")</f>
        <v>2299.8764530738827</v>
      </c>
      <c r="S217" s="11">
        <f t="shared" si="175"/>
        <v>1222.2235469261175</v>
      </c>
      <c r="T217" s="9">
        <f t="shared" si="154"/>
        <v>166282.68174363198</v>
      </c>
      <c r="U217" s="10">
        <f t="shared" si="139"/>
        <v>7.0000000000000007E-2</v>
      </c>
      <c r="V217" s="10">
        <f t="shared" si="140"/>
        <v>1.7000000000000001E-2</v>
      </c>
      <c r="W217" s="48">
        <f t="shared" si="155"/>
        <v>8.7000000000000008E-2</v>
      </c>
      <c r="X217" s="11">
        <f t="shared" si="141"/>
        <v>20</v>
      </c>
      <c r="Y217" s="11">
        <f>IF(O217&lt;&gt;"",IF($B$16=listy!$K$8,'RZĄDOWY PROGRAM'!$F$3*'RZĄDOWY PROGRAM'!$F$15,T216*$F$15),"")</f>
        <v>50</v>
      </c>
      <c r="Z217" s="11">
        <f t="shared" si="156"/>
        <v>70</v>
      </c>
      <c r="AB217" s="8">
        <f t="shared" si="157"/>
        <v>190</v>
      </c>
      <c r="AC217" s="8"/>
      <c r="AD217" s="11">
        <f>IF(AB217&lt;&gt;"",ROUND(IF($F$11="raty równe",-PMT(W217/12,$F$4-AB216+SUM($AC$28:AC217),AG216,2),AE217+AF217),2),"")</f>
        <v>3280.39</v>
      </c>
      <c r="AE217" s="11">
        <f>IF(AB217&lt;&gt;"",IF($F$11="raty malejące",AG216/($F$4-AB216+SUM($AC$28:AC216)),MIN(AD217-AF217,AG216)),"")</f>
        <v>2142.0409085778256</v>
      </c>
      <c r="AF217" s="11">
        <f t="shared" si="176"/>
        <v>1138.3490914221745</v>
      </c>
      <c r="AG217" s="9">
        <f t="shared" si="174"/>
        <v>154871.62687379107</v>
      </c>
      <c r="AH217" s="11"/>
      <c r="AI217" s="33">
        <f>IF(AB217&lt;&gt;"",ROUND(IF($F$11="raty równe",-PMT(W217/12,($F$4-AB216+SUM($AC$27:AC216)),AG216,2),AG216/($F$4-AB216+SUM($AC$27:AC216))+AG216*W217/12),2),"")</f>
        <v>3280.39</v>
      </c>
      <c r="AJ217" s="33">
        <f t="shared" si="158"/>
        <v>241.71000000000004</v>
      </c>
      <c r="AK217" s="33">
        <f t="shared" si="142"/>
        <v>64463.925014811604</v>
      </c>
      <c r="AL217" s="33">
        <f>IF(AB217&lt;&gt;"",AK217-SUM($AJ$28:AJ217),"")</f>
        <v>20335.05501481158</v>
      </c>
      <c r="AM217" s="11">
        <f t="shared" si="159"/>
        <v>20</v>
      </c>
      <c r="AN217" s="11">
        <f>IF(AB217&lt;&gt;"",IF($B$16=listy!$K$8,'RZĄDOWY PROGRAM'!$F$3*'RZĄDOWY PROGRAM'!$F$15,AG216*$F$15),"")</f>
        <v>50</v>
      </c>
      <c r="AO217" s="11">
        <f t="shared" si="160"/>
        <v>70</v>
      </c>
      <c r="AQ217" s="8">
        <f t="shared" si="161"/>
        <v>190</v>
      </c>
      <c r="AR217" s="8"/>
      <c r="AS217" s="78">
        <f>IF(AQ217&lt;&gt;"",ROUND(IF($F$11="raty równe",-PMT(W217/12,$F$4-AQ216+SUM($AR$28:AR217),AV216,2),AT217+AU217),2),"")</f>
        <v>3263.83</v>
      </c>
      <c r="AT217" s="78">
        <f>IF(AQ217&lt;&gt;"",IF($F$11="raty malejące",AV216/($F$4-AQ216+SUM($AR$28:AR216)),MIN(AS217-AU217,AV216)),"")</f>
        <v>2131.2309929331204</v>
      </c>
      <c r="AU217" s="78">
        <f t="shared" si="162"/>
        <v>1132.5990070668797</v>
      </c>
      <c r="AV217" s="79">
        <f t="shared" si="163"/>
        <v>154089.32170594682</v>
      </c>
      <c r="AW217" s="11"/>
      <c r="AX217" s="33">
        <f>IF(AQ217&lt;&gt;"",ROUND(IF($F$11="raty równe",-PMT(W217/12,($F$4-AQ216+SUM($AR$27:AR216)),AV216,2),AV216/($F$4-AQ216+SUM($AR$27:AR216))+AV216*W217/12),2),"")</f>
        <v>3263.83</v>
      </c>
      <c r="AY217" s="33">
        <f t="shared" si="164"/>
        <v>258.27</v>
      </c>
      <c r="AZ217" s="33">
        <f t="shared" si="180"/>
        <v>64401.455537548645</v>
      </c>
      <c r="BA217" s="33">
        <f>IF(AQ217&lt;&gt;"",AZ217-SUM($AY$44:AY217),"")</f>
        <v>19462.485537548753</v>
      </c>
      <c r="BB217" s="11">
        <f t="shared" si="165"/>
        <v>20</v>
      </c>
      <c r="BC217" s="11">
        <f>IF(AQ217&lt;&gt;"",IF($B$16=listy!$K$8,'RZĄDOWY PROGRAM'!$F$3*'RZĄDOWY PROGRAM'!$F$15,AV216*$F$15),"")</f>
        <v>50</v>
      </c>
      <c r="BD217" s="11">
        <f t="shared" si="166"/>
        <v>70</v>
      </c>
      <c r="BF217" s="8">
        <f t="shared" si="167"/>
        <v>190</v>
      </c>
      <c r="BG217" s="8"/>
      <c r="BH217" s="78">
        <f>IF(BF217&lt;&gt;"",ROUND(IF($F$11="raty równe",-PMT(W217/12,$F$4-BF216+SUM(BV$28:$BV217)-SUM($BM$29:BM217),BK216,2),BI217+BJ217),2),"")</f>
        <v>3522.09</v>
      </c>
      <c r="BI217" s="78">
        <f>IF(BF217&lt;&gt;"",IF($F$11="raty malejące",MIN(BK216/($F$4-BF216+SUM($BG$27:BG217)-SUM($BM$27:BM217)),BK216),MIN(BH217-BJ217,BK216)),"")</f>
        <v>3039.027543703523</v>
      </c>
      <c r="BJ217" s="78">
        <f t="shared" si="168"/>
        <v>483.06245629647714</v>
      </c>
      <c r="BK217" s="79">
        <f t="shared" si="169"/>
        <v>63590.276773051934</v>
      </c>
      <c r="BL217" s="11"/>
      <c r="BM217" s="33"/>
      <c r="BN217" s="33">
        <f t="shared" si="181"/>
        <v>9.9999999997635314E-3</v>
      </c>
      <c r="BO217" s="33">
        <f t="shared" si="182"/>
        <v>-0.1575414861482812</v>
      </c>
      <c r="BP217" s="33">
        <f>IF(O217&lt;&gt;"",BO217-SUM($BN$44:BN217),"")</f>
        <v>-7.754148615017295E-2</v>
      </c>
      <c r="BQ217" s="11">
        <f t="shared" si="143"/>
        <v>20</v>
      </c>
      <c r="BR217" s="11">
        <f>IF(BF217&lt;&gt;"",IF($B$16=listy!$K$8,'RZĄDOWY PROGRAM'!$F$3*'RZĄDOWY PROGRAM'!$F$15,BK216*$F$15),"")</f>
        <v>50</v>
      </c>
      <c r="BS217" s="11">
        <f t="shared" si="144"/>
        <v>70</v>
      </c>
      <c r="BU217" s="8">
        <f t="shared" si="170"/>
        <v>190</v>
      </c>
      <c r="BV217" s="8"/>
      <c r="BW217" s="78">
        <f>IF(BU217&lt;&gt;"",ROUND(IF($F$11="raty równe",-PMT(W217/12,$F$4-BU216+SUM($BV$28:BV217)-$CB$43,BZ216,2),BX217+BY217),2),"")</f>
        <v>3522.09</v>
      </c>
      <c r="BX217" s="78">
        <f>IF(BU217&lt;&gt;"",IF($F$11="raty malejące",MIN(BZ216/($F$4-BU216+SUM($BV$28:BV216)-SUM($CB$28:CB216)),BZ216),MIN(BW217-BY217,BZ216)),"")</f>
        <v>3032.4184111095769</v>
      </c>
      <c r="BY217" s="78">
        <f t="shared" si="184"/>
        <v>489.67158889042315</v>
      </c>
      <c r="BZ217" s="79">
        <f t="shared" si="178"/>
        <v>64508.490401362571</v>
      </c>
      <c r="CA217" s="11"/>
      <c r="CB217" s="33"/>
      <c r="CC217" s="33">
        <f t="shared" si="171"/>
        <v>9.9999999997635314E-3</v>
      </c>
      <c r="CD217" s="33">
        <f t="shared" si="183"/>
        <v>0.47917308864074376</v>
      </c>
      <c r="CE217" s="33">
        <f>IF(O217&lt;&gt;"",CD217-SUM($CC$44:CC217),"")</f>
        <v>0.20917308864712841</v>
      </c>
      <c r="CF217" s="11">
        <f t="shared" si="145"/>
        <v>20</v>
      </c>
      <c r="CG217" s="11">
        <f>IF(BU217&lt;&gt;"",IF($B$16=listy!$K$8,'RZĄDOWY PROGRAM'!$F$3*'RZĄDOWY PROGRAM'!$F$15,BZ216*$F$15),"")</f>
        <v>50</v>
      </c>
      <c r="CH217" s="11">
        <f t="shared" si="146"/>
        <v>70</v>
      </c>
      <c r="CJ217" s="48">
        <f t="shared" si="147"/>
        <v>0.06</v>
      </c>
      <c r="CK217" s="18">
        <f t="shared" si="148"/>
        <v>4.8675505653430484E-3</v>
      </c>
      <c r="CL217" s="11">
        <f t="shared" si="185"/>
        <v>0</v>
      </c>
      <c r="CM217" s="11">
        <f t="shared" si="149"/>
        <v>57789.092924646669</v>
      </c>
      <c r="CN217" s="11">
        <f>IF(AB217&lt;&gt;"",CM217-SUM($CL$28:CL217),"")</f>
        <v>29612.332924646675</v>
      </c>
    </row>
    <row r="218" spans="1:92" x14ac:dyDescent="0.45">
      <c r="A218" s="68">
        <f t="shared" si="172"/>
        <v>50526</v>
      </c>
      <c r="B218" s="8">
        <f t="shared" si="132"/>
        <v>191</v>
      </c>
      <c r="C218" s="11">
        <f t="shared" si="133"/>
        <v>3522.09</v>
      </c>
      <c r="D218" s="11">
        <f t="shared" si="134"/>
        <v>2454.3594611072122</v>
      </c>
      <c r="E218" s="11">
        <f t="shared" si="135"/>
        <v>1067.7305388927878</v>
      </c>
      <c r="F218" s="9">
        <f t="shared" si="150"/>
        <v>144818.81831720832</v>
      </c>
      <c r="G218" s="10">
        <f t="shared" si="136"/>
        <v>7.0000000000000007E-2</v>
      </c>
      <c r="H218" s="10">
        <f t="shared" si="137"/>
        <v>1.7000000000000001E-2</v>
      </c>
      <c r="I218" s="48">
        <f t="shared" si="151"/>
        <v>8.7000000000000008E-2</v>
      </c>
      <c r="J218" s="11">
        <f t="shared" si="138"/>
        <v>20</v>
      </c>
      <c r="K218" s="11">
        <f>IF(B218&lt;&gt;"",IF($B$16=listy!$K$8,'RZĄDOWY PROGRAM'!$F$3*'RZĄDOWY PROGRAM'!$F$15,F217*$F$15),"")</f>
        <v>50</v>
      </c>
      <c r="L218" s="11">
        <f t="shared" si="152"/>
        <v>70</v>
      </c>
      <c r="N218" s="54">
        <f t="shared" si="173"/>
        <v>50526</v>
      </c>
      <c r="O218" s="8">
        <f t="shared" si="153"/>
        <v>191</v>
      </c>
      <c r="P218" s="8"/>
      <c r="Q218" s="11">
        <f>IF(O218&lt;&gt;"",ROUND(IF($F$11="raty równe",-PMT(W218/12,$F$4-O217+SUM($P$28:P218),T217,2),R218+S218),2),"")</f>
        <v>3522.09</v>
      </c>
      <c r="R218" s="11">
        <f>IF(O218&lt;&gt;"",IF($F$11="raty malejące",T217/($F$4-O217+SUM($P$28:P218)),IF(Q218-S218&gt;T217,T217,Q218-S218)),"")</f>
        <v>2316.5405573586681</v>
      </c>
      <c r="S218" s="11">
        <f t="shared" si="175"/>
        <v>1205.549442641332</v>
      </c>
      <c r="T218" s="9">
        <f t="shared" si="154"/>
        <v>163966.14118627331</v>
      </c>
      <c r="U218" s="10">
        <f t="shared" si="139"/>
        <v>7.0000000000000007E-2</v>
      </c>
      <c r="V218" s="10">
        <f t="shared" si="140"/>
        <v>1.7000000000000001E-2</v>
      </c>
      <c r="W218" s="48">
        <f t="shared" si="155"/>
        <v>8.7000000000000008E-2</v>
      </c>
      <c r="X218" s="11">
        <f t="shared" si="141"/>
        <v>20</v>
      </c>
      <c r="Y218" s="11">
        <f>IF(O218&lt;&gt;"",IF($B$16=listy!$K$8,'RZĄDOWY PROGRAM'!$F$3*'RZĄDOWY PROGRAM'!$F$15,T217*$F$15),"")</f>
        <v>50</v>
      </c>
      <c r="Z218" s="11">
        <f t="shared" si="156"/>
        <v>70</v>
      </c>
      <c r="AB218" s="8">
        <f t="shared" si="157"/>
        <v>191</v>
      </c>
      <c r="AC218" s="8"/>
      <c r="AD218" s="11">
        <f>IF(AB218&lt;&gt;"",ROUND(IF($F$11="raty równe",-PMT(W218/12,$F$4-AB217+SUM($AC$28:AC218),AG217,2),AE218+AF218),2),"")</f>
        <v>3280.4</v>
      </c>
      <c r="AE218" s="11">
        <f>IF(AB218&lt;&gt;"",IF($F$11="raty malejące",AG217/($F$4-AB217+SUM($AC$28:AC217)),MIN(AD218-AF218,AG217)),"")</f>
        <v>2157.5807051650145</v>
      </c>
      <c r="AF218" s="11">
        <f t="shared" si="176"/>
        <v>1122.8192948349854</v>
      </c>
      <c r="AG218" s="9">
        <f t="shared" si="174"/>
        <v>152714.04616862605</v>
      </c>
      <c r="AH218" s="11"/>
      <c r="AI218" s="33">
        <f>IF(AB218&lt;&gt;"",ROUND(IF($F$11="raty równe",-PMT(W218/12,($F$4-AB217+SUM($AC$27:AC217)),AG217,2),AG217/($F$4-AB217+SUM($AC$27:AC217))+AG217*W218/12),2),"")</f>
        <v>3280.4</v>
      </c>
      <c r="AJ218" s="33">
        <f t="shared" si="158"/>
        <v>241.69000000000005</v>
      </c>
      <c r="AK218" s="33">
        <f t="shared" si="142"/>
        <v>64959.777960678177</v>
      </c>
      <c r="AL218" s="33">
        <f>IF(AB218&lt;&gt;"",AK218-SUM($AJ$28:AJ218),"")</f>
        <v>20589.21796067815</v>
      </c>
      <c r="AM218" s="11">
        <f t="shared" si="159"/>
        <v>20</v>
      </c>
      <c r="AN218" s="11">
        <f>IF(AB218&lt;&gt;"",IF($B$16=listy!$K$8,'RZĄDOWY PROGRAM'!$F$3*'RZĄDOWY PROGRAM'!$F$15,AG217*$F$15),"")</f>
        <v>50</v>
      </c>
      <c r="AO218" s="11">
        <f t="shared" si="160"/>
        <v>70</v>
      </c>
      <c r="AQ218" s="8">
        <f t="shared" si="161"/>
        <v>191</v>
      </c>
      <c r="AR218" s="8"/>
      <c r="AS218" s="78">
        <f>IF(AQ218&lt;&gt;"",ROUND(IF($F$11="raty równe",-PMT(W218/12,$F$4-AQ217+SUM($AR$28:AR218),AV217,2),AT218+AU218),2),"")</f>
        <v>3263.82</v>
      </c>
      <c r="AT218" s="78">
        <f>IF(AQ218&lt;&gt;"",IF($F$11="raty malejące",AV217/($F$4-AQ217+SUM($AR$28:AR217)),MIN(AS218-AU218,AV217)),"")</f>
        <v>2146.6724176318858</v>
      </c>
      <c r="AU218" s="78">
        <f t="shared" si="162"/>
        <v>1117.1475823681146</v>
      </c>
      <c r="AV218" s="79">
        <f t="shared" si="163"/>
        <v>151942.64928831492</v>
      </c>
      <c r="AW218" s="11"/>
      <c r="AX218" s="33">
        <f>IF(AQ218&lt;&gt;"",ROUND(IF($F$11="raty równe",-PMT(W218/12,($F$4-AQ217+SUM($AR$27:AR217)),AV217,2),AV217/($F$4-AQ217+SUM($AR$27:AR217))+AV217*W218/12),2),"")</f>
        <v>3263.82</v>
      </c>
      <c r="AY218" s="33">
        <f t="shared" si="164"/>
        <v>258.27</v>
      </c>
      <c r="AZ218" s="33">
        <f t="shared" si="180"/>
        <v>64913.642184010321</v>
      </c>
      <c r="BA218" s="33">
        <f>IF(AQ218&lt;&gt;"",AZ218-SUM($AY$44:AY218),"")</f>
        <v>19716.402184010432</v>
      </c>
      <c r="BB218" s="11">
        <f t="shared" si="165"/>
        <v>20</v>
      </c>
      <c r="BC218" s="11">
        <f>IF(AQ218&lt;&gt;"",IF($B$16=listy!$K$8,'RZĄDOWY PROGRAM'!$F$3*'RZĄDOWY PROGRAM'!$F$15,AV217*$F$15),"")</f>
        <v>50</v>
      </c>
      <c r="BD218" s="11">
        <f t="shared" si="166"/>
        <v>70</v>
      </c>
      <c r="BF218" s="8">
        <f t="shared" si="167"/>
        <v>191</v>
      </c>
      <c r="BG218" s="8"/>
      <c r="BH218" s="78">
        <f>IF(BF218&lt;&gt;"",ROUND(IF($F$11="raty równe",-PMT(W218/12,$F$4-BF217+SUM(BV$28:$BV218)-SUM($BM$29:BM218),BK217,2),BI218+BJ218),2),"")</f>
        <v>3522.09</v>
      </c>
      <c r="BI218" s="78">
        <f>IF(BF218&lt;&gt;"",IF($F$11="raty malejące",MIN(BK217/($F$4-BF217+SUM($BG$27:BG218)-SUM($BM$27:BM218)),BK217),MIN(BH218-BJ218,BK217)),"")</f>
        <v>3061.0604933953737</v>
      </c>
      <c r="BJ218" s="78">
        <f t="shared" si="168"/>
        <v>461.02950660462653</v>
      </c>
      <c r="BK218" s="79">
        <f t="shared" si="169"/>
        <v>60529.216279656561</v>
      </c>
      <c r="BL218" s="11"/>
      <c r="BM218" s="33"/>
      <c r="BN218" s="33">
        <f t="shared" si="181"/>
        <v>0</v>
      </c>
      <c r="BO218" s="33">
        <f t="shared" si="182"/>
        <v>-0.15816262747975371</v>
      </c>
      <c r="BP218" s="33">
        <f>IF(O218&lt;&gt;"",BO218-SUM($BN$44:BN218),"")</f>
        <v>-7.8162627481645458E-2</v>
      </c>
      <c r="BQ218" s="11">
        <f t="shared" si="143"/>
        <v>20</v>
      </c>
      <c r="BR218" s="11">
        <f>IF(BF218&lt;&gt;"",IF($B$16=listy!$K$8,'RZĄDOWY PROGRAM'!$F$3*'RZĄDOWY PROGRAM'!$F$15,BK217*$F$15),"")</f>
        <v>50</v>
      </c>
      <c r="BS218" s="11">
        <f t="shared" si="144"/>
        <v>70</v>
      </c>
      <c r="BU218" s="8">
        <f t="shared" si="170"/>
        <v>191</v>
      </c>
      <c r="BV218" s="8"/>
      <c r="BW218" s="78">
        <f>IF(BU218&lt;&gt;"",ROUND(IF($F$11="raty równe",-PMT(W218/12,$F$4-BU217+SUM($BV$28:BV218)-$CB$43,BZ217,2),BX218+BY218),2),"")</f>
        <v>3522.09</v>
      </c>
      <c r="BX218" s="78">
        <f>IF(BU218&lt;&gt;"",IF($F$11="raty malejące",MIN(BZ217/($F$4-BU217+SUM($BV$28:BV217)-SUM($CB$28:CB217)),BZ217),MIN(BW218-BY218,BZ217)),"")</f>
        <v>3054.4034445901216</v>
      </c>
      <c r="BY218" s="78">
        <f t="shared" si="184"/>
        <v>467.68655540987874</v>
      </c>
      <c r="BZ218" s="79">
        <f t="shared" si="178"/>
        <v>61454.086956772451</v>
      </c>
      <c r="CA218" s="11"/>
      <c r="CB218" s="33"/>
      <c r="CC218" s="33">
        <f t="shared" si="171"/>
        <v>0</v>
      </c>
      <c r="CD218" s="33">
        <f t="shared" si="183"/>
        <v>0.48106233202393722</v>
      </c>
      <c r="CE218" s="33">
        <f>IF(O218&lt;&gt;"",CD218-SUM($CC$44:CC218),"")</f>
        <v>0.21106233203032188</v>
      </c>
      <c r="CF218" s="11">
        <f t="shared" si="145"/>
        <v>20</v>
      </c>
      <c r="CG218" s="11">
        <f>IF(BU218&lt;&gt;"",IF($B$16=listy!$K$8,'RZĄDOWY PROGRAM'!$F$3*'RZĄDOWY PROGRAM'!$F$15,BZ217*$F$15),"")</f>
        <v>50</v>
      </c>
      <c r="CH218" s="11">
        <f t="shared" si="146"/>
        <v>70</v>
      </c>
      <c r="CJ218" s="48">
        <f t="shared" si="147"/>
        <v>0.06</v>
      </c>
      <c r="CK218" s="18">
        <f t="shared" si="148"/>
        <v>4.8675505653430484E-3</v>
      </c>
      <c r="CL218" s="11">
        <f t="shared" si="185"/>
        <v>0</v>
      </c>
      <c r="CM218" s="11">
        <f t="shared" si="149"/>
        <v>58016.938903514856</v>
      </c>
      <c r="CN218" s="11">
        <f>IF(AB218&lt;&gt;"",CM218-SUM($CL$28:CL218),"")</f>
        <v>29840.178903514861</v>
      </c>
    </row>
    <row r="219" spans="1:92" x14ac:dyDescent="0.45">
      <c r="A219" s="68">
        <f t="shared" si="172"/>
        <v>50557</v>
      </c>
      <c r="B219" s="8">
        <f t="shared" si="132"/>
        <v>192</v>
      </c>
      <c r="C219" s="11">
        <f t="shared" si="133"/>
        <v>3522.1</v>
      </c>
      <c r="D219" s="11">
        <f t="shared" si="134"/>
        <v>2472.1635672002394</v>
      </c>
      <c r="E219" s="11">
        <f t="shared" si="135"/>
        <v>1049.9364327997605</v>
      </c>
      <c r="F219" s="9">
        <f t="shared" si="150"/>
        <v>142346.65475000808</v>
      </c>
      <c r="G219" s="10">
        <f t="shared" si="136"/>
        <v>7.0000000000000007E-2</v>
      </c>
      <c r="H219" s="10">
        <f t="shared" si="137"/>
        <v>1.7000000000000001E-2</v>
      </c>
      <c r="I219" s="48">
        <f t="shared" si="151"/>
        <v>8.7000000000000008E-2</v>
      </c>
      <c r="J219" s="11">
        <f t="shared" si="138"/>
        <v>20</v>
      </c>
      <c r="K219" s="11">
        <f>IF(B219&lt;&gt;"",IF($B$16=listy!$K$8,'RZĄDOWY PROGRAM'!$F$3*'RZĄDOWY PROGRAM'!$F$15,F218*$F$15),"")</f>
        <v>50</v>
      </c>
      <c r="L219" s="11">
        <f t="shared" si="152"/>
        <v>70</v>
      </c>
      <c r="N219" s="54">
        <f t="shared" si="173"/>
        <v>50557</v>
      </c>
      <c r="O219" s="8">
        <f t="shared" si="153"/>
        <v>192</v>
      </c>
      <c r="P219" s="8"/>
      <c r="Q219" s="11">
        <f>IF(O219&lt;&gt;"",ROUND(IF($F$11="raty równe",-PMT(W219/12,$F$4-O218+SUM($P$28:P219),T218,2),R219+S219),2),"")</f>
        <v>3522.1</v>
      </c>
      <c r="R219" s="11">
        <f>IF(O219&lt;&gt;"",IF($F$11="raty malejące",T218/($F$4-O218+SUM($P$28:P219)),IF(Q219-S219&gt;T218,T218,Q219-S219)),"")</f>
        <v>2333.3454763995182</v>
      </c>
      <c r="S219" s="11">
        <f t="shared" si="175"/>
        <v>1188.7545236004817</v>
      </c>
      <c r="T219" s="9">
        <f t="shared" si="154"/>
        <v>161632.79570987378</v>
      </c>
      <c r="U219" s="10">
        <f t="shared" si="139"/>
        <v>7.0000000000000007E-2</v>
      </c>
      <c r="V219" s="10">
        <f t="shared" si="140"/>
        <v>1.7000000000000001E-2</v>
      </c>
      <c r="W219" s="48">
        <f t="shared" si="155"/>
        <v>8.7000000000000008E-2</v>
      </c>
      <c r="X219" s="11">
        <f t="shared" si="141"/>
        <v>20</v>
      </c>
      <c r="Y219" s="11">
        <f>IF(O219&lt;&gt;"",IF($B$16=listy!$K$8,'RZĄDOWY PROGRAM'!$F$3*'RZĄDOWY PROGRAM'!$F$15,T218*$F$15),"")</f>
        <v>50</v>
      </c>
      <c r="Z219" s="11">
        <f t="shared" si="156"/>
        <v>70</v>
      </c>
      <c r="AB219" s="8">
        <f t="shared" si="157"/>
        <v>192</v>
      </c>
      <c r="AC219" s="8"/>
      <c r="AD219" s="11">
        <f>IF(AB219&lt;&gt;"",ROUND(IF($F$11="raty równe",-PMT(W219/12,$F$4-AB218+SUM($AC$28:AC219),AG218,2),AE219+AF219),2),"")</f>
        <v>3280.39</v>
      </c>
      <c r="AE219" s="11">
        <f>IF(AB219&lt;&gt;"",IF($F$11="raty malejące",AG218/($F$4-AB218+SUM($AC$28:AC218)),MIN(AD219-AF219,AG218)),"")</f>
        <v>2173.2131652774606</v>
      </c>
      <c r="AF219" s="11">
        <f t="shared" si="176"/>
        <v>1107.1768347225391</v>
      </c>
      <c r="AG219" s="9">
        <f t="shared" si="174"/>
        <v>150540.83300334858</v>
      </c>
      <c r="AH219" s="11"/>
      <c r="AI219" s="33">
        <f>IF(AB219&lt;&gt;"",ROUND(IF($F$11="raty równe",-PMT(W219/12,($F$4-AB218+SUM($AC$27:AC218)),AG218,2),AG218/($F$4-AB218+SUM($AC$27:AC218))+AG218*W219/12),2),"")</f>
        <v>3280.39</v>
      </c>
      <c r="AJ219" s="33">
        <f t="shared" si="158"/>
        <v>241.71000000000004</v>
      </c>
      <c r="AK219" s="33">
        <f t="shared" si="142"/>
        <v>65457.605913867199</v>
      </c>
      <c r="AL219" s="33">
        <f>IF(AB219&lt;&gt;"",AK219-SUM($AJ$28:AJ219),"")</f>
        <v>20845.335913867173</v>
      </c>
      <c r="AM219" s="11">
        <f t="shared" si="159"/>
        <v>20</v>
      </c>
      <c r="AN219" s="11">
        <f>IF(AB219&lt;&gt;"",IF($B$16=listy!$K$8,'RZĄDOWY PROGRAM'!$F$3*'RZĄDOWY PROGRAM'!$F$15,AG218*$F$15),"")</f>
        <v>50</v>
      </c>
      <c r="AO219" s="11">
        <f t="shared" si="160"/>
        <v>70</v>
      </c>
      <c r="AQ219" s="8">
        <f t="shared" si="161"/>
        <v>192</v>
      </c>
      <c r="AR219" s="8"/>
      <c r="AS219" s="78">
        <f>IF(AQ219&lt;&gt;"",ROUND(IF($F$11="raty równe",-PMT(W219/12,$F$4-AQ218+SUM($AR$28:AR219),AV218,2),AT219+AU219),2),"")</f>
        <v>3263.83</v>
      </c>
      <c r="AT219" s="78">
        <f>IF(AQ219&lt;&gt;"",IF($F$11="raty malejące",AV218/($F$4-AQ218+SUM($AR$28:AR218)),MIN(AS219-AU219,AV218)),"")</f>
        <v>2162.2457926597167</v>
      </c>
      <c r="AU219" s="78">
        <f t="shared" si="162"/>
        <v>1101.5842073402832</v>
      </c>
      <c r="AV219" s="79">
        <f t="shared" si="163"/>
        <v>149780.40349565519</v>
      </c>
      <c r="AW219" s="11"/>
      <c r="AX219" s="33">
        <f>IF(AQ219&lt;&gt;"",ROUND(IF($F$11="raty równe",-PMT(W219/12,($F$4-AQ218+SUM($AR$27:AR218)),AV218,2),AV218/($F$4-AQ218+SUM($AR$27:AR218))+AV218*W219/12),2),"")</f>
        <v>3263.83</v>
      </c>
      <c r="AY219" s="33">
        <f t="shared" si="164"/>
        <v>258.27</v>
      </c>
      <c r="AZ219" s="33">
        <f t="shared" si="180"/>
        <v>65427.848236936443</v>
      </c>
      <c r="BA219" s="33">
        <f>IF(AQ219&lt;&gt;"",AZ219-SUM($AY$44:AY219),"")</f>
        <v>19972.338236936557</v>
      </c>
      <c r="BB219" s="11">
        <f t="shared" si="165"/>
        <v>20</v>
      </c>
      <c r="BC219" s="11">
        <f>IF(AQ219&lt;&gt;"",IF($B$16=listy!$K$8,'RZĄDOWY PROGRAM'!$F$3*'RZĄDOWY PROGRAM'!$F$15,AV218*$F$15),"")</f>
        <v>50</v>
      </c>
      <c r="BD219" s="11">
        <f t="shared" si="166"/>
        <v>70</v>
      </c>
      <c r="BF219" s="8">
        <f t="shared" si="167"/>
        <v>192</v>
      </c>
      <c r="BG219" s="8"/>
      <c r="BH219" s="78">
        <f>IF(BF219&lt;&gt;"",ROUND(IF($F$11="raty równe",-PMT(W219/12,$F$4-BF218+SUM(BV$28:$BV219)-SUM($BM$29:BM219),BK218,2),BI219+BJ219),2),"")</f>
        <v>3522.1</v>
      </c>
      <c r="BI219" s="78">
        <f>IF(BF219&lt;&gt;"",IF($F$11="raty malejące",MIN(BK218/($F$4-BF218+SUM($BG$27:BG219)-SUM($BM$27:BM219)),BK218),MIN(BH219-BJ219,BK218)),"")</f>
        <v>3083.2631819724897</v>
      </c>
      <c r="BJ219" s="78">
        <f t="shared" si="168"/>
        <v>438.83681802751011</v>
      </c>
      <c r="BK219" s="79">
        <f t="shared" si="169"/>
        <v>57445.953097684069</v>
      </c>
      <c r="BL219" s="11"/>
      <c r="BM219" s="33"/>
      <c r="BN219" s="33">
        <f t="shared" si="181"/>
        <v>0</v>
      </c>
      <c r="BO219" s="33">
        <f t="shared" si="182"/>
        <v>-0.15878621779506594</v>
      </c>
      <c r="BP219" s="33">
        <f>IF(O219&lt;&gt;"",BO219-SUM($BN$44:BN219),"")</f>
        <v>-7.8786217796957686E-2</v>
      </c>
      <c r="BQ219" s="11">
        <f t="shared" si="143"/>
        <v>20</v>
      </c>
      <c r="BR219" s="11">
        <f>IF(BF219&lt;&gt;"",IF($B$16=listy!$K$8,'RZĄDOWY PROGRAM'!$F$3*'RZĄDOWY PROGRAM'!$F$15,BK218*$F$15),"")</f>
        <v>50</v>
      </c>
      <c r="BS219" s="11">
        <f t="shared" si="144"/>
        <v>70</v>
      </c>
      <c r="BU219" s="8">
        <f t="shared" si="170"/>
        <v>192</v>
      </c>
      <c r="BV219" s="8"/>
      <c r="BW219" s="78">
        <f>IF(BU219&lt;&gt;"",ROUND(IF($F$11="raty równe",-PMT(W219/12,$F$4-BU218+SUM($BV$28:BV219)-$CB$43,BZ218,2),BX219+BY219),2),"")</f>
        <v>3522.1</v>
      </c>
      <c r="BX219" s="78">
        <f>IF(BU219&lt;&gt;"",IF($F$11="raty malejące",MIN(BZ218/($F$4-BU218+SUM($BV$28:BV218)-SUM($CB$28:CB218)),BZ218),MIN(BW219-BY219,BZ218)),"")</f>
        <v>3076.5578695633994</v>
      </c>
      <c r="BY219" s="78">
        <f t="shared" si="184"/>
        <v>445.5421304366003</v>
      </c>
      <c r="BZ219" s="79">
        <f t="shared" si="178"/>
        <v>58377.529087209055</v>
      </c>
      <c r="CA219" s="11"/>
      <c r="CB219" s="33"/>
      <c r="CC219" s="33">
        <f t="shared" si="171"/>
        <v>0</v>
      </c>
      <c r="CD219" s="33">
        <f t="shared" si="183"/>
        <v>0.48295902415716602</v>
      </c>
      <c r="CE219" s="33">
        <f>IF(O219&lt;&gt;"",CD219-SUM($CC$44:CC219),"")</f>
        <v>0.21295902416355067</v>
      </c>
      <c r="CF219" s="11">
        <f t="shared" si="145"/>
        <v>20</v>
      </c>
      <c r="CG219" s="11">
        <f>IF(BU219&lt;&gt;"",IF($B$16=listy!$K$8,'RZĄDOWY PROGRAM'!$F$3*'RZĄDOWY PROGRAM'!$F$15,BZ218*$F$15),"")</f>
        <v>50</v>
      </c>
      <c r="CH219" s="11">
        <f t="shared" si="146"/>
        <v>70</v>
      </c>
      <c r="CJ219" s="48">
        <f t="shared" si="147"/>
        <v>0.06</v>
      </c>
      <c r="CK219" s="18">
        <f t="shared" si="148"/>
        <v>4.8675505653430484E-3</v>
      </c>
      <c r="CL219" s="11">
        <f t="shared" si="185"/>
        <v>0</v>
      </c>
      <c r="CM219" s="11">
        <f t="shared" si="149"/>
        <v>58245.683214359873</v>
      </c>
      <c r="CN219" s="11">
        <f>IF(AB219&lt;&gt;"",CM219-SUM($CL$28:CL219),"")</f>
        <v>30068.923214359878</v>
      </c>
    </row>
    <row r="220" spans="1:92" x14ac:dyDescent="0.45">
      <c r="A220" s="68">
        <f t="shared" si="172"/>
        <v>50587</v>
      </c>
      <c r="B220" s="8">
        <f t="shared" ref="B220:B283" si="186">IFERROR(IF(B219+1&lt;=$F$4,B219+1,""),"")</f>
        <v>193</v>
      </c>
      <c r="C220" s="11">
        <f t="shared" ref="C220:C283" si="187">IF(B220&lt;&gt;"",ROUND(IF($F$11="raty równe",-PMT(I220/12,$F$4-B219,F219,2),D220+E220),2),"")</f>
        <v>3522.09</v>
      </c>
      <c r="D220" s="11">
        <f t="shared" ref="D220:D283" si="188">IF(B220&lt;&gt;"",IF($F$11="raty malejące",F219/($F$4-B219),IF(C220-E220&gt;F219,F219,C220-E220)),"")</f>
        <v>2490.0767530624416</v>
      </c>
      <c r="E220" s="11">
        <f t="shared" ref="E220:E267" si="189">IF(B220&lt;&gt;"",F219*I220/12,"")</f>
        <v>1032.0132469375587</v>
      </c>
      <c r="F220" s="9">
        <f t="shared" si="150"/>
        <v>139856.57799694565</v>
      </c>
      <c r="G220" s="10">
        <f t="shared" ref="G220:G267" si="190">IF(B220&lt;&gt;"",$F$5,"")</f>
        <v>7.0000000000000007E-2</v>
      </c>
      <c r="H220" s="10">
        <f t="shared" ref="H220:H267" si="191">IF(B220&lt;&gt;"",$F$6,"")</f>
        <v>1.7000000000000001E-2</v>
      </c>
      <c r="I220" s="48">
        <f t="shared" si="151"/>
        <v>8.7000000000000008E-2</v>
      </c>
      <c r="J220" s="11">
        <f t="shared" ref="J220:J283" si="192">IF(B220&lt;=$F$4,$F$14,"")</f>
        <v>20</v>
      </c>
      <c r="K220" s="11">
        <f>IF(B220&lt;&gt;"",IF($B$16=listy!$K$8,'RZĄDOWY PROGRAM'!$F$3*'RZĄDOWY PROGRAM'!$F$15,F219*$F$15),"")</f>
        <v>50</v>
      </c>
      <c r="L220" s="11">
        <f t="shared" si="152"/>
        <v>70</v>
      </c>
      <c r="N220" s="54">
        <f t="shared" si="173"/>
        <v>50587</v>
      </c>
      <c r="O220" s="8">
        <f t="shared" si="153"/>
        <v>193</v>
      </c>
      <c r="P220" s="8"/>
      <c r="Q220" s="11">
        <f>IF(O220&lt;&gt;"",ROUND(IF($F$11="raty równe",-PMT(W220/12,$F$4-O219+SUM($P$28:P220),T219,2),R220+S220),2),"")</f>
        <v>3522.09</v>
      </c>
      <c r="R220" s="11">
        <f>IF(O220&lt;&gt;"",IF($F$11="raty malejące",T219/($F$4-O219+SUM($P$28:P220)),IF(Q220-S220&gt;T219,T219,Q220-S220)),"")</f>
        <v>2350.2522311034154</v>
      </c>
      <c r="S220" s="11">
        <f t="shared" si="175"/>
        <v>1171.837768896585</v>
      </c>
      <c r="T220" s="9">
        <f t="shared" si="154"/>
        <v>159282.54347877036</v>
      </c>
      <c r="U220" s="10">
        <f t="shared" ref="U220:U266" si="193">IF(O220&lt;&gt;"",$F$5,"")</f>
        <v>7.0000000000000007E-2</v>
      </c>
      <c r="V220" s="10">
        <f t="shared" ref="V220:V266" si="194">IF(O220&lt;&gt;"",$F$6,"")</f>
        <v>1.7000000000000001E-2</v>
      </c>
      <c r="W220" s="48">
        <f t="shared" si="155"/>
        <v>8.7000000000000008E-2</v>
      </c>
      <c r="X220" s="11">
        <f t="shared" ref="X220:X275" si="195">IF(O220&lt;&gt;"",$F$14,"")</f>
        <v>20</v>
      </c>
      <c r="Y220" s="11">
        <f>IF(O220&lt;&gt;"",IF($B$16=listy!$K$8,'RZĄDOWY PROGRAM'!$F$3*'RZĄDOWY PROGRAM'!$F$15,T219*$F$15),"")</f>
        <v>50</v>
      </c>
      <c r="Z220" s="11">
        <f t="shared" si="156"/>
        <v>70</v>
      </c>
      <c r="AB220" s="8">
        <f t="shared" si="157"/>
        <v>193</v>
      </c>
      <c r="AC220" s="8"/>
      <c r="AD220" s="11">
        <f>IF(AB220&lt;&gt;"",ROUND(IF($F$11="raty równe",-PMT(W220/12,$F$4-AB219+SUM($AC$28:AC220),AG219,2),AE220+AF220),2),"")</f>
        <v>3280.4</v>
      </c>
      <c r="AE220" s="11">
        <f>IF(AB220&lt;&gt;"",IF($F$11="raty malejące",AG219/($F$4-AB219+SUM($AC$28:AC219)),MIN(AD220-AF220,AG219)),"")</f>
        <v>2188.9789607257226</v>
      </c>
      <c r="AF220" s="11">
        <f t="shared" si="176"/>
        <v>1091.4210392742773</v>
      </c>
      <c r="AG220" s="9">
        <f t="shared" si="174"/>
        <v>148351.85404262287</v>
      </c>
      <c r="AH220" s="11"/>
      <c r="AI220" s="33">
        <f>IF(AB220&lt;&gt;"",ROUND(IF($F$11="raty równe",-PMT(W220/12,($F$4-AB219+SUM($AC$27:AC219)),AG219,2),AG219/($F$4-AB219+SUM($AC$27:AC219))+AG219*W220/12),2),"")</f>
        <v>3280.4</v>
      </c>
      <c r="AJ220" s="33">
        <f t="shared" si="158"/>
        <v>241.69000000000005</v>
      </c>
      <c r="AK220" s="33">
        <f t="shared" ref="AK220:AK283" si="196">IF(AB220&lt;&gt;"",IF($F$21="co miesiąc",AK219*(1+(1-$F$20)*CK220)+AJ220,(AK219*(1+CK220)+AJ220)),"")</f>
        <v>65957.37666127157</v>
      </c>
      <c r="AL220" s="33">
        <f>IF(AB220&lt;&gt;"",AK220-SUM($AJ$28:AJ220),"")</f>
        <v>21103.416661271542</v>
      </c>
      <c r="AM220" s="11">
        <f t="shared" si="159"/>
        <v>20</v>
      </c>
      <c r="AN220" s="11">
        <f>IF(AB220&lt;&gt;"",IF($B$16=listy!$K$8,'RZĄDOWY PROGRAM'!$F$3*'RZĄDOWY PROGRAM'!$F$15,AG219*$F$15),"")</f>
        <v>50</v>
      </c>
      <c r="AO220" s="11">
        <f t="shared" si="160"/>
        <v>70</v>
      </c>
      <c r="AQ220" s="8">
        <f t="shared" si="161"/>
        <v>193</v>
      </c>
      <c r="AR220" s="8"/>
      <c r="AS220" s="78">
        <f>IF(AQ220&lt;&gt;"",ROUND(IF($F$11="raty równe",-PMT(W220/12,$F$4-AQ219+SUM($AR$28:AR220),AV219,2),AT220+AU220),2),"")</f>
        <v>3263.82</v>
      </c>
      <c r="AT220" s="78">
        <f>IF(AQ220&lt;&gt;"",IF($F$11="raty malejące",AV219/($F$4-AQ219+SUM($AR$28:AR219)),MIN(AS220-AU220,AV219)),"")</f>
        <v>2177.9120746565</v>
      </c>
      <c r="AU220" s="78">
        <f t="shared" si="162"/>
        <v>1085.9079253435002</v>
      </c>
      <c r="AV220" s="79">
        <f t="shared" si="163"/>
        <v>147602.4914209987</v>
      </c>
      <c r="AW220" s="11"/>
      <c r="AX220" s="33">
        <f>IF(AQ220&lt;&gt;"",ROUND(IF($F$11="raty równe",-PMT(W220/12,($F$4-AQ219+SUM($AR$27:AR219)),AV219,2),AV219/($F$4-AQ219+SUM($AR$27:AR219))+AV219*W220/12),2),"")</f>
        <v>3263.82</v>
      </c>
      <c r="AY220" s="33">
        <f t="shared" si="164"/>
        <v>258.27</v>
      </c>
      <c r="AZ220" s="33">
        <f t="shared" si="180"/>
        <v>65944.081658273106</v>
      </c>
      <c r="BA220" s="33">
        <f>IF(AQ220&lt;&gt;"",AZ220-SUM($AY$44:AY220),"")</f>
        <v>20230.301658273223</v>
      </c>
      <c r="BB220" s="11">
        <f t="shared" si="165"/>
        <v>20</v>
      </c>
      <c r="BC220" s="11">
        <f>IF(AQ220&lt;&gt;"",IF($B$16=listy!$K$8,'RZĄDOWY PROGRAM'!$F$3*'RZĄDOWY PROGRAM'!$F$15,AV219*$F$15),"")</f>
        <v>50</v>
      </c>
      <c r="BD220" s="11">
        <f t="shared" si="166"/>
        <v>70</v>
      </c>
      <c r="BF220" s="8">
        <f t="shared" si="167"/>
        <v>193</v>
      </c>
      <c r="BG220" s="8"/>
      <c r="BH220" s="78">
        <f>IF(BF220&lt;&gt;"",ROUND(IF($F$11="raty równe",-PMT(W220/12,$F$4-BF219+SUM(BV$28:$BV220)-SUM($BM$29:BM220),BK219,2),BI220+BJ220),2),"")</f>
        <v>3522.1</v>
      </c>
      <c r="BI220" s="78">
        <f>IF(BF220&lt;&gt;"",IF($F$11="raty malejące",MIN(BK219/($F$4-BF219+SUM($BG$27:BG220)-SUM($BM$27:BM220)),BK219),MIN(BH220-BJ220,BK219)),"")</f>
        <v>3105.6168400417905</v>
      </c>
      <c r="BJ220" s="78">
        <f t="shared" si="168"/>
        <v>416.48315995820957</v>
      </c>
      <c r="BK220" s="79">
        <f t="shared" si="169"/>
        <v>54340.336257642281</v>
      </c>
      <c r="BL220" s="11"/>
      <c r="BM220" s="33"/>
      <c r="BN220" s="33">
        <f t="shared" si="181"/>
        <v>-9.9999999997635314E-3</v>
      </c>
      <c r="BO220" s="33">
        <f t="shared" si="182"/>
        <v>-0.16941226674962909</v>
      </c>
      <c r="BP220" s="33">
        <f>IF(O220&lt;&gt;"",BO220-SUM($BN$44:BN220),"")</f>
        <v>-7.9412266751757304E-2</v>
      </c>
      <c r="BQ220" s="11">
        <f t="shared" ref="BQ220:BQ238" si="197">IF(BF220&lt;&gt;"",$F$14,"")</f>
        <v>20</v>
      </c>
      <c r="BR220" s="11">
        <f>IF(BF220&lt;&gt;"",IF($B$16=listy!$K$8,'RZĄDOWY PROGRAM'!$F$3*'RZĄDOWY PROGRAM'!$F$15,BK219*$F$15),"")</f>
        <v>50</v>
      </c>
      <c r="BS220" s="11">
        <f t="shared" ref="BS220:BS238" si="198">IF(BH220&lt;&gt;"",BQ220+BR220,"")</f>
        <v>70</v>
      </c>
      <c r="BU220" s="8">
        <f t="shared" si="170"/>
        <v>193</v>
      </c>
      <c r="BV220" s="8"/>
      <c r="BW220" s="78">
        <f>IF(BU220&lt;&gt;"",ROUND(IF($F$11="raty równe",-PMT(W220/12,$F$4-BU219+SUM($BV$28:BV220)-$CB$43,BZ219,2),BX220+BY220),2),"")</f>
        <v>3522.1</v>
      </c>
      <c r="BX220" s="78">
        <f>IF(BU220&lt;&gt;"",IF($F$11="raty malejące",MIN(BZ219/($F$4-BU219+SUM($BV$28:BV219)-SUM($CB$28:CB219)),BZ219),MIN(BW220-BY220,BZ219)),"")</f>
        <v>3098.8629141177344</v>
      </c>
      <c r="BY220" s="78">
        <f t="shared" si="184"/>
        <v>423.23708588226572</v>
      </c>
      <c r="BZ220" s="79">
        <f t="shared" si="178"/>
        <v>55278.666173091318</v>
      </c>
      <c r="CA220" s="11"/>
      <c r="CB220" s="33"/>
      <c r="CC220" s="33">
        <f t="shared" si="171"/>
        <v>-9.9999999997635314E-3</v>
      </c>
      <c r="CD220" s="33">
        <f t="shared" si="183"/>
        <v>0.47486319440897223</v>
      </c>
      <c r="CE220" s="33">
        <f>IF(O220&lt;&gt;"",CD220-SUM($CC$44:CC220),"")</f>
        <v>0.21486319441512042</v>
      </c>
      <c r="CF220" s="11">
        <f t="shared" ref="CF220:CF239" si="199">IF(BU220&lt;&gt;"",$F$14,"")</f>
        <v>20</v>
      </c>
      <c r="CG220" s="11">
        <f>IF(BU220&lt;&gt;"",IF($B$16=listy!$K$8,'RZĄDOWY PROGRAM'!$F$3*'RZĄDOWY PROGRAM'!$F$15,BZ219*$F$15),"")</f>
        <v>50</v>
      </c>
      <c r="CH220" s="11">
        <f t="shared" ref="CH220:CH239" si="200">IF(BW220&lt;&gt;"",CF220+CG220,"")</f>
        <v>70</v>
      </c>
      <c r="CJ220" s="48">
        <f t="shared" ref="CJ220:CJ283" si="201">IF(AB220&lt;&gt;"",$F$19,"")</f>
        <v>0.06</v>
      </c>
      <c r="CK220" s="18">
        <f t="shared" ref="CK220:CK283" si="202">IF(AB220&lt;&gt;"",(1+CJ220)^(1/12)-1,"")</f>
        <v>4.8675505653430484E-3</v>
      </c>
      <c r="CL220" s="11">
        <f t="shared" si="185"/>
        <v>0</v>
      </c>
      <c r="CM220" s="11">
        <f t="shared" ref="CM220:CM283" si="203">IF(AB220&lt;&gt;"",IF($F$21="co miesiąc",CM219*(1+(1-$F$20)*CK220)+CL220,(CM219*(1+CK220)+CL220)),"")</f>
        <v>58475.329399049544</v>
      </c>
      <c r="CN220" s="11">
        <f>IF(AB220&lt;&gt;"",CM220-SUM($CL$28:CL220),"")</f>
        <v>30298.569399049549</v>
      </c>
    </row>
    <row r="221" spans="1:92" x14ac:dyDescent="0.45">
      <c r="A221" s="68">
        <f t="shared" si="172"/>
        <v>50618</v>
      </c>
      <c r="B221" s="8">
        <f t="shared" si="186"/>
        <v>194</v>
      </c>
      <c r="C221" s="11">
        <f t="shared" si="187"/>
        <v>3522.1</v>
      </c>
      <c r="D221" s="11">
        <f t="shared" si="188"/>
        <v>2508.1398095221439</v>
      </c>
      <c r="E221" s="11">
        <f t="shared" si="189"/>
        <v>1013.960190477856</v>
      </c>
      <c r="F221" s="9">
        <f t="shared" ref="F221:F267" si="204">IF(B221&lt;&gt;"",F220-D221,"")</f>
        <v>137348.43818742351</v>
      </c>
      <c r="G221" s="10">
        <f t="shared" si="190"/>
        <v>7.0000000000000007E-2</v>
      </c>
      <c r="H221" s="10">
        <f t="shared" si="191"/>
        <v>1.7000000000000001E-2</v>
      </c>
      <c r="I221" s="48">
        <f t="shared" ref="I221:I284" si="205">IF($B221&lt;&gt;"",IF(AND($F$8="TAK",$B221&lt;=$F$10),$F$9,G221+H221),"")</f>
        <v>8.7000000000000008E-2</v>
      </c>
      <c r="J221" s="11">
        <f t="shared" si="192"/>
        <v>20</v>
      </c>
      <c r="K221" s="11">
        <f>IF(B221&lt;&gt;"",IF($B$16=listy!$K$8,'RZĄDOWY PROGRAM'!$F$3*'RZĄDOWY PROGRAM'!$F$15,F220*$F$15),"")</f>
        <v>50</v>
      </c>
      <c r="L221" s="11">
        <f t="shared" ref="L221:L267" si="206">IF(B221&lt;&gt;"",J221+K221,"")</f>
        <v>70</v>
      </c>
      <c r="N221" s="54">
        <f t="shared" si="173"/>
        <v>50618</v>
      </c>
      <c r="O221" s="8">
        <f t="shared" ref="O221:O284" si="207">IFERROR(IF(O220+1&lt;=$F$4+8,O220+1,""),"")</f>
        <v>194</v>
      </c>
      <c r="P221" s="8"/>
      <c r="Q221" s="11">
        <f>IF(O221&lt;&gt;"",ROUND(IF($F$11="raty równe",-PMT(W221/12,$F$4-O220+SUM($P$28:P221),T220,2),R221+S221),2),"")</f>
        <v>3522.1</v>
      </c>
      <c r="R221" s="11">
        <f>IF(O221&lt;&gt;"",IF($F$11="raty malejące",T220/($F$4-O220+SUM($P$28:P221)),IF(Q221-S221&gt;T220,T220,Q221-S221)),"")</f>
        <v>2367.3015597789145</v>
      </c>
      <c r="S221" s="11">
        <f t="shared" si="175"/>
        <v>1154.7984402210852</v>
      </c>
      <c r="T221" s="9">
        <f t="shared" ref="T221:T266" si="208">IF(O221&lt;&gt;"",T220-R221,"")</f>
        <v>156915.24191899144</v>
      </c>
      <c r="U221" s="10">
        <f t="shared" si="193"/>
        <v>7.0000000000000007E-2</v>
      </c>
      <c r="V221" s="10">
        <f t="shared" si="194"/>
        <v>1.7000000000000001E-2</v>
      </c>
      <c r="W221" s="48">
        <f t="shared" ref="W221:W284" si="209">IF(O221&lt;&gt;"",IF(AND($F$8="TAK",$B221&lt;=$F$10),$F$9,U221+V221),"")</f>
        <v>8.7000000000000008E-2</v>
      </c>
      <c r="X221" s="11">
        <f t="shared" si="195"/>
        <v>20</v>
      </c>
      <c r="Y221" s="11">
        <f>IF(O221&lt;&gt;"",IF($B$16=listy!$K$8,'RZĄDOWY PROGRAM'!$F$3*'RZĄDOWY PROGRAM'!$F$15,T220*$F$15),"")</f>
        <v>50</v>
      </c>
      <c r="Z221" s="11">
        <f t="shared" ref="Z221:Z266" si="210">IF(O221&lt;&gt;"",X221+Y221,"")</f>
        <v>70</v>
      </c>
      <c r="AB221" s="8">
        <f t="shared" ref="AB221:AB275" si="211">IFERROR(IF(AG220&gt;0,AB220+1,""),"")</f>
        <v>194</v>
      </c>
      <c r="AC221" s="8"/>
      <c r="AD221" s="11">
        <f>IF(AB221&lt;&gt;"",ROUND(IF($F$11="raty równe",-PMT(W221/12,$F$4-AB220+SUM($AC$28:AC221),AG220,2),AE221+AF221),2),"")</f>
        <v>3280.39</v>
      </c>
      <c r="AE221" s="11">
        <f>IF(AB221&lt;&gt;"",IF($F$11="raty malejące",AG220/($F$4-AB220+SUM($AC$28:AC220)),MIN(AD221-AF221,AG220)),"")</f>
        <v>2204.8390581909839</v>
      </c>
      <c r="AF221" s="11">
        <f t="shared" si="176"/>
        <v>1075.550941809016</v>
      </c>
      <c r="AG221" s="9">
        <f t="shared" si="174"/>
        <v>146147.01498443188</v>
      </c>
      <c r="AH221" s="11"/>
      <c r="AI221" s="33">
        <f>IF(AB221&lt;&gt;"",ROUND(IF($F$11="raty równe",-PMT(W221/12,($F$4-AB220+SUM($AC$27:AC220)),AG220,2),AG220/($F$4-AB220+SUM($AC$27:AC220))+AG220*W221/12),2),"")</f>
        <v>3280.39</v>
      </c>
      <c r="AJ221" s="33">
        <f t="shared" ref="AJ221:AJ275" si="212">IF(AB221&lt;&gt;"",IF(B221&lt;&gt;"",C221-AD221-AH221,-(AD221+AH221)),"")</f>
        <v>241.71000000000004</v>
      </c>
      <c r="AK221" s="33">
        <f t="shared" si="196"/>
        <v>66459.137862777032</v>
      </c>
      <c r="AL221" s="33">
        <f>IF(AB221&lt;&gt;"",AK221-SUM($AJ$28:AJ221),"")</f>
        <v>21363.467862777004</v>
      </c>
      <c r="AM221" s="11">
        <f t="shared" ref="AM221:AM275" si="213">IF(AB221&lt;&gt;"",$F$14,"")</f>
        <v>20</v>
      </c>
      <c r="AN221" s="11">
        <f>IF(AB221&lt;&gt;"",IF($B$16=listy!$K$8,'RZĄDOWY PROGRAM'!$F$3*'RZĄDOWY PROGRAM'!$F$15,AG220*$F$15),"")</f>
        <v>50</v>
      </c>
      <c r="AO221" s="11">
        <f t="shared" ref="AO221:AO275" si="214">IF(AD221&lt;&gt;"",AM221+AN221,"")</f>
        <v>70</v>
      </c>
      <c r="AQ221" s="8">
        <f t="shared" ref="AQ221:AQ284" si="215">IFERROR(IF(AV220&lt;&gt;0,AQ220+1,""),"")</f>
        <v>194</v>
      </c>
      <c r="AR221" s="8"/>
      <c r="AS221" s="78">
        <f>IF(AQ221&lt;&gt;"",ROUND(IF($F$11="raty równe",-PMT(W221/12,$F$4-AQ220+SUM($AR$28:AR221),AV220,2),AT221+AU221),2),"")</f>
        <v>3263.83</v>
      </c>
      <c r="AT221" s="78">
        <f>IF(AQ221&lt;&gt;"",IF($F$11="raty malejące",AV220/($F$4-AQ220+SUM($AR$28:AR220)),MIN(AS221-AU221,AV220)),"")</f>
        <v>2193.7119371977592</v>
      </c>
      <c r="AU221" s="78">
        <f t="shared" ref="AU221:AU284" si="216">IF(AQ221&lt;&gt;"",AV220*W221/12,"")</f>
        <v>1070.1180628022407</v>
      </c>
      <c r="AV221" s="79">
        <f t="shared" ref="AV221:AV284" si="217">IF(AQ221&lt;&gt;"",IF(AW221&lt;&gt;"",AV220-AT221-AW221,AV220-AT221),"")</f>
        <v>145408.77948380096</v>
      </c>
      <c r="AW221" s="11"/>
      <c r="AX221" s="33">
        <f>IF(AQ221&lt;&gt;"",ROUND(IF($F$11="raty równe",-PMT(W221/12,($F$4-AQ220+SUM($AR$27:AR220)),AV220,2),AV220/($F$4-AQ220+SUM($AR$27:AR220))+AV220*W221/12),2),"")</f>
        <v>3263.83</v>
      </c>
      <c r="AY221" s="33">
        <f t="shared" ref="AY221:AY284" si="218">IF(AQ221&lt;&gt;"",IF(B221&lt;&gt;"",C221-AS221,-AS221),"")</f>
        <v>258.27</v>
      </c>
      <c r="AZ221" s="33">
        <f t="shared" si="180"/>
        <v>66462.350441358081</v>
      </c>
      <c r="BA221" s="33">
        <f>IF(AQ221&lt;&gt;"",AZ221-SUM($AY$44:AY221),"")</f>
        <v>20490.300441358202</v>
      </c>
      <c r="BB221" s="11">
        <f t="shared" ref="BB221:BB284" si="219">IF(AQ221&lt;&gt;"",$F$14,"")</f>
        <v>20</v>
      </c>
      <c r="BC221" s="11">
        <f>IF(AQ221&lt;&gt;"",IF($B$16=listy!$K$8,'RZĄDOWY PROGRAM'!$F$3*'RZĄDOWY PROGRAM'!$F$15,AV220*$F$15),"")</f>
        <v>50</v>
      </c>
      <c r="BD221" s="11">
        <f t="shared" ref="BD221:BD284" si="220">IF(AS221&lt;&gt;"",BB221+BC221,"")</f>
        <v>70</v>
      </c>
      <c r="BF221" s="8">
        <f t="shared" ref="BF221:BF238" si="221">IFERROR(IF(BK220&lt;&gt;0,BF220+1,""),"")</f>
        <v>194</v>
      </c>
      <c r="BG221" s="8"/>
      <c r="BH221" s="78">
        <f>IF(BF221&lt;&gt;"",ROUND(IF($F$11="raty równe",-PMT(W221/12,$F$4-BF220+SUM(BV$28:$BV221)-SUM($BM$29:BM221),BK220,2),BI221+BJ221),2),"")</f>
        <v>3522.09</v>
      </c>
      <c r="BI221" s="78">
        <f>IF(BF221&lt;&gt;"",IF($F$11="raty malejące",MIN(BK220/($F$4-BF220+SUM($BG$27:BG221)-SUM($BM$27:BM221)),BK220),MIN(BH221-BJ221,BK220)),"")</f>
        <v>3128.1225621320937</v>
      </c>
      <c r="BJ221" s="78">
        <f t="shared" ref="BJ221:BJ238" si="222">IF(BF221&lt;&gt;"",BK220*W221/12,"")</f>
        <v>393.96743786790654</v>
      </c>
      <c r="BK221" s="79">
        <f t="shared" ref="BK221:BK237" si="223">IF(BF221&lt;&gt;"",IF(B221&lt;&gt;"",BK220-BI221-BL221,BK220-BI221),"")</f>
        <v>51212.213695510189</v>
      </c>
      <c r="BL221" s="11"/>
      <c r="BM221" s="33"/>
      <c r="BN221" s="33">
        <f t="shared" si="181"/>
        <v>9.9999999997635314E-3</v>
      </c>
      <c r="BO221" s="33">
        <f t="shared" si="182"/>
        <v>-0.16008021119744806</v>
      </c>
      <c r="BP221" s="33">
        <f>IF(O221&lt;&gt;"",BO221-SUM($BN$44:BN221),"")</f>
        <v>-8.0080211199339807E-2</v>
      </c>
      <c r="BQ221" s="11">
        <f t="shared" si="197"/>
        <v>20</v>
      </c>
      <c r="BR221" s="11">
        <f>IF(BF221&lt;&gt;"",IF($B$16=listy!$K$8,'RZĄDOWY PROGRAM'!$F$3*'RZĄDOWY PROGRAM'!$F$15,BK220*$F$15),"")</f>
        <v>50</v>
      </c>
      <c r="BS221" s="11">
        <f t="shared" si="198"/>
        <v>70</v>
      </c>
      <c r="BU221" s="8">
        <f t="shared" ref="BU221:BU284" si="224">IFERROR(IF(BZ220&lt;&gt;0,BU220+1,""),"")</f>
        <v>194</v>
      </c>
      <c r="BV221" s="8"/>
      <c r="BW221" s="78">
        <f>IF(BU221&lt;&gt;"",ROUND(IF($F$11="raty równe",-PMT(W221/12,$F$4-BU220+SUM($BV$28:BV221)-$CB$43,BZ220,2),BX221+BY221),2),"")</f>
        <v>3522.09</v>
      </c>
      <c r="BX221" s="78">
        <f>IF(BU221&lt;&gt;"",IF($F$11="raty malejące",MIN(BZ220/($F$4-BU220+SUM($BV$28:BV220)-SUM($CB$28:CB220)),BZ220),MIN(BW221-BY221,BZ220)),"")</f>
        <v>3121.3196702450882</v>
      </c>
      <c r="BY221" s="78">
        <f t="shared" si="184"/>
        <v>400.7703297549121</v>
      </c>
      <c r="BZ221" s="79">
        <f t="shared" si="178"/>
        <v>52157.346502846231</v>
      </c>
      <c r="CA221" s="11"/>
      <c r="CB221" s="33"/>
      <c r="CC221" s="33">
        <f t="shared" ref="CC221:CC284" si="225">IF(O221&lt;&gt;"",IF(ISNUMBER(C221),C221,0)-IF(ISNUMBER(BW221),BW221,0),"")</f>
        <v>9.9999999997635314E-3</v>
      </c>
      <c r="CD221" s="33">
        <f t="shared" si="183"/>
        <v>0.48673544510316463</v>
      </c>
      <c r="CE221" s="33">
        <f>IF(O221&lt;&gt;"",CD221-SUM($CC$44:CC221),"")</f>
        <v>0.21673544510954929</v>
      </c>
      <c r="CF221" s="11">
        <f t="shared" si="199"/>
        <v>20</v>
      </c>
      <c r="CG221" s="11">
        <f>IF(BU221&lt;&gt;"",IF($B$16=listy!$K$8,'RZĄDOWY PROGRAM'!$F$3*'RZĄDOWY PROGRAM'!$F$15,BZ220*$F$15),"")</f>
        <v>50</v>
      </c>
      <c r="CH221" s="11">
        <f t="shared" si="200"/>
        <v>70</v>
      </c>
      <c r="CJ221" s="48">
        <f t="shared" si="201"/>
        <v>0.06</v>
      </c>
      <c r="CK221" s="18">
        <f t="shared" si="202"/>
        <v>4.8675505653430484E-3</v>
      </c>
      <c r="CL221" s="11">
        <f t="shared" si="185"/>
        <v>0</v>
      </c>
      <c r="CM221" s="11">
        <f t="shared" si="203"/>
        <v>58705.88101341627</v>
      </c>
      <c r="CN221" s="11">
        <f>IF(AB221&lt;&gt;"",CM221-SUM($CL$28:CL221),"")</f>
        <v>30529.121013416276</v>
      </c>
    </row>
    <row r="222" spans="1:92" x14ac:dyDescent="0.45">
      <c r="A222" s="68">
        <f t="shared" ref="A222:A267" si="226">IF(B222&lt;&gt;"",EDATE(A221,1),"")</f>
        <v>50649</v>
      </c>
      <c r="B222" s="8">
        <f t="shared" si="186"/>
        <v>195</v>
      </c>
      <c r="C222" s="11">
        <f t="shared" si="187"/>
        <v>3522.09</v>
      </c>
      <c r="D222" s="11">
        <f t="shared" si="188"/>
        <v>2526.3138231411795</v>
      </c>
      <c r="E222" s="11">
        <f t="shared" si="189"/>
        <v>995.77617685882058</v>
      </c>
      <c r="F222" s="9">
        <f t="shared" si="204"/>
        <v>134822.12436428232</v>
      </c>
      <c r="G222" s="10">
        <f t="shared" si="190"/>
        <v>7.0000000000000007E-2</v>
      </c>
      <c r="H222" s="10">
        <f t="shared" si="191"/>
        <v>1.7000000000000001E-2</v>
      </c>
      <c r="I222" s="48">
        <f t="shared" si="205"/>
        <v>8.7000000000000008E-2</v>
      </c>
      <c r="J222" s="11">
        <f t="shared" si="192"/>
        <v>20</v>
      </c>
      <c r="K222" s="11">
        <f>IF(B222&lt;&gt;"",IF($B$16=listy!$K$8,'RZĄDOWY PROGRAM'!$F$3*'RZĄDOWY PROGRAM'!$F$15,F221*$F$15),"")</f>
        <v>50</v>
      </c>
      <c r="L222" s="11">
        <f t="shared" si="206"/>
        <v>70</v>
      </c>
      <c r="N222" s="54">
        <f t="shared" ref="N222:N275" si="227">IF(O222&lt;&gt;"",EDATE(N221,1),"")</f>
        <v>50649</v>
      </c>
      <c r="O222" s="8">
        <f t="shared" si="207"/>
        <v>195</v>
      </c>
      <c r="P222" s="8"/>
      <c r="Q222" s="11">
        <f>IF(O222&lt;&gt;"",ROUND(IF($F$11="raty równe",-PMT(W222/12,$F$4-O221+SUM($P$28:P222),T221,2),R222+S222),2),"")</f>
        <v>3522.09</v>
      </c>
      <c r="R222" s="11">
        <f>IF(O222&lt;&gt;"",IF($F$11="raty malejące",T221/($F$4-O221+SUM($P$28:P222)),IF(Q222-S222&gt;T221,T221,Q222-S222)),"")</f>
        <v>2384.4544960873118</v>
      </c>
      <c r="S222" s="11">
        <f t="shared" si="175"/>
        <v>1137.6355039126881</v>
      </c>
      <c r="T222" s="9">
        <f t="shared" si="208"/>
        <v>154530.78742290413</v>
      </c>
      <c r="U222" s="10">
        <f t="shared" si="193"/>
        <v>7.0000000000000007E-2</v>
      </c>
      <c r="V222" s="10">
        <f t="shared" si="194"/>
        <v>1.7000000000000001E-2</v>
      </c>
      <c r="W222" s="48">
        <f t="shared" si="209"/>
        <v>8.7000000000000008E-2</v>
      </c>
      <c r="X222" s="11">
        <f t="shared" si="195"/>
        <v>20</v>
      </c>
      <c r="Y222" s="11">
        <f>IF(O222&lt;&gt;"",IF($B$16=listy!$K$8,'RZĄDOWY PROGRAM'!$F$3*'RZĄDOWY PROGRAM'!$F$15,T221*$F$15),"")</f>
        <v>50</v>
      </c>
      <c r="Z222" s="11">
        <f t="shared" si="210"/>
        <v>70</v>
      </c>
      <c r="AB222" s="8">
        <f t="shared" si="211"/>
        <v>195</v>
      </c>
      <c r="AC222" s="8"/>
      <c r="AD222" s="11">
        <f>IF(AB222&lt;&gt;"",ROUND(IF($F$11="raty równe",-PMT(W222/12,$F$4-AB221+SUM($AC$28:AC222),AG221,2),AE222+AF222),2),"")</f>
        <v>3280.4</v>
      </c>
      <c r="AE222" s="11">
        <f>IF(AB222&lt;&gt;"",IF($F$11="raty malejące",AG221/($F$4-AB221+SUM($AC$28:AC221)),MIN(AD222-AF222,AG221)),"")</f>
        <v>2220.8341413628686</v>
      </c>
      <c r="AF222" s="11">
        <f t="shared" si="176"/>
        <v>1059.5658586371312</v>
      </c>
      <c r="AG222" s="9">
        <f t="shared" ref="AG222:AG275" si="228">IF(AB222&lt;&gt;"",IF(AH222&lt;&gt;"",AG221-AE222-AH222,AG221-AE222),"")</f>
        <v>143926.18084306901</v>
      </c>
      <c r="AH222" s="11"/>
      <c r="AI222" s="33">
        <f>IF(AB222&lt;&gt;"",ROUND(IF($F$11="raty równe",-PMT(W222/12,($F$4-AB221+SUM($AC$27:AC221)),AG221,2),AG221/($F$4-AB221+SUM($AC$27:AC221))+AG221*W222/12),2),"")</f>
        <v>3280.4</v>
      </c>
      <c r="AJ222" s="33">
        <f t="shared" si="212"/>
        <v>241.69000000000005</v>
      </c>
      <c r="AK222" s="33">
        <f t="shared" si="196"/>
        <v>66962.857366178738</v>
      </c>
      <c r="AL222" s="33">
        <f>IF(AB222&lt;&gt;"",AK222-SUM($AJ$28:AJ222),"")</f>
        <v>21625.497366178708</v>
      </c>
      <c r="AM222" s="11">
        <f t="shared" si="213"/>
        <v>20</v>
      </c>
      <c r="AN222" s="11">
        <f>IF(AB222&lt;&gt;"",IF($B$16=listy!$K$8,'RZĄDOWY PROGRAM'!$F$3*'RZĄDOWY PROGRAM'!$F$15,AG221*$F$15),"")</f>
        <v>50</v>
      </c>
      <c r="AO222" s="11">
        <f t="shared" si="214"/>
        <v>70</v>
      </c>
      <c r="AQ222" s="8">
        <f t="shared" si="215"/>
        <v>195</v>
      </c>
      <c r="AR222" s="8"/>
      <c r="AS222" s="78">
        <f>IF(AQ222&lt;&gt;"",ROUND(IF($F$11="raty równe",-PMT(W222/12,$F$4-AQ221+SUM($AR$28:AR222),AV221,2),AT222+AU222),2),"")</f>
        <v>3263.82</v>
      </c>
      <c r="AT222" s="78">
        <f>IF(AQ222&lt;&gt;"",IF($F$11="raty malejące",AV221/($F$4-AQ221+SUM($AR$28:AR221)),MIN(AS222-AU222,AV221)),"")</f>
        <v>2209.6063487424431</v>
      </c>
      <c r="AU222" s="78">
        <f t="shared" si="216"/>
        <v>1054.2136512575571</v>
      </c>
      <c r="AV222" s="79">
        <f t="shared" si="217"/>
        <v>143199.17313505852</v>
      </c>
      <c r="AW222" s="11"/>
      <c r="AX222" s="33">
        <f>IF(AQ222&lt;&gt;"",ROUND(IF($F$11="raty równe",-PMT(W222/12,($F$4-AQ221+SUM($AR$27:AR221)),AV221,2),AV221/($F$4-AQ221+SUM($AR$27:AR221))+AV221*W222/12),2),"")</f>
        <v>3263.82</v>
      </c>
      <c r="AY222" s="33">
        <f t="shared" si="218"/>
        <v>258.27</v>
      </c>
      <c r="AZ222" s="33">
        <f t="shared" si="180"/>
        <v>66982.662611044623</v>
      </c>
      <c r="BA222" s="33">
        <f>IF(AQ222&lt;&gt;"",AZ222-SUM($AY$44:AY222),"")</f>
        <v>20752.342611044747</v>
      </c>
      <c r="BB222" s="11">
        <f t="shared" si="219"/>
        <v>20</v>
      </c>
      <c r="BC222" s="11">
        <f>IF(AQ222&lt;&gt;"",IF($B$16=listy!$K$8,'RZĄDOWY PROGRAM'!$F$3*'RZĄDOWY PROGRAM'!$F$15,AV221*$F$15),"")</f>
        <v>50</v>
      </c>
      <c r="BD222" s="11">
        <f t="shared" si="220"/>
        <v>70</v>
      </c>
      <c r="BF222" s="8">
        <f t="shared" si="221"/>
        <v>195</v>
      </c>
      <c r="BG222" s="8"/>
      <c r="BH222" s="78">
        <f>IF(BF222&lt;&gt;"",ROUND(IF($F$11="raty równe",-PMT(W222/12,$F$4-BF221+SUM(BV$28:$BV222)-SUM($BM$29:BM222),BK221,2),BI222+BJ222),2),"")</f>
        <v>3522.09</v>
      </c>
      <c r="BI222" s="78">
        <f>IF(BF222&lt;&gt;"",IF($F$11="raty malejące",MIN(BK221/($F$4-BF221+SUM($BG$27:BG222)-SUM($BM$27:BM222)),BK221),MIN(BH222-BJ222,BK221)),"")</f>
        <v>3150.8014507075513</v>
      </c>
      <c r="BJ222" s="78">
        <f t="shared" si="222"/>
        <v>371.28854929244886</v>
      </c>
      <c r="BK222" s="79">
        <f t="shared" si="223"/>
        <v>48061.412244802639</v>
      </c>
      <c r="BL222" s="11"/>
      <c r="BM222" s="33"/>
      <c r="BN222" s="33">
        <f t="shared" si="181"/>
        <v>0</v>
      </c>
      <c r="BO222" s="33">
        <f t="shared" si="182"/>
        <v>-0.1607113620006847</v>
      </c>
      <c r="BP222" s="33">
        <f>IF(O222&lt;&gt;"",BO222-SUM($BN$44:BN222),"")</f>
        <v>-8.0711362002576448E-2</v>
      </c>
      <c r="BQ222" s="11">
        <f t="shared" si="197"/>
        <v>20</v>
      </c>
      <c r="BR222" s="11">
        <f>IF(BF222&lt;&gt;"",IF($B$16=listy!$K$8,'RZĄDOWY PROGRAM'!$F$3*'RZĄDOWY PROGRAM'!$F$15,BK221*$F$15),"")</f>
        <v>50</v>
      </c>
      <c r="BS222" s="11">
        <f t="shared" si="198"/>
        <v>70</v>
      </c>
      <c r="BU222" s="8">
        <f t="shared" si="224"/>
        <v>195</v>
      </c>
      <c r="BV222" s="8"/>
      <c r="BW222" s="78">
        <f>IF(BU222&lt;&gt;"",ROUND(IF($F$11="raty równe",-PMT(W222/12,$F$4-BU221+SUM($BV$28:BV222)-$CB$43,BZ221,2),BX222+BY222),2),"")</f>
        <v>3522.09</v>
      </c>
      <c r="BX222" s="78">
        <f>IF(BU222&lt;&gt;"",IF($F$11="raty malejące",MIN(BZ221/($F$4-BU221+SUM($BV$28:BV221)-SUM($CB$28:CB221)),BZ221),MIN(BW222-BY222,BZ221)),"")</f>
        <v>3143.949237854365</v>
      </c>
      <c r="BY222" s="78">
        <f t="shared" si="184"/>
        <v>378.14076214563516</v>
      </c>
      <c r="BZ222" s="79">
        <f t="shared" si="178"/>
        <v>49013.397264991865</v>
      </c>
      <c r="CA222" s="11"/>
      <c r="CB222" s="33"/>
      <c r="CC222" s="33">
        <f t="shared" si="225"/>
        <v>0</v>
      </c>
      <c r="CD222" s="33">
        <f t="shared" si="183"/>
        <v>0.48865450470986205</v>
      </c>
      <c r="CE222" s="33">
        <f>IF(O222&lt;&gt;"",CD222-SUM($CC$44:CC222),"")</f>
        <v>0.2186545047162467</v>
      </c>
      <c r="CF222" s="11">
        <f t="shared" si="199"/>
        <v>20</v>
      </c>
      <c r="CG222" s="11">
        <f>IF(BU222&lt;&gt;"",IF($B$16=listy!$K$8,'RZĄDOWY PROGRAM'!$F$3*'RZĄDOWY PROGRAM'!$F$15,BZ221*$F$15),"")</f>
        <v>50</v>
      </c>
      <c r="CH222" s="11">
        <f t="shared" si="200"/>
        <v>70</v>
      </c>
      <c r="CJ222" s="48">
        <f t="shared" si="201"/>
        <v>0.06</v>
      </c>
      <c r="CK222" s="18">
        <f t="shared" si="202"/>
        <v>4.8675505653430484E-3</v>
      </c>
      <c r="CL222" s="11">
        <f t="shared" si="185"/>
        <v>0</v>
      </c>
      <c r="CM222" s="11">
        <f t="shared" si="203"/>
        <v>58937.341627312089</v>
      </c>
      <c r="CN222" s="11">
        <f>IF(AB222&lt;&gt;"",CM222-SUM($CL$28:CL222),"")</f>
        <v>30760.581627312094</v>
      </c>
    </row>
    <row r="223" spans="1:92" x14ac:dyDescent="0.45">
      <c r="A223" s="68">
        <f t="shared" si="226"/>
        <v>50679</v>
      </c>
      <c r="B223" s="8">
        <f t="shared" si="186"/>
        <v>196</v>
      </c>
      <c r="C223" s="11">
        <f t="shared" si="187"/>
        <v>3522.1</v>
      </c>
      <c r="D223" s="11">
        <f t="shared" si="188"/>
        <v>2544.6395983589528</v>
      </c>
      <c r="E223" s="11">
        <f t="shared" si="189"/>
        <v>977.46040164104704</v>
      </c>
      <c r="F223" s="9">
        <f t="shared" si="204"/>
        <v>132277.48476592338</v>
      </c>
      <c r="G223" s="10">
        <f t="shared" si="190"/>
        <v>7.0000000000000007E-2</v>
      </c>
      <c r="H223" s="10">
        <f t="shared" si="191"/>
        <v>1.7000000000000001E-2</v>
      </c>
      <c r="I223" s="48">
        <f t="shared" si="205"/>
        <v>8.7000000000000008E-2</v>
      </c>
      <c r="J223" s="11">
        <f t="shared" si="192"/>
        <v>20</v>
      </c>
      <c r="K223" s="11">
        <f>IF(B223&lt;&gt;"",IF($B$16=listy!$K$8,'RZĄDOWY PROGRAM'!$F$3*'RZĄDOWY PROGRAM'!$F$15,F222*$F$15),"")</f>
        <v>50</v>
      </c>
      <c r="L223" s="11">
        <f t="shared" si="206"/>
        <v>70</v>
      </c>
      <c r="N223" s="54">
        <f t="shared" si="227"/>
        <v>50679</v>
      </c>
      <c r="O223" s="8">
        <f t="shared" si="207"/>
        <v>196</v>
      </c>
      <c r="P223" s="8"/>
      <c r="Q223" s="11">
        <f>IF(O223&lt;&gt;"",ROUND(IF($F$11="raty równe",-PMT(W223/12,$F$4-O222+SUM($P$28:P223),T222,2),R223+S223),2),"")</f>
        <v>3522.1</v>
      </c>
      <c r="R223" s="11">
        <f>IF(O223&lt;&gt;"",IF($F$11="raty malejące",T222/($F$4-O222+SUM($P$28:P223)),IF(Q223-S223&gt;T222,T222,Q223-S223)),"")</f>
        <v>2401.751791183945</v>
      </c>
      <c r="S223" s="11">
        <f t="shared" si="175"/>
        <v>1120.3482088160551</v>
      </c>
      <c r="T223" s="9">
        <f t="shared" si="208"/>
        <v>152129.03563172018</v>
      </c>
      <c r="U223" s="10">
        <f t="shared" si="193"/>
        <v>7.0000000000000007E-2</v>
      </c>
      <c r="V223" s="10">
        <f t="shared" si="194"/>
        <v>1.7000000000000001E-2</v>
      </c>
      <c r="W223" s="48">
        <f t="shared" si="209"/>
        <v>8.7000000000000008E-2</v>
      </c>
      <c r="X223" s="11">
        <f t="shared" si="195"/>
        <v>20</v>
      </c>
      <c r="Y223" s="11">
        <f>IF(O223&lt;&gt;"",IF($B$16=listy!$K$8,'RZĄDOWY PROGRAM'!$F$3*'RZĄDOWY PROGRAM'!$F$15,T222*$F$15),"")</f>
        <v>50</v>
      </c>
      <c r="Z223" s="11">
        <f t="shared" si="210"/>
        <v>70</v>
      </c>
      <c r="AB223" s="8">
        <f t="shared" si="211"/>
        <v>196</v>
      </c>
      <c r="AC223" s="8"/>
      <c r="AD223" s="11">
        <f>IF(AB223&lt;&gt;"",ROUND(IF($F$11="raty równe",-PMT(W223/12,$F$4-AB222+SUM($AC$28:AC223),AG222,2),AE223+AF223),2),"")</f>
        <v>3280.39</v>
      </c>
      <c r="AE223" s="11">
        <f>IF(AB223&lt;&gt;"",IF($F$11="raty malejące",AG222/($F$4-AB222+SUM($AC$28:AC222)),MIN(AD223-AF223,AG222)),"")</f>
        <v>2236.9251888877498</v>
      </c>
      <c r="AF223" s="11">
        <f t="shared" si="176"/>
        <v>1043.4648111122503</v>
      </c>
      <c r="AG223" s="9">
        <f t="shared" si="228"/>
        <v>141689.25565418127</v>
      </c>
      <c r="AH223" s="11"/>
      <c r="AI223" s="33">
        <f>IF(AB223&lt;&gt;"",ROUND(IF($F$11="raty równe",-PMT(W223/12,($F$4-AB222+SUM($AC$27:AC222)),AG222,2),AG222/($F$4-AB222+SUM($AC$27:AC222))+AG222*W223/12),2),"")</f>
        <v>3280.39</v>
      </c>
      <c r="AJ223" s="33">
        <f t="shared" si="212"/>
        <v>241.71000000000004</v>
      </c>
      <c r="AK223" s="33">
        <f t="shared" si="196"/>
        <v>67468.582892504826</v>
      </c>
      <c r="AL223" s="33">
        <f>IF(AB223&lt;&gt;"",AK223-SUM($AJ$28:AJ223),"")</f>
        <v>21889.512892504797</v>
      </c>
      <c r="AM223" s="11">
        <f t="shared" si="213"/>
        <v>20</v>
      </c>
      <c r="AN223" s="11">
        <f>IF(AB223&lt;&gt;"",IF($B$16=listy!$K$8,'RZĄDOWY PROGRAM'!$F$3*'RZĄDOWY PROGRAM'!$F$15,AG222*$F$15),"")</f>
        <v>50</v>
      </c>
      <c r="AO223" s="11">
        <f t="shared" si="214"/>
        <v>70</v>
      </c>
      <c r="AQ223" s="8">
        <f t="shared" si="215"/>
        <v>196</v>
      </c>
      <c r="AR223" s="8"/>
      <c r="AS223" s="78">
        <f>IF(AQ223&lt;&gt;"",ROUND(IF($F$11="raty równe",-PMT(W223/12,$F$4-AQ222+SUM($AR$28:AR223),AV222,2),AT223+AU223),2),"")</f>
        <v>3263.83</v>
      </c>
      <c r="AT223" s="78">
        <f>IF(AQ223&lt;&gt;"",IF($F$11="raty malejące",AV222/($F$4-AQ222+SUM($AR$28:AR222)),MIN(AS223-AU223,AV222)),"")</f>
        <v>2225.6359947708256</v>
      </c>
      <c r="AU223" s="78">
        <f t="shared" si="216"/>
        <v>1038.1940052291743</v>
      </c>
      <c r="AV223" s="79">
        <f t="shared" si="217"/>
        <v>140973.53714028769</v>
      </c>
      <c r="AW223" s="11"/>
      <c r="AX223" s="33">
        <f>IF(AQ223&lt;&gt;"",ROUND(IF($F$11="raty równe",-PMT(W223/12,($F$4-AQ222+SUM($AR$27:AR222)),AV222,2),AV222/($F$4-AQ222+SUM($AR$27:AR222))+AV222*W223/12),2),"")</f>
        <v>3263.83</v>
      </c>
      <c r="AY223" s="33">
        <f t="shared" si="218"/>
        <v>258.27</v>
      </c>
      <c r="AZ223" s="33">
        <f t="shared" si="180"/>
        <v>67505.026223825698</v>
      </c>
      <c r="BA223" s="33">
        <f>IF(AQ223&lt;&gt;"",AZ223-SUM($AY$44:AY223),"")</f>
        <v>21016.436223825825</v>
      </c>
      <c r="BB223" s="11">
        <f t="shared" si="219"/>
        <v>20</v>
      </c>
      <c r="BC223" s="11">
        <f>IF(AQ223&lt;&gt;"",IF($B$16=listy!$K$8,'RZĄDOWY PROGRAM'!$F$3*'RZĄDOWY PROGRAM'!$F$15,AV222*$F$15),"")</f>
        <v>50</v>
      </c>
      <c r="BD223" s="11">
        <f t="shared" si="220"/>
        <v>70</v>
      </c>
      <c r="BF223" s="8">
        <f t="shared" si="221"/>
        <v>196</v>
      </c>
      <c r="BG223" s="8"/>
      <c r="BH223" s="78">
        <f>IF(BF223&lt;&gt;"",ROUND(IF($F$11="raty równe",-PMT(W223/12,$F$4-BF222+SUM(BV$28:$BV223)-SUM($BM$29:BM223),BK222,2),BI223+BJ223),2),"")</f>
        <v>3522.1</v>
      </c>
      <c r="BI223" s="78">
        <f>IF(BF223&lt;&gt;"",IF($F$11="raty malejące",MIN(BK222/($F$4-BF222+SUM($BG$27:BG223)-SUM($BM$27:BM223)),BK222),MIN(BH223-BJ223,BK222)),"")</f>
        <v>3173.6547612251807</v>
      </c>
      <c r="BJ223" s="78">
        <f t="shared" si="222"/>
        <v>348.44523877481919</v>
      </c>
      <c r="BK223" s="79">
        <f t="shared" si="223"/>
        <v>44887.757483577458</v>
      </c>
      <c r="BL223" s="11"/>
      <c r="BM223" s="33"/>
      <c r="BN223" s="33">
        <f t="shared" si="181"/>
        <v>0</v>
      </c>
      <c r="BO223" s="33">
        <f t="shared" si="182"/>
        <v>-0.16134500125226514</v>
      </c>
      <c r="BP223" s="33">
        <f>IF(O223&lt;&gt;"",BO223-SUM($BN$44:BN223),"")</f>
        <v>-8.134500125415689E-2</v>
      </c>
      <c r="BQ223" s="11">
        <f t="shared" si="197"/>
        <v>20</v>
      </c>
      <c r="BR223" s="11">
        <f>IF(BF223&lt;&gt;"",IF($B$16=listy!$K$8,'RZĄDOWY PROGRAM'!$F$3*'RZĄDOWY PROGRAM'!$F$15,BK222*$F$15),"")</f>
        <v>50</v>
      </c>
      <c r="BS223" s="11">
        <f t="shared" si="198"/>
        <v>70</v>
      </c>
      <c r="BU223" s="8">
        <f t="shared" si="224"/>
        <v>196</v>
      </c>
      <c r="BV223" s="8"/>
      <c r="BW223" s="78">
        <f>IF(BU223&lt;&gt;"",ROUND(IF($F$11="raty równe",-PMT(W223/12,$F$4-BU222+SUM($BV$28:BV223)-$CB$43,BZ222,2),BX223+BY223),2),"")</f>
        <v>3522.1</v>
      </c>
      <c r="BX223" s="78">
        <f>IF(BU223&lt;&gt;"",IF($F$11="raty malejące",MIN(BZ222/($F$4-BU222+SUM($BV$28:BV222)-SUM($CB$28:CB222)),BZ222),MIN(BW223-BY223,BZ222)),"")</f>
        <v>3166.7528698288088</v>
      </c>
      <c r="BY223" s="78">
        <f t="shared" si="184"/>
        <v>355.34713017119105</v>
      </c>
      <c r="BZ223" s="79">
        <f t="shared" si="178"/>
        <v>45846.644395163057</v>
      </c>
      <c r="CA223" s="11"/>
      <c r="CB223" s="33"/>
      <c r="CC223" s="33">
        <f t="shared" si="225"/>
        <v>0</v>
      </c>
      <c r="CD223" s="33">
        <f t="shared" si="183"/>
        <v>0.49058113062349501</v>
      </c>
      <c r="CE223" s="33">
        <f>IF(O223&lt;&gt;"",CD223-SUM($CC$44:CC223),"")</f>
        <v>0.22058113062987966</v>
      </c>
      <c r="CF223" s="11">
        <f t="shared" si="199"/>
        <v>20</v>
      </c>
      <c r="CG223" s="11">
        <f>IF(BU223&lt;&gt;"",IF($B$16=listy!$K$8,'RZĄDOWY PROGRAM'!$F$3*'RZĄDOWY PROGRAM'!$F$15,BZ222*$F$15),"")</f>
        <v>50</v>
      </c>
      <c r="CH223" s="11">
        <f t="shared" si="200"/>
        <v>70</v>
      </c>
      <c r="CJ223" s="48">
        <f t="shared" si="201"/>
        <v>0.06</v>
      </c>
      <c r="CK223" s="18">
        <f t="shared" si="202"/>
        <v>4.8675505653430484E-3</v>
      </c>
      <c r="CL223" s="11">
        <f t="shared" si="185"/>
        <v>0</v>
      </c>
      <c r="CM223" s="11">
        <f t="shared" si="203"/>
        <v>59169.714824663941</v>
      </c>
      <c r="CN223" s="11">
        <f>IF(AB223&lt;&gt;"",CM223-SUM($CL$28:CL223),"")</f>
        <v>30992.954824663946</v>
      </c>
    </row>
    <row r="224" spans="1:92" x14ac:dyDescent="0.45">
      <c r="A224" s="68">
        <f t="shared" si="226"/>
        <v>50710</v>
      </c>
      <c r="B224" s="8">
        <f t="shared" si="186"/>
        <v>197</v>
      </c>
      <c r="C224" s="11">
        <f t="shared" si="187"/>
        <v>3522.09</v>
      </c>
      <c r="D224" s="11">
        <f t="shared" si="188"/>
        <v>2563.0782354470557</v>
      </c>
      <c r="E224" s="11">
        <f t="shared" si="189"/>
        <v>959.01176455294456</v>
      </c>
      <c r="F224" s="9">
        <f t="shared" si="204"/>
        <v>129714.40653047632</v>
      </c>
      <c r="G224" s="10">
        <f t="shared" si="190"/>
        <v>7.0000000000000007E-2</v>
      </c>
      <c r="H224" s="10">
        <f t="shared" si="191"/>
        <v>1.7000000000000001E-2</v>
      </c>
      <c r="I224" s="48">
        <f t="shared" si="205"/>
        <v>8.7000000000000008E-2</v>
      </c>
      <c r="J224" s="11">
        <f t="shared" si="192"/>
        <v>20</v>
      </c>
      <c r="K224" s="11">
        <f>IF(B224&lt;&gt;"",IF($B$16=listy!$K$8,'RZĄDOWY PROGRAM'!$F$3*'RZĄDOWY PROGRAM'!$F$15,F223*$F$15),"")</f>
        <v>50</v>
      </c>
      <c r="L224" s="11">
        <f t="shared" si="206"/>
        <v>70</v>
      </c>
      <c r="N224" s="54">
        <f t="shared" si="227"/>
        <v>50710</v>
      </c>
      <c r="O224" s="8">
        <f t="shared" si="207"/>
        <v>197</v>
      </c>
      <c r="P224" s="8"/>
      <c r="Q224" s="11">
        <f>IF(O224&lt;&gt;"",ROUND(IF($F$11="raty równe",-PMT(W224/12,$F$4-O223+SUM($P$28:P224),T223,2),R224+S224),2),"")</f>
        <v>3522.09</v>
      </c>
      <c r="R224" s="11">
        <f>IF(O224&lt;&gt;"",IF($F$11="raty malejące",T223/($F$4-O223+SUM($P$28:P224)),IF(Q224-S224&gt;T223,T223,Q224-S224)),"")</f>
        <v>2419.1544916700286</v>
      </c>
      <c r="S224" s="11">
        <f t="shared" si="175"/>
        <v>1102.9355083299713</v>
      </c>
      <c r="T224" s="9">
        <f t="shared" si="208"/>
        <v>149709.88114005016</v>
      </c>
      <c r="U224" s="10">
        <f t="shared" si="193"/>
        <v>7.0000000000000007E-2</v>
      </c>
      <c r="V224" s="10">
        <f t="shared" si="194"/>
        <v>1.7000000000000001E-2</v>
      </c>
      <c r="W224" s="48">
        <f t="shared" si="209"/>
        <v>8.7000000000000008E-2</v>
      </c>
      <c r="X224" s="11">
        <f t="shared" si="195"/>
        <v>20</v>
      </c>
      <c r="Y224" s="11">
        <f>IF(O224&lt;&gt;"",IF($B$16=listy!$K$8,'RZĄDOWY PROGRAM'!$F$3*'RZĄDOWY PROGRAM'!$F$15,T223*$F$15),"")</f>
        <v>50</v>
      </c>
      <c r="Z224" s="11">
        <f t="shared" si="210"/>
        <v>70</v>
      </c>
      <c r="AB224" s="8">
        <f t="shared" si="211"/>
        <v>197</v>
      </c>
      <c r="AC224" s="8"/>
      <c r="AD224" s="11">
        <f>IF(AB224&lt;&gt;"",ROUND(IF($F$11="raty równe",-PMT(W224/12,$F$4-AB223+SUM($AC$28:AC224),AG223,2),AE224+AF224),2),"")</f>
        <v>3280.4</v>
      </c>
      <c r="AE224" s="11">
        <f>IF(AB224&lt;&gt;"",IF($F$11="raty malejące",AG223/($F$4-AB223+SUM($AC$28:AC223)),MIN(AD224-AF224,AG223)),"")</f>
        <v>2253.1528965071857</v>
      </c>
      <c r="AF224" s="11">
        <f t="shared" si="176"/>
        <v>1027.2471034928142</v>
      </c>
      <c r="AG224" s="9">
        <f t="shared" si="228"/>
        <v>139436.10275767409</v>
      </c>
      <c r="AH224" s="11"/>
      <c r="AI224" s="33">
        <f>IF(AB224&lt;&gt;"",ROUND(IF($F$11="raty równe",-PMT(W224/12,($F$4-AB223+SUM($AC$27:AC223)),AG223,2),AG223/($F$4-AB223+SUM($AC$27:AC223))+AG223*W224/12),2),"")</f>
        <v>3280.4</v>
      </c>
      <c r="AJ224" s="33">
        <f t="shared" si="212"/>
        <v>241.69000000000005</v>
      </c>
      <c r="AK224" s="33">
        <f t="shared" si="196"/>
        <v>67976.282350933892</v>
      </c>
      <c r="AL224" s="33">
        <f>IF(AB224&lt;&gt;"",AK224-SUM($AJ$28:AJ224),"")</f>
        <v>22155.522350933861</v>
      </c>
      <c r="AM224" s="11">
        <f t="shared" si="213"/>
        <v>20</v>
      </c>
      <c r="AN224" s="11">
        <f>IF(AB224&lt;&gt;"",IF($B$16=listy!$K$8,'RZĄDOWY PROGRAM'!$F$3*'RZĄDOWY PROGRAM'!$F$15,AG223*$F$15),"")</f>
        <v>50</v>
      </c>
      <c r="AO224" s="11">
        <f t="shared" si="214"/>
        <v>70</v>
      </c>
      <c r="AQ224" s="8">
        <f t="shared" si="215"/>
        <v>197</v>
      </c>
      <c r="AR224" s="8"/>
      <c r="AS224" s="78">
        <f>IF(AQ224&lt;&gt;"",ROUND(IF($F$11="raty równe",-PMT(W224/12,$F$4-AQ223+SUM($AR$28:AR224),AV223,2),AT224+AU224),2),"")</f>
        <v>3263.82</v>
      </c>
      <c r="AT224" s="78">
        <f>IF(AQ224&lt;&gt;"",IF($F$11="raty malejące",AV223/($F$4-AQ223+SUM($AR$28:AR223)),MIN(AS224-AU224,AV223)),"")</f>
        <v>2241.7618557329142</v>
      </c>
      <c r="AU224" s="78">
        <f t="shared" si="216"/>
        <v>1022.0581442670858</v>
      </c>
      <c r="AV224" s="79">
        <f t="shared" si="217"/>
        <v>138731.77528455478</v>
      </c>
      <c r="AW224" s="11"/>
      <c r="AX224" s="33">
        <f>IF(AQ224&lt;&gt;"",ROUND(IF($F$11="raty równe",-PMT(W224/12,($F$4-AQ223+SUM($AR$27:AR223)),AV223,2),AV223/($F$4-AQ223+SUM($AR$27:AR223))+AV223*W224/12),2),"")</f>
        <v>3263.82</v>
      </c>
      <c r="AY224" s="33">
        <f t="shared" si="218"/>
        <v>258.27</v>
      </c>
      <c r="AZ224" s="33">
        <f t="shared" si="180"/>
        <v>68029.449367958718</v>
      </c>
      <c r="BA224" s="33">
        <f>IF(AQ224&lt;&gt;"",AZ224-SUM($AY$44:AY224),"")</f>
        <v>21282.589367958848</v>
      </c>
      <c r="BB224" s="11">
        <f t="shared" si="219"/>
        <v>20</v>
      </c>
      <c r="BC224" s="11">
        <f>IF(AQ224&lt;&gt;"",IF($B$16=listy!$K$8,'RZĄDOWY PROGRAM'!$F$3*'RZĄDOWY PROGRAM'!$F$15,AV223*$F$15),"")</f>
        <v>50</v>
      </c>
      <c r="BD224" s="11">
        <f t="shared" si="220"/>
        <v>70</v>
      </c>
      <c r="BF224" s="8">
        <f t="shared" si="221"/>
        <v>197</v>
      </c>
      <c r="BG224" s="8"/>
      <c r="BH224" s="78">
        <f>IF(BF224&lt;&gt;"",ROUND(IF($F$11="raty równe",-PMT(W224/12,$F$4-BF223+SUM(BV$28:$BV224)-SUM($BM$29:BM224),BK223,2),BI224+BJ224),2),"")</f>
        <v>3522.1</v>
      </c>
      <c r="BI224" s="78">
        <f>IF(BF224&lt;&gt;"",IF($F$11="raty malejące",MIN(BK223/($F$4-BF223+SUM($BG$27:BG224)-SUM($BM$27:BM224)),BK223),MIN(BH224-BJ224,BK223)),"")</f>
        <v>3196.6637582440635</v>
      </c>
      <c r="BJ224" s="78">
        <f t="shared" si="222"/>
        <v>325.43624175593658</v>
      </c>
      <c r="BK224" s="79">
        <f t="shared" si="223"/>
        <v>41691.093725333398</v>
      </c>
      <c r="BL224" s="11"/>
      <c r="BM224" s="33"/>
      <c r="BN224" s="33">
        <f t="shared" si="181"/>
        <v>-9.9999999997635314E-3</v>
      </c>
      <c r="BO224" s="33">
        <f t="shared" si="182"/>
        <v>-0.17198113876319787</v>
      </c>
      <c r="BP224" s="33">
        <f>IF(O224&lt;&gt;"",BO224-SUM($BN$44:BN224),"")</f>
        <v>-8.1981138765326089E-2</v>
      </c>
      <c r="BQ224" s="11">
        <f t="shared" si="197"/>
        <v>20</v>
      </c>
      <c r="BR224" s="11">
        <f>IF(BF224&lt;&gt;"",IF($B$16=listy!$K$8,'RZĄDOWY PROGRAM'!$F$3*'RZĄDOWY PROGRAM'!$F$15,BK223*$F$15),"")</f>
        <v>50</v>
      </c>
      <c r="BS224" s="11">
        <f t="shared" si="198"/>
        <v>70</v>
      </c>
      <c r="BU224" s="8">
        <f t="shared" si="224"/>
        <v>197</v>
      </c>
      <c r="BV224" s="8"/>
      <c r="BW224" s="78">
        <f>IF(BU224&lt;&gt;"",ROUND(IF($F$11="raty równe",-PMT(W224/12,$F$4-BU223+SUM($BV$28:BV224)-$CB$43,BZ223,2),BX224+BY224),2),"")</f>
        <v>3522.1</v>
      </c>
      <c r="BX224" s="78">
        <f>IF(BU224&lt;&gt;"",IF($F$11="raty malejące",MIN(BZ223/($F$4-BU223+SUM($BV$28:BV223)-SUM($CB$28:CB223)),BZ223),MIN(BW224-BY224,BZ223)),"")</f>
        <v>3189.7118281350677</v>
      </c>
      <c r="BY224" s="78">
        <f t="shared" si="184"/>
        <v>332.38817186493219</v>
      </c>
      <c r="BZ224" s="79">
        <f t="shared" si="178"/>
        <v>42656.932567027987</v>
      </c>
      <c r="CA224" s="11"/>
      <c r="CB224" s="33"/>
      <c r="CC224" s="33">
        <f t="shared" si="225"/>
        <v>-9.9999999997635314E-3</v>
      </c>
      <c r="CD224" s="33">
        <f t="shared" si="183"/>
        <v>0.48251535267609907</v>
      </c>
      <c r="CE224" s="33">
        <f>IF(O224&lt;&gt;"",CD224-SUM($CC$44:CC224),"")</f>
        <v>0.22251535268224726</v>
      </c>
      <c r="CF224" s="11">
        <f t="shared" si="199"/>
        <v>20</v>
      </c>
      <c r="CG224" s="11">
        <f>IF(BU224&lt;&gt;"",IF($B$16=listy!$K$8,'RZĄDOWY PROGRAM'!$F$3*'RZĄDOWY PROGRAM'!$F$15,BZ223*$F$15),"")</f>
        <v>50</v>
      </c>
      <c r="CH224" s="11">
        <f t="shared" si="200"/>
        <v>70</v>
      </c>
      <c r="CJ224" s="48">
        <f t="shared" si="201"/>
        <v>0.06</v>
      </c>
      <c r="CK224" s="18">
        <f t="shared" si="202"/>
        <v>4.8675505653430484E-3</v>
      </c>
      <c r="CL224" s="11">
        <f t="shared" si="185"/>
        <v>0</v>
      </c>
      <c r="CM224" s="11">
        <f t="shared" si="203"/>
        <v>59403.004203529192</v>
      </c>
      <c r="CN224" s="11">
        <f>IF(AB224&lt;&gt;"",CM224-SUM($CL$28:CL224),"")</f>
        <v>31226.244203529197</v>
      </c>
    </row>
    <row r="225" spans="1:92" x14ac:dyDescent="0.45">
      <c r="A225" s="68">
        <f t="shared" si="226"/>
        <v>50740</v>
      </c>
      <c r="B225" s="8">
        <f t="shared" si="186"/>
        <v>198</v>
      </c>
      <c r="C225" s="11">
        <f t="shared" si="187"/>
        <v>3522.1</v>
      </c>
      <c r="D225" s="11">
        <f t="shared" si="188"/>
        <v>2581.6705526540463</v>
      </c>
      <c r="E225" s="11">
        <f t="shared" si="189"/>
        <v>940.42944734595346</v>
      </c>
      <c r="F225" s="9">
        <f t="shared" si="204"/>
        <v>127132.73597782227</v>
      </c>
      <c r="G225" s="10">
        <f t="shared" si="190"/>
        <v>7.0000000000000007E-2</v>
      </c>
      <c r="H225" s="10">
        <f t="shared" si="191"/>
        <v>1.7000000000000001E-2</v>
      </c>
      <c r="I225" s="48">
        <f t="shared" si="205"/>
        <v>8.7000000000000008E-2</v>
      </c>
      <c r="J225" s="11">
        <f t="shared" si="192"/>
        <v>20</v>
      </c>
      <c r="K225" s="11">
        <f>IF(B225&lt;&gt;"",IF($B$16=listy!$K$8,'RZĄDOWY PROGRAM'!$F$3*'RZĄDOWY PROGRAM'!$F$15,F224*$F$15),"")</f>
        <v>50</v>
      </c>
      <c r="L225" s="11">
        <f t="shared" si="206"/>
        <v>70</v>
      </c>
      <c r="N225" s="54">
        <f t="shared" si="227"/>
        <v>50740</v>
      </c>
      <c r="O225" s="8">
        <f t="shared" si="207"/>
        <v>198</v>
      </c>
      <c r="P225" s="8"/>
      <c r="Q225" s="11">
        <f>IF(O225&lt;&gt;"",ROUND(IF($F$11="raty równe",-PMT(W225/12,$F$4-O224+SUM($P$28:P225),T224,2),R225+S225),2),"")</f>
        <v>3522.1</v>
      </c>
      <c r="R225" s="11">
        <f>IF(O225&lt;&gt;"",IF($F$11="raty malejące",T224/($F$4-O224+SUM($P$28:P225)),IF(Q225-S225&gt;T224,T224,Q225-S225)),"")</f>
        <v>2436.703361734636</v>
      </c>
      <c r="S225" s="11">
        <f t="shared" si="175"/>
        <v>1085.3966382653637</v>
      </c>
      <c r="T225" s="9">
        <f t="shared" si="208"/>
        <v>147273.17777831553</v>
      </c>
      <c r="U225" s="10">
        <f t="shared" si="193"/>
        <v>7.0000000000000007E-2</v>
      </c>
      <c r="V225" s="10">
        <f t="shared" si="194"/>
        <v>1.7000000000000001E-2</v>
      </c>
      <c r="W225" s="48">
        <f t="shared" si="209"/>
        <v>8.7000000000000008E-2</v>
      </c>
      <c r="X225" s="11">
        <f t="shared" si="195"/>
        <v>20</v>
      </c>
      <c r="Y225" s="11">
        <f>IF(O225&lt;&gt;"",IF($B$16=listy!$K$8,'RZĄDOWY PROGRAM'!$F$3*'RZĄDOWY PROGRAM'!$F$15,T224*$F$15),"")</f>
        <v>50</v>
      </c>
      <c r="Z225" s="11">
        <f t="shared" si="210"/>
        <v>70</v>
      </c>
      <c r="AB225" s="8">
        <f t="shared" si="211"/>
        <v>198</v>
      </c>
      <c r="AC225" s="8"/>
      <c r="AD225" s="11">
        <f>IF(AB225&lt;&gt;"",ROUND(IF($F$11="raty równe",-PMT(W225/12,$F$4-AB224+SUM($AC$28:AC225),AG224,2),AE225+AF225),2),"")</f>
        <v>3280.39</v>
      </c>
      <c r="AE225" s="11">
        <f>IF(AB225&lt;&gt;"",IF($F$11="raty malejące",AG224/($F$4-AB224+SUM($AC$28:AC224)),MIN(AD225-AF225,AG224)),"")</f>
        <v>2269.4782550068626</v>
      </c>
      <c r="AF225" s="11">
        <f t="shared" si="176"/>
        <v>1010.9117449931373</v>
      </c>
      <c r="AG225" s="9">
        <f t="shared" si="228"/>
        <v>137166.62450266723</v>
      </c>
      <c r="AH225" s="11"/>
      <c r="AI225" s="33">
        <f>IF(AB225&lt;&gt;"",ROUND(IF($F$11="raty równe",-PMT(W225/12,($F$4-AB224+SUM($AC$27:AC224)),AG224,2),AG224/($F$4-AB224+SUM($AC$27:AC224))+AG224*W225/12),2),"")</f>
        <v>3280.39</v>
      </c>
      <c r="AJ225" s="33">
        <f t="shared" si="212"/>
        <v>241.71000000000004</v>
      </c>
      <c r="AK225" s="33">
        <f t="shared" si="196"/>
        <v>68486.003524119544</v>
      </c>
      <c r="AL225" s="33">
        <f>IF(AB225&lt;&gt;"",AK225-SUM($AJ$28:AJ225),"")</f>
        <v>22423.533524119513</v>
      </c>
      <c r="AM225" s="11">
        <f t="shared" si="213"/>
        <v>20</v>
      </c>
      <c r="AN225" s="11">
        <f>IF(AB225&lt;&gt;"",IF($B$16=listy!$K$8,'RZĄDOWY PROGRAM'!$F$3*'RZĄDOWY PROGRAM'!$F$15,AG224*$F$15),"")</f>
        <v>50</v>
      </c>
      <c r="AO225" s="11">
        <f t="shared" si="214"/>
        <v>70</v>
      </c>
      <c r="AQ225" s="8">
        <f t="shared" si="215"/>
        <v>198</v>
      </c>
      <c r="AR225" s="8"/>
      <c r="AS225" s="78">
        <f>IF(AQ225&lt;&gt;"",ROUND(IF($F$11="raty równe",-PMT(W225/12,$F$4-AQ224+SUM($AR$28:AR225),AV224,2),AT225+AU225),2),"")</f>
        <v>3263.83</v>
      </c>
      <c r="AT225" s="78">
        <f>IF(AQ225&lt;&gt;"",IF($F$11="raty malejące",AV224/($F$4-AQ224+SUM($AR$28:AR224)),MIN(AS225-AU225,AV224)),"")</f>
        <v>2258.0246291869776</v>
      </c>
      <c r="AU225" s="78">
        <f t="shared" si="216"/>
        <v>1005.8053708130223</v>
      </c>
      <c r="AV225" s="79">
        <f t="shared" si="217"/>
        <v>136473.7506553678</v>
      </c>
      <c r="AW225" s="11"/>
      <c r="AX225" s="33">
        <f>IF(AQ225&lt;&gt;"",ROUND(IF($F$11="raty równe",-PMT(W225/12,($F$4-AQ224+SUM($AR$27:AR224)),AV224,2),AV224/($F$4-AQ224+SUM($AR$27:AR224))+AV224*W225/12),2),"")</f>
        <v>3263.83</v>
      </c>
      <c r="AY225" s="33">
        <f t="shared" si="218"/>
        <v>258.27</v>
      </c>
      <c r="AZ225" s="33">
        <f t="shared" si="180"/>
        <v>68555.940163590829</v>
      </c>
      <c r="BA225" s="33">
        <f>IF(AQ225&lt;&gt;"",AZ225-SUM($AY$44:AY225),"")</f>
        <v>21550.810163590962</v>
      </c>
      <c r="BB225" s="11">
        <f t="shared" si="219"/>
        <v>20</v>
      </c>
      <c r="BC225" s="11">
        <f>IF(AQ225&lt;&gt;"",IF($B$16=listy!$K$8,'RZĄDOWY PROGRAM'!$F$3*'RZĄDOWY PROGRAM'!$F$15,AV224*$F$15),"")</f>
        <v>50</v>
      </c>
      <c r="BD225" s="11">
        <f t="shared" si="220"/>
        <v>70</v>
      </c>
      <c r="BF225" s="8">
        <f t="shared" si="221"/>
        <v>198</v>
      </c>
      <c r="BG225" s="8"/>
      <c r="BH225" s="78">
        <f>IF(BF225&lt;&gt;"",ROUND(IF($F$11="raty równe",-PMT(W225/12,$F$4-BF224+SUM(BV$28:$BV225)-SUM($BM$29:BM225),BK224,2),BI225+BJ225),2),"")</f>
        <v>3522.09</v>
      </c>
      <c r="BI225" s="78">
        <f>IF(BF225&lt;&gt;"",IF($F$11="raty malejące",MIN(BK224/($F$4-BF224+SUM($BG$27:BG225)-SUM($BM$27:BM225)),BK224),MIN(BH225-BJ225,BK224)),"")</f>
        <v>3219.829570491333</v>
      </c>
      <c r="BJ225" s="78">
        <f t="shared" si="222"/>
        <v>302.26042950866719</v>
      </c>
      <c r="BK225" s="79">
        <f t="shared" si="223"/>
        <v>38471.264154842065</v>
      </c>
      <c r="BL225" s="11"/>
      <c r="BM225" s="33"/>
      <c r="BN225" s="33">
        <f t="shared" si="181"/>
        <v>9.9999999997635314E-3</v>
      </c>
      <c r="BO225" s="33">
        <f t="shared" si="182"/>
        <v>-0.16265921154369861</v>
      </c>
      <c r="BP225" s="33">
        <f>IF(O225&lt;&gt;"",BO225-SUM($BN$44:BN225),"")</f>
        <v>-8.2659211545590361E-2</v>
      </c>
      <c r="BQ225" s="11">
        <f t="shared" si="197"/>
        <v>20</v>
      </c>
      <c r="BR225" s="11">
        <f>IF(BF225&lt;&gt;"",IF($B$16=listy!$K$8,'RZĄDOWY PROGRAM'!$F$3*'RZĄDOWY PROGRAM'!$F$15,BK224*$F$15),"")</f>
        <v>50</v>
      </c>
      <c r="BS225" s="11">
        <f t="shared" si="198"/>
        <v>70</v>
      </c>
      <c r="BU225" s="8">
        <f t="shared" si="224"/>
        <v>198</v>
      </c>
      <c r="BV225" s="8"/>
      <c r="BW225" s="78">
        <f>IF(BU225&lt;&gt;"",ROUND(IF($F$11="raty równe",-PMT(W225/12,$F$4-BU224+SUM($BV$28:BV225)-$CB$43,BZ224,2),BX225+BY225),2),"")</f>
        <v>3522.09</v>
      </c>
      <c r="BX225" s="78">
        <f>IF(BU225&lt;&gt;"",IF($F$11="raty malejące",MIN(BZ224/($F$4-BU224+SUM($BV$28:BV224)-SUM($CB$28:CB224)),BZ224),MIN(BW225-BY225,BZ224)),"")</f>
        <v>3212.8272388890473</v>
      </c>
      <c r="BY225" s="78">
        <f t="shared" si="184"/>
        <v>309.26276111095291</v>
      </c>
      <c r="BZ225" s="79">
        <f t="shared" si="178"/>
        <v>39444.10532813894</v>
      </c>
      <c r="CA225" s="11"/>
      <c r="CB225" s="33"/>
      <c r="CC225" s="33">
        <f t="shared" si="225"/>
        <v>9.9999999997635314E-3</v>
      </c>
      <c r="CD225" s="33">
        <f t="shared" si="183"/>
        <v>0.49441777365680389</v>
      </c>
      <c r="CE225" s="33">
        <f>IF(O225&lt;&gt;"",CD225-SUM($CC$44:CC225),"")</f>
        <v>0.22441777366318855</v>
      </c>
      <c r="CF225" s="11">
        <f t="shared" si="199"/>
        <v>20</v>
      </c>
      <c r="CG225" s="11">
        <f>IF(BU225&lt;&gt;"",IF($B$16=listy!$K$8,'RZĄDOWY PROGRAM'!$F$3*'RZĄDOWY PROGRAM'!$F$15,BZ224*$F$15),"")</f>
        <v>50</v>
      </c>
      <c r="CH225" s="11">
        <f t="shared" si="200"/>
        <v>70</v>
      </c>
      <c r="CJ225" s="48">
        <f t="shared" si="201"/>
        <v>0.06</v>
      </c>
      <c r="CK225" s="18">
        <f t="shared" si="202"/>
        <v>4.8675505653430484E-3</v>
      </c>
      <c r="CL225" s="11">
        <f t="shared" si="185"/>
        <v>0</v>
      </c>
      <c r="CM225" s="11">
        <f t="shared" si="203"/>
        <v>59637.213376151311</v>
      </c>
      <c r="CN225" s="11">
        <f>IF(AB225&lt;&gt;"",CM225-SUM($CL$28:CL225),"")</f>
        <v>31460.453376151316</v>
      </c>
    </row>
    <row r="226" spans="1:92" x14ac:dyDescent="0.45">
      <c r="A226" s="68">
        <f t="shared" si="226"/>
        <v>50771</v>
      </c>
      <c r="B226" s="8">
        <f t="shared" si="186"/>
        <v>199</v>
      </c>
      <c r="C226" s="11">
        <f t="shared" si="187"/>
        <v>3522.09</v>
      </c>
      <c r="D226" s="11">
        <f t="shared" si="188"/>
        <v>2600.3776641607888</v>
      </c>
      <c r="E226" s="11">
        <f t="shared" si="189"/>
        <v>921.71233583921151</v>
      </c>
      <c r="F226" s="9">
        <f t="shared" si="204"/>
        <v>124532.35831366149</v>
      </c>
      <c r="G226" s="10">
        <f t="shared" si="190"/>
        <v>7.0000000000000007E-2</v>
      </c>
      <c r="H226" s="10">
        <f t="shared" si="191"/>
        <v>1.7000000000000001E-2</v>
      </c>
      <c r="I226" s="48">
        <f t="shared" si="205"/>
        <v>8.7000000000000008E-2</v>
      </c>
      <c r="J226" s="11">
        <f t="shared" si="192"/>
        <v>20</v>
      </c>
      <c r="K226" s="11">
        <f>IF(B226&lt;&gt;"",IF($B$16=listy!$K$8,'RZĄDOWY PROGRAM'!$F$3*'RZĄDOWY PROGRAM'!$F$15,F225*$F$15),"")</f>
        <v>50</v>
      </c>
      <c r="L226" s="11">
        <f t="shared" si="206"/>
        <v>70</v>
      </c>
      <c r="N226" s="54">
        <f t="shared" si="227"/>
        <v>50771</v>
      </c>
      <c r="O226" s="8">
        <f t="shared" si="207"/>
        <v>199</v>
      </c>
      <c r="P226" s="8"/>
      <c r="Q226" s="11">
        <f>IF(O226&lt;&gt;"",ROUND(IF($F$11="raty równe",-PMT(W226/12,$F$4-O225+SUM($P$28:P226),T225,2),R226+S226),2),"")</f>
        <v>3522.09</v>
      </c>
      <c r="R226" s="11">
        <f>IF(O226&lt;&gt;"",IF($F$11="raty malejące",T225/($F$4-O225+SUM($P$28:P226)),IF(Q226-S226&gt;T225,T225,Q226-S226)),"")</f>
        <v>2454.3594611072122</v>
      </c>
      <c r="S226" s="11">
        <f t="shared" si="175"/>
        <v>1067.7305388927878</v>
      </c>
      <c r="T226" s="9">
        <f t="shared" si="208"/>
        <v>144818.81831720832</v>
      </c>
      <c r="U226" s="10">
        <f t="shared" si="193"/>
        <v>7.0000000000000007E-2</v>
      </c>
      <c r="V226" s="10">
        <f t="shared" si="194"/>
        <v>1.7000000000000001E-2</v>
      </c>
      <c r="W226" s="48">
        <f t="shared" si="209"/>
        <v>8.7000000000000008E-2</v>
      </c>
      <c r="X226" s="11">
        <f t="shared" si="195"/>
        <v>20</v>
      </c>
      <c r="Y226" s="11">
        <f>IF(O226&lt;&gt;"",IF($B$16=listy!$K$8,'RZĄDOWY PROGRAM'!$F$3*'RZĄDOWY PROGRAM'!$F$15,T225*$F$15),"")</f>
        <v>50</v>
      </c>
      <c r="Z226" s="11">
        <f t="shared" si="210"/>
        <v>70</v>
      </c>
      <c r="AB226" s="8">
        <f t="shared" si="211"/>
        <v>199</v>
      </c>
      <c r="AC226" s="8"/>
      <c r="AD226" s="11">
        <f>IF(AB226&lt;&gt;"",ROUND(IF($F$11="raty równe",-PMT(W226/12,$F$4-AB225+SUM($AC$28:AC226),AG225,2),AE226+AF226),2),"")</f>
        <v>3280.4</v>
      </c>
      <c r="AE226" s="11">
        <f>IF(AB226&lt;&gt;"",IF($F$11="raty malejące",AG225/($F$4-AB225+SUM($AC$28:AC225)),MIN(AD226-AF226,AG225)),"")</f>
        <v>2285.9419723556625</v>
      </c>
      <c r="AF226" s="11">
        <f t="shared" si="176"/>
        <v>994.45802764433745</v>
      </c>
      <c r="AG226" s="9">
        <f t="shared" si="228"/>
        <v>134880.68253031158</v>
      </c>
      <c r="AH226" s="11"/>
      <c r="AI226" s="33">
        <f>IF(AB226&lt;&gt;"",ROUND(IF($F$11="raty równe",-PMT(W226/12,($F$4-AB225+SUM($AC$27:AC225)),AG225,2),AG225/($F$4-AB225+SUM($AC$27:AC225))+AG225*W226/12),2),"")</f>
        <v>3280.4</v>
      </c>
      <c r="AJ226" s="33">
        <f t="shared" si="212"/>
        <v>241.69000000000005</v>
      </c>
      <c r="AK226" s="33">
        <f t="shared" si="196"/>
        <v>68997.714383108803</v>
      </c>
      <c r="AL226" s="33">
        <f>IF(AB226&lt;&gt;"",AK226-SUM($AJ$28:AJ226),"")</f>
        <v>22693.554383108771</v>
      </c>
      <c r="AM226" s="11">
        <f t="shared" si="213"/>
        <v>20</v>
      </c>
      <c r="AN226" s="11">
        <f>IF(AB226&lt;&gt;"",IF($B$16=listy!$K$8,'RZĄDOWY PROGRAM'!$F$3*'RZĄDOWY PROGRAM'!$F$15,AG225*$F$15),"")</f>
        <v>50</v>
      </c>
      <c r="AO226" s="11">
        <f t="shared" si="214"/>
        <v>70</v>
      </c>
      <c r="AQ226" s="8">
        <f t="shared" si="215"/>
        <v>199</v>
      </c>
      <c r="AR226" s="8"/>
      <c r="AS226" s="78">
        <f>IF(AQ226&lt;&gt;"",ROUND(IF($F$11="raty równe",-PMT(W226/12,$F$4-AQ225+SUM($AR$28:AR226),AV225,2),AT226+AU226),2),"")</f>
        <v>3263.82</v>
      </c>
      <c r="AT226" s="78">
        <f>IF(AQ226&lt;&gt;"",IF($F$11="raty malejące",AV225/($F$4-AQ225+SUM($AR$28:AR225)),MIN(AS226-AU226,AV225)),"")</f>
        <v>2274.3853077485837</v>
      </c>
      <c r="AU226" s="78">
        <f t="shared" si="216"/>
        <v>989.43469225141655</v>
      </c>
      <c r="AV226" s="79">
        <f t="shared" si="217"/>
        <v>134199.36534761923</v>
      </c>
      <c r="AW226" s="11"/>
      <c r="AX226" s="33">
        <f>IF(AQ226&lt;&gt;"",ROUND(IF($F$11="raty równe",-PMT(W226/12,($F$4-AQ225+SUM($AR$27:AR225)),AV225,2),AV225/($F$4-AQ225+SUM($AR$27:AR225))+AV225*W226/12),2),"")</f>
        <v>3263.82</v>
      </c>
      <c r="AY226" s="33">
        <f t="shared" si="218"/>
        <v>258.27</v>
      </c>
      <c r="AZ226" s="33">
        <f t="shared" si="180"/>
        <v>69084.506762884572</v>
      </c>
      <c r="BA226" s="33">
        <f>IF(AQ226&lt;&gt;"",AZ226-SUM($AY$44:AY226),"")</f>
        <v>21821.106762884709</v>
      </c>
      <c r="BB226" s="11">
        <f t="shared" si="219"/>
        <v>20</v>
      </c>
      <c r="BC226" s="11">
        <f>IF(AQ226&lt;&gt;"",IF($B$16=listy!$K$8,'RZĄDOWY PROGRAM'!$F$3*'RZĄDOWY PROGRAM'!$F$15,AV225*$F$15),"")</f>
        <v>50</v>
      </c>
      <c r="BD226" s="11">
        <f t="shared" si="220"/>
        <v>70</v>
      </c>
      <c r="BF226" s="8">
        <f t="shared" si="221"/>
        <v>199</v>
      </c>
      <c r="BG226" s="8"/>
      <c r="BH226" s="78">
        <f>IF(BF226&lt;&gt;"",ROUND(IF($F$11="raty równe",-PMT(W226/12,$F$4-BF225+SUM(BV$28:$BV226)-SUM($BM$29:BM226),BK225,2),BI226+BJ226),2),"")</f>
        <v>3522.09</v>
      </c>
      <c r="BI226" s="78">
        <f>IF(BF226&lt;&gt;"",IF($F$11="raty malejące",MIN(BK225/($F$4-BF225+SUM($BG$27:BG226)-SUM($BM$27:BM226)),BK225),MIN(BH226-BJ226,BK225)),"")</f>
        <v>3243.1733348773951</v>
      </c>
      <c r="BJ226" s="78">
        <f t="shared" si="222"/>
        <v>278.91666512260502</v>
      </c>
      <c r="BK226" s="79">
        <f t="shared" si="223"/>
        <v>35228.090819964673</v>
      </c>
      <c r="BL226" s="11"/>
      <c r="BM226" s="33"/>
      <c r="BN226" s="33">
        <f t="shared" si="181"/>
        <v>0</v>
      </c>
      <c r="BO226" s="33">
        <f t="shared" si="182"/>
        <v>-0.16330053061275593</v>
      </c>
      <c r="BP226" s="33">
        <f>IF(O226&lt;&gt;"",BO226-SUM($BN$44:BN226),"")</f>
        <v>-8.3300530614647678E-2</v>
      </c>
      <c r="BQ226" s="11">
        <f t="shared" si="197"/>
        <v>20</v>
      </c>
      <c r="BR226" s="11">
        <f>IF(BF226&lt;&gt;"",IF($B$16=listy!$K$8,'RZĄDOWY PROGRAM'!$F$3*'RZĄDOWY PROGRAM'!$F$15,BK225*$F$15),"")</f>
        <v>50</v>
      </c>
      <c r="BS226" s="11">
        <f t="shared" si="198"/>
        <v>70</v>
      </c>
      <c r="BU226" s="8">
        <f t="shared" si="224"/>
        <v>199</v>
      </c>
      <c r="BV226" s="8"/>
      <c r="BW226" s="78">
        <f>IF(BU226&lt;&gt;"",ROUND(IF($F$11="raty równe",-PMT(W226/12,$F$4-BU225+SUM($BV$28:BV226)-$CB$43,BZ225,2),BX226+BY226),2),"")</f>
        <v>3522.09</v>
      </c>
      <c r="BX226" s="78">
        <f>IF(BU226&lt;&gt;"",IF($F$11="raty malejące",MIN(BZ225/($F$4-BU225+SUM($BV$28:BV225)-SUM($CB$28:CB225)),BZ225),MIN(BW226-BY226,BZ225)),"")</f>
        <v>3236.1202363709926</v>
      </c>
      <c r="BY226" s="78">
        <f t="shared" si="184"/>
        <v>285.96976362900733</v>
      </c>
      <c r="BZ226" s="79">
        <f t="shared" si="178"/>
        <v>36207.985091767943</v>
      </c>
      <c r="CA226" s="11"/>
      <c r="CB226" s="33"/>
      <c r="CC226" s="33">
        <f t="shared" si="225"/>
        <v>0</v>
      </c>
      <c r="CD226" s="33">
        <f t="shared" si="183"/>
        <v>0.49636712250288378</v>
      </c>
      <c r="CE226" s="33">
        <f>IF(O226&lt;&gt;"",CD226-SUM($CC$44:CC226),"")</f>
        <v>0.22636712250926844</v>
      </c>
      <c r="CF226" s="11">
        <f t="shared" si="199"/>
        <v>20</v>
      </c>
      <c r="CG226" s="11">
        <f>IF(BU226&lt;&gt;"",IF($B$16=listy!$K$8,'RZĄDOWY PROGRAM'!$F$3*'RZĄDOWY PROGRAM'!$F$15,BZ225*$F$15),"")</f>
        <v>50</v>
      </c>
      <c r="CH226" s="11">
        <f t="shared" si="200"/>
        <v>70</v>
      </c>
      <c r="CJ226" s="48">
        <f t="shared" si="201"/>
        <v>0.06</v>
      </c>
      <c r="CK226" s="18">
        <f t="shared" si="202"/>
        <v>4.8675505653430484E-3</v>
      </c>
      <c r="CL226" s="11">
        <f t="shared" si="185"/>
        <v>0</v>
      </c>
      <c r="CM226" s="11">
        <f t="shared" si="203"/>
        <v>59872.34596901582</v>
      </c>
      <c r="CN226" s="11">
        <f>IF(AB226&lt;&gt;"",CM226-SUM($CL$28:CL226),"")</f>
        <v>31695.585969015825</v>
      </c>
    </row>
    <row r="227" spans="1:92" x14ac:dyDescent="0.45">
      <c r="A227" s="68">
        <f t="shared" si="226"/>
        <v>50802</v>
      </c>
      <c r="B227" s="8">
        <f t="shared" si="186"/>
        <v>200</v>
      </c>
      <c r="C227" s="11">
        <f t="shared" si="187"/>
        <v>3522.1</v>
      </c>
      <c r="D227" s="11">
        <f t="shared" si="188"/>
        <v>2619.2404022259539</v>
      </c>
      <c r="E227" s="11">
        <f t="shared" si="189"/>
        <v>902.85959777404594</v>
      </c>
      <c r="F227" s="9">
        <f t="shared" si="204"/>
        <v>121913.11791143553</v>
      </c>
      <c r="G227" s="10">
        <f t="shared" si="190"/>
        <v>7.0000000000000007E-2</v>
      </c>
      <c r="H227" s="10">
        <f t="shared" si="191"/>
        <v>1.7000000000000001E-2</v>
      </c>
      <c r="I227" s="48">
        <f t="shared" si="205"/>
        <v>8.7000000000000008E-2</v>
      </c>
      <c r="J227" s="11">
        <f t="shared" si="192"/>
        <v>20</v>
      </c>
      <c r="K227" s="11">
        <f>IF(B227&lt;&gt;"",IF($B$16=listy!$K$8,'RZĄDOWY PROGRAM'!$F$3*'RZĄDOWY PROGRAM'!$F$15,F226*$F$15),"")</f>
        <v>50</v>
      </c>
      <c r="L227" s="11">
        <f t="shared" si="206"/>
        <v>70</v>
      </c>
      <c r="N227" s="54">
        <f t="shared" si="227"/>
        <v>50802</v>
      </c>
      <c r="O227" s="8">
        <f t="shared" si="207"/>
        <v>200</v>
      </c>
      <c r="P227" s="8"/>
      <c r="Q227" s="11">
        <f>IF(O227&lt;&gt;"",ROUND(IF($F$11="raty równe",-PMT(W227/12,$F$4-O226+SUM($P$28:P227),T226,2),R227+S227),2),"")</f>
        <v>3522.1</v>
      </c>
      <c r="R227" s="11">
        <f>IF(O227&lt;&gt;"",IF($F$11="raty malejące",T226/($F$4-O226+SUM($P$28:P227)),IF(Q227-S227&gt;T226,T226,Q227-S227)),"")</f>
        <v>2472.1635672002394</v>
      </c>
      <c r="S227" s="11">
        <f t="shared" si="175"/>
        <v>1049.9364327997605</v>
      </c>
      <c r="T227" s="9">
        <f t="shared" si="208"/>
        <v>142346.65475000808</v>
      </c>
      <c r="U227" s="10">
        <f t="shared" si="193"/>
        <v>7.0000000000000007E-2</v>
      </c>
      <c r="V227" s="10">
        <f t="shared" si="194"/>
        <v>1.7000000000000001E-2</v>
      </c>
      <c r="W227" s="48">
        <f t="shared" si="209"/>
        <v>8.7000000000000008E-2</v>
      </c>
      <c r="X227" s="11">
        <f t="shared" si="195"/>
        <v>20</v>
      </c>
      <c r="Y227" s="11">
        <f>IF(O227&lt;&gt;"",IF($B$16=listy!$K$8,'RZĄDOWY PROGRAM'!$F$3*'RZĄDOWY PROGRAM'!$F$15,T226*$F$15),"")</f>
        <v>50</v>
      </c>
      <c r="Z227" s="11">
        <f t="shared" si="210"/>
        <v>70</v>
      </c>
      <c r="AB227" s="8">
        <f t="shared" si="211"/>
        <v>200</v>
      </c>
      <c r="AC227" s="8"/>
      <c r="AD227" s="11">
        <f>IF(AB227&lt;&gt;"",ROUND(IF($F$11="raty równe",-PMT(W227/12,$F$4-AB226+SUM($AC$28:AC227),AG226,2),AE227+AF227),2),"")</f>
        <v>3280.39</v>
      </c>
      <c r="AE227" s="11">
        <f>IF(AB227&lt;&gt;"",IF($F$11="raty malejące",AG226/($F$4-AB226+SUM($AC$28:AC226)),MIN(AD227-AF227,AG226)),"")</f>
        <v>2302.505051655241</v>
      </c>
      <c r="AF227" s="11">
        <f t="shared" si="176"/>
        <v>977.88494834475898</v>
      </c>
      <c r="AG227" s="9">
        <f t="shared" si="228"/>
        <v>132578.17747865635</v>
      </c>
      <c r="AH227" s="11"/>
      <c r="AI227" s="33">
        <f>IF(AB227&lt;&gt;"",ROUND(IF($F$11="raty równe",-PMT(W227/12,($F$4-AB226+SUM($AC$27:AC226)),AG226,2),AG226/($F$4-AB226+SUM($AC$27:AC226))+AG226*W227/12),2),"")</f>
        <v>3280.39</v>
      </c>
      <c r="AJ227" s="33">
        <f t="shared" si="212"/>
        <v>241.71000000000004</v>
      </c>
      <c r="AK227" s="33">
        <f t="shared" si="196"/>
        <v>69511.462772667641</v>
      </c>
      <c r="AL227" s="33">
        <f>IF(AB227&lt;&gt;"",AK227-SUM($AJ$28:AJ227),"")</f>
        <v>22965.592772667609</v>
      </c>
      <c r="AM227" s="11">
        <f t="shared" si="213"/>
        <v>20</v>
      </c>
      <c r="AN227" s="11">
        <f>IF(AB227&lt;&gt;"",IF($B$16=listy!$K$8,'RZĄDOWY PROGRAM'!$F$3*'RZĄDOWY PROGRAM'!$F$15,AG226*$F$15),"")</f>
        <v>50</v>
      </c>
      <c r="AO227" s="11">
        <f t="shared" si="214"/>
        <v>70</v>
      </c>
      <c r="AQ227" s="8">
        <f t="shared" si="215"/>
        <v>200</v>
      </c>
      <c r="AR227" s="8"/>
      <c r="AS227" s="78">
        <f>IF(AQ227&lt;&gt;"",ROUND(IF($F$11="raty równe",-PMT(W227/12,$F$4-AQ226+SUM($AR$28:AR227),AV226,2),AT227+AU227),2),"")</f>
        <v>3263.83</v>
      </c>
      <c r="AT227" s="78">
        <f>IF(AQ227&lt;&gt;"",IF($F$11="raty malejące",AV226/($F$4-AQ226+SUM($AR$28:AR226)),MIN(AS227-AU227,AV226)),"")</f>
        <v>2290.8846012297604</v>
      </c>
      <c r="AU227" s="78">
        <f t="shared" si="216"/>
        <v>972.94539877023954</v>
      </c>
      <c r="AV227" s="79">
        <f t="shared" si="217"/>
        <v>131908.48074638945</v>
      </c>
      <c r="AW227" s="11"/>
      <c r="AX227" s="33">
        <f>IF(AQ227&lt;&gt;"",ROUND(IF($F$11="raty równe",-PMT(W227/12,($F$4-AQ226+SUM($AR$27:AR226)),AV226,2),AV226/($F$4-AQ226+SUM($AR$27:AR226))+AV226*W227/12),2),"")</f>
        <v>3263.83</v>
      </c>
      <c r="AY227" s="33">
        <f t="shared" si="218"/>
        <v>258.27</v>
      </c>
      <c r="AZ227" s="33">
        <f t="shared" si="180"/>
        <v>69615.157350144189</v>
      </c>
      <c r="BA227" s="33">
        <f>IF(AQ227&lt;&gt;"",AZ227-SUM($AY$44:AY227),"")</f>
        <v>22093.487350144329</v>
      </c>
      <c r="BB227" s="11">
        <f t="shared" si="219"/>
        <v>20</v>
      </c>
      <c r="BC227" s="11">
        <f>IF(AQ227&lt;&gt;"",IF($B$16=listy!$K$8,'RZĄDOWY PROGRAM'!$F$3*'RZĄDOWY PROGRAM'!$F$15,AV226*$F$15),"")</f>
        <v>50</v>
      </c>
      <c r="BD227" s="11">
        <f t="shared" si="220"/>
        <v>70</v>
      </c>
      <c r="BF227" s="8">
        <f t="shared" si="221"/>
        <v>200</v>
      </c>
      <c r="BG227" s="8"/>
      <c r="BH227" s="78">
        <f>IF(BF227&lt;&gt;"",ROUND(IF($F$11="raty równe",-PMT(W227/12,$F$4-BF226+SUM(BV$28:$BV227)-SUM($BM$29:BM227),BK226,2),BI227+BJ227),2),"")</f>
        <v>3522.1</v>
      </c>
      <c r="BI227" s="78">
        <f>IF(BF227&lt;&gt;"",IF($F$11="raty malejące",MIN(BK226/($F$4-BF226+SUM($BG$27:BG227)-SUM($BM$27:BM227)),BK226),MIN(BH227-BJ227,BK226)),"")</f>
        <v>3266.6963415552559</v>
      </c>
      <c r="BJ227" s="78">
        <f t="shared" si="222"/>
        <v>255.40365844474388</v>
      </c>
      <c r="BK227" s="79">
        <f t="shared" si="223"/>
        <v>31961.394478409416</v>
      </c>
      <c r="BL227" s="11"/>
      <c r="BM227" s="33"/>
      <c r="BN227" s="33">
        <f t="shared" si="181"/>
        <v>0</v>
      </c>
      <c r="BO227" s="33">
        <f t="shared" si="182"/>
        <v>-0.16394437822074096</v>
      </c>
      <c r="BP227" s="33">
        <f>IF(O227&lt;&gt;"",BO227-SUM($BN$44:BN227),"")</f>
        <v>-8.3944378222632704E-2</v>
      </c>
      <c r="BQ227" s="11">
        <f t="shared" si="197"/>
        <v>20</v>
      </c>
      <c r="BR227" s="11">
        <f>IF(BF227&lt;&gt;"",IF($B$16=listy!$K$8,'RZĄDOWY PROGRAM'!$F$3*'RZĄDOWY PROGRAM'!$F$15,BK226*$F$15),"")</f>
        <v>50</v>
      </c>
      <c r="BS227" s="11">
        <f t="shared" si="198"/>
        <v>70</v>
      </c>
      <c r="BU227" s="8">
        <f t="shared" si="224"/>
        <v>200</v>
      </c>
      <c r="BV227" s="8"/>
      <c r="BW227" s="78">
        <f>IF(BU227&lt;&gt;"",ROUND(IF($F$11="raty równe",-PMT(W227/12,$F$4-BU226+SUM($BV$28:BV227)-$CB$43,BZ226,2),BX227+BY227),2),"")</f>
        <v>3522.1</v>
      </c>
      <c r="BX227" s="78">
        <f>IF(BU227&lt;&gt;"",IF($F$11="raty malejące",MIN(BZ226/($F$4-BU226+SUM($BV$28:BV226)-SUM($CB$28:CB226)),BZ226),MIN(BW227-BY227,BZ226)),"")</f>
        <v>3259.5921080846824</v>
      </c>
      <c r="BY227" s="78">
        <f t="shared" si="184"/>
        <v>262.5078919153176</v>
      </c>
      <c r="BZ227" s="79">
        <f t="shared" si="178"/>
        <v>32948.392983683261</v>
      </c>
      <c r="CA227" s="11"/>
      <c r="CB227" s="33"/>
      <c r="CC227" s="33">
        <f t="shared" si="225"/>
        <v>0</v>
      </c>
      <c r="CD227" s="33">
        <f t="shared" si="183"/>
        <v>0.49832415707776667</v>
      </c>
      <c r="CE227" s="33">
        <f>IF(O227&lt;&gt;"",CD227-SUM($CC$44:CC227),"")</f>
        <v>0.22832415708415132</v>
      </c>
      <c r="CF227" s="11">
        <f t="shared" si="199"/>
        <v>20</v>
      </c>
      <c r="CG227" s="11">
        <f>IF(BU227&lt;&gt;"",IF($B$16=listy!$K$8,'RZĄDOWY PROGRAM'!$F$3*'RZĄDOWY PROGRAM'!$F$15,BZ226*$F$15),"")</f>
        <v>50</v>
      </c>
      <c r="CH227" s="11">
        <f t="shared" si="200"/>
        <v>70</v>
      </c>
      <c r="CJ227" s="48">
        <f t="shared" si="201"/>
        <v>0.06</v>
      </c>
      <c r="CK227" s="18">
        <f t="shared" si="202"/>
        <v>4.8675505653430484E-3</v>
      </c>
      <c r="CL227" s="11">
        <f t="shared" si="185"/>
        <v>0</v>
      </c>
      <c r="CM227" s="11">
        <f t="shared" si="203"/>
        <v>60108.405622906444</v>
      </c>
      <c r="CN227" s="11">
        <f>IF(AB227&lt;&gt;"",CM227-SUM($CL$28:CL227),"")</f>
        <v>31931.64562290645</v>
      </c>
    </row>
    <row r="228" spans="1:92" x14ac:dyDescent="0.45">
      <c r="A228" s="68">
        <f t="shared" si="226"/>
        <v>50830</v>
      </c>
      <c r="B228" s="8">
        <f t="shared" si="186"/>
        <v>201</v>
      </c>
      <c r="C228" s="11">
        <f t="shared" si="187"/>
        <v>3522.09</v>
      </c>
      <c r="D228" s="11">
        <f t="shared" si="188"/>
        <v>2638.2198951420924</v>
      </c>
      <c r="E228" s="11">
        <f t="shared" si="189"/>
        <v>883.87010485790768</v>
      </c>
      <c r="F228" s="9">
        <f t="shared" si="204"/>
        <v>119274.89801629345</v>
      </c>
      <c r="G228" s="10">
        <f t="shared" si="190"/>
        <v>7.0000000000000007E-2</v>
      </c>
      <c r="H228" s="10">
        <f t="shared" si="191"/>
        <v>1.7000000000000001E-2</v>
      </c>
      <c r="I228" s="48">
        <f t="shared" si="205"/>
        <v>8.7000000000000008E-2</v>
      </c>
      <c r="J228" s="11">
        <f t="shared" si="192"/>
        <v>20</v>
      </c>
      <c r="K228" s="11">
        <f>IF(B228&lt;&gt;"",IF($B$16=listy!$K$8,'RZĄDOWY PROGRAM'!$F$3*'RZĄDOWY PROGRAM'!$F$15,F227*$F$15),"")</f>
        <v>50</v>
      </c>
      <c r="L228" s="11">
        <f t="shared" si="206"/>
        <v>70</v>
      </c>
      <c r="N228" s="54">
        <f t="shared" si="227"/>
        <v>50830</v>
      </c>
      <c r="O228" s="8">
        <f t="shared" si="207"/>
        <v>201</v>
      </c>
      <c r="P228" s="8"/>
      <c r="Q228" s="11">
        <f>IF(O228&lt;&gt;"",ROUND(IF($F$11="raty równe",-PMT(W228/12,$F$4-O227+SUM($P$28:P228),T227,2),R228+S228),2),"")</f>
        <v>3522.09</v>
      </c>
      <c r="R228" s="11">
        <f>IF(O228&lt;&gt;"",IF($F$11="raty malejące",T227/($F$4-O227+SUM($P$28:P228)),IF(Q228-S228&gt;T227,T227,Q228-S228)),"")</f>
        <v>2490.0767530624416</v>
      </c>
      <c r="S228" s="11">
        <f t="shared" si="175"/>
        <v>1032.0132469375587</v>
      </c>
      <c r="T228" s="9">
        <f t="shared" si="208"/>
        <v>139856.57799694565</v>
      </c>
      <c r="U228" s="10">
        <f t="shared" si="193"/>
        <v>7.0000000000000007E-2</v>
      </c>
      <c r="V228" s="10">
        <f t="shared" si="194"/>
        <v>1.7000000000000001E-2</v>
      </c>
      <c r="W228" s="48">
        <f t="shared" si="209"/>
        <v>8.7000000000000008E-2</v>
      </c>
      <c r="X228" s="11">
        <f t="shared" si="195"/>
        <v>20</v>
      </c>
      <c r="Y228" s="11">
        <f>IF(O228&lt;&gt;"",IF($B$16=listy!$K$8,'RZĄDOWY PROGRAM'!$F$3*'RZĄDOWY PROGRAM'!$F$15,T227*$F$15),"")</f>
        <v>50</v>
      </c>
      <c r="Z228" s="11">
        <f t="shared" si="210"/>
        <v>70</v>
      </c>
      <c r="AB228" s="8">
        <f t="shared" si="211"/>
        <v>201</v>
      </c>
      <c r="AC228" s="8"/>
      <c r="AD228" s="11">
        <f>IF(AB228&lt;&gt;"",ROUND(IF($F$11="raty równe",-PMT(W228/12,$F$4-AB227+SUM($AC$28:AC228),AG227,2),AE228+AF228),2),"")</f>
        <v>3280.4</v>
      </c>
      <c r="AE228" s="11">
        <f>IF(AB228&lt;&gt;"",IF($F$11="raty malejące",AG227/($F$4-AB227+SUM($AC$28:AC227)),MIN(AD228-AF228,AG227)),"")</f>
        <v>2319.2082132797414</v>
      </c>
      <c r="AF228" s="11">
        <f t="shared" si="176"/>
        <v>961.19178672025862</v>
      </c>
      <c r="AG228" s="9">
        <f t="shared" si="228"/>
        <v>130258.96926537661</v>
      </c>
      <c r="AH228" s="11"/>
      <c r="AI228" s="33">
        <f>IF(AB228&lt;&gt;"",ROUND(IF($F$11="raty równe",-PMT(W228/12,($F$4-AB227+SUM($AC$27:AC227)),AG227,2),AG227/($F$4-AB227+SUM($AC$27:AC227))+AG227*W228/12),2),"")</f>
        <v>3280.4</v>
      </c>
      <c r="AJ228" s="33">
        <f t="shared" si="212"/>
        <v>241.69000000000005</v>
      </c>
      <c r="AK228" s="33">
        <f t="shared" si="196"/>
        <v>70027.21672620035</v>
      </c>
      <c r="AL228" s="33">
        <f>IF(AB228&lt;&gt;"",AK228-SUM($AJ$28:AJ228),"")</f>
        <v>23239.656726200315</v>
      </c>
      <c r="AM228" s="11">
        <f t="shared" si="213"/>
        <v>20</v>
      </c>
      <c r="AN228" s="11">
        <f>IF(AB228&lt;&gt;"",IF($B$16=listy!$K$8,'RZĄDOWY PROGRAM'!$F$3*'RZĄDOWY PROGRAM'!$F$15,AG227*$F$15),"")</f>
        <v>50</v>
      </c>
      <c r="AO228" s="11">
        <f t="shared" si="214"/>
        <v>70</v>
      </c>
      <c r="AQ228" s="8">
        <f t="shared" si="215"/>
        <v>201</v>
      </c>
      <c r="AR228" s="8"/>
      <c r="AS228" s="78">
        <f>IF(AQ228&lt;&gt;"",ROUND(IF($F$11="raty równe",-PMT(W228/12,$F$4-AQ227+SUM($AR$28:AR228),AV227,2),AT228+AU228),2),"")</f>
        <v>3263.82</v>
      </c>
      <c r="AT228" s="78">
        <f>IF(AQ228&lt;&gt;"",IF($F$11="raty malejące",AV227/($F$4-AQ227+SUM($AR$28:AR227)),MIN(AS228-AU228,AV227)),"")</f>
        <v>2307.4835145886764</v>
      </c>
      <c r="AU228" s="78">
        <f t="shared" si="216"/>
        <v>956.33648541132368</v>
      </c>
      <c r="AV228" s="79">
        <f t="shared" si="217"/>
        <v>129600.99723180078</v>
      </c>
      <c r="AW228" s="11"/>
      <c r="AX228" s="33">
        <f>IF(AQ228&lt;&gt;"",ROUND(IF($F$11="raty równe",-PMT(W228/12,($F$4-AQ227+SUM($AR$27:AR227)),AV227,2),AV227/($F$4-AQ227+SUM($AR$27:AR227))+AV227*W228/12),2),"")</f>
        <v>3263.82</v>
      </c>
      <c r="AY228" s="33">
        <f t="shared" si="218"/>
        <v>258.27</v>
      </c>
      <c r="AZ228" s="33">
        <f t="shared" si="180"/>
        <v>70147.900141942271</v>
      </c>
      <c r="BA228" s="33">
        <f>IF(AQ228&lt;&gt;"",AZ228-SUM($AY$44:AY228),"")</f>
        <v>22367.960141942414</v>
      </c>
      <c r="BB228" s="11">
        <f t="shared" si="219"/>
        <v>20</v>
      </c>
      <c r="BC228" s="11">
        <f>IF(AQ228&lt;&gt;"",IF($B$16=listy!$K$8,'RZĄDOWY PROGRAM'!$F$3*'RZĄDOWY PROGRAM'!$F$15,AV227*$F$15),"")</f>
        <v>50</v>
      </c>
      <c r="BD228" s="11">
        <f t="shared" si="220"/>
        <v>70</v>
      </c>
      <c r="BF228" s="8">
        <f t="shared" si="221"/>
        <v>201</v>
      </c>
      <c r="BG228" s="8"/>
      <c r="BH228" s="78">
        <f>IF(BF228&lt;&gt;"",ROUND(IF($F$11="raty równe",-PMT(W228/12,$F$4-BF227+SUM(BV$28:$BV228)-SUM($BM$29:BM228),BK227,2),BI228+BJ228),2),"")</f>
        <v>3522.1</v>
      </c>
      <c r="BI228" s="78">
        <f>IF(BF228&lt;&gt;"",IF($F$11="raty malejące",MIN(BK227/($F$4-BF227+SUM($BG$27:BG228)-SUM($BM$27:BM228)),BK227),MIN(BH228-BJ228,BK227)),"")</f>
        <v>3290.3798900315314</v>
      </c>
      <c r="BJ228" s="78">
        <f t="shared" si="222"/>
        <v>231.72010996846828</v>
      </c>
      <c r="BK228" s="79">
        <f t="shared" si="223"/>
        <v>28671.014588377886</v>
      </c>
      <c r="BL228" s="11"/>
      <c r="BM228" s="33"/>
      <c r="BN228" s="33">
        <f t="shared" si="181"/>
        <v>-9.9999999997635314E-3</v>
      </c>
      <c r="BO228" s="33">
        <f t="shared" si="182"/>
        <v>-0.17459076433672799</v>
      </c>
      <c r="BP228" s="33">
        <f>IF(O228&lt;&gt;"",BO228-SUM($BN$44:BN228),"")</f>
        <v>-8.4590764338856206E-2</v>
      </c>
      <c r="BQ228" s="11">
        <f t="shared" si="197"/>
        <v>20</v>
      </c>
      <c r="BR228" s="11">
        <f>IF(BF228&lt;&gt;"",IF($B$16=listy!$K$8,'RZĄDOWY PROGRAM'!$F$3*'RZĄDOWY PROGRAM'!$F$15,BK227*$F$15),"")</f>
        <v>50</v>
      </c>
      <c r="BS228" s="11">
        <f t="shared" si="198"/>
        <v>70</v>
      </c>
      <c r="BU228" s="8">
        <f t="shared" si="224"/>
        <v>201</v>
      </c>
      <c r="BV228" s="8"/>
      <c r="BW228" s="78">
        <f>IF(BU228&lt;&gt;"",ROUND(IF($F$11="raty równe",-PMT(W228/12,$F$4-BU227+SUM($BV$28:BV228)-$CB$43,BZ227,2),BX228+BY228),2),"")</f>
        <v>3522.1</v>
      </c>
      <c r="BX228" s="78">
        <f>IF(BU228&lt;&gt;"",IF($F$11="raty malejące",MIN(BZ227/($F$4-BU227+SUM($BV$28:BV227)-SUM($CB$28:CB227)),BZ227),MIN(BW228-BY228,BZ227)),"")</f>
        <v>3283.2241508682964</v>
      </c>
      <c r="BY228" s="78">
        <f t="shared" si="184"/>
        <v>238.87584913170369</v>
      </c>
      <c r="BZ228" s="79">
        <f t="shared" si="178"/>
        <v>29665.168832814965</v>
      </c>
      <c r="CA228" s="11"/>
      <c r="CB228" s="33"/>
      <c r="CC228" s="33">
        <f t="shared" si="225"/>
        <v>-9.9999999997635314E-3</v>
      </c>
      <c r="CD228" s="33">
        <f t="shared" si="183"/>
        <v>0.49028890768433464</v>
      </c>
      <c r="CE228" s="33">
        <f>IF(O228&lt;&gt;"",CD228-SUM($CC$44:CC228),"")</f>
        <v>0.23028890769048282</v>
      </c>
      <c r="CF228" s="11">
        <f t="shared" si="199"/>
        <v>20</v>
      </c>
      <c r="CG228" s="11">
        <f>IF(BU228&lt;&gt;"",IF($B$16=listy!$K$8,'RZĄDOWY PROGRAM'!$F$3*'RZĄDOWY PROGRAM'!$F$15,BZ227*$F$15),"")</f>
        <v>50</v>
      </c>
      <c r="CH228" s="11">
        <f t="shared" si="200"/>
        <v>70</v>
      </c>
      <c r="CJ228" s="48">
        <f t="shared" si="201"/>
        <v>0.06</v>
      </c>
      <c r="CK228" s="18">
        <f t="shared" si="202"/>
        <v>4.8675505653430484E-3</v>
      </c>
      <c r="CL228" s="11">
        <f t="shared" si="185"/>
        <v>0</v>
      </c>
      <c r="CM228" s="11">
        <f t="shared" si="203"/>
        <v>60345.395992961487</v>
      </c>
      <c r="CN228" s="11">
        <f>IF(AB228&lt;&gt;"",CM228-SUM($CL$28:CL228),"")</f>
        <v>32168.635992961492</v>
      </c>
    </row>
    <row r="229" spans="1:92" x14ac:dyDescent="0.45">
      <c r="A229" s="68">
        <f t="shared" si="226"/>
        <v>50861</v>
      </c>
      <c r="B229" s="8">
        <f t="shared" si="186"/>
        <v>202</v>
      </c>
      <c r="C229" s="11">
        <f t="shared" si="187"/>
        <v>3522.1</v>
      </c>
      <c r="D229" s="11">
        <f t="shared" si="188"/>
        <v>2657.3569893818722</v>
      </c>
      <c r="E229" s="11">
        <f t="shared" si="189"/>
        <v>864.74301061812764</v>
      </c>
      <c r="F229" s="9">
        <f t="shared" si="204"/>
        <v>116617.54102691157</v>
      </c>
      <c r="G229" s="10">
        <f t="shared" si="190"/>
        <v>7.0000000000000007E-2</v>
      </c>
      <c r="H229" s="10">
        <f t="shared" si="191"/>
        <v>1.7000000000000001E-2</v>
      </c>
      <c r="I229" s="48">
        <f t="shared" si="205"/>
        <v>8.7000000000000008E-2</v>
      </c>
      <c r="J229" s="11">
        <f t="shared" si="192"/>
        <v>20</v>
      </c>
      <c r="K229" s="11">
        <f>IF(B229&lt;&gt;"",IF($B$16=listy!$K$8,'RZĄDOWY PROGRAM'!$F$3*'RZĄDOWY PROGRAM'!$F$15,F228*$F$15),"")</f>
        <v>50</v>
      </c>
      <c r="L229" s="11">
        <f t="shared" si="206"/>
        <v>70</v>
      </c>
      <c r="N229" s="54">
        <f t="shared" si="227"/>
        <v>50861</v>
      </c>
      <c r="O229" s="8">
        <f t="shared" si="207"/>
        <v>202</v>
      </c>
      <c r="P229" s="8"/>
      <c r="Q229" s="11">
        <f>IF(O229&lt;&gt;"",ROUND(IF($F$11="raty równe",-PMT(W229/12,$F$4-O228+SUM($P$28:P229),T228,2),R229+S229),2),"")</f>
        <v>3522.1</v>
      </c>
      <c r="R229" s="11">
        <f>IF(O229&lt;&gt;"",IF($F$11="raty malejące",T228/($F$4-O228+SUM($P$28:P229)),IF(Q229-S229&gt;T228,T228,Q229-S229)),"")</f>
        <v>2508.1398095221439</v>
      </c>
      <c r="S229" s="11">
        <f t="shared" si="175"/>
        <v>1013.960190477856</v>
      </c>
      <c r="T229" s="9">
        <f t="shared" si="208"/>
        <v>137348.43818742351</v>
      </c>
      <c r="U229" s="10">
        <f t="shared" si="193"/>
        <v>7.0000000000000007E-2</v>
      </c>
      <c r="V229" s="10">
        <f t="shared" si="194"/>
        <v>1.7000000000000001E-2</v>
      </c>
      <c r="W229" s="48">
        <f t="shared" si="209"/>
        <v>8.7000000000000008E-2</v>
      </c>
      <c r="X229" s="11">
        <f t="shared" si="195"/>
        <v>20</v>
      </c>
      <c r="Y229" s="11">
        <f>IF(O229&lt;&gt;"",IF($B$16=listy!$K$8,'RZĄDOWY PROGRAM'!$F$3*'RZĄDOWY PROGRAM'!$F$15,T228*$F$15),"")</f>
        <v>50</v>
      </c>
      <c r="Z229" s="11">
        <f t="shared" si="210"/>
        <v>70</v>
      </c>
      <c r="AB229" s="8">
        <f t="shared" si="211"/>
        <v>202</v>
      </c>
      <c r="AC229" s="8"/>
      <c r="AD229" s="11">
        <f>IF(AB229&lt;&gt;"",ROUND(IF($F$11="raty równe",-PMT(W229/12,$F$4-AB228+SUM($AC$28:AC229),AG228,2),AE229+AF229),2),"")</f>
        <v>3280.39</v>
      </c>
      <c r="AE229" s="11">
        <f>IF(AB229&lt;&gt;"",IF($F$11="raty malejące",AG228/($F$4-AB228+SUM($AC$28:AC228)),MIN(AD229-AF229,AG228)),"")</f>
        <v>2336.0124728260193</v>
      </c>
      <c r="AF229" s="11">
        <f t="shared" si="176"/>
        <v>944.37752717398052</v>
      </c>
      <c r="AG229" s="9">
        <f t="shared" si="228"/>
        <v>127922.9567925506</v>
      </c>
      <c r="AH229" s="11"/>
      <c r="AI229" s="33">
        <f>IF(AB229&lt;&gt;"",ROUND(IF($F$11="raty równe",-PMT(W229/12,($F$4-AB228+SUM($AC$27:AC228)),AG228,2),AG228/($F$4-AB228+SUM($AC$27:AC228))+AG228*W229/12),2),"")</f>
        <v>3280.39</v>
      </c>
      <c r="AJ229" s="33">
        <f t="shared" si="212"/>
        <v>241.71000000000004</v>
      </c>
      <c r="AK229" s="33">
        <f t="shared" si="196"/>
        <v>70545.024151076024</v>
      </c>
      <c r="AL229" s="33">
        <f>IF(AB229&lt;&gt;"",AK229-SUM($AJ$28:AJ229),"")</f>
        <v>23515.754151075991</v>
      </c>
      <c r="AM229" s="11">
        <f t="shared" si="213"/>
        <v>20</v>
      </c>
      <c r="AN229" s="11">
        <f>IF(AB229&lt;&gt;"",IF($B$16=listy!$K$8,'RZĄDOWY PROGRAM'!$F$3*'RZĄDOWY PROGRAM'!$F$15,AG228*$F$15),"")</f>
        <v>50</v>
      </c>
      <c r="AO229" s="11">
        <f t="shared" si="214"/>
        <v>70</v>
      </c>
      <c r="AQ229" s="8">
        <f t="shared" si="215"/>
        <v>202</v>
      </c>
      <c r="AR229" s="8"/>
      <c r="AS229" s="78">
        <f>IF(AQ229&lt;&gt;"",ROUND(IF($F$11="raty równe",-PMT(W229/12,$F$4-AQ228+SUM($AR$28:AR229),AV228,2),AT229+AU229),2),"")</f>
        <v>3263.83</v>
      </c>
      <c r="AT229" s="78">
        <f>IF(AQ229&lt;&gt;"",IF($F$11="raty malejące",AV228/($F$4-AQ228+SUM($AR$28:AR228)),MIN(AS229-AU229,AV228)),"")</f>
        <v>2324.2227700694443</v>
      </c>
      <c r="AU229" s="78">
        <f t="shared" si="216"/>
        <v>939.60722993055572</v>
      </c>
      <c r="AV229" s="79">
        <f t="shared" si="217"/>
        <v>127276.77446173133</v>
      </c>
      <c r="AW229" s="11"/>
      <c r="AX229" s="33">
        <f>IF(AQ229&lt;&gt;"",ROUND(IF($F$11="raty równe",-PMT(W229/12,($F$4-AQ228+SUM($AR$27:AR228)),AV228,2),AV228/($F$4-AQ228+SUM($AR$27:AR228))+AV228*W229/12),2),"")</f>
        <v>3263.83</v>
      </c>
      <c r="AY229" s="33">
        <f t="shared" si="218"/>
        <v>258.27</v>
      </c>
      <c r="AZ229" s="33">
        <f t="shared" si="180"/>
        <v>70682.743387247043</v>
      </c>
      <c r="BA229" s="33">
        <f>IF(AQ229&lt;&gt;"",AZ229-SUM($AY$44:AY229),"")</f>
        <v>22644.533387247189</v>
      </c>
      <c r="BB229" s="11">
        <f t="shared" si="219"/>
        <v>20</v>
      </c>
      <c r="BC229" s="11">
        <f>IF(AQ229&lt;&gt;"",IF($B$16=listy!$K$8,'RZĄDOWY PROGRAM'!$F$3*'RZĄDOWY PROGRAM'!$F$15,AV228*$F$15),"")</f>
        <v>50</v>
      </c>
      <c r="BD229" s="11">
        <f t="shared" si="220"/>
        <v>70</v>
      </c>
      <c r="BF229" s="8">
        <f t="shared" si="221"/>
        <v>202</v>
      </c>
      <c r="BG229" s="8"/>
      <c r="BH229" s="78">
        <f>IF(BF229&lt;&gt;"",ROUND(IF($F$11="raty równe",-PMT(W229/12,$F$4-BF228+SUM(BV$28:$BV229)-SUM($BM$29:BM229),BK228,2),BI229+BJ229),2),"")</f>
        <v>3522.09</v>
      </c>
      <c r="BI229" s="78">
        <f>IF(BF229&lt;&gt;"",IF($F$11="raty malejące",MIN(BK228/($F$4-BF228+SUM($BG$27:BG229)-SUM($BM$27:BM229)),BK228),MIN(BH229-BJ229,BK228)),"")</f>
        <v>3314.2251442342604</v>
      </c>
      <c r="BJ229" s="78">
        <f t="shared" si="222"/>
        <v>207.86485576573969</v>
      </c>
      <c r="BK229" s="79">
        <f t="shared" si="223"/>
        <v>25356.789444143626</v>
      </c>
      <c r="BL229" s="11"/>
      <c r="BM229" s="33"/>
      <c r="BN229" s="33">
        <f t="shared" si="181"/>
        <v>9.9999999997635314E-3</v>
      </c>
      <c r="BO229" s="33">
        <f t="shared" si="182"/>
        <v>-0.1652791261296217</v>
      </c>
      <c r="BP229" s="33">
        <f>IF(O229&lt;&gt;"",BO229-SUM($BN$44:BN229),"")</f>
        <v>-8.527912613151345E-2</v>
      </c>
      <c r="BQ229" s="11">
        <f t="shared" si="197"/>
        <v>20</v>
      </c>
      <c r="BR229" s="11">
        <f>IF(BF229&lt;&gt;"",IF($B$16=listy!$K$8,'RZĄDOWY PROGRAM'!$F$3*'RZĄDOWY PROGRAM'!$F$15,BK228*$F$15),"")</f>
        <v>50</v>
      </c>
      <c r="BS229" s="11">
        <f t="shared" si="198"/>
        <v>70</v>
      </c>
      <c r="BU229" s="8">
        <f t="shared" si="224"/>
        <v>202</v>
      </c>
      <c r="BV229" s="8"/>
      <c r="BW229" s="78">
        <f>IF(BU229&lt;&gt;"",ROUND(IF($F$11="raty równe",-PMT(W229/12,$F$4-BU228+SUM($BV$28:BV229)-$CB$43,BZ228,2),BX229+BY229),2),"")</f>
        <v>3522.09</v>
      </c>
      <c r="BX229" s="78">
        <f>IF(BU229&lt;&gt;"",IF($F$11="raty malejące",MIN(BZ228/($F$4-BU228+SUM($BV$28:BV228)-SUM($CB$28:CB228)),BZ228),MIN(BW229-BY229,BZ228)),"")</f>
        <v>3307.0175259620914</v>
      </c>
      <c r="BY229" s="78">
        <f t="shared" si="184"/>
        <v>215.07247403790851</v>
      </c>
      <c r="BZ229" s="79">
        <f t="shared" si="178"/>
        <v>26358.151306852873</v>
      </c>
      <c r="CA229" s="11"/>
      <c r="CB229" s="33"/>
      <c r="CC229" s="33">
        <f t="shared" si="225"/>
        <v>9.9999999997635314E-3</v>
      </c>
      <c r="CD229" s="33">
        <f t="shared" si="183"/>
        <v>0.50222197758442033</v>
      </c>
      <c r="CE229" s="33">
        <f>IF(O229&lt;&gt;"",CD229-SUM($CC$44:CC229),"")</f>
        <v>0.23222197759080498</v>
      </c>
      <c r="CF229" s="11">
        <f t="shared" si="199"/>
        <v>20</v>
      </c>
      <c r="CG229" s="11">
        <f>IF(BU229&lt;&gt;"",IF($B$16=listy!$K$8,'RZĄDOWY PROGRAM'!$F$3*'RZĄDOWY PROGRAM'!$F$15,BZ228*$F$15),"")</f>
        <v>50</v>
      </c>
      <c r="CH229" s="11">
        <f t="shared" si="200"/>
        <v>70</v>
      </c>
      <c r="CJ229" s="48">
        <f t="shared" si="201"/>
        <v>0.06</v>
      </c>
      <c r="CK229" s="18">
        <f t="shared" si="202"/>
        <v>4.8675505653430484E-3</v>
      </c>
      <c r="CL229" s="11">
        <f t="shared" si="185"/>
        <v>0</v>
      </c>
      <c r="CM229" s="11">
        <f t="shared" si="203"/>
        <v>60583.320748730417</v>
      </c>
      <c r="CN229" s="11">
        <f>IF(AB229&lt;&gt;"",CM229-SUM($CL$28:CL229),"")</f>
        <v>32406.560748730422</v>
      </c>
    </row>
    <row r="230" spans="1:92" x14ac:dyDescent="0.45">
      <c r="A230" s="68">
        <f t="shared" si="226"/>
        <v>50891</v>
      </c>
      <c r="B230" s="8">
        <f t="shared" si="186"/>
        <v>203</v>
      </c>
      <c r="C230" s="11">
        <f t="shared" si="187"/>
        <v>3522.09</v>
      </c>
      <c r="D230" s="11">
        <f t="shared" si="188"/>
        <v>2676.6128275548913</v>
      </c>
      <c r="E230" s="11">
        <f t="shared" si="189"/>
        <v>845.47717244510898</v>
      </c>
      <c r="F230" s="9">
        <f t="shared" si="204"/>
        <v>113940.92819935667</v>
      </c>
      <c r="G230" s="10">
        <f t="shared" si="190"/>
        <v>7.0000000000000007E-2</v>
      </c>
      <c r="H230" s="10">
        <f t="shared" si="191"/>
        <v>1.7000000000000001E-2</v>
      </c>
      <c r="I230" s="48">
        <f t="shared" si="205"/>
        <v>8.7000000000000008E-2</v>
      </c>
      <c r="J230" s="11">
        <f t="shared" si="192"/>
        <v>20</v>
      </c>
      <c r="K230" s="11">
        <f>IF(B230&lt;&gt;"",IF($B$16=listy!$K$8,'RZĄDOWY PROGRAM'!$F$3*'RZĄDOWY PROGRAM'!$F$15,F229*$F$15),"")</f>
        <v>50</v>
      </c>
      <c r="L230" s="11">
        <f t="shared" si="206"/>
        <v>70</v>
      </c>
      <c r="N230" s="54">
        <f t="shared" si="227"/>
        <v>50891</v>
      </c>
      <c r="O230" s="8">
        <f t="shared" si="207"/>
        <v>203</v>
      </c>
      <c r="P230" s="8"/>
      <c r="Q230" s="11">
        <f>IF(O230&lt;&gt;"",ROUND(IF($F$11="raty równe",-PMT(W230/12,$F$4-O229+SUM($P$28:P230),T229,2),R230+S230),2),"")</f>
        <v>3522.09</v>
      </c>
      <c r="R230" s="11">
        <f>IF(O230&lt;&gt;"",IF($F$11="raty malejące",T229/($F$4-O229+SUM($P$28:P230)),IF(Q230-S230&gt;T229,T229,Q230-S230)),"")</f>
        <v>2526.3138231411795</v>
      </c>
      <c r="S230" s="11">
        <f t="shared" si="175"/>
        <v>995.77617685882058</v>
      </c>
      <c r="T230" s="9">
        <f t="shared" si="208"/>
        <v>134822.12436428232</v>
      </c>
      <c r="U230" s="10">
        <f t="shared" si="193"/>
        <v>7.0000000000000007E-2</v>
      </c>
      <c r="V230" s="10">
        <f t="shared" si="194"/>
        <v>1.7000000000000001E-2</v>
      </c>
      <c r="W230" s="48">
        <f t="shared" si="209"/>
        <v>8.7000000000000008E-2</v>
      </c>
      <c r="X230" s="11">
        <f t="shared" si="195"/>
        <v>20</v>
      </c>
      <c r="Y230" s="11">
        <f>IF(O230&lt;&gt;"",IF($B$16=listy!$K$8,'RZĄDOWY PROGRAM'!$F$3*'RZĄDOWY PROGRAM'!$F$15,T229*$F$15),"")</f>
        <v>50</v>
      </c>
      <c r="Z230" s="11">
        <f t="shared" si="210"/>
        <v>70</v>
      </c>
      <c r="AB230" s="8">
        <f t="shared" si="211"/>
        <v>203</v>
      </c>
      <c r="AC230" s="8"/>
      <c r="AD230" s="11">
        <f>IF(AB230&lt;&gt;"",ROUND(IF($F$11="raty równe",-PMT(W230/12,$F$4-AB229+SUM($AC$28:AC230),AG229,2),AE230+AF230),2),"")</f>
        <v>3280.4</v>
      </c>
      <c r="AE230" s="11">
        <f>IF(AB230&lt;&gt;"",IF($F$11="raty malejące",AG229/($F$4-AB229+SUM($AC$28:AC229)),MIN(AD230-AF230,AG229)),"")</f>
        <v>2352.9585632540084</v>
      </c>
      <c r="AF230" s="11">
        <f t="shared" si="176"/>
        <v>927.44143674599184</v>
      </c>
      <c r="AG230" s="9">
        <f t="shared" si="228"/>
        <v>125569.99822929659</v>
      </c>
      <c r="AH230" s="11"/>
      <c r="AI230" s="33">
        <f>IF(AB230&lt;&gt;"",ROUND(IF($F$11="raty równe",-PMT(W230/12,($F$4-AB229+SUM($AC$27:AC229)),AG229,2),AG229/($F$4-AB229+SUM($AC$27:AC229))+AG229*W230/12),2),"")</f>
        <v>3280.4</v>
      </c>
      <c r="AJ230" s="33">
        <f t="shared" si="212"/>
        <v>241.69000000000005</v>
      </c>
      <c r="AK230" s="33">
        <f t="shared" si="196"/>
        <v>71064.853143548884</v>
      </c>
      <c r="AL230" s="33">
        <f>IF(AB230&lt;&gt;"",AK230-SUM($AJ$28:AJ230),"")</f>
        <v>23793.893143548848</v>
      </c>
      <c r="AM230" s="11">
        <f t="shared" si="213"/>
        <v>20</v>
      </c>
      <c r="AN230" s="11">
        <f>IF(AB230&lt;&gt;"",IF($B$16=listy!$K$8,'RZĄDOWY PROGRAM'!$F$3*'RZĄDOWY PROGRAM'!$F$15,AG229*$F$15),"")</f>
        <v>50</v>
      </c>
      <c r="AO230" s="11">
        <f t="shared" si="214"/>
        <v>70</v>
      </c>
      <c r="AQ230" s="8">
        <f t="shared" si="215"/>
        <v>203</v>
      </c>
      <c r="AR230" s="8"/>
      <c r="AS230" s="78">
        <f>IF(AQ230&lt;&gt;"",ROUND(IF($F$11="raty równe",-PMT(W230/12,$F$4-AQ229+SUM($AR$28:AR230),AV229,2),AT230+AU230),2),"")</f>
        <v>3263.82</v>
      </c>
      <c r="AT230" s="78">
        <f>IF(AQ230&lt;&gt;"",IF($F$11="raty malejące",AV229/($F$4-AQ229+SUM($AR$28:AR229)),MIN(AS230-AU230,AV229)),"")</f>
        <v>2341.0633851524481</v>
      </c>
      <c r="AU230" s="78">
        <f t="shared" si="216"/>
        <v>922.75661484755221</v>
      </c>
      <c r="AV230" s="79">
        <f t="shared" si="217"/>
        <v>124935.71107657888</v>
      </c>
      <c r="AW230" s="11"/>
      <c r="AX230" s="33">
        <f>IF(AQ230&lt;&gt;"",ROUND(IF($F$11="raty równe",-PMT(W230/12,($F$4-AQ229+SUM($AR$27:AR229)),AV229,2),AV229/($F$4-AQ229+SUM($AR$27:AR229))+AV229*W230/12),2),"")</f>
        <v>3263.82</v>
      </c>
      <c r="AY230" s="33">
        <f t="shared" si="218"/>
        <v>258.27</v>
      </c>
      <c r="AZ230" s="33">
        <f t="shared" si="180"/>
        <v>71219.69536755007</v>
      </c>
      <c r="BA230" s="33">
        <f>IF(AQ230&lt;&gt;"",AZ230-SUM($AY$44:AY230),"")</f>
        <v>22923.21536755022</v>
      </c>
      <c r="BB230" s="11">
        <f t="shared" si="219"/>
        <v>20</v>
      </c>
      <c r="BC230" s="11">
        <f>IF(AQ230&lt;&gt;"",IF($B$16=listy!$K$8,'RZĄDOWY PROGRAM'!$F$3*'RZĄDOWY PROGRAM'!$F$15,AV229*$F$15),"")</f>
        <v>50</v>
      </c>
      <c r="BD230" s="11">
        <f t="shared" si="220"/>
        <v>70</v>
      </c>
      <c r="BF230" s="8">
        <f t="shared" si="221"/>
        <v>203</v>
      </c>
      <c r="BG230" s="8"/>
      <c r="BH230" s="78">
        <f>IF(BF230&lt;&gt;"",ROUND(IF($F$11="raty równe",-PMT(W230/12,$F$4-BF229+SUM(BV$28:$BV230)-SUM($BM$29:BM230),BK229,2),BI230+BJ230),2),"")</f>
        <v>3522.09</v>
      </c>
      <c r="BI230" s="78">
        <f>IF(BF230&lt;&gt;"",IF($F$11="raty malejące",MIN(BK229/($F$4-BF229+SUM($BG$27:BG230)-SUM($BM$27:BM230)),BK229),MIN(BH230-BJ230,BK229)),"")</f>
        <v>3338.2532765299588</v>
      </c>
      <c r="BJ230" s="78">
        <f t="shared" si="222"/>
        <v>183.83672347004131</v>
      </c>
      <c r="BK230" s="79">
        <f t="shared" si="223"/>
        <v>22018.536167613667</v>
      </c>
      <c r="BL230" s="11"/>
      <c r="BM230" s="33"/>
      <c r="BN230" s="33">
        <f t="shared" si="181"/>
        <v>0</v>
      </c>
      <c r="BO230" s="33">
        <f t="shared" si="182"/>
        <v>-0.16593077477772536</v>
      </c>
      <c r="BP230" s="33">
        <f>IF(O230&lt;&gt;"",BO230-SUM($BN$44:BN230),"")</f>
        <v>-8.5930774779617108E-2</v>
      </c>
      <c r="BQ230" s="11">
        <f t="shared" si="197"/>
        <v>20</v>
      </c>
      <c r="BR230" s="11">
        <f>IF(BF230&lt;&gt;"",IF($B$16=listy!$K$8,'RZĄDOWY PROGRAM'!$F$3*'RZĄDOWY PROGRAM'!$F$15,BK229*$F$15),"")</f>
        <v>50</v>
      </c>
      <c r="BS230" s="11">
        <f t="shared" si="198"/>
        <v>70</v>
      </c>
      <c r="BU230" s="8">
        <f t="shared" si="224"/>
        <v>203</v>
      </c>
      <c r="BV230" s="8"/>
      <c r="BW230" s="78">
        <f>IF(BU230&lt;&gt;"",ROUND(IF($F$11="raty równe",-PMT(W230/12,$F$4-BU229+SUM($BV$28:BV230)-$CB$43,BZ229,2),BX230+BY230),2),"")</f>
        <v>3522.09</v>
      </c>
      <c r="BX230" s="78">
        <f>IF(BU230&lt;&gt;"",IF($F$11="raty malejące",MIN(BZ229/($F$4-BU229+SUM($BV$28:BV229)-SUM($CB$28:CB229)),BZ229),MIN(BW230-BY230,BZ229)),"")</f>
        <v>3330.9934030253166</v>
      </c>
      <c r="BY230" s="78">
        <f t="shared" si="184"/>
        <v>191.09659697468337</v>
      </c>
      <c r="BZ230" s="79">
        <f t="shared" si="178"/>
        <v>23027.157903827556</v>
      </c>
      <c r="CA230" s="11"/>
      <c r="CB230" s="33"/>
      <c r="CC230" s="33">
        <f t="shared" si="225"/>
        <v>0</v>
      </c>
      <c r="CD230" s="33">
        <f t="shared" si="183"/>
        <v>0.50420209618986456</v>
      </c>
      <c r="CE230" s="33">
        <f>IF(O230&lt;&gt;"",CD230-SUM($CC$44:CC230),"")</f>
        <v>0.23420209619624921</v>
      </c>
      <c r="CF230" s="11">
        <f t="shared" si="199"/>
        <v>20</v>
      </c>
      <c r="CG230" s="11">
        <f>IF(BU230&lt;&gt;"",IF($B$16=listy!$K$8,'RZĄDOWY PROGRAM'!$F$3*'RZĄDOWY PROGRAM'!$F$15,BZ229*$F$15),"")</f>
        <v>50</v>
      </c>
      <c r="CH230" s="11">
        <f t="shared" si="200"/>
        <v>70</v>
      </c>
      <c r="CJ230" s="48">
        <f t="shared" si="201"/>
        <v>0.06</v>
      </c>
      <c r="CK230" s="18">
        <f t="shared" si="202"/>
        <v>4.8675505653430484E-3</v>
      </c>
      <c r="CL230" s="11">
        <f t="shared" si="185"/>
        <v>0</v>
      </c>
      <c r="CM230" s="11">
        <f t="shared" si="203"/>
        <v>60822.183574230701</v>
      </c>
      <c r="CN230" s="11">
        <f>IF(AB230&lt;&gt;"",CM230-SUM($CL$28:CL230),"")</f>
        <v>32645.423574230706</v>
      </c>
    </row>
    <row r="231" spans="1:92" x14ac:dyDescent="0.45">
      <c r="A231" s="68">
        <f t="shared" si="226"/>
        <v>50922</v>
      </c>
      <c r="B231" s="8">
        <f t="shared" si="186"/>
        <v>204</v>
      </c>
      <c r="C231" s="11">
        <f t="shared" si="187"/>
        <v>3522.1</v>
      </c>
      <c r="D231" s="11">
        <f t="shared" si="188"/>
        <v>2696.0282705546638</v>
      </c>
      <c r="E231" s="11">
        <f t="shared" si="189"/>
        <v>826.07172944533602</v>
      </c>
      <c r="F231" s="9">
        <f t="shared" si="204"/>
        <v>111244.899928802</v>
      </c>
      <c r="G231" s="10">
        <f t="shared" si="190"/>
        <v>7.0000000000000007E-2</v>
      </c>
      <c r="H231" s="10">
        <f t="shared" si="191"/>
        <v>1.7000000000000001E-2</v>
      </c>
      <c r="I231" s="48">
        <f t="shared" si="205"/>
        <v>8.7000000000000008E-2</v>
      </c>
      <c r="J231" s="11">
        <f t="shared" si="192"/>
        <v>20</v>
      </c>
      <c r="K231" s="11">
        <f>IF(B231&lt;&gt;"",IF($B$16=listy!$K$8,'RZĄDOWY PROGRAM'!$F$3*'RZĄDOWY PROGRAM'!$F$15,F230*$F$15),"")</f>
        <v>50</v>
      </c>
      <c r="L231" s="11">
        <f t="shared" si="206"/>
        <v>70</v>
      </c>
      <c r="N231" s="54">
        <f t="shared" si="227"/>
        <v>50922</v>
      </c>
      <c r="O231" s="8">
        <f t="shared" si="207"/>
        <v>204</v>
      </c>
      <c r="P231" s="8"/>
      <c r="Q231" s="11">
        <f>IF(O231&lt;&gt;"",ROUND(IF($F$11="raty równe",-PMT(W231/12,$F$4-O230+SUM($P$28:P231),T230,2),R231+S231),2),"")</f>
        <v>3522.1</v>
      </c>
      <c r="R231" s="11">
        <f>IF(O231&lt;&gt;"",IF($F$11="raty malejące",T230/($F$4-O230+SUM($P$28:P231)),IF(Q231-S231&gt;T230,T230,Q231-S231)),"")</f>
        <v>2544.6395983589528</v>
      </c>
      <c r="S231" s="11">
        <f t="shared" si="175"/>
        <v>977.46040164104704</v>
      </c>
      <c r="T231" s="9">
        <f t="shared" si="208"/>
        <v>132277.48476592338</v>
      </c>
      <c r="U231" s="10">
        <f t="shared" si="193"/>
        <v>7.0000000000000007E-2</v>
      </c>
      <c r="V231" s="10">
        <f t="shared" si="194"/>
        <v>1.7000000000000001E-2</v>
      </c>
      <c r="W231" s="48">
        <f t="shared" si="209"/>
        <v>8.7000000000000008E-2</v>
      </c>
      <c r="X231" s="11">
        <f t="shared" si="195"/>
        <v>20</v>
      </c>
      <c r="Y231" s="11">
        <f>IF(O231&lt;&gt;"",IF($B$16=listy!$K$8,'RZĄDOWY PROGRAM'!$F$3*'RZĄDOWY PROGRAM'!$F$15,T230*$F$15),"")</f>
        <v>50</v>
      </c>
      <c r="Z231" s="11">
        <f t="shared" si="210"/>
        <v>70</v>
      </c>
      <c r="AB231" s="8">
        <f t="shared" si="211"/>
        <v>204</v>
      </c>
      <c r="AC231" s="8"/>
      <c r="AD231" s="11">
        <f>IF(AB231&lt;&gt;"",ROUND(IF($F$11="raty równe",-PMT(W231/12,$F$4-AB230+SUM($AC$28:AC231),AG230,2),AE231+AF231),2),"")</f>
        <v>3280.39</v>
      </c>
      <c r="AE231" s="11">
        <f>IF(AB231&lt;&gt;"",IF($F$11="raty malejące",AG230/($F$4-AB230+SUM($AC$28:AC230)),MIN(AD231-AF231,AG230)),"")</f>
        <v>2370.0075128375997</v>
      </c>
      <c r="AF231" s="11">
        <f t="shared" si="176"/>
        <v>910.38248716240025</v>
      </c>
      <c r="AG231" s="9">
        <f t="shared" si="228"/>
        <v>123199.99071645898</v>
      </c>
      <c r="AH231" s="11"/>
      <c r="AI231" s="33">
        <f>IF(AB231&lt;&gt;"",ROUND(IF($F$11="raty równe",-PMT(W231/12,($F$4-AB230+SUM($AC$27:AC230)),AG230,2),AG230/($F$4-AB230+SUM($AC$27:AC230))+AG230*W231/12),2),"")</f>
        <v>3280.39</v>
      </c>
      <c r="AJ231" s="33">
        <f t="shared" si="212"/>
        <v>241.71000000000004</v>
      </c>
      <c r="AK231" s="33">
        <f t="shared" si="196"/>
        <v>71586.751674085768</v>
      </c>
      <c r="AL231" s="33">
        <f>IF(AB231&lt;&gt;"",AK231-SUM($AJ$28:AJ231),"")</f>
        <v>24074.081674085734</v>
      </c>
      <c r="AM231" s="11">
        <f t="shared" si="213"/>
        <v>20</v>
      </c>
      <c r="AN231" s="11">
        <f>IF(AB231&lt;&gt;"",IF($B$16=listy!$K$8,'RZĄDOWY PROGRAM'!$F$3*'RZĄDOWY PROGRAM'!$F$15,AG230*$F$15),"")</f>
        <v>50</v>
      </c>
      <c r="AO231" s="11">
        <f t="shared" si="214"/>
        <v>70</v>
      </c>
      <c r="AQ231" s="8">
        <f t="shared" si="215"/>
        <v>204</v>
      </c>
      <c r="AR231" s="8"/>
      <c r="AS231" s="78">
        <f>IF(AQ231&lt;&gt;"",ROUND(IF($F$11="raty równe",-PMT(W231/12,$F$4-AQ230+SUM($AR$28:AR231),AV230,2),AT231+AU231),2),"")</f>
        <v>3263.83</v>
      </c>
      <c r="AT231" s="78">
        <f>IF(AQ231&lt;&gt;"",IF($F$11="raty malejące",AV230/($F$4-AQ230+SUM($AR$28:AR230)),MIN(AS231-AU231,AV230)),"")</f>
        <v>2358.0460946948028</v>
      </c>
      <c r="AU231" s="78">
        <f t="shared" si="216"/>
        <v>905.78390530519698</v>
      </c>
      <c r="AV231" s="79">
        <f t="shared" si="217"/>
        <v>122577.66498188408</v>
      </c>
      <c r="AW231" s="11"/>
      <c r="AX231" s="33">
        <f>IF(AQ231&lt;&gt;"",ROUND(IF($F$11="raty równe",-PMT(W231/12,($F$4-AQ230+SUM($AR$27:AR230)),AV230,2),AV230/($F$4-AQ230+SUM($AR$27:AR230))+AV230*W231/12),2),"")</f>
        <v>3263.83</v>
      </c>
      <c r="AY231" s="33">
        <f t="shared" si="218"/>
        <v>258.27</v>
      </c>
      <c r="AZ231" s="33">
        <f t="shared" si="180"/>
        <v>71758.764396994477</v>
      </c>
      <c r="BA231" s="33">
        <f>IF(AQ231&lt;&gt;"",AZ231-SUM($AY$44:AY231),"")</f>
        <v>23204.014396994629</v>
      </c>
      <c r="BB231" s="11">
        <f t="shared" si="219"/>
        <v>20</v>
      </c>
      <c r="BC231" s="11">
        <f>IF(AQ231&lt;&gt;"",IF($B$16=listy!$K$8,'RZĄDOWY PROGRAM'!$F$3*'RZĄDOWY PROGRAM'!$F$15,AV230*$F$15),"")</f>
        <v>50</v>
      </c>
      <c r="BD231" s="11">
        <f t="shared" si="220"/>
        <v>70</v>
      </c>
      <c r="BF231" s="8">
        <f t="shared" si="221"/>
        <v>204</v>
      </c>
      <c r="BG231" s="8"/>
      <c r="BH231" s="78">
        <f>IF(BF231&lt;&gt;"",ROUND(IF($F$11="raty równe",-PMT(W231/12,$F$4-BF230+SUM(BV$28:$BV231)-SUM($BM$29:BM231),BK230,2),BI231+BJ231),2),"")</f>
        <v>3522.1</v>
      </c>
      <c r="BI231" s="78">
        <f>IF(BF231&lt;&gt;"",IF($F$11="raty malejące",MIN(BK230/($F$4-BF230+SUM($BG$27:BG231)-SUM($BM$27:BM231)),BK230),MIN(BH231-BJ231,BK230)),"")</f>
        <v>3362.4656127848007</v>
      </c>
      <c r="BJ231" s="78">
        <f t="shared" si="222"/>
        <v>159.6343872151991</v>
      </c>
      <c r="BK231" s="79">
        <f t="shared" si="223"/>
        <v>18656.070554828868</v>
      </c>
      <c r="BL231" s="11"/>
      <c r="BM231" s="33"/>
      <c r="BN231" s="33">
        <f t="shared" si="181"/>
        <v>0</v>
      </c>
      <c r="BO231" s="33">
        <f t="shared" si="182"/>
        <v>-0.16658499269135285</v>
      </c>
      <c r="BP231" s="33">
        <f>IF(O231&lt;&gt;"",BO231-SUM($BN$44:BN231),"")</f>
        <v>-8.65849926932446E-2</v>
      </c>
      <c r="BQ231" s="11">
        <f t="shared" si="197"/>
        <v>20</v>
      </c>
      <c r="BR231" s="11">
        <f>IF(BF231&lt;&gt;"",IF($B$16=listy!$K$8,'RZĄDOWY PROGRAM'!$F$3*'RZĄDOWY PROGRAM'!$F$15,BK230*$F$15),"")</f>
        <v>50</v>
      </c>
      <c r="BS231" s="11">
        <f t="shared" si="198"/>
        <v>70</v>
      </c>
      <c r="BU231" s="8">
        <f t="shared" si="224"/>
        <v>204</v>
      </c>
      <c r="BV231" s="8"/>
      <c r="BW231" s="78">
        <f>IF(BU231&lt;&gt;"",ROUND(IF($F$11="raty równe",-PMT(W231/12,$F$4-BU230+SUM($BV$28:BV231)-$CB$43,BZ230,2),BX231+BY231),2),"")</f>
        <v>3522.1</v>
      </c>
      <c r="BX231" s="78">
        <f>IF(BU231&lt;&gt;"",IF($F$11="raty malejące",MIN(BZ230/($F$4-BU230+SUM($BV$28:BV230)-SUM($CB$28:CB230)),BZ230),MIN(BW231-BY231,BZ230)),"")</f>
        <v>3355.1531051972502</v>
      </c>
      <c r="BY231" s="78">
        <f t="shared" si="184"/>
        <v>166.9468948027498</v>
      </c>
      <c r="BZ231" s="79">
        <f t="shared" si="178"/>
        <v>19672.004798630307</v>
      </c>
      <c r="CA231" s="11"/>
      <c r="CB231" s="33"/>
      <c r="CC231" s="33">
        <f t="shared" si="225"/>
        <v>0</v>
      </c>
      <c r="CD231" s="33">
        <f t="shared" si="183"/>
        <v>0.50619002184053308</v>
      </c>
      <c r="CE231" s="33">
        <f>IF(O231&lt;&gt;"",CD231-SUM($CC$44:CC231),"")</f>
        <v>0.23619002184691773</v>
      </c>
      <c r="CF231" s="11">
        <f t="shared" si="199"/>
        <v>20</v>
      </c>
      <c r="CG231" s="11">
        <f>IF(BU231&lt;&gt;"",IF($B$16=listy!$K$8,'RZĄDOWY PROGRAM'!$F$3*'RZĄDOWY PROGRAM'!$F$15,BZ230*$F$15),"")</f>
        <v>50</v>
      </c>
      <c r="CH231" s="11">
        <f t="shared" si="200"/>
        <v>70</v>
      </c>
      <c r="CJ231" s="48">
        <f t="shared" si="201"/>
        <v>0.06</v>
      </c>
      <c r="CK231" s="18">
        <f t="shared" si="202"/>
        <v>4.8675505653430484E-3</v>
      </c>
      <c r="CL231" s="11">
        <f t="shared" si="185"/>
        <v>0</v>
      </c>
      <c r="CM231" s="11">
        <f t="shared" si="203"/>
        <v>61061.988168004842</v>
      </c>
      <c r="CN231" s="11">
        <f>IF(AB231&lt;&gt;"",CM231-SUM($CL$28:CL231),"")</f>
        <v>32885.228168004847</v>
      </c>
    </row>
    <row r="232" spans="1:92" x14ac:dyDescent="0.45">
      <c r="A232" s="68">
        <f t="shared" si="226"/>
        <v>50952</v>
      </c>
      <c r="B232" s="8">
        <f t="shared" si="186"/>
        <v>205</v>
      </c>
      <c r="C232" s="11">
        <f t="shared" si="187"/>
        <v>3522.09</v>
      </c>
      <c r="D232" s="11">
        <f t="shared" si="188"/>
        <v>2715.5644755161857</v>
      </c>
      <c r="E232" s="11">
        <f t="shared" si="189"/>
        <v>806.52552448381459</v>
      </c>
      <c r="F232" s="9">
        <f t="shared" si="204"/>
        <v>108529.33545328581</v>
      </c>
      <c r="G232" s="10">
        <f t="shared" si="190"/>
        <v>7.0000000000000007E-2</v>
      </c>
      <c r="H232" s="10">
        <f t="shared" si="191"/>
        <v>1.7000000000000001E-2</v>
      </c>
      <c r="I232" s="48">
        <f t="shared" si="205"/>
        <v>8.7000000000000008E-2</v>
      </c>
      <c r="J232" s="11">
        <f t="shared" si="192"/>
        <v>20</v>
      </c>
      <c r="K232" s="11">
        <f>IF(B232&lt;&gt;"",IF($B$16=listy!$K$8,'RZĄDOWY PROGRAM'!$F$3*'RZĄDOWY PROGRAM'!$F$15,F231*$F$15),"")</f>
        <v>50</v>
      </c>
      <c r="L232" s="11">
        <f t="shared" si="206"/>
        <v>70</v>
      </c>
      <c r="N232" s="54">
        <f t="shared" si="227"/>
        <v>50952</v>
      </c>
      <c r="O232" s="8">
        <f t="shared" si="207"/>
        <v>205</v>
      </c>
      <c r="P232" s="8"/>
      <c r="Q232" s="11">
        <f>IF(O232&lt;&gt;"",ROUND(IF($F$11="raty równe",-PMT(W232/12,$F$4-O231+SUM($P$28:P232),T231,2),R232+S232),2),"")</f>
        <v>3522.09</v>
      </c>
      <c r="R232" s="11">
        <f>IF(O232&lt;&gt;"",IF($F$11="raty malejące",T231/($F$4-O231+SUM($P$28:P232)),IF(Q232-S232&gt;T231,T231,Q232-S232)),"")</f>
        <v>2563.0782354470557</v>
      </c>
      <c r="S232" s="11">
        <f t="shared" si="175"/>
        <v>959.01176455294456</v>
      </c>
      <c r="T232" s="9">
        <f t="shared" si="208"/>
        <v>129714.40653047632</v>
      </c>
      <c r="U232" s="10">
        <f t="shared" si="193"/>
        <v>7.0000000000000007E-2</v>
      </c>
      <c r="V232" s="10">
        <f t="shared" si="194"/>
        <v>1.7000000000000001E-2</v>
      </c>
      <c r="W232" s="48">
        <f t="shared" si="209"/>
        <v>8.7000000000000008E-2</v>
      </c>
      <c r="X232" s="11">
        <f t="shared" si="195"/>
        <v>20</v>
      </c>
      <c r="Y232" s="11">
        <f>IF(O232&lt;&gt;"",IF($B$16=listy!$K$8,'RZĄDOWY PROGRAM'!$F$3*'RZĄDOWY PROGRAM'!$F$15,T231*$F$15),"")</f>
        <v>50</v>
      </c>
      <c r="Z232" s="11">
        <f t="shared" si="210"/>
        <v>70</v>
      </c>
      <c r="AB232" s="8">
        <f t="shared" si="211"/>
        <v>205</v>
      </c>
      <c r="AC232" s="8"/>
      <c r="AD232" s="11">
        <f>IF(AB232&lt;&gt;"",ROUND(IF($F$11="raty równe",-PMT(W232/12,$F$4-AB231+SUM($AC$28:AC232),AG231,2),AE232+AF232),2),"")</f>
        <v>3280.4</v>
      </c>
      <c r="AE232" s="11">
        <f>IF(AB232&lt;&gt;"",IF($F$11="raty malejące",AG231/($F$4-AB231+SUM($AC$28:AC231)),MIN(AD232-AF232,AG231)),"")</f>
        <v>2387.2000673056723</v>
      </c>
      <c r="AF232" s="11">
        <f t="shared" si="176"/>
        <v>893.19993269432769</v>
      </c>
      <c r="AG232" s="9">
        <f t="shared" si="228"/>
        <v>120812.79064915331</v>
      </c>
      <c r="AH232" s="11"/>
      <c r="AI232" s="33">
        <f>IF(AB232&lt;&gt;"",ROUND(IF($F$11="raty równe",-PMT(W232/12,($F$4-AB231+SUM($AC$27:AC231)),AG231,2),AG231/($F$4-AB231+SUM($AC$27:AC231))+AG231*W232/12),2),"")</f>
        <v>3280.4</v>
      </c>
      <c r="AJ232" s="33">
        <f t="shared" si="212"/>
        <v>241.69000000000005</v>
      </c>
      <c r="AK232" s="33">
        <f t="shared" si="196"/>
        <v>72110.68790228742</v>
      </c>
      <c r="AL232" s="33">
        <f>IF(AB232&lt;&gt;"",AK232-SUM($AJ$28:AJ232),"")</f>
        <v>24356.327902287383</v>
      </c>
      <c r="AM232" s="11">
        <f t="shared" si="213"/>
        <v>20</v>
      </c>
      <c r="AN232" s="11">
        <f>IF(AB232&lt;&gt;"",IF($B$16=listy!$K$8,'RZĄDOWY PROGRAM'!$F$3*'RZĄDOWY PROGRAM'!$F$15,AG231*$F$15),"")</f>
        <v>50</v>
      </c>
      <c r="AO232" s="11">
        <f t="shared" si="214"/>
        <v>70</v>
      </c>
      <c r="AQ232" s="8">
        <f t="shared" si="215"/>
        <v>205</v>
      </c>
      <c r="AR232" s="8"/>
      <c r="AS232" s="78">
        <f>IF(AQ232&lt;&gt;"",ROUND(IF($F$11="raty równe",-PMT(W232/12,$F$4-AQ231+SUM($AR$28:AR232),AV231,2),AT232+AU232),2),"")</f>
        <v>3263.82</v>
      </c>
      <c r="AT232" s="78">
        <f>IF(AQ232&lt;&gt;"",IF($F$11="raty malejące",AV231/($F$4-AQ231+SUM($AR$28:AR231)),MIN(AS232-AU232,AV231)),"")</f>
        <v>2375.1319288813406</v>
      </c>
      <c r="AU232" s="78">
        <f t="shared" si="216"/>
        <v>888.68807111865965</v>
      </c>
      <c r="AV232" s="79">
        <f t="shared" si="217"/>
        <v>120202.53305300274</v>
      </c>
      <c r="AW232" s="11"/>
      <c r="AX232" s="33">
        <f>IF(AQ232&lt;&gt;"",ROUND(IF($F$11="raty równe",-PMT(W232/12,($F$4-AQ231+SUM($AR$27:AR231)),AV231,2),AV231/($F$4-AQ231+SUM($AR$27:AR231))+AV231*W232/12),2),"")</f>
        <v>3263.82</v>
      </c>
      <c r="AY232" s="33">
        <f t="shared" si="218"/>
        <v>258.27</v>
      </c>
      <c r="AZ232" s="33">
        <f t="shared" si="180"/>
        <v>72299.958822503701</v>
      </c>
      <c r="BA232" s="33">
        <f>IF(AQ232&lt;&gt;"",AZ232-SUM($AY$44:AY232),"")</f>
        <v>23486.938822503856</v>
      </c>
      <c r="BB232" s="11">
        <f t="shared" si="219"/>
        <v>20</v>
      </c>
      <c r="BC232" s="11">
        <f>IF(AQ232&lt;&gt;"",IF($B$16=listy!$K$8,'RZĄDOWY PROGRAM'!$F$3*'RZĄDOWY PROGRAM'!$F$15,AV231*$F$15),"")</f>
        <v>50</v>
      </c>
      <c r="BD232" s="11">
        <f t="shared" si="220"/>
        <v>70</v>
      </c>
      <c r="BF232" s="8">
        <f t="shared" si="221"/>
        <v>205</v>
      </c>
      <c r="BG232" s="8"/>
      <c r="BH232" s="78">
        <f>IF(BF232&lt;&gt;"",ROUND(IF($F$11="raty równe",-PMT(W232/12,$F$4-BF231+SUM(BV$28:$BV232)-SUM($BM$29:BM232),BK231,2),BI232+BJ232),2),"")</f>
        <v>3522.1</v>
      </c>
      <c r="BI232" s="78">
        <f>IF(BF232&lt;&gt;"",IF($F$11="raty malejące",MIN(BK231/($F$4-BF231+SUM($BG$27:BG232)-SUM($BM$27:BM232)),BK231),MIN(BH232-BJ232,BK231)),"")</f>
        <v>3386.8434884774906</v>
      </c>
      <c r="BJ232" s="78">
        <f t="shared" si="222"/>
        <v>135.2565115225093</v>
      </c>
      <c r="BK232" s="79">
        <f t="shared" si="223"/>
        <v>15269.227066351377</v>
      </c>
      <c r="BL232" s="11"/>
      <c r="BM232" s="33"/>
      <c r="BN232" s="33">
        <f t="shared" si="181"/>
        <v>-9.9999999997635314E-3</v>
      </c>
      <c r="BO232" s="33">
        <f t="shared" si="182"/>
        <v>-0.17724179000015189</v>
      </c>
      <c r="BP232" s="33">
        <f>IF(O232&lt;&gt;"",BO232-SUM($BN$44:BN232),"")</f>
        <v>-8.7241790002280106E-2</v>
      </c>
      <c r="BQ232" s="11">
        <f t="shared" si="197"/>
        <v>20</v>
      </c>
      <c r="BR232" s="11">
        <f>IF(BF232&lt;&gt;"",IF($B$16=listy!$K$8,'RZĄDOWY PROGRAM'!$F$3*'RZĄDOWY PROGRAM'!$F$15,BK231*$F$15),"")</f>
        <v>50</v>
      </c>
      <c r="BS232" s="11">
        <f t="shared" si="198"/>
        <v>70</v>
      </c>
      <c r="BU232" s="8">
        <f t="shared" si="224"/>
        <v>205</v>
      </c>
      <c r="BV232" s="8"/>
      <c r="BW232" s="78">
        <f>IF(BU232&lt;&gt;"",ROUND(IF($F$11="raty równe",-PMT(W232/12,$F$4-BU231+SUM($BV$28:BV232)-$CB$43,BZ231,2),BX232+BY232),2),"")</f>
        <v>3522.1</v>
      </c>
      <c r="BX232" s="78">
        <f>IF(BU232&lt;&gt;"",IF($F$11="raty malejące",MIN(BZ231/($F$4-BU231+SUM($BV$28:BV231)-SUM($CB$28:CB231)),BZ231),MIN(BW232-BY232,BZ231)),"")</f>
        <v>3379.4779652099301</v>
      </c>
      <c r="BY232" s="78">
        <f t="shared" si="184"/>
        <v>142.62203479006973</v>
      </c>
      <c r="BZ232" s="79">
        <f t="shared" si="178"/>
        <v>16292.526833420377</v>
      </c>
      <c r="CA232" s="11"/>
      <c r="CB232" s="33"/>
      <c r="CC232" s="33">
        <f t="shared" si="225"/>
        <v>-9.9999999997635314E-3</v>
      </c>
      <c r="CD232" s="33">
        <f t="shared" si="183"/>
        <v>0.49818578531762414</v>
      </c>
      <c r="CE232" s="33">
        <f>IF(O232&lt;&gt;"",CD232-SUM($CC$44:CC232),"")</f>
        <v>0.23818578532377233</v>
      </c>
      <c r="CF232" s="11">
        <f t="shared" si="199"/>
        <v>20</v>
      </c>
      <c r="CG232" s="11">
        <f>IF(BU232&lt;&gt;"",IF($B$16=listy!$K$8,'RZĄDOWY PROGRAM'!$F$3*'RZĄDOWY PROGRAM'!$F$15,BZ231*$F$15),"")</f>
        <v>50</v>
      </c>
      <c r="CH232" s="11">
        <f t="shared" si="200"/>
        <v>70</v>
      </c>
      <c r="CJ232" s="48">
        <f t="shared" si="201"/>
        <v>0.06</v>
      </c>
      <c r="CK232" s="18">
        <f t="shared" si="202"/>
        <v>4.8675505653430484E-3</v>
      </c>
      <c r="CL232" s="11">
        <f t="shared" si="185"/>
        <v>0</v>
      </c>
      <c r="CM232" s="11">
        <f t="shared" si="203"/>
        <v>61302.738243177642</v>
      </c>
      <c r="CN232" s="11">
        <f>IF(AB232&lt;&gt;"",CM232-SUM($CL$28:CL232),"")</f>
        <v>33125.978243177648</v>
      </c>
    </row>
    <row r="233" spans="1:92" x14ac:dyDescent="0.45">
      <c r="A233" s="68">
        <f t="shared" si="226"/>
        <v>50983</v>
      </c>
      <c r="B233" s="8">
        <f t="shared" si="186"/>
        <v>206</v>
      </c>
      <c r="C233" s="11">
        <f t="shared" si="187"/>
        <v>3522.1</v>
      </c>
      <c r="D233" s="11">
        <f t="shared" si="188"/>
        <v>2735.2623179636776</v>
      </c>
      <c r="E233" s="11">
        <f t="shared" si="189"/>
        <v>786.83768203632224</v>
      </c>
      <c r="F233" s="9">
        <f t="shared" si="204"/>
        <v>105794.07313532213</v>
      </c>
      <c r="G233" s="10">
        <f t="shared" si="190"/>
        <v>7.0000000000000007E-2</v>
      </c>
      <c r="H233" s="10">
        <f t="shared" si="191"/>
        <v>1.7000000000000001E-2</v>
      </c>
      <c r="I233" s="48">
        <f t="shared" si="205"/>
        <v>8.7000000000000008E-2</v>
      </c>
      <c r="J233" s="11">
        <f t="shared" si="192"/>
        <v>20</v>
      </c>
      <c r="K233" s="11">
        <f>IF(B233&lt;&gt;"",IF($B$16=listy!$K$8,'RZĄDOWY PROGRAM'!$F$3*'RZĄDOWY PROGRAM'!$F$15,F232*$F$15),"")</f>
        <v>50</v>
      </c>
      <c r="L233" s="11">
        <f t="shared" si="206"/>
        <v>70</v>
      </c>
      <c r="N233" s="54">
        <f t="shared" si="227"/>
        <v>50983</v>
      </c>
      <c r="O233" s="8">
        <f t="shared" si="207"/>
        <v>206</v>
      </c>
      <c r="P233" s="8"/>
      <c r="Q233" s="11">
        <f>IF(O233&lt;&gt;"",ROUND(IF($F$11="raty równe",-PMT(W233/12,$F$4-O232+SUM($P$28:P233),T232,2),R233+S233),2),"")</f>
        <v>3522.1</v>
      </c>
      <c r="R233" s="11">
        <f>IF(O233&lt;&gt;"",IF($F$11="raty malejące",T232/($F$4-O232+SUM($P$28:P233)),IF(Q233-S233&gt;T232,T232,Q233-S233)),"")</f>
        <v>2581.6705526540463</v>
      </c>
      <c r="S233" s="11">
        <f t="shared" si="175"/>
        <v>940.42944734595346</v>
      </c>
      <c r="T233" s="9">
        <f t="shared" si="208"/>
        <v>127132.73597782227</v>
      </c>
      <c r="U233" s="10">
        <f t="shared" si="193"/>
        <v>7.0000000000000007E-2</v>
      </c>
      <c r="V233" s="10">
        <f t="shared" si="194"/>
        <v>1.7000000000000001E-2</v>
      </c>
      <c r="W233" s="48">
        <f t="shared" si="209"/>
        <v>8.7000000000000008E-2</v>
      </c>
      <c r="X233" s="11">
        <f t="shared" si="195"/>
        <v>20</v>
      </c>
      <c r="Y233" s="11">
        <f>IF(O233&lt;&gt;"",IF($B$16=listy!$K$8,'RZĄDOWY PROGRAM'!$F$3*'RZĄDOWY PROGRAM'!$F$15,T232*$F$15),"")</f>
        <v>50</v>
      </c>
      <c r="Z233" s="11">
        <f t="shared" si="210"/>
        <v>70</v>
      </c>
      <c r="AB233" s="8">
        <f t="shared" si="211"/>
        <v>206</v>
      </c>
      <c r="AC233" s="8"/>
      <c r="AD233" s="11">
        <f>IF(AB233&lt;&gt;"",ROUND(IF($F$11="raty równe",-PMT(W233/12,$F$4-AB232+SUM($AC$28:AC233),AG232,2),AE233+AF233),2),"")</f>
        <v>3280.39</v>
      </c>
      <c r="AE233" s="11">
        <f>IF(AB233&lt;&gt;"",IF($F$11="raty malejące",AG232/($F$4-AB232+SUM($AC$28:AC232)),MIN(AD233-AF233,AG232)),"")</f>
        <v>2404.4972677936385</v>
      </c>
      <c r="AF233" s="11">
        <f t="shared" si="176"/>
        <v>875.89273220636153</v>
      </c>
      <c r="AG233" s="9">
        <f t="shared" si="228"/>
        <v>118408.29338135966</v>
      </c>
      <c r="AH233" s="11"/>
      <c r="AI233" s="33">
        <f>IF(AB233&lt;&gt;"",ROUND(IF($F$11="raty równe",-PMT(W233/12,($F$4-AB232+SUM($AC$27:AC232)),AG232,2),AG232/($F$4-AB232+SUM($AC$27:AC232))+AG232*W233/12),2),"")</f>
        <v>3280.39</v>
      </c>
      <c r="AJ233" s="33">
        <f t="shared" si="212"/>
        <v>241.71000000000004</v>
      </c>
      <c r="AK233" s="33">
        <f t="shared" si="196"/>
        <v>72636.709862216943</v>
      </c>
      <c r="AL233" s="33">
        <f>IF(AB233&lt;&gt;"",AK233-SUM($AJ$28:AJ233),"")</f>
        <v>24640.639862216907</v>
      </c>
      <c r="AM233" s="11">
        <f t="shared" si="213"/>
        <v>20</v>
      </c>
      <c r="AN233" s="11">
        <f>IF(AB233&lt;&gt;"",IF($B$16=listy!$K$8,'RZĄDOWY PROGRAM'!$F$3*'RZĄDOWY PROGRAM'!$F$15,AG232*$F$15),"")</f>
        <v>50</v>
      </c>
      <c r="AO233" s="11">
        <f t="shared" si="214"/>
        <v>70</v>
      </c>
      <c r="AQ233" s="8">
        <f t="shared" si="215"/>
        <v>206</v>
      </c>
      <c r="AR233" s="8"/>
      <c r="AS233" s="78">
        <f>IF(AQ233&lt;&gt;"",ROUND(IF($F$11="raty równe",-PMT(W233/12,$F$4-AQ232+SUM($AR$28:AR233),AV232,2),AT233+AU233),2),"")</f>
        <v>3263.83</v>
      </c>
      <c r="AT233" s="78">
        <f>IF(AQ233&lt;&gt;"",IF($F$11="raty malejące",AV232/($F$4-AQ232+SUM($AR$28:AR232)),MIN(AS233-AU233,AV232)),"")</f>
        <v>2392.3616353657299</v>
      </c>
      <c r="AU233" s="78">
        <f t="shared" si="216"/>
        <v>871.46836463426996</v>
      </c>
      <c r="AV233" s="79">
        <f t="shared" si="217"/>
        <v>117810.17141763702</v>
      </c>
      <c r="AW233" s="11"/>
      <c r="AX233" s="33">
        <f>IF(AQ233&lt;&gt;"",ROUND(IF($F$11="raty równe",-PMT(W233/12,($F$4-AQ232+SUM($AR$27:AR232)),AV232,2),AV232/($F$4-AQ232+SUM($AR$27:AR232))+AV232*W233/12),2),"")</f>
        <v>3263.83</v>
      </c>
      <c r="AY233" s="33">
        <f t="shared" si="218"/>
        <v>258.27</v>
      </c>
      <c r="AZ233" s="33">
        <f t="shared" si="180"/>
        <v>72843.287023910729</v>
      </c>
      <c r="BA233" s="33">
        <f>IF(AQ233&lt;&gt;"",AZ233-SUM($AY$44:AY233),"")</f>
        <v>23771.997023910888</v>
      </c>
      <c r="BB233" s="11">
        <f t="shared" si="219"/>
        <v>20</v>
      </c>
      <c r="BC233" s="11">
        <f>IF(AQ233&lt;&gt;"",IF($B$16=listy!$K$8,'RZĄDOWY PROGRAM'!$F$3*'RZĄDOWY PROGRAM'!$F$15,AV232*$F$15),"")</f>
        <v>50</v>
      </c>
      <c r="BD233" s="11">
        <f t="shared" si="220"/>
        <v>70</v>
      </c>
      <c r="BF233" s="8">
        <f t="shared" si="221"/>
        <v>206</v>
      </c>
      <c r="BG233" s="8"/>
      <c r="BH233" s="78">
        <f>IF(BF233&lt;&gt;"",ROUND(IF($F$11="raty równe",-PMT(W233/12,$F$4-BF232+SUM(BV$28:$BV233)-SUM($BM$29:BM233),BK232,2),BI233+BJ233),2),"")</f>
        <v>3522.09</v>
      </c>
      <c r="BI233" s="78">
        <f>IF(BF233&lt;&gt;"",IF($F$11="raty malejące",MIN(BK232/($F$4-BF232+SUM($BG$27:BG233)-SUM($BM$27:BM233)),BK232),MIN(BH233-BJ233,BK232)),"")</f>
        <v>3411.3881037689525</v>
      </c>
      <c r="BJ233" s="78">
        <f t="shared" si="222"/>
        <v>110.7018962310475</v>
      </c>
      <c r="BK233" s="79">
        <f t="shared" si="223"/>
        <v>11857.838962582424</v>
      </c>
      <c r="BL233" s="11"/>
      <c r="BM233" s="33"/>
      <c r="BN233" s="33">
        <f t="shared" si="181"/>
        <v>9.9999999997635314E-3</v>
      </c>
      <c r="BO233" s="33">
        <f t="shared" si="182"/>
        <v>-0.16794060403423366</v>
      </c>
      <c r="BP233" s="33">
        <f>IF(O233&lt;&gt;"",BO233-SUM($BN$44:BN233),"")</f>
        <v>-8.7940604036125414E-2</v>
      </c>
      <c r="BQ233" s="11">
        <f t="shared" si="197"/>
        <v>20</v>
      </c>
      <c r="BR233" s="11">
        <f>IF(BF233&lt;&gt;"",IF($B$16=listy!$K$8,'RZĄDOWY PROGRAM'!$F$3*'RZĄDOWY PROGRAM'!$F$15,BK232*$F$15),"")</f>
        <v>50</v>
      </c>
      <c r="BS233" s="11">
        <f t="shared" si="198"/>
        <v>70</v>
      </c>
      <c r="BU233" s="8">
        <f t="shared" si="224"/>
        <v>206</v>
      </c>
      <c r="BV233" s="8"/>
      <c r="BW233" s="78">
        <f>IF(BU233&lt;&gt;"",ROUND(IF($F$11="raty równe",-PMT(W233/12,$F$4-BU232+SUM($BV$28:BV233)-$CB$43,BZ232,2),BX233+BY233),2),"")</f>
        <v>3522.09</v>
      </c>
      <c r="BX233" s="78">
        <f>IF(BU233&lt;&gt;"",IF($F$11="raty malejące",MIN(BZ232/($F$4-BU232+SUM($BV$28:BV232)-SUM($CB$28:CB232)),BZ232),MIN(BW233-BY233,BZ232)),"")</f>
        <v>3403.9691804577024</v>
      </c>
      <c r="BY233" s="78">
        <f t="shared" si="184"/>
        <v>118.12081954229774</v>
      </c>
      <c r="BZ233" s="79">
        <f t="shared" si="178"/>
        <v>12888.557652962674</v>
      </c>
      <c r="CA233" s="11"/>
      <c r="CB233" s="33"/>
      <c r="CC233" s="33">
        <f t="shared" si="225"/>
        <v>9.9999999997635314E-3</v>
      </c>
      <c r="CD233" s="33">
        <f t="shared" si="183"/>
        <v>0.51014999036317232</v>
      </c>
      <c r="CE233" s="33">
        <f>IF(O233&lt;&gt;"",CD233-SUM($CC$44:CC233),"")</f>
        <v>0.24014999036955698</v>
      </c>
      <c r="CF233" s="11">
        <f t="shared" si="199"/>
        <v>20</v>
      </c>
      <c r="CG233" s="11">
        <f>IF(BU233&lt;&gt;"",IF($B$16=listy!$K$8,'RZĄDOWY PROGRAM'!$F$3*'RZĄDOWY PROGRAM'!$F$15,BZ232*$F$15),"")</f>
        <v>50</v>
      </c>
      <c r="CH233" s="11">
        <f t="shared" si="200"/>
        <v>70</v>
      </c>
      <c r="CJ233" s="48">
        <f t="shared" si="201"/>
        <v>0.06</v>
      </c>
      <c r="CK233" s="18">
        <f t="shared" si="202"/>
        <v>4.8675505653430484E-3</v>
      </c>
      <c r="CL233" s="11">
        <f t="shared" si="185"/>
        <v>0</v>
      </c>
      <c r="CM233" s="11">
        <f t="shared" si="203"/>
        <v>61544.437527513699</v>
      </c>
      <c r="CN233" s="11">
        <f>IF(AB233&lt;&gt;"",CM233-SUM($CL$28:CL233),"")</f>
        <v>33367.677527513704</v>
      </c>
    </row>
    <row r="234" spans="1:92" x14ac:dyDescent="0.45">
      <c r="A234" s="68">
        <f t="shared" si="226"/>
        <v>51014</v>
      </c>
      <c r="B234" s="8">
        <f t="shared" si="186"/>
        <v>207</v>
      </c>
      <c r="C234" s="11">
        <f t="shared" si="187"/>
        <v>3522.09</v>
      </c>
      <c r="D234" s="11">
        <f t="shared" si="188"/>
        <v>2755.0829697689146</v>
      </c>
      <c r="E234" s="11">
        <f t="shared" si="189"/>
        <v>767.00703023108554</v>
      </c>
      <c r="F234" s="9">
        <f t="shared" si="204"/>
        <v>103038.99016555322</v>
      </c>
      <c r="G234" s="10">
        <f t="shared" si="190"/>
        <v>7.0000000000000007E-2</v>
      </c>
      <c r="H234" s="10">
        <f t="shared" si="191"/>
        <v>1.7000000000000001E-2</v>
      </c>
      <c r="I234" s="48">
        <f t="shared" si="205"/>
        <v>8.7000000000000008E-2</v>
      </c>
      <c r="J234" s="11">
        <f t="shared" si="192"/>
        <v>20</v>
      </c>
      <c r="K234" s="11">
        <f>IF(B234&lt;&gt;"",IF($B$16=listy!$K$8,'RZĄDOWY PROGRAM'!$F$3*'RZĄDOWY PROGRAM'!$F$15,F233*$F$15),"")</f>
        <v>50</v>
      </c>
      <c r="L234" s="11">
        <f t="shared" si="206"/>
        <v>70</v>
      </c>
      <c r="N234" s="54">
        <f t="shared" si="227"/>
        <v>51014</v>
      </c>
      <c r="O234" s="8">
        <f t="shared" si="207"/>
        <v>207</v>
      </c>
      <c r="P234" s="8"/>
      <c r="Q234" s="11">
        <f>IF(O234&lt;&gt;"",ROUND(IF($F$11="raty równe",-PMT(W234/12,$F$4-O233+SUM($P$28:P234),T233,2),R234+S234),2),"")</f>
        <v>3522.09</v>
      </c>
      <c r="R234" s="11">
        <f>IF(O234&lt;&gt;"",IF($F$11="raty malejące",T233/($F$4-O233+SUM($P$28:P234)),IF(Q234-S234&gt;T233,T233,Q234-S234)),"")</f>
        <v>2600.3776641607888</v>
      </c>
      <c r="S234" s="11">
        <f t="shared" si="175"/>
        <v>921.71233583921151</v>
      </c>
      <c r="T234" s="9">
        <f t="shared" si="208"/>
        <v>124532.35831366149</v>
      </c>
      <c r="U234" s="10">
        <f t="shared" si="193"/>
        <v>7.0000000000000007E-2</v>
      </c>
      <c r="V234" s="10">
        <f t="shared" si="194"/>
        <v>1.7000000000000001E-2</v>
      </c>
      <c r="W234" s="48">
        <f t="shared" si="209"/>
        <v>8.7000000000000008E-2</v>
      </c>
      <c r="X234" s="11">
        <f t="shared" si="195"/>
        <v>20</v>
      </c>
      <c r="Y234" s="11">
        <f>IF(O234&lt;&gt;"",IF($B$16=listy!$K$8,'RZĄDOWY PROGRAM'!$F$3*'RZĄDOWY PROGRAM'!$F$15,T233*$F$15),"")</f>
        <v>50</v>
      </c>
      <c r="Z234" s="11">
        <f t="shared" si="210"/>
        <v>70</v>
      </c>
      <c r="AB234" s="8">
        <f t="shared" si="211"/>
        <v>207</v>
      </c>
      <c r="AC234" s="8"/>
      <c r="AD234" s="11">
        <f>IF(AB234&lt;&gt;"",ROUND(IF($F$11="raty równe",-PMT(W234/12,$F$4-AB233+SUM($AC$28:AC234),AG233,2),AE234+AF234),2),"")</f>
        <v>3280.4</v>
      </c>
      <c r="AE234" s="11">
        <f>IF(AB234&lt;&gt;"",IF($F$11="raty malejące",AG233/($F$4-AB233+SUM($AC$28:AC233)),MIN(AD234-AF234,AG233)),"")</f>
        <v>2421.9398729851423</v>
      </c>
      <c r="AF234" s="11">
        <f t="shared" si="176"/>
        <v>858.46012701485768</v>
      </c>
      <c r="AG234" s="9">
        <f t="shared" si="228"/>
        <v>115986.35350837452</v>
      </c>
      <c r="AH234" s="11"/>
      <c r="AI234" s="33">
        <f>IF(AB234&lt;&gt;"",ROUND(IF($F$11="raty równe",-PMT(W234/12,($F$4-AB233+SUM($AC$27:AC233)),AG233,2),AG233/($F$4-AB233+SUM($AC$27:AC233))+AG233*W234/12),2),"")</f>
        <v>3280.4</v>
      </c>
      <c r="AJ234" s="33">
        <f t="shared" si="212"/>
        <v>241.69000000000005</v>
      </c>
      <c r="AK234" s="33">
        <f t="shared" si="196"/>
        <v>73164.785777322089</v>
      </c>
      <c r="AL234" s="33">
        <f>IF(AB234&lt;&gt;"",AK234-SUM($AJ$28:AJ234),"")</f>
        <v>24927.025777322051</v>
      </c>
      <c r="AM234" s="11">
        <f t="shared" si="213"/>
        <v>20</v>
      </c>
      <c r="AN234" s="11">
        <f>IF(AB234&lt;&gt;"",IF($B$16=listy!$K$8,'RZĄDOWY PROGRAM'!$F$3*'RZĄDOWY PROGRAM'!$F$15,AG233*$F$15),"")</f>
        <v>50</v>
      </c>
      <c r="AO234" s="11">
        <f t="shared" si="214"/>
        <v>70</v>
      </c>
      <c r="AQ234" s="8">
        <f t="shared" si="215"/>
        <v>207</v>
      </c>
      <c r="AR234" s="8"/>
      <c r="AS234" s="78">
        <f>IF(AQ234&lt;&gt;"",ROUND(IF($F$11="raty równe",-PMT(W234/12,$F$4-AQ233+SUM($AR$28:AR234),AV233,2),AT234+AU234),2),"")</f>
        <v>3263.82</v>
      </c>
      <c r="AT234" s="78">
        <f>IF(AQ234&lt;&gt;"",IF($F$11="raty malejące",AV233/($F$4-AQ233+SUM($AR$28:AR233)),MIN(AS234-AU234,AV233)),"")</f>
        <v>2409.6962572221319</v>
      </c>
      <c r="AU234" s="78">
        <f t="shared" si="216"/>
        <v>854.12374277786842</v>
      </c>
      <c r="AV234" s="79">
        <f t="shared" si="217"/>
        <v>115400.47516041488</v>
      </c>
      <c r="AW234" s="11"/>
      <c r="AX234" s="33">
        <f>IF(AQ234&lt;&gt;"",ROUND(IF($F$11="raty równe",-PMT(W234/12,($F$4-AQ233+SUM($AR$27:AR233)),AV233,2),AV233/($F$4-AQ233+SUM($AR$27:AR233))+AV233*W234/12),2),"")</f>
        <v>3263.82</v>
      </c>
      <c r="AY234" s="33">
        <f t="shared" si="218"/>
        <v>258.27</v>
      </c>
      <c r="AZ234" s="33">
        <f t="shared" si="180"/>
        <v>73388.757414087828</v>
      </c>
      <c r="BA234" s="33">
        <f>IF(AQ234&lt;&gt;"",AZ234-SUM($AY$44:AY234),"")</f>
        <v>24059.19741408799</v>
      </c>
      <c r="BB234" s="11">
        <f t="shared" si="219"/>
        <v>20</v>
      </c>
      <c r="BC234" s="11">
        <f>IF(AQ234&lt;&gt;"",IF($B$16=listy!$K$8,'RZĄDOWY PROGRAM'!$F$3*'RZĄDOWY PROGRAM'!$F$15,AV233*$F$15),"")</f>
        <v>50</v>
      </c>
      <c r="BD234" s="11">
        <f t="shared" si="220"/>
        <v>70</v>
      </c>
      <c r="BF234" s="8">
        <f t="shared" si="221"/>
        <v>207</v>
      </c>
      <c r="BG234" s="8"/>
      <c r="BH234" s="78">
        <f>IF(BF234&lt;&gt;"",ROUND(IF($F$11="raty równe",-PMT(W234/12,$F$4-BF233+SUM(BV$28:$BV234)-SUM($BM$29:BM234),BK233,2),BI234+BJ234),2),"")</f>
        <v>3522.09</v>
      </c>
      <c r="BI234" s="78">
        <f>IF(BF234&lt;&gt;"",IF($F$11="raty malejące",MIN(BK233/($F$4-BF233+SUM($BG$27:BG234)-SUM($BM$27:BM234)),BK233),MIN(BH234-BJ234,BK233)),"")</f>
        <v>3436.1206675212775</v>
      </c>
      <c r="BJ234" s="78">
        <f t="shared" si="222"/>
        <v>85.969332478722592</v>
      </c>
      <c r="BK234" s="79">
        <f t="shared" si="223"/>
        <v>8421.7182950611459</v>
      </c>
      <c r="BL234" s="11"/>
      <c r="BM234" s="33"/>
      <c r="BN234" s="33">
        <f t="shared" si="181"/>
        <v>0</v>
      </c>
      <c r="BO234" s="33">
        <f t="shared" si="182"/>
        <v>-0.16860274613374349</v>
      </c>
      <c r="BP234" s="33">
        <f>IF(O234&lt;&gt;"",BO234-SUM($BN$44:BN234),"")</f>
        <v>-8.8602746135635235E-2</v>
      </c>
      <c r="BQ234" s="11">
        <f t="shared" si="197"/>
        <v>20</v>
      </c>
      <c r="BR234" s="11">
        <f>IF(BF234&lt;&gt;"",IF($B$16=listy!$K$8,'RZĄDOWY PROGRAM'!$F$3*'RZĄDOWY PROGRAM'!$F$15,BK233*$F$15),"")</f>
        <v>50</v>
      </c>
      <c r="BS234" s="11">
        <f t="shared" si="198"/>
        <v>70</v>
      </c>
      <c r="BU234" s="8">
        <f t="shared" si="224"/>
        <v>207</v>
      </c>
      <c r="BV234" s="8"/>
      <c r="BW234" s="78">
        <f>IF(BU234&lt;&gt;"",ROUND(IF($F$11="raty równe",-PMT(W234/12,$F$4-BU233+SUM($BV$28:BV234)-$CB$43,BZ233,2),BX234+BY234),2),"")</f>
        <v>3522.09</v>
      </c>
      <c r="BX234" s="78">
        <f>IF(BU234&lt;&gt;"",IF($F$11="raty malejące",MIN(BZ233/($F$4-BU233+SUM($BV$28:BV233)-SUM($CB$28:CB233)),BZ233),MIN(BW234-BY234,BZ233)),"")</f>
        <v>3428.6479570160209</v>
      </c>
      <c r="BY234" s="78">
        <f t="shared" si="184"/>
        <v>93.442042983979391</v>
      </c>
      <c r="BZ234" s="79">
        <f t="shared" si="178"/>
        <v>9459.9096959466533</v>
      </c>
      <c r="CA234" s="11"/>
      <c r="CB234" s="33"/>
      <c r="CC234" s="33">
        <f t="shared" si="225"/>
        <v>0</v>
      </c>
      <c r="CD234" s="33">
        <f t="shared" si="183"/>
        <v>0.51216136687111402</v>
      </c>
      <c r="CE234" s="33">
        <f>IF(O234&lt;&gt;"",CD234-SUM($CC$44:CC234),"")</f>
        <v>0.24216136687749867</v>
      </c>
      <c r="CF234" s="11">
        <f t="shared" si="199"/>
        <v>20</v>
      </c>
      <c r="CG234" s="11">
        <f>IF(BU234&lt;&gt;"",IF($B$16=listy!$K$8,'RZĄDOWY PROGRAM'!$F$3*'RZĄDOWY PROGRAM'!$F$15,BZ233*$F$15),"")</f>
        <v>50</v>
      </c>
      <c r="CH234" s="11">
        <f t="shared" si="200"/>
        <v>70</v>
      </c>
      <c r="CJ234" s="48">
        <f t="shared" si="201"/>
        <v>0.06</v>
      </c>
      <c r="CK234" s="18">
        <f t="shared" si="202"/>
        <v>4.8675505653430484E-3</v>
      </c>
      <c r="CL234" s="11">
        <f t="shared" si="185"/>
        <v>0</v>
      </c>
      <c r="CM234" s="11">
        <f t="shared" si="203"/>
        <v>61787.089763475124</v>
      </c>
      <c r="CN234" s="11">
        <f>IF(AB234&lt;&gt;"",CM234-SUM($CL$28:CL234),"")</f>
        <v>33610.329763475129</v>
      </c>
    </row>
    <row r="235" spans="1:92" x14ac:dyDescent="0.45">
      <c r="A235" s="68">
        <f t="shared" si="226"/>
        <v>51044</v>
      </c>
      <c r="B235" s="8">
        <f t="shared" si="186"/>
        <v>208</v>
      </c>
      <c r="C235" s="11">
        <f t="shared" si="187"/>
        <v>3522.1</v>
      </c>
      <c r="D235" s="11">
        <f t="shared" si="188"/>
        <v>2775.067321299739</v>
      </c>
      <c r="E235" s="11">
        <f t="shared" si="189"/>
        <v>747.03267870026093</v>
      </c>
      <c r="F235" s="9">
        <f t="shared" si="204"/>
        <v>100263.92284425348</v>
      </c>
      <c r="G235" s="10">
        <f t="shared" si="190"/>
        <v>7.0000000000000007E-2</v>
      </c>
      <c r="H235" s="10">
        <f t="shared" si="191"/>
        <v>1.7000000000000001E-2</v>
      </c>
      <c r="I235" s="48">
        <f t="shared" si="205"/>
        <v>8.7000000000000008E-2</v>
      </c>
      <c r="J235" s="11">
        <f t="shared" si="192"/>
        <v>20</v>
      </c>
      <c r="K235" s="11">
        <f>IF(B235&lt;&gt;"",IF($B$16=listy!$K$8,'RZĄDOWY PROGRAM'!$F$3*'RZĄDOWY PROGRAM'!$F$15,F234*$F$15),"")</f>
        <v>50</v>
      </c>
      <c r="L235" s="11">
        <f t="shared" si="206"/>
        <v>70</v>
      </c>
      <c r="N235" s="54">
        <f t="shared" si="227"/>
        <v>51044</v>
      </c>
      <c r="O235" s="8">
        <f t="shared" si="207"/>
        <v>208</v>
      </c>
      <c r="P235" s="8"/>
      <c r="Q235" s="11">
        <f>IF(O235&lt;&gt;"",ROUND(IF($F$11="raty równe",-PMT(W235/12,$F$4-O234+SUM($P$28:P235),T234,2),R235+S235),2),"")</f>
        <v>3522.1</v>
      </c>
      <c r="R235" s="11">
        <f>IF(O235&lt;&gt;"",IF($F$11="raty malejące",T234/($F$4-O234+SUM($P$28:P235)),IF(Q235-S235&gt;T234,T234,Q235-S235)),"")</f>
        <v>2619.2404022259539</v>
      </c>
      <c r="S235" s="11">
        <f t="shared" si="175"/>
        <v>902.85959777404594</v>
      </c>
      <c r="T235" s="9">
        <f t="shared" si="208"/>
        <v>121913.11791143553</v>
      </c>
      <c r="U235" s="10">
        <f t="shared" si="193"/>
        <v>7.0000000000000007E-2</v>
      </c>
      <c r="V235" s="10">
        <f t="shared" si="194"/>
        <v>1.7000000000000001E-2</v>
      </c>
      <c r="W235" s="48">
        <f t="shared" si="209"/>
        <v>8.7000000000000008E-2</v>
      </c>
      <c r="X235" s="11">
        <f t="shared" si="195"/>
        <v>20</v>
      </c>
      <c r="Y235" s="11">
        <f>IF(O235&lt;&gt;"",IF($B$16=listy!$K$8,'RZĄDOWY PROGRAM'!$F$3*'RZĄDOWY PROGRAM'!$F$15,T234*$F$15),"")</f>
        <v>50</v>
      </c>
      <c r="Z235" s="11">
        <f t="shared" si="210"/>
        <v>70</v>
      </c>
      <c r="AB235" s="8">
        <f t="shared" si="211"/>
        <v>208</v>
      </c>
      <c r="AC235" s="8"/>
      <c r="AD235" s="11">
        <f>IF(AB235&lt;&gt;"",ROUND(IF($F$11="raty równe",-PMT(W235/12,$F$4-AB234+SUM($AC$28:AC235),AG234,2),AE235+AF235),2),"")</f>
        <v>3280.39</v>
      </c>
      <c r="AE235" s="11">
        <f>IF(AB235&lt;&gt;"",IF($F$11="raty malejące",AG234/($F$4-AB234+SUM($AC$28:AC234)),MIN(AD235-AF235,AG234)),"")</f>
        <v>2439.4889370642845</v>
      </c>
      <c r="AF235" s="11">
        <f t="shared" si="176"/>
        <v>840.90106293571534</v>
      </c>
      <c r="AG235" s="9">
        <f t="shared" si="228"/>
        <v>113546.86457131025</v>
      </c>
      <c r="AH235" s="11"/>
      <c r="AI235" s="33">
        <f>IF(AB235&lt;&gt;"",ROUND(IF($F$11="raty równe",-PMT(W235/12,($F$4-AB234+SUM($AC$27:AC234)),AG234,2),AG234/($F$4-AB234+SUM($AC$27:AC234))+AG234*W235/12),2),"")</f>
        <v>3280.39</v>
      </c>
      <c r="AJ235" s="33">
        <f t="shared" si="212"/>
        <v>241.71000000000004</v>
      </c>
      <c r="AK235" s="33">
        <f t="shared" si="196"/>
        <v>73694.963745764719</v>
      </c>
      <c r="AL235" s="33">
        <f>IF(AB235&lt;&gt;"",AK235-SUM($AJ$28:AJ235),"")</f>
        <v>25215.493745764681</v>
      </c>
      <c r="AM235" s="11">
        <f t="shared" si="213"/>
        <v>20</v>
      </c>
      <c r="AN235" s="11">
        <f>IF(AB235&lt;&gt;"",IF($B$16=listy!$K$8,'RZĄDOWY PROGRAM'!$F$3*'RZĄDOWY PROGRAM'!$F$15,AG234*$F$15),"")</f>
        <v>50</v>
      </c>
      <c r="AO235" s="11">
        <f t="shared" si="214"/>
        <v>70</v>
      </c>
      <c r="AQ235" s="8">
        <f t="shared" si="215"/>
        <v>208</v>
      </c>
      <c r="AR235" s="8"/>
      <c r="AS235" s="78">
        <f>IF(AQ235&lt;&gt;"",ROUND(IF($F$11="raty równe",-PMT(W235/12,$F$4-AQ234+SUM($AR$28:AR235),AV234,2),AT235+AU235),2),"")</f>
        <v>3263.83</v>
      </c>
      <c r="AT235" s="78">
        <f>IF(AQ235&lt;&gt;"",IF($F$11="raty malejące",AV234/($F$4-AQ234+SUM($AR$28:AR234)),MIN(AS235-AU235,AV234)),"")</f>
        <v>2427.1765550869918</v>
      </c>
      <c r="AU235" s="78">
        <f t="shared" si="216"/>
        <v>836.653444913008</v>
      </c>
      <c r="AV235" s="79">
        <f t="shared" si="217"/>
        <v>112973.29860532789</v>
      </c>
      <c r="AW235" s="11"/>
      <c r="AX235" s="33">
        <f>IF(AQ235&lt;&gt;"",ROUND(IF($F$11="raty równe",-PMT(W235/12,($F$4-AQ234+SUM($AR$27:AR234)),AV234,2),AV234/($F$4-AQ234+SUM($AR$27:AR234))+AV234*W235/12),2),"")</f>
        <v>3263.83</v>
      </c>
      <c r="AY235" s="33">
        <f t="shared" si="218"/>
        <v>258.27</v>
      </c>
      <c r="AZ235" s="33">
        <f t="shared" si="180"/>
        <v>73936.378439076856</v>
      </c>
      <c r="BA235" s="33">
        <f>IF(AQ235&lt;&gt;"",AZ235-SUM($AY$44:AY235),"")</f>
        <v>24348.548439077022</v>
      </c>
      <c r="BB235" s="11">
        <f t="shared" si="219"/>
        <v>20</v>
      </c>
      <c r="BC235" s="11">
        <f>IF(AQ235&lt;&gt;"",IF($B$16=listy!$K$8,'RZĄDOWY PROGRAM'!$F$3*'RZĄDOWY PROGRAM'!$F$15,AV234*$F$15),"")</f>
        <v>50</v>
      </c>
      <c r="BD235" s="11">
        <f t="shared" si="220"/>
        <v>70</v>
      </c>
      <c r="BF235" s="8">
        <f t="shared" si="221"/>
        <v>208</v>
      </c>
      <c r="BG235" s="8"/>
      <c r="BH235" s="78">
        <f>IF(BF235&lt;&gt;"",ROUND(IF($F$11="raty równe",-PMT(W235/12,$F$4-BF234+SUM(BV$28:$BV235)-SUM($BM$29:BM235),BK234,2),BI235+BJ235),2),"")</f>
        <v>3522.1</v>
      </c>
      <c r="BI235" s="78">
        <f>IF(BF235&lt;&gt;"",IF($F$11="raty malejące",MIN(BK234/($F$4-BF234+SUM($BG$27:BG235)-SUM($BM$27:BM235)),BK234),MIN(BH235-BJ235,BK234)),"")</f>
        <v>3461.0425423608067</v>
      </c>
      <c r="BJ235" s="78">
        <f t="shared" si="222"/>
        <v>61.057457639193309</v>
      </c>
      <c r="BK235" s="79">
        <f t="shared" si="223"/>
        <v>4960.6757527003392</v>
      </c>
      <c r="BL235" s="11"/>
      <c r="BM235" s="33"/>
      <c r="BN235" s="33">
        <f t="shared" si="181"/>
        <v>0</v>
      </c>
      <c r="BO235" s="33">
        <f t="shared" si="182"/>
        <v>-0.16926749887147546</v>
      </c>
      <c r="BP235" s="33">
        <f>IF(O235&lt;&gt;"",BO235-SUM($BN$44:BN235),"")</f>
        <v>-8.9267498873367213E-2</v>
      </c>
      <c r="BQ235" s="11">
        <f t="shared" si="197"/>
        <v>20</v>
      </c>
      <c r="BR235" s="11">
        <f>IF(BF235&lt;&gt;"",IF($B$16=listy!$K$8,'RZĄDOWY PROGRAM'!$F$3*'RZĄDOWY PROGRAM'!$F$15,BK234*$F$15),"")</f>
        <v>50</v>
      </c>
      <c r="BS235" s="11">
        <f t="shared" si="198"/>
        <v>70</v>
      </c>
      <c r="BU235" s="8">
        <f t="shared" si="224"/>
        <v>208</v>
      </c>
      <c r="BV235" s="8"/>
      <c r="BW235" s="78">
        <f>IF(BU235&lt;&gt;"",ROUND(IF($F$11="raty równe",-PMT(W235/12,$F$4-BU234+SUM($BV$28:BV235)-$CB$43,BZ234,2),BX235+BY235),2),"")</f>
        <v>3522.1</v>
      </c>
      <c r="BX235" s="78">
        <f>IF(BU235&lt;&gt;"",IF($F$11="raty malejące",MIN(BZ234/($F$4-BU234+SUM($BV$28:BV234)-SUM($CB$28:CB234)),BZ234),MIN(BW235-BY235,BZ234)),"")</f>
        <v>3453.5156547043866</v>
      </c>
      <c r="BY235" s="78">
        <f t="shared" si="184"/>
        <v>68.584345295613247</v>
      </c>
      <c r="BZ235" s="79">
        <f t="shared" si="178"/>
        <v>6006.3940412422671</v>
      </c>
      <c r="CA235" s="11"/>
      <c r="CB235" s="33"/>
      <c r="CC235" s="33">
        <f t="shared" si="225"/>
        <v>0</v>
      </c>
      <c r="CD235" s="33">
        <f t="shared" si="183"/>
        <v>0.51418067366531095</v>
      </c>
      <c r="CE235" s="33">
        <f>IF(O235&lt;&gt;"",CD235-SUM($CC$44:CC235),"")</f>
        <v>0.2441806736716956</v>
      </c>
      <c r="CF235" s="11">
        <f t="shared" si="199"/>
        <v>20</v>
      </c>
      <c r="CG235" s="11">
        <f>IF(BU235&lt;&gt;"",IF($B$16=listy!$K$8,'RZĄDOWY PROGRAM'!$F$3*'RZĄDOWY PROGRAM'!$F$15,BZ234*$F$15),"")</f>
        <v>50</v>
      </c>
      <c r="CH235" s="11">
        <f t="shared" si="200"/>
        <v>70</v>
      </c>
      <c r="CJ235" s="48">
        <f t="shared" si="201"/>
        <v>0.06</v>
      </c>
      <c r="CK235" s="18">
        <f t="shared" si="202"/>
        <v>4.8675505653430484E-3</v>
      </c>
      <c r="CL235" s="11">
        <f t="shared" si="185"/>
        <v>0</v>
      </c>
      <c r="CM235" s="11">
        <f t="shared" si="203"/>
        <v>62030.698708279502</v>
      </c>
      <c r="CN235" s="11">
        <f>IF(AB235&lt;&gt;"",CM235-SUM($CL$28:CL235),"")</f>
        <v>33853.938708279507</v>
      </c>
    </row>
    <row r="236" spans="1:92" x14ac:dyDescent="0.45">
      <c r="A236" s="68">
        <f t="shared" si="226"/>
        <v>51075</v>
      </c>
      <c r="B236" s="8">
        <f t="shared" si="186"/>
        <v>209</v>
      </c>
      <c r="C236" s="11">
        <f t="shared" si="187"/>
        <v>3522.09</v>
      </c>
      <c r="D236" s="11">
        <f t="shared" si="188"/>
        <v>2795.1765593791624</v>
      </c>
      <c r="E236" s="11">
        <f t="shared" si="189"/>
        <v>726.91344062083783</v>
      </c>
      <c r="F236" s="9">
        <f t="shared" si="204"/>
        <v>97468.746284874316</v>
      </c>
      <c r="G236" s="10">
        <f t="shared" si="190"/>
        <v>7.0000000000000007E-2</v>
      </c>
      <c r="H236" s="10">
        <f t="shared" si="191"/>
        <v>1.7000000000000001E-2</v>
      </c>
      <c r="I236" s="48">
        <f t="shared" si="205"/>
        <v>8.7000000000000008E-2</v>
      </c>
      <c r="J236" s="11">
        <f t="shared" si="192"/>
        <v>20</v>
      </c>
      <c r="K236" s="11">
        <f>IF(B236&lt;&gt;"",IF($B$16=listy!$K$8,'RZĄDOWY PROGRAM'!$F$3*'RZĄDOWY PROGRAM'!$F$15,F235*$F$15),"")</f>
        <v>50</v>
      </c>
      <c r="L236" s="11">
        <f t="shared" si="206"/>
        <v>70</v>
      </c>
      <c r="N236" s="54">
        <f t="shared" si="227"/>
        <v>51075</v>
      </c>
      <c r="O236" s="8">
        <f t="shared" si="207"/>
        <v>209</v>
      </c>
      <c r="P236" s="8"/>
      <c r="Q236" s="11">
        <f>IF(O236&lt;&gt;"",ROUND(IF($F$11="raty równe",-PMT(W236/12,$F$4-O235+SUM($P$28:P236),T235,2),R236+S236),2),"")</f>
        <v>3522.09</v>
      </c>
      <c r="R236" s="11">
        <f>IF(O236&lt;&gt;"",IF($F$11="raty malejące",T235/($F$4-O235+SUM($P$28:P236)),IF(Q236-S236&gt;T235,T235,Q236-S236)),"")</f>
        <v>2638.2198951420924</v>
      </c>
      <c r="S236" s="11">
        <f t="shared" ref="S236:S266" si="229">IF(O236&lt;&gt;"",T235*W236/12,"")</f>
        <v>883.87010485790768</v>
      </c>
      <c r="T236" s="9">
        <f t="shared" si="208"/>
        <v>119274.89801629345</v>
      </c>
      <c r="U236" s="10">
        <f t="shared" si="193"/>
        <v>7.0000000000000007E-2</v>
      </c>
      <c r="V236" s="10">
        <f t="shared" si="194"/>
        <v>1.7000000000000001E-2</v>
      </c>
      <c r="W236" s="48">
        <f t="shared" si="209"/>
        <v>8.7000000000000008E-2</v>
      </c>
      <c r="X236" s="11">
        <f t="shared" si="195"/>
        <v>20</v>
      </c>
      <c r="Y236" s="11">
        <f>IF(O236&lt;&gt;"",IF($B$16=listy!$K$8,'RZĄDOWY PROGRAM'!$F$3*'RZĄDOWY PROGRAM'!$F$15,T235*$F$15),"")</f>
        <v>50</v>
      </c>
      <c r="Z236" s="11">
        <f t="shared" si="210"/>
        <v>70</v>
      </c>
      <c r="AB236" s="8">
        <f t="shared" si="211"/>
        <v>209</v>
      </c>
      <c r="AC236" s="8"/>
      <c r="AD236" s="11">
        <f>IF(AB236&lt;&gt;"",ROUND(IF($F$11="raty równe",-PMT(W236/12,$F$4-AB235+SUM($AC$28:AC236),AG235,2),AE236+AF236),2),"")</f>
        <v>3280.4</v>
      </c>
      <c r="AE236" s="11">
        <f>IF(AB236&lt;&gt;"",IF($F$11="raty malejące",AG235/($F$4-AB235+SUM($AC$28:AC235)),MIN(AD236-AF236,AG235)),"")</f>
        <v>2457.1852318580009</v>
      </c>
      <c r="AF236" s="11">
        <f t="shared" ref="AF236:AF275" si="230">IF(AB236&lt;&gt;"",AG235*W236/12,"")</f>
        <v>823.21476814199934</v>
      </c>
      <c r="AG236" s="9">
        <f t="shared" si="228"/>
        <v>111089.67933945224</v>
      </c>
      <c r="AH236" s="11"/>
      <c r="AI236" s="33">
        <f>IF(AB236&lt;&gt;"",ROUND(IF($F$11="raty równe",-PMT(W236/12,($F$4-AB235+SUM($AC$27:AC235)),AG235,2),AG235/($F$4-AB235+SUM($AC$27:AC235))+AG235*W236/12),2),"")</f>
        <v>3280.4</v>
      </c>
      <c r="AJ236" s="33">
        <f t="shared" si="212"/>
        <v>241.69000000000005</v>
      </c>
      <c r="AK236" s="33">
        <f t="shared" si="196"/>
        <v>74227.212055344062</v>
      </c>
      <c r="AL236" s="33">
        <f>IF(AB236&lt;&gt;"",AK236-SUM($AJ$28:AJ236),"")</f>
        <v>25506.052055344022</v>
      </c>
      <c r="AM236" s="11">
        <f t="shared" si="213"/>
        <v>20</v>
      </c>
      <c r="AN236" s="11">
        <f>IF(AB236&lt;&gt;"",IF($B$16=listy!$K$8,'RZĄDOWY PROGRAM'!$F$3*'RZĄDOWY PROGRAM'!$F$15,AG235*$F$15),"")</f>
        <v>50</v>
      </c>
      <c r="AO236" s="11">
        <f t="shared" si="214"/>
        <v>70</v>
      </c>
      <c r="AQ236" s="8">
        <f t="shared" si="215"/>
        <v>209</v>
      </c>
      <c r="AR236" s="8"/>
      <c r="AS236" s="78">
        <f>IF(AQ236&lt;&gt;"",ROUND(IF($F$11="raty równe",-PMT(W236/12,$F$4-AQ235+SUM($AR$28:AR236),AV235,2),AT236+AU236),2),"")</f>
        <v>3263.82</v>
      </c>
      <c r="AT236" s="78">
        <f>IF(AQ236&lt;&gt;"",IF($F$11="raty malejące",AV235/($F$4-AQ235+SUM($AR$28:AR235)),MIN(AS236-AU236,AV235)),"")</f>
        <v>2444.7635851113728</v>
      </c>
      <c r="AU236" s="78">
        <f t="shared" si="216"/>
        <v>819.05641488862727</v>
      </c>
      <c r="AV236" s="79">
        <f t="shared" si="217"/>
        <v>110528.53502021651</v>
      </c>
      <c r="AW236" s="11"/>
      <c r="AX236" s="33">
        <f>IF(AQ236&lt;&gt;"",ROUND(IF($F$11="raty równe",-PMT(W236/12,($F$4-AQ235+SUM($AR$27:AR235)),AV235,2),AV235/($F$4-AQ235+SUM($AR$27:AR235))+AV235*W236/12),2),"")</f>
        <v>3263.82</v>
      </c>
      <c r="AY236" s="33">
        <f t="shared" si="218"/>
        <v>258.27</v>
      </c>
      <c r="AZ236" s="33">
        <f t="shared" si="180"/>
        <v>74486.158578220013</v>
      </c>
      <c r="BA236" s="33">
        <f>IF(AQ236&lt;&gt;"",AZ236-SUM($AY$44:AY236),"")</f>
        <v>24640.058578220182</v>
      </c>
      <c r="BB236" s="11">
        <f t="shared" si="219"/>
        <v>20</v>
      </c>
      <c r="BC236" s="11">
        <f>IF(AQ236&lt;&gt;"",IF($B$16=listy!$K$8,'RZĄDOWY PROGRAM'!$F$3*'RZĄDOWY PROGRAM'!$F$15,AV235*$F$15),"")</f>
        <v>50</v>
      </c>
      <c r="BD236" s="11">
        <f t="shared" si="220"/>
        <v>70</v>
      </c>
      <c r="BF236" s="8">
        <f t="shared" si="221"/>
        <v>209</v>
      </c>
      <c r="BG236" s="8"/>
      <c r="BH236" s="78">
        <f>IF(BF236&lt;&gt;"",ROUND(IF($F$11="raty równe",-PMT(W236/12,$F$4-BF235+SUM(BV$28:$BV236)-SUM($BM$29:BM236),BK235,2),BI236+BJ236),2),"")</f>
        <v>3522.1</v>
      </c>
      <c r="BI236" s="78">
        <f>IF(BF236&lt;&gt;"",IF($F$11="raty malejące",MIN(BK235/($F$4-BF235+SUM($BG$27:BG236)-SUM($BM$27:BM236)),BK235),MIN(BH236-BJ236,BK235)),"")</f>
        <v>3486.1351007929225</v>
      </c>
      <c r="BJ236" s="78">
        <f t="shared" si="222"/>
        <v>35.964899207077458</v>
      </c>
      <c r="BK236" s="79">
        <f t="shared" si="223"/>
        <v>1474.5406519074168</v>
      </c>
      <c r="BL236" s="11"/>
      <c r="BM236" s="33"/>
      <c r="BN236" s="33">
        <f t="shared" si="181"/>
        <v>-9.9999999997635314E-3</v>
      </c>
      <c r="BO236" s="33">
        <f t="shared" si="182"/>
        <v>-0.1799348725401981</v>
      </c>
      <c r="BP236" s="33">
        <f>IF(O236&lt;&gt;"",BO236-SUM($BN$44:BN236),"")</f>
        <v>-8.9934872542326322E-2</v>
      </c>
      <c r="BQ236" s="11">
        <f t="shared" si="197"/>
        <v>20</v>
      </c>
      <c r="BR236" s="11">
        <f>IF(BF236&lt;&gt;"",IF($B$16=listy!$K$8,'RZĄDOWY PROGRAM'!$F$3*'RZĄDOWY PROGRAM'!$F$15,BK235*$F$15),"")</f>
        <v>50</v>
      </c>
      <c r="BS236" s="11">
        <f t="shared" si="198"/>
        <v>70</v>
      </c>
      <c r="BU236" s="8">
        <f t="shared" si="224"/>
        <v>209</v>
      </c>
      <c r="BV236" s="8"/>
      <c r="BW236" s="78">
        <f>IF(BU236&lt;&gt;"",ROUND(IF($F$11="raty równe",-PMT(W236/12,$F$4-BU235+SUM($BV$28:BV236)-$CB$43,BZ235,2),BX236+BY236),2),"")</f>
        <v>3522.1</v>
      </c>
      <c r="BX236" s="78">
        <f>IF(BU236&lt;&gt;"",IF($F$11="raty malejące",MIN(BZ235/($F$4-BU235+SUM($BV$28:BV235)-SUM($CB$28:CB235)),BZ235),MIN(BW236-BY236,BZ235)),"")</f>
        <v>3478.5536432009935</v>
      </c>
      <c r="BY236" s="78">
        <f t="shared" si="184"/>
        <v>43.546356799006439</v>
      </c>
      <c r="BZ236" s="79">
        <f t="shared" ref="BZ236:BZ299" si="231">IF(BU236&lt;&gt;"",IF(N236&lt;&gt;"",BZ235-BX236-CA236,BZ235-BX236),"")</f>
        <v>2527.8403980412736</v>
      </c>
      <c r="CA236" s="11"/>
      <c r="CB236" s="33"/>
      <c r="CC236" s="33">
        <f t="shared" si="225"/>
        <v>-9.9999999997635314E-3</v>
      </c>
      <c r="CD236" s="33">
        <f t="shared" si="183"/>
        <v>0.50620794201286579</v>
      </c>
      <c r="CE236" s="33">
        <f>IF(O236&lt;&gt;"",CD236-SUM($CC$44:CC236),"")</f>
        <v>0.24620794201901397</v>
      </c>
      <c r="CF236" s="11">
        <f t="shared" si="199"/>
        <v>20</v>
      </c>
      <c r="CG236" s="11">
        <f>IF(BU236&lt;&gt;"",IF($B$16=listy!$K$8,'RZĄDOWY PROGRAM'!$F$3*'RZĄDOWY PROGRAM'!$F$15,BZ235*$F$15),"")</f>
        <v>50</v>
      </c>
      <c r="CH236" s="11">
        <f t="shared" si="200"/>
        <v>70</v>
      </c>
      <c r="CJ236" s="48">
        <f t="shared" si="201"/>
        <v>0.06</v>
      </c>
      <c r="CK236" s="18">
        <f t="shared" si="202"/>
        <v>4.8675505653430484E-3</v>
      </c>
      <c r="CL236" s="11">
        <f t="shared" ref="CL236:CL267" si="232">IF(N236&lt;&gt;"",IF(ISNUMBER(C236),C236,0)-Q236,"")</f>
        <v>0</v>
      </c>
      <c r="CM236" s="11">
        <f t="shared" si="203"/>
        <v>62275.268133958059</v>
      </c>
      <c r="CN236" s="11">
        <f>IF(AB236&lt;&gt;"",CM236-SUM($CL$28:CL236),"")</f>
        <v>34098.508133958065</v>
      </c>
    </row>
    <row r="237" spans="1:92" x14ac:dyDescent="0.45">
      <c r="A237" s="68">
        <f t="shared" si="226"/>
        <v>51105</v>
      </c>
      <c r="B237" s="8">
        <f t="shared" si="186"/>
        <v>210</v>
      </c>
      <c r="C237" s="11">
        <f t="shared" si="187"/>
        <v>3522.1</v>
      </c>
      <c r="D237" s="11">
        <f t="shared" si="188"/>
        <v>2815.4515894346609</v>
      </c>
      <c r="E237" s="11">
        <f t="shared" si="189"/>
        <v>706.64841056533885</v>
      </c>
      <c r="F237" s="9">
        <f t="shared" si="204"/>
        <v>94653.294695439661</v>
      </c>
      <c r="G237" s="10">
        <f t="shared" si="190"/>
        <v>7.0000000000000007E-2</v>
      </c>
      <c r="H237" s="10">
        <f t="shared" si="191"/>
        <v>1.7000000000000001E-2</v>
      </c>
      <c r="I237" s="48">
        <f t="shared" si="205"/>
        <v>8.7000000000000008E-2</v>
      </c>
      <c r="J237" s="11">
        <f t="shared" si="192"/>
        <v>20</v>
      </c>
      <c r="K237" s="11">
        <f>IF(B237&lt;&gt;"",IF($B$16=listy!$K$8,'RZĄDOWY PROGRAM'!$F$3*'RZĄDOWY PROGRAM'!$F$15,F236*$F$15),"")</f>
        <v>50</v>
      </c>
      <c r="L237" s="11">
        <f t="shared" si="206"/>
        <v>70</v>
      </c>
      <c r="N237" s="54">
        <f t="shared" si="227"/>
        <v>51105</v>
      </c>
      <c r="O237" s="8">
        <f t="shared" si="207"/>
        <v>210</v>
      </c>
      <c r="P237" s="8"/>
      <c r="Q237" s="11">
        <f>IF(O237&lt;&gt;"",ROUND(IF($F$11="raty równe",-PMT(W237/12,$F$4-O236+SUM($P$28:P237),T236,2),R237+S237),2),"")</f>
        <v>3522.1</v>
      </c>
      <c r="R237" s="11">
        <f>IF(O237&lt;&gt;"",IF($F$11="raty malejące",T236/($F$4-O236+SUM($P$28:P237)),IF(Q237-S237&gt;T236,T236,Q237-S237)),"")</f>
        <v>2657.3569893818722</v>
      </c>
      <c r="S237" s="11">
        <f t="shared" si="229"/>
        <v>864.74301061812764</v>
      </c>
      <c r="T237" s="9">
        <f t="shared" si="208"/>
        <v>116617.54102691157</v>
      </c>
      <c r="U237" s="10">
        <f t="shared" si="193"/>
        <v>7.0000000000000007E-2</v>
      </c>
      <c r="V237" s="10">
        <f t="shared" si="194"/>
        <v>1.7000000000000001E-2</v>
      </c>
      <c r="W237" s="48">
        <f t="shared" si="209"/>
        <v>8.7000000000000008E-2</v>
      </c>
      <c r="X237" s="11">
        <f t="shared" si="195"/>
        <v>20</v>
      </c>
      <c r="Y237" s="11">
        <f>IF(O237&lt;&gt;"",IF($B$16=listy!$K$8,'RZĄDOWY PROGRAM'!$F$3*'RZĄDOWY PROGRAM'!$F$15,T236*$F$15),"")</f>
        <v>50</v>
      </c>
      <c r="Z237" s="11">
        <f t="shared" si="210"/>
        <v>70</v>
      </c>
      <c r="AB237" s="8">
        <f t="shared" si="211"/>
        <v>210</v>
      </c>
      <c r="AC237" s="8"/>
      <c r="AD237" s="11">
        <f>IF(AB237&lt;&gt;"",ROUND(IF($F$11="raty równe",-PMT(W237/12,$F$4-AB236+SUM($AC$28:AC237),AG236,2),AE237+AF237),2),"")</f>
        <v>3280.39</v>
      </c>
      <c r="AE237" s="11">
        <f>IF(AB237&lt;&gt;"",IF($F$11="raty malejące",AG236/($F$4-AB236+SUM($AC$28:AC236)),MIN(AD237-AF237,AG236)),"")</f>
        <v>2474.989824788971</v>
      </c>
      <c r="AF237" s="11">
        <f t="shared" si="230"/>
        <v>805.4001752110288</v>
      </c>
      <c r="AG237" s="9">
        <f t="shared" si="228"/>
        <v>108614.68951466327</v>
      </c>
      <c r="AH237" s="11"/>
      <c r="AI237" s="33">
        <f>IF(AB237&lt;&gt;"",ROUND(IF($F$11="raty równe",-PMT(W237/12,($F$4-AB236+SUM($AC$27:AC236)),AG236,2),AG236/($F$4-AB236+SUM($AC$27:AC236))+AG236*W237/12),2),"")</f>
        <v>3280.39</v>
      </c>
      <c r="AJ237" s="33">
        <f t="shared" si="212"/>
        <v>241.71000000000004</v>
      </c>
      <c r="AK237" s="33">
        <f t="shared" si="196"/>
        <v>74761.578868827171</v>
      </c>
      <c r="AL237" s="33">
        <f>IF(AB237&lt;&gt;"",AK237-SUM($AJ$28:AJ237),"")</f>
        <v>25798.708868827132</v>
      </c>
      <c r="AM237" s="11">
        <f t="shared" si="213"/>
        <v>20</v>
      </c>
      <c r="AN237" s="11">
        <f>IF(AB237&lt;&gt;"",IF($B$16=listy!$K$8,'RZĄDOWY PROGRAM'!$F$3*'RZĄDOWY PROGRAM'!$F$15,AG236*$F$15),"")</f>
        <v>50</v>
      </c>
      <c r="AO237" s="11">
        <f t="shared" si="214"/>
        <v>70</v>
      </c>
      <c r="AQ237" s="8">
        <f t="shared" si="215"/>
        <v>210</v>
      </c>
      <c r="AR237" s="8"/>
      <c r="AS237" s="78">
        <f>IF(AQ237&lt;&gt;"",ROUND(IF($F$11="raty równe",-PMT(W237/12,$F$4-AQ236+SUM($AR$28:AR237),AV236,2),AT237+AU237),2),"")</f>
        <v>3263.83</v>
      </c>
      <c r="AT237" s="78">
        <f>IF(AQ237&lt;&gt;"",IF($F$11="raty malejące",AV236/($F$4-AQ236+SUM($AR$28:AR236)),MIN(AS237-AU237,AV236)),"")</f>
        <v>2462.4981211034301</v>
      </c>
      <c r="AU237" s="78">
        <f t="shared" si="216"/>
        <v>801.33187889656983</v>
      </c>
      <c r="AV237" s="79">
        <f t="shared" si="217"/>
        <v>108066.03689911308</v>
      </c>
      <c r="AW237" s="11"/>
      <c r="AX237" s="33">
        <f>IF(AQ237&lt;&gt;"",ROUND(IF($F$11="raty równe",-PMT(W237/12,($F$4-AQ236+SUM($AR$27:AR236)),AV236,2),AV236/($F$4-AQ236+SUM($AR$27:AR236))+AV236*W237/12),2),"")</f>
        <v>3263.83</v>
      </c>
      <c r="AY237" s="33">
        <f t="shared" si="218"/>
        <v>258.27</v>
      </c>
      <c r="AZ237" s="33">
        <f t="shared" ref="AZ237:AZ300" si="233">IF(AQ237&lt;&gt;"",IF($F$21="co miesiąc",AZ236*(1+(1-$F$20)*CK237)+AY237,(AZ236*(1+CK237)+AY237)),"")</f>
        <v>75038.106344291111</v>
      </c>
      <c r="BA237" s="33">
        <f>IF(AQ237&lt;&gt;"",AZ237-SUM($AY$44:AY237),"")</f>
        <v>24933.736344291283</v>
      </c>
      <c r="BB237" s="11">
        <f t="shared" si="219"/>
        <v>20</v>
      </c>
      <c r="BC237" s="11">
        <f>IF(AQ237&lt;&gt;"",IF($B$16=listy!$K$8,'RZĄDOWY PROGRAM'!$F$3*'RZĄDOWY PROGRAM'!$F$15,AV236*$F$15),"")</f>
        <v>50</v>
      </c>
      <c r="BD237" s="11">
        <f t="shared" si="220"/>
        <v>70</v>
      </c>
      <c r="BF237" s="8">
        <f t="shared" si="221"/>
        <v>210</v>
      </c>
      <c r="BG237" s="8"/>
      <c r="BH237" s="78">
        <f>IF(BF237&lt;&gt;"",ROUND(IF($F$11="raty równe",-PMT(W237/12,$F$4-BF236+SUM(BV$28:$BV237)-SUM($BM$29:BM237),BK236,2),BI237+BJ237),2),"")</f>
        <v>3522.08</v>
      </c>
      <c r="BI237" s="78">
        <f>IF(BF237&lt;&gt;"",IF($F$11="raty malejące",MIN(BK236/($F$4-BF236+SUM($BG$27:BG237)-SUM($BM$27:BM237)),BK236),MIN(BH237-BJ237,BK236)),"")</f>
        <v>1474.5406519074168</v>
      </c>
      <c r="BJ237" s="78">
        <f t="shared" si="222"/>
        <v>10.690419726328772</v>
      </c>
      <c r="BK237" s="79">
        <f t="shared" si="223"/>
        <v>0</v>
      </c>
      <c r="BL237" s="11"/>
      <c r="BM237" s="33"/>
      <c r="BN237" s="33">
        <f t="shared" ref="BN237:BN300" si="234">IF(O237&lt;&gt;"",IF(ISNUMBER(C237),C237,0)-IF(ISNUMBER(BH237),BH237,0),"")</f>
        <v>1.999999999998181E-2</v>
      </c>
      <c r="BO237" s="33">
        <f t="shared" ref="BO237:BO300" si="235">IF(O237&lt;&gt;"",IF($F$21="co miesiąc",BO236*(1+(1-$F$20)*CK237)+BN237,(BO236*(1+CK237)+BN237)),"")</f>
        <v>-0.16064430463356827</v>
      </c>
      <c r="BP237" s="33">
        <f>IF(O237&lt;&gt;"",BO237-SUM($BN$44:BN237),"")</f>
        <v>-9.0644304635678297E-2</v>
      </c>
      <c r="BQ237" s="11">
        <f t="shared" si="197"/>
        <v>20</v>
      </c>
      <c r="BR237" s="11">
        <f>IF(BF237&lt;&gt;"",IF($B$16=listy!$K$8,'RZĄDOWY PROGRAM'!$F$3*'RZĄDOWY PROGRAM'!$F$15,BK236*$F$15),"")</f>
        <v>50</v>
      </c>
      <c r="BS237" s="11">
        <f t="shared" si="198"/>
        <v>70</v>
      </c>
      <c r="BU237" s="8">
        <f t="shared" si="224"/>
        <v>210</v>
      </c>
      <c r="BV237" s="8"/>
      <c r="BW237" s="78">
        <f>IF(BU237&lt;&gt;"",ROUND(IF($F$11="raty równe",-PMT(W237/12,$F$4-BU236+SUM($BV$28:BV237)-$CB$43,BZ236,2),BX237+BY237),2),"")</f>
        <v>3522.09</v>
      </c>
      <c r="BX237" s="78">
        <f>IF(BU237&lt;&gt;"",IF($F$11="raty malejące",MIN(BZ236/($F$4-BU236+SUM($BV$28:BV236)-SUM($CB$28:CB236)),BZ236),MIN(BW237-BY237,BZ236)),"")</f>
        <v>2527.8403980412736</v>
      </c>
      <c r="BY237" s="78">
        <f t="shared" si="184"/>
        <v>18.326842885799234</v>
      </c>
      <c r="BZ237" s="79">
        <f t="shared" si="231"/>
        <v>0</v>
      </c>
      <c r="CA237" s="11"/>
      <c r="CB237" s="33"/>
      <c r="CC237" s="33">
        <f t="shared" si="225"/>
        <v>9.9999999997635314E-3</v>
      </c>
      <c r="CD237" s="33">
        <f t="shared" ref="CD237:CD300" si="236">IF(O237&lt;&gt;"",IF($F$21="co miesiąc",CD236*(1+(1-$F$20)*CK237)+CC237,(CD236*(1+CK237)+CC237)),"")</f>
        <v>0.51820377614363333</v>
      </c>
      <c r="CE237" s="33">
        <f>IF(O237&lt;&gt;"",CD237-SUM($CC$44:CC237),"")</f>
        <v>0.24820377615001799</v>
      </c>
      <c r="CF237" s="11">
        <f t="shared" si="199"/>
        <v>20</v>
      </c>
      <c r="CG237" s="11">
        <f>IF(BU237&lt;&gt;"",IF($B$16=listy!$K$8,'RZĄDOWY PROGRAM'!$F$3*'RZĄDOWY PROGRAM'!$F$15,BZ236*$F$15),"")</f>
        <v>50</v>
      </c>
      <c r="CH237" s="11">
        <f t="shared" si="200"/>
        <v>70</v>
      </c>
      <c r="CJ237" s="48">
        <f t="shared" si="201"/>
        <v>0.06</v>
      </c>
      <c r="CK237" s="18">
        <f t="shared" si="202"/>
        <v>4.8675505653430484E-3</v>
      </c>
      <c r="CL237" s="11">
        <f t="shared" si="232"/>
        <v>0</v>
      </c>
      <c r="CM237" s="11">
        <f t="shared" si="203"/>
        <v>62520.801827414056</v>
      </c>
      <c r="CN237" s="11">
        <f>IF(AB237&lt;&gt;"",CM237-SUM($CL$28:CL237),"")</f>
        <v>34344.041827414061</v>
      </c>
    </row>
    <row r="238" spans="1:92" x14ac:dyDescent="0.45">
      <c r="A238" s="68">
        <f t="shared" si="226"/>
        <v>51136</v>
      </c>
      <c r="B238" s="8">
        <f t="shared" si="186"/>
        <v>211</v>
      </c>
      <c r="C238" s="11">
        <f t="shared" si="187"/>
        <v>3522.09</v>
      </c>
      <c r="D238" s="11">
        <f t="shared" si="188"/>
        <v>2835.8536134580627</v>
      </c>
      <c r="E238" s="11">
        <f t="shared" si="189"/>
        <v>686.23638654193758</v>
      </c>
      <c r="F238" s="9">
        <f t="shared" si="204"/>
        <v>91817.441081981597</v>
      </c>
      <c r="G238" s="10">
        <f t="shared" si="190"/>
        <v>7.0000000000000007E-2</v>
      </c>
      <c r="H238" s="10">
        <f t="shared" si="191"/>
        <v>1.7000000000000001E-2</v>
      </c>
      <c r="I238" s="48">
        <f t="shared" si="205"/>
        <v>8.7000000000000008E-2</v>
      </c>
      <c r="J238" s="11">
        <f t="shared" si="192"/>
        <v>20</v>
      </c>
      <c r="K238" s="11">
        <f>IF(B238&lt;&gt;"",IF($B$16=listy!$K$8,'RZĄDOWY PROGRAM'!$F$3*'RZĄDOWY PROGRAM'!$F$15,F237*$F$15),"")</f>
        <v>50</v>
      </c>
      <c r="L238" s="11">
        <f t="shared" si="206"/>
        <v>70</v>
      </c>
      <c r="N238" s="54">
        <f t="shared" si="227"/>
        <v>51136</v>
      </c>
      <c r="O238" s="8">
        <f t="shared" si="207"/>
        <v>211</v>
      </c>
      <c r="P238" s="8"/>
      <c r="Q238" s="11">
        <f>IF(O238&lt;&gt;"",ROUND(IF($F$11="raty równe",-PMT(W238/12,$F$4-O237+SUM($P$28:P238),T237,2),R238+S238),2),"")</f>
        <v>3522.09</v>
      </c>
      <c r="R238" s="11">
        <f>IF(O238&lt;&gt;"",IF($F$11="raty malejące",T237/($F$4-O237+SUM($P$28:P238)),IF(Q238-S238&gt;T237,T237,Q238-S238)),"")</f>
        <v>2676.6128275548913</v>
      </c>
      <c r="S238" s="11">
        <f t="shared" si="229"/>
        <v>845.47717244510898</v>
      </c>
      <c r="T238" s="9">
        <f t="shared" si="208"/>
        <v>113940.92819935667</v>
      </c>
      <c r="U238" s="10">
        <f t="shared" si="193"/>
        <v>7.0000000000000007E-2</v>
      </c>
      <c r="V238" s="10">
        <f t="shared" si="194"/>
        <v>1.7000000000000001E-2</v>
      </c>
      <c r="W238" s="48">
        <f t="shared" si="209"/>
        <v>8.7000000000000008E-2</v>
      </c>
      <c r="X238" s="11">
        <f t="shared" si="195"/>
        <v>20</v>
      </c>
      <c r="Y238" s="11">
        <f>IF(O238&lt;&gt;"",IF($B$16=listy!$K$8,'RZĄDOWY PROGRAM'!$F$3*'RZĄDOWY PROGRAM'!$F$15,T237*$F$15),"")</f>
        <v>50</v>
      </c>
      <c r="Z238" s="11">
        <f t="shared" si="210"/>
        <v>70</v>
      </c>
      <c r="AB238" s="8">
        <f t="shared" si="211"/>
        <v>211</v>
      </c>
      <c r="AC238" s="8"/>
      <c r="AD238" s="11">
        <f>IF(AB238&lt;&gt;"",ROUND(IF($F$11="raty równe",-PMT(W238/12,$F$4-AB237+SUM($AC$28:AC238),AG237,2),AE238+AF238),2),"")</f>
        <v>3280.4</v>
      </c>
      <c r="AE238" s="11">
        <f>IF(AB238&lt;&gt;"",IF($F$11="raty malejące",AG237/($F$4-AB237+SUM($AC$28:AC237)),MIN(AD238-AF238,AG237)),"")</f>
        <v>2492.9435010186912</v>
      </c>
      <c r="AF238" s="11">
        <f t="shared" si="230"/>
        <v>787.45649898130887</v>
      </c>
      <c r="AG238" s="9">
        <f t="shared" si="228"/>
        <v>106121.74601364459</v>
      </c>
      <c r="AH238" s="11"/>
      <c r="AI238" s="33">
        <f>IF(AB238&lt;&gt;"",ROUND(IF($F$11="raty równe",-PMT(W238/12,($F$4-AB237+SUM($AC$27:AC237)),AG237,2),AG237/($F$4-AB237+SUM($AC$27:AC237))+AG237*W238/12),2),"")</f>
        <v>3280.4</v>
      </c>
      <c r="AJ238" s="33">
        <f t="shared" si="212"/>
        <v>241.69000000000005</v>
      </c>
      <c r="AK238" s="33">
        <f t="shared" si="196"/>
        <v>75298.032538873187</v>
      </c>
      <c r="AL238" s="33">
        <f>IF(AB238&lt;&gt;"",AK238-SUM($AJ$28:AJ238),"")</f>
        <v>26093.472538873146</v>
      </c>
      <c r="AM238" s="11">
        <f t="shared" si="213"/>
        <v>20</v>
      </c>
      <c r="AN238" s="11">
        <f>IF(AB238&lt;&gt;"",IF($B$16=listy!$K$8,'RZĄDOWY PROGRAM'!$F$3*'RZĄDOWY PROGRAM'!$F$15,AG237*$F$15),"")</f>
        <v>50</v>
      </c>
      <c r="AO238" s="11">
        <f t="shared" si="214"/>
        <v>70</v>
      </c>
      <c r="AQ238" s="8">
        <f t="shared" si="215"/>
        <v>211</v>
      </c>
      <c r="AR238" s="8"/>
      <c r="AS238" s="78">
        <f>IF(AQ238&lt;&gt;"",ROUND(IF($F$11="raty równe",-PMT(W238/12,$F$4-AQ237+SUM($AR$28:AR238),AV237,2),AT238+AU238),2),"")</f>
        <v>3263.82</v>
      </c>
      <c r="AT238" s="78">
        <f>IF(AQ238&lt;&gt;"",IF($F$11="raty malejące",AV237/($F$4-AQ237+SUM($AR$28:AR237)),MIN(AS238-AU238,AV237)),"")</f>
        <v>2480.3412324814303</v>
      </c>
      <c r="AU238" s="78">
        <f t="shared" si="216"/>
        <v>783.47876751856984</v>
      </c>
      <c r="AV238" s="79">
        <f t="shared" si="217"/>
        <v>105585.69566663165</v>
      </c>
      <c r="AW238" s="11"/>
      <c r="AX238" s="33">
        <f>IF(AQ238&lt;&gt;"",ROUND(IF($F$11="raty równe",-PMT(W238/12,($F$4-AQ237+SUM($AR$27:AR237)),AV237,2),AV237/($F$4-AQ237+SUM($AR$27:AR237))+AV237*W238/12),2),"")</f>
        <v>3263.82</v>
      </c>
      <c r="AY238" s="33">
        <f t="shared" si="218"/>
        <v>258.27</v>
      </c>
      <c r="AZ238" s="33">
        <f t="shared" si="233"/>
        <v>75592.230283627447</v>
      </c>
      <c r="BA238" s="33">
        <f>IF(AQ238&lt;&gt;"",AZ238-SUM($AY$44:AY238),"")</f>
        <v>25229.590283627622</v>
      </c>
      <c r="BB238" s="11">
        <f t="shared" si="219"/>
        <v>20</v>
      </c>
      <c r="BC238" s="11">
        <f>IF(AQ238&lt;&gt;"",IF($B$16=listy!$K$8,'RZĄDOWY PROGRAM'!$F$3*'RZĄDOWY PROGRAM'!$F$15,AV237*$F$15),"")</f>
        <v>50</v>
      </c>
      <c r="BD238" s="11">
        <f t="shared" si="220"/>
        <v>70</v>
      </c>
      <c r="BF238" s="8" t="str">
        <f t="shared" si="221"/>
        <v/>
      </c>
      <c r="BG238" s="8"/>
      <c r="BH238" s="78" t="str">
        <f>IF(BF238&lt;&gt;"",ROUND(IF($F$11="raty równe",-PMT(W238/12,$F$4-BF237+SUM(BV$28:$BV238)-SUM($BM$29:BM238),BK237,2),BI238+BJ238),2),"")</f>
        <v/>
      </c>
      <c r="BI238" s="78" t="str">
        <f>IF(BF238&lt;&gt;"",IF($F$11="raty malejące",MIN(BK237/($F$4-BF237+SUM($BG$27:BG238)-SUM($BM$27:BM238)),BK237),MIN(BH238-BJ238,BK237)),"")</f>
        <v/>
      </c>
      <c r="BJ238" s="78" t="str">
        <f t="shared" si="222"/>
        <v/>
      </c>
      <c r="BK238" s="79" t="str">
        <f>IF(BF238&lt;&gt;"",IF(B238&lt;&gt;"",BK237-BI238-BL238,BK237-BI238),"")</f>
        <v/>
      </c>
      <c r="BL238" s="11"/>
      <c r="BM238" s="33"/>
      <c r="BN238" s="33">
        <f t="shared" si="234"/>
        <v>3522.09</v>
      </c>
      <c r="BO238" s="33">
        <f t="shared" si="235"/>
        <v>3521.9287223205033</v>
      </c>
      <c r="BP238" s="33">
        <f>IF(O238&lt;&gt;"",BO238-SUM($BN$44:BN238),"")</f>
        <v>-9.1277679498944053E-2</v>
      </c>
      <c r="BQ238" s="11" t="str">
        <f t="shared" si="197"/>
        <v/>
      </c>
      <c r="BR238" s="11" t="str">
        <f>IF(BF238&lt;&gt;"",IF($B$16=listy!$K$8,'RZĄDOWY PROGRAM'!$F$3*'RZĄDOWY PROGRAM'!$F$15,BK237*$F$15),"")</f>
        <v/>
      </c>
      <c r="BS238" s="11" t="str">
        <f t="shared" si="198"/>
        <v/>
      </c>
      <c r="BU238" s="8" t="str">
        <f t="shared" si="224"/>
        <v/>
      </c>
      <c r="BV238" s="8"/>
      <c r="BW238" s="78" t="str">
        <f>IF(BU238&lt;&gt;"",ROUND(IF($F$11="raty równe",-PMT(W238/12,$F$4-BU237+SUM($BV$28:BV238)-$CB$43,BZ237,2),BX238+BY238),2),"")</f>
        <v/>
      </c>
      <c r="BX238" s="78" t="str">
        <f>IF(BU238&lt;&gt;"",IF($F$11="raty malejące",MIN(BZ237/($F$4-BU237+SUM($BV$28:BV237)-SUM($CB$28:CB237)),BZ237),MIN(BW238-BY238,BZ237)),"")</f>
        <v/>
      </c>
      <c r="BY238" s="78" t="str">
        <f t="shared" si="184"/>
        <v/>
      </c>
      <c r="BZ238" s="79" t="str">
        <f t="shared" si="231"/>
        <v/>
      </c>
      <c r="CA238" s="11"/>
      <c r="CB238" s="33"/>
      <c r="CC238" s="33">
        <f t="shared" si="225"/>
        <v>3522.09</v>
      </c>
      <c r="CD238" s="33">
        <f t="shared" si="236"/>
        <v>3522.6102469064413</v>
      </c>
      <c r="CE238" s="33">
        <f>IF(O238&lt;&gt;"",CD238-SUM($CC$44:CC238),"")</f>
        <v>0.25024690644750081</v>
      </c>
      <c r="CF238" s="11" t="str">
        <f t="shared" si="199"/>
        <v/>
      </c>
      <c r="CG238" s="11" t="str">
        <f>IF(BU238&lt;&gt;"",IF($B$16=listy!$K$8,'RZĄDOWY PROGRAM'!$F$3*'RZĄDOWY PROGRAM'!$F$15,BZ237*$F$15),"")</f>
        <v/>
      </c>
      <c r="CH238" s="11" t="str">
        <f t="shared" si="200"/>
        <v/>
      </c>
      <c r="CJ238" s="48">
        <f t="shared" si="201"/>
        <v>0.06</v>
      </c>
      <c r="CK238" s="18">
        <f t="shared" si="202"/>
        <v>4.8675505653430484E-3</v>
      </c>
      <c r="CL238" s="11">
        <f t="shared" si="232"/>
        <v>0</v>
      </c>
      <c r="CM238" s="11">
        <f t="shared" si="203"/>
        <v>62767.303590481453</v>
      </c>
      <c r="CN238" s="11">
        <f>IF(AB238&lt;&gt;"",CM238-SUM($CL$28:CL238),"")</f>
        <v>34590.543590481459</v>
      </c>
    </row>
    <row r="239" spans="1:92" x14ac:dyDescent="0.45">
      <c r="A239" s="68">
        <f t="shared" si="226"/>
        <v>51167</v>
      </c>
      <c r="B239" s="8">
        <f t="shared" si="186"/>
        <v>212</v>
      </c>
      <c r="C239" s="11">
        <f t="shared" si="187"/>
        <v>3522.1</v>
      </c>
      <c r="D239" s="11">
        <f t="shared" si="188"/>
        <v>2856.4235521556334</v>
      </c>
      <c r="E239" s="11">
        <f t="shared" si="189"/>
        <v>665.67644784436663</v>
      </c>
      <c r="F239" s="9">
        <f t="shared" si="204"/>
        <v>88961.017529825956</v>
      </c>
      <c r="G239" s="10">
        <f t="shared" si="190"/>
        <v>7.0000000000000007E-2</v>
      </c>
      <c r="H239" s="10">
        <f t="shared" si="191"/>
        <v>1.7000000000000001E-2</v>
      </c>
      <c r="I239" s="48">
        <f t="shared" si="205"/>
        <v>8.7000000000000008E-2</v>
      </c>
      <c r="J239" s="11">
        <f t="shared" si="192"/>
        <v>20</v>
      </c>
      <c r="K239" s="11">
        <f>IF(B239&lt;&gt;"",IF($B$16=listy!$K$8,'RZĄDOWY PROGRAM'!$F$3*'RZĄDOWY PROGRAM'!$F$15,F238*$F$15),"")</f>
        <v>50</v>
      </c>
      <c r="L239" s="11">
        <f t="shared" si="206"/>
        <v>70</v>
      </c>
      <c r="N239" s="54">
        <f t="shared" si="227"/>
        <v>51167</v>
      </c>
      <c r="O239" s="8">
        <f t="shared" si="207"/>
        <v>212</v>
      </c>
      <c r="P239" s="8"/>
      <c r="Q239" s="11">
        <f>IF(O239&lt;&gt;"",ROUND(IF($F$11="raty równe",-PMT(W239/12,$F$4-O238+SUM($P$28:P239),T238,2),R239+S239),2),"")</f>
        <v>3522.1</v>
      </c>
      <c r="R239" s="11">
        <f>IF(O239&lt;&gt;"",IF($F$11="raty malejące",T238/($F$4-O238+SUM($P$28:P239)),IF(Q239-S239&gt;T238,T238,Q239-S239)),"")</f>
        <v>2696.0282705546638</v>
      </c>
      <c r="S239" s="11">
        <f t="shared" si="229"/>
        <v>826.07172944533602</v>
      </c>
      <c r="T239" s="9">
        <f t="shared" si="208"/>
        <v>111244.899928802</v>
      </c>
      <c r="U239" s="10">
        <f t="shared" si="193"/>
        <v>7.0000000000000007E-2</v>
      </c>
      <c r="V239" s="10">
        <f t="shared" si="194"/>
        <v>1.7000000000000001E-2</v>
      </c>
      <c r="W239" s="48">
        <f t="shared" si="209"/>
        <v>8.7000000000000008E-2</v>
      </c>
      <c r="X239" s="11">
        <f t="shared" si="195"/>
        <v>20</v>
      </c>
      <c r="Y239" s="11">
        <f>IF(O239&lt;&gt;"",IF($B$16=listy!$K$8,'RZĄDOWY PROGRAM'!$F$3*'RZĄDOWY PROGRAM'!$F$15,T238*$F$15),"")</f>
        <v>50</v>
      </c>
      <c r="Z239" s="11">
        <f t="shared" si="210"/>
        <v>70</v>
      </c>
      <c r="AB239" s="8">
        <f t="shared" si="211"/>
        <v>212</v>
      </c>
      <c r="AC239" s="8"/>
      <c r="AD239" s="11">
        <f>IF(AB239&lt;&gt;"",ROUND(IF($F$11="raty równe",-PMT(W239/12,$F$4-AB238+SUM($AC$28:AC239),AG238,2),AE239+AF239),2),"")</f>
        <v>3280.39</v>
      </c>
      <c r="AE239" s="11">
        <f>IF(AB239&lt;&gt;"",IF($F$11="raty malejące",AG238/($F$4-AB238+SUM($AC$28:AC238)),MIN(AD239-AF239,AG238)),"")</f>
        <v>2511.0073414010767</v>
      </c>
      <c r="AF239" s="11">
        <f t="shared" si="230"/>
        <v>769.38265859892329</v>
      </c>
      <c r="AG239" s="9">
        <f t="shared" si="228"/>
        <v>103610.73867224352</v>
      </c>
      <c r="AH239" s="11"/>
      <c r="AI239" s="33">
        <f>IF(AB239&lt;&gt;"",ROUND(IF($F$11="raty równe",-PMT(W239/12,($F$4-AB238+SUM($AC$27:AC238)),AG238,2),AG238/($F$4-AB238+SUM($AC$27:AC238))+AG238*W239/12),2),"")</f>
        <v>3280.39</v>
      </c>
      <c r="AJ239" s="33">
        <f t="shared" si="212"/>
        <v>241.71000000000004</v>
      </c>
      <c r="AK239" s="33">
        <f t="shared" si="196"/>
        <v>75836.621293364791</v>
      </c>
      <c r="AL239" s="33">
        <f>IF(AB239&lt;&gt;"",AK239-SUM($AJ$28:AJ239),"")</f>
        <v>26390.351293364751</v>
      </c>
      <c r="AM239" s="11">
        <f t="shared" si="213"/>
        <v>20</v>
      </c>
      <c r="AN239" s="11">
        <f>IF(AB239&lt;&gt;"",IF($B$16=listy!$K$8,'RZĄDOWY PROGRAM'!$F$3*'RZĄDOWY PROGRAM'!$F$15,AG238*$F$15),"")</f>
        <v>50</v>
      </c>
      <c r="AO239" s="11">
        <f t="shared" si="214"/>
        <v>70</v>
      </c>
      <c r="AQ239" s="8">
        <f t="shared" si="215"/>
        <v>212</v>
      </c>
      <c r="AR239" s="8"/>
      <c r="AS239" s="78">
        <f>IF(AQ239&lt;&gt;"",ROUND(IF($F$11="raty równe",-PMT(W239/12,$F$4-AQ238+SUM($AR$28:AR239),AV238,2),AT239+AU239),2),"")</f>
        <v>3263.83</v>
      </c>
      <c r="AT239" s="78">
        <f>IF(AQ239&lt;&gt;"",IF($F$11="raty malejące",AV238/($F$4-AQ238+SUM($AR$28:AR238)),MIN(AS239-AU239,AV238)),"")</f>
        <v>2498.3337064169204</v>
      </c>
      <c r="AU239" s="78">
        <f t="shared" si="216"/>
        <v>765.49629358307959</v>
      </c>
      <c r="AV239" s="79">
        <f t="shared" si="217"/>
        <v>103087.36196021474</v>
      </c>
      <c r="AW239" s="11"/>
      <c r="AX239" s="33">
        <f>IF(AQ239&lt;&gt;"",ROUND(IF($F$11="raty równe",-PMT(W239/12,($F$4-AQ238+SUM($AR$27:AR238)),AV238,2),AV238/($F$4-AQ238+SUM($AR$27:AR238))+AV238*W239/12),2),"")</f>
        <v>3263.83</v>
      </c>
      <c r="AY239" s="33">
        <f t="shared" si="218"/>
        <v>258.27</v>
      </c>
      <c r="AZ239" s="33">
        <f t="shared" si="233"/>
        <v>76148.538976262076</v>
      </c>
      <c r="BA239" s="33">
        <f>IF(AQ239&lt;&gt;"",AZ239-SUM($AY$44:AY239),"")</f>
        <v>25527.628976262255</v>
      </c>
      <c r="BB239" s="11">
        <f t="shared" si="219"/>
        <v>20</v>
      </c>
      <c r="BC239" s="11">
        <f>IF(AQ239&lt;&gt;"",IF($B$16=listy!$K$8,'RZĄDOWY PROGRAM'!$F$3*'RZĄDOWY PROGRAM'!$F$15,AV238*$F$15),"")</f>
        <v>50</v>
      </c>
      <c r="BD239" s="11">
        <f t="shared" si="220"/>
        <v>70</v>
      </c>
      <c r="BF239" s="8" t="str">
        <f t="shared" ref="BF239:BF302" si="237">IFERROR(IF(BK238&lt;&gt;0,BF238+1,""),"")</f>
        <v/>
      </c>
      <c r="BG239" s="8"/>
      <c r="BH239" s="78" t="str">
        <f>IF(BF239&lt;&gt;"",ROUND(IF($F$11="raty równe",-PMT(W239/12,$F$4-BF238+SUM(BV$28:$BV239)-SUM($BM$29:BM239),BK238,2),BI239+BJ239),2),"")</f>
        <v/>
      </c>
      <c r="BI239" s="78" t="str">
        <f>IF(BF239&lt;&gt;"",IF($F$11="raty malejące",MIN(BK238/($F$4-BF238+SUM($BG$27:BG239)-SUM($BM$27:BM239)),BK238),MIN(BH239-BJ239,BK238)),"")</f>
        <v/>
      </c>
      <c r="BJ239" s="78" t="str">
        <f t="shared" ref="BJ239:BJ302" si="238">IF(BF239&lt;&gt;"",BK238*W239/12,"")</f>
        <v/>
      </c>
      <c r="BK239" s="79" t="str">
        <f t="shared" ref="BK239:BK302" si="239">IF(BF239&lt;&gt;"",IF(B239&lt;&gt;"",BK238-BI239-BL239,BK238-BI239),"")</f>
        <v/>
      </c>
      <c r="BL239" s="11"/>
      <c r="BM239" s="33"/>
      <c r="BN239" s="33">
        <f t="shared" si="234"/>
        <v>3522.1</v>
      </c>
      <c r="BO239" s="33">
        <f t="shared" si="235"/>
        <v>7057.9146868966809</v>
      </c>
      <c r="BP239" s="33">
        <f>IF(O239&lt;&gt;"",BO239-SUM($BN$44:BN239),"")</f>
        <v>13.794686896678286</v>
      </c>
      <c r="BQ239" s="11" t="str">
        <f t="shared" ref="BQ239:BQ302" si="240">IF(BF239&lt;&gt;"",$F$14,"")</f>
        <v/>
      </c>
      <c r="BR239" s="11" t="str">
        <f>IF(BF239&lt;&gt;"",IF($B$16=listy!$K$8,'RZĄDOWY PROGRAM'!$F$3*'RZĄDOWY PROGRAM'!$F$15,BK238*$F$15),"")</f>
        <v/>
      </c>
      <c r="BS239" s="11" t="str">
        <f t="shared" ref="BS239:BS302" si="241">IF(BH239&lt;&gt;"",BQ239+BR239,"")</f>
        <v/>
      </c>
      <c r="BU239" s="8" t="str">
        <f t="shared" si="224"/>
        <v/>
      </c>
      <c r="BV239" s="8"/>
      <c r="BW239" s="78" t="str">
        <f>IF(BU239&lt;&gt;"",ROUND(IF($F$11="raty równe",-PMT(W239/12,$F$4-BU238+SUM($BV$28:BV239)-$CB$43,BZ238,2),BX239+BY239),2),"")</f>
        <v/>
      </c>
      <c r="BX239" s="78" t="str">
        <f>IF(BU239&lt;&gt;"",IF($F$11="raty malejące",MIN(BZ238/($F$4-BU238+SUM($BV$28:BV238)-SUM($CB$28:CB238)),BZ238),MIN(BW239-BY239,BZ238)),"")</f>
        <v/>
      </c>
      <c r="BY239" s="78" t="str">
        <f t="shared" si="184"/>
        <v/>
      </c>
      <c r="BZ239" s="79" t="str">
        <f t="shared" si="231"/>
        <v/>
      </c>
      <c r="CA239" s="11"/>
      <c r="CB239" s="33"/>
      <c r="CC239" s="33">
        <f t="shared" si="225"/>
        <v>3522.1</v>
      </c>
      <c r="CD239" s="33">
        <f t="shared" si="236"/>
        <v>7058.5988985404801</v>
      </c>
      <c r="CE239" s="33">
        <f>IF(O239&lt;&gt;"",CD239-SUM($CC$44:CC239),"")</f>
        <v>14.13889854048648</v>
      </c>
      <c r="CF239" s="11" t="str">
        <f t="shared" si="199"/>
        <v/>
      </c>
      <c r="CG239" s="11" t="str">
        <f>IF(BU239&lt;&gt;"",IF($B$16=listy!$K$8,'RZĄDOWY PROGRAM'!$F$3*'RZĄDOWY PROGRAM'!$F$15,BZ238*$F$15),"")</f>
        <v/>
      </c>
      <c r="CH239" s="11" t="str">
        <f t="shared" si="200"/>
        <v/>
      </c>
      <c r="CJ239" s="48">
        <f t="shared" si="201"/>
        <v>0.06</v>
      </c>
      <c r="CK239" s="18">
        <f t="shared" si="202"/>
        <v>4.8675505653430484E-3</v>
      </c>
      <c r="CL239" s="11">
        <f t="shared" si="232"/>
        <v>0</v>
      </c>
      <c r="CM239" s="11">
        <f t="shared" si="203"/>
        <v>63014.777239983756</v>
      </c>
      <c r="CN239" s="11">
        <f>IF(AB239&lt;&gt;"",CM239-SUM($CL$28:CL239),"")</f>
        <v>34838.017239983761</v>
      </c>
    </row>
    <row r="240" spans="1:92" x14ac:dyDescent="0.45">
      <c r="A240" s="68">
        <f t="shared" si="226"/>
        <v>51196</v>
      </c>
      <c r="B240" s="8">
        <f t="shared" si="186"/>
        <v>213</v>
      </c>
      <c r="C240" s="11">
        <f t="shared" si="187"/>
        <v>3522.09</v>
      </c>
      <c r="D240" s="11">
        <f t="shared" si="188"/>
        <v>2877.122622908762</v>
      </c>
      <c r="E240" s="11">
        <f t="shared" si="189"/>
        <v>644.96737709123829</v>
      </c>
      <c r="F240" s="9">
        <f t="shared" si="204"/>
        <v>86083.894906917194</v>
      </c>
      <c r="G240" s="10">
        <f t="shared" si="190"/>
        <v>7.0000000000000007E-2</v>
      </c>
      <c r="H240" s="10">
        <f t="shared" si="191"/>
        <v>1.7000000000000001E-2</v>
      </c>
      <c r="I240" s="48">
        <f t="shared" si="205"/>
        <v>8.7000000000000008E-2</v>
      </c>
      <c r="J240" s="11">
        <f t="shared" si="192"/>
        <v>20</v>
      </c>
      <c r="K240" s="11">
        <f>IF(B240&lt;&gt;"",IF($B$16=listy!$K$8,'RZĄDOWY PROGRAM'!$F$3*'RZĄDOWY PROGRAM'!$F$15,F239*$F$15),"")</f>
        <v>50</v>
      </c>
      <c r="L240" s="11">
        <f t="shared" si="206"/>
        <v>70</v>
      </c>
      <c r="N240" s="54">
        <f t="shared" si="227"/>
        <v>51196</v>
      </c>
      <c r="O240" s="8">
        <f t="shared" si="207"/>
        <v>213</v>
      </c>
      <c r="P240" s="8"/>
      <c r="Q240" s="11">
        <f>IF(O240&lt;&gt;"",ROUND(IF($F$11="raty równe",-PMT(W240/12,$F$4-O239+SUM($P$28:P240),T239,2),R240+S240),2),"")</f>
        <v>3522.09</v>
      </c>
      <c r="R240" s="11">
        <f>IF(O240&lt;&gt;"",IF($F$11="raty malejące",T239/($F$4-O239+SUM($P$28:P240)),IF(Q240-S240&gt;T239,T239,Q240-S240)),"")</f>
        <v>2715.5644755161857</v>
      </c>
      <c r="S240" s="11">
        <f t="shared" si="229"/>
        <v>806.52552448381459</v>
      </c>
      <c r="T240" s="9">
        <f t="shared" si="208"/>
        <v>108529.33545328581</v>
      </c>
      <c r="U240" s="10">
        <f t="shared" si="193"/>
        <v>7.0000000000000007E-2</v>
      </c>
      <c r="V240" s="10">
        <f t="shared" si="194"/>
        <v>1.7000000000000001E-2</v>
      </c>
      <c r="W240" s="48">
        <f t="shared" si="209"/>
        <v>8.7000000000000008E-2</v>
      </c>
      <c r="X240" s="11">
        <f t="shared" si="195"/>
        <v>20</v>
      </c>
      <c r="Y240" s="11">
        <f>IF(O240&lt;&gt;"",IF($B$16=listy!$K$8,'RZĄDOWY PROGRAM'!$F$3*'RZĄDOWY PROGRAM'!$F$15,T239*$F$15),"")</f>
        <v>50</v>
      </c>
      <c r="Z240" s="11">
        <f t="shared" si="210"/>
        <v>70</v>
      </c>
      <c r="AB240" s="8">
        <f t="shared" si="211"/>
        <v>213</v>
      </c>
      <c r="AC240" s="8"/>
      <c r="AD240" s="11">
        <f>IF(AB240&lt;&gt;"",ROUND(IF($F$11="raty równe",-PMT(W240/12,$F$4-AB239+SUM($AC$28:AC240),AG239,2),AE240+AF240),2),"")</f>
        <v>3280.4</v>
      </c>
      <c r="AE240" s="11">
        <f>IF(AB240&lt;&gt;"",IF($F$11="raty malejące",AG239/($F$4-AB239+SUM($AC$28:AC239)),MIN(AD240-AF240,AG239)),"")</f>
        <v>2529.2221446262347</v>
      </c>
      <c r="AF240" s="11">
        <f t="shared" si="230"/>
        <v>751.17785537376551</v>
      </c>
      <c r="AG240" s="9">
        <f t="shared" si="228"/>
        <v>101081.51652761728</v>
      </c>
      <c r="AH240" s="11"/>
      <c r="AI240" s="33">
        <f>IF(AB240&lt;&gt;"",ROUND(IF($F$11="raty równe",-PMT(W240/12,($F$4-AB239+SUM($AC$27:AC239)),AG239,2),AG239/($F$4-AB239+SUM($AC$27:AC239))+AG239*W240/12),2),"")</f>
        <v>3280.4</v>
      </c>
      <c r="AJ240" s="33">
        <f t="shared" si="212"/>
        <v>241.69000000000005</v>
      </c>
      <c r="AK240" s="33">
        <f t="shared" si="196"/>
        <v>76377.313550333478</v>
      </c>
      <c r="AL240" s="33">
        <f>IF(AB240&lt;&gt;"",AK240-SUM($AJ$28:AJ240),"")</f>
        <v>26689.353550333435</v>
      </c>
      <c r="AM240" s="11">
        <f t="shared" si="213"/>
        <v>20</v>
      </c>
      <c r="AN240" s="11">
        <f>IF(AB240&lt;&gt;"",IF($B$16=listy!$K$8,'RZĄDOWY PROGRAM'!$F$3*'RZĄDOWY PROGRAM'!$F$15,AG239*$F$15),"")</f>
        <v>50</v>
      </c>
      <c r="AO240" s="11">
        <f t="shared" si="214"/>
        <v>70</v>
      </c>
      <c r="AQ240" s="8">
        <f t="shared" si="215"/>
        <v>213</v>
      </c>
      <c r="AR240" s="8"/>
      <c r="AS240" s="78">
        <f>IF(AQ240&lt;&gt;"",ROUND(IF($F$11="raty równe",-PMT(W240/12,$F$4-AQ239+SUM($AR$28:AR240),AV239,2),AT240+AU240),2),"")</f>
        <v>3263.82</v>
      </c>
      <c r="AT240" s="78">
        <f>IF(AQ240&lt;&gt;"",IF($F$11="raty malejące",AV239/($F$4-AQ239+SUM($AR$28:AR239)),MIN(AS240-AU240,AV239)),"")</f>
        <v>2516.4366257884431</v>
      </c>
      <c r="AU240" s="78">
        <f t="shared" si="216"/>
        <v>747.383374211557</v>
      </c>
      <c r="AV240" s="79">
        <f t="shared" si="217"/>
        <v>100570.9253344263</v>
      </c>
      <c r="AW240" s="11"/>
      <c r="AX240" s="33">
        <f>IF(AQ240&lt;&gt;"",ROUND(IF($F$11="raty równe",-PMT(W240/12,($F$4-AQ239+SUM($AR$27:AR239)),AV239,2),AV239/($F$4-AQ239+SUM($AR$27:AR239))+AV239*W240/12),2),"")</f>
        <v>3263.82</v>
      </c>
      <c r="AY240" s="33">
        <f t="shared" si="218"/>
        <v>258.27</v>
      </c>
      <c r="AZ240" s="33">
        <f t="shared" si="233"/>
        <v>76707.041036056689</v>
      </c>
      <c r="BA240" s="33">
        <f>IF(AQ240&lt;&gt;"",AZ240-SUM($AY$44:AY240),"")</f>
        <v>25827.861036056871</v>
      </c>
      <c r="BB240" s="11">
        <f t="shared" si="219"/>
        <v>20</v>
      </c>
      <c r="BC240" s="11">
        <f>IF(AQ240&lt;&gt;"",IF($B$16=listy!$K$8,'RZĄDOWY PROGRAM'!$F$3*'RZĄDOWY PROGRAM'!$F$15,AV239*$F$15),"")</f>
        <v>50</v>
      </c>
      <c r="BD240" s="11">
        <f t="shared" si="220"/>
        <v>70</v>
      </c>
      <c r="BF240" s="8" t="str">
        <f t="shared" si="237"/>
        <v/>
      </c>
      <c r="BG240" s="8"/>
      <c r="BH240" s="78" t="str">
        <f>IF(BF240&lt;&gt;"",ROUND(IF($F$11="raty równe",-PMT(W240/12,$F$4-BF239+SUM(BV$28:$BV240)-SUM($BM$29:BM240),BK239,2),BI240+BJ240),2),"")</f>
        <v/>
      </c>
      <c r="BI240" s="78" t="str">
        <f>IF(BF240&lt;&gt;"",IF($F$11="raty malejące",MIN(BK239/($F$4-BF239+SUM($BG$27:BG240)-SUM($BM$27:BM240)),BK239),MIN(BH240-BJ240,BK239)),"")</f>
        <v/>
      </c>
      <c r="BJ240" s="78" t="str">
        <f t="shared" si="238"/>
        <v/>
      </c>
      <c r="BK240" s="79" t="str">
        <f t="shared" si="239"/>
        <v/>
      </c>
      <c r="BL240" s="11"/>
      <c r="BM240" s="33"/>
      <c r="BN240" s="33">
        <f t="shared" si="234"/>
        <v>3522.09</v>
      </c>
      <c r="BO240" s="33">
        <f t="shared" si="235"/>
        <v>10607.832039762403</v>
      </c>
      <c r="BP240" s="33">
        <f>IF(O240&lt;&gt;"",BO240-SUM($BN$44:BN240),"")</f>
        <v>41.622039762400163</v>
      </c>
      <c r="BQ240" s="11" t="str">
        <f t="shared" si="240"/>
        <v/>
      </c>
      <c r="BR240" s="11" t="str">
        <f>IF(BF240&lt;&gt;"",IF($B$16=listy!$K$8,'RZĄDOWY PROGRAM'!$F$3*'RZĄDOWY PROGRAM'!$F$15,BK239*$F$15),"")</f>
        <v/>
      </c>
      <c r="BS240" s="11" t="str">
        <f t="shared" si="241"/>
        <v/>
      </c>
      <c r="BU240" s="8" t="str">
        <f t="shared" si="224"/>
        <v/>
      </c>
      <c r="BV240" s="8"/>
      <c r="BW240" s="78" t="str">
        <f>IF(BU240&lt;&gt;"",ROUND(IF($F$11="raty równe",-PMT(W240/12,$F$4-BU239+SUM($BV$28:BV240)-$CB$43,BZ239,2),BX240+BY240),2),"")</f>
        <v/>
      </c>
      <c r="BX240" s="78" t="str">
        <f>IF(BU240&lt;&gt;"",IF($F$11="raty malejące",MIN(BZ239/($F$4-BU239+SUM($BV$28:BV239)-SUM($CB$28:CB239)),BZ239),MIN(BW240-BY240,BZ239)),"")</f>
        <v/>
      </c>
      <c r="BY240" s="78" t="str">
        <f t="shared" ref="BY240" si="242">IF(BU240&lt;&gt;"",BZ239*W240/12,"")</f>
        <v/>
      </c>
      <c r="BZ240" s="79" t="str">
        <f t="shared" si="231"/>
        <v/>
      </c>
      <c r="CA240" s="11"/>
      <c r="CB240" s="33"/>
      <c r="CC240" s="33">
        <f t="shared" si="225"/>
        <v>3522.09</v>
      </c>
      <c r="CD240" s="33">
        <f t="shared" si="236"/>
        <v>10608.518949058369</v>
      </c>
      <c r="CE240" s="33">
        <f>IF(O240&lt;&gt;"",CD240-SUM($CC$44:CC240),"")</f>
        <v>41.968949058375074</v>
      </c>
      <c r="CF240" s="11" t="str">
        <f t="shared" ref="CF240" si="243">IF(BU240&lt;&gt;"",$F$14,"")</f>
        <v/>
      </c>
      <c r="CG240" s="11" t="str">
        <f>IF(BU240&lt;&gt;"",IF($B$16=listy!$K$8,'RZĄDOWY PROGRAM'!$F$3*'RZĄDOWY PROGRAM'!$F$15,BZ239*$F$15),"")</f>
        <v/>
      </c>
      <c r="CH240" s="11" t="str">
        <f t="shared" ref="CH240" si="244">IF(BW240&lt;&gt;"",CF240+CG240,"")</f>
        <v/>
      </c>
      <c r="CJ240" s="48">
        <f t="shared" si="201"/>
        <v>0.06</v>
      </c>
      <c r="CK240" s="18">
        <f t="shared" si="202"/>
        <v>4.8675505653430484E-3</v>
      </c>
      <c r="CL240" s="11">
        <f t="shared" si="232"/>
        <v>0</v>
      </c>
      <c r="CM240" s="11">
        <f t="shared" si="203"/>
        <v>63263.226607793113</v>
      </c>
      <c r="CN240" s="11">
        <f>IF(AB240&lt;&gt;"",CM240-SUM($CL$28:CL240),"")</f>
        <v>35086.466607793118</v>
      </c>
    </row>
    <row r="241" spans="1:92" x14ac:dyDescent="0.45">
      <c r="A241" s="68">
        <f t="shared" si="226"/>
        <v>51227</v>
      </c>
      <c r="B241" s="8">
        <f t="shared" si="186"/>
        <v>214</v>
      </c>
      <c r="C241" s="11">
        <f t="shared" si="187"/>
        <v>3522.1</v>
      </c>
      <c r="D241" s="11">
        <f t="shared" si="188"/>
        <v>2897.9917619248504</v>
      </c>
      <c r="E241" s="11">
        <f t="shared" si="189"/>
        <v>624.10823807514964</v>
      </c>
      <c r="F241" s="9">
        <f t="shared" si="204"/>
        <v>83185.90314499235</v>
      </c>
      <c r="G241" s="10">
        <f t="shared" si="190"/>
        <v>7.0000000000000007E-2</v>
      </c>
      <c r="H241" s="10">
        <f t="shared" si="191"/>
        <v>1.7000000000000001E-2</v>
      </c>
      <c r="I241" s="48">
        <f t="shared" si="205"/>
        <v>8.7000000000000008E-2</v>
      </c>
      <c r="J241" s="11">
        <f t="shared" si="192"/>
        <v>20</v>
      </c>
      <c r="K241" s="11">
        <f>IF(B241&lt;&gt;"",IF($B$16=listy!$K$8,'RZĄDOWY PROGRAM'!$F$3*'RZĄDOWY PROGRAM'!$F$15,F240*$F$15),"")</f>
        <v>50</v>
      </c>
      <c r="L241" s="11">
        <f t="shared" si="206"/>
        <v>70</v>
      </c>
      <c r="N241" s="54">
        <f t="shared" si="227"/>
        <v>51227</v>
      </c>
      <c r="O241" s="8">
        <f t="shared" si="207"/>
        <v>214</v>
      </c>
      <c r="P241" s="8"/>
      <c r="Q241" s="11">
        <f>IF(O241&lt;&gt;"",ROUND(IF($F$11="raty równe",-PMT(W241/12,$F$4-O240+SUM($P$28:P241),T240,2),R241+S241),2),"")</f>
        <v>3522.1</v>
      </c>
      <c r="R241" s="11">
        <f>IF(O241&lt;&gt;"",IF($F$11="raty malejące",T240/($F$4-O240+SUM($P$28:P241)),IF(Q241-S241&gt;T240,T240,Q241-S241)),"")</f>
        <v>2735.2623179636776</v>
      </c>
      <c r="S241" s="11">
        <f t="shared" si="229"/>
        <v>786.83768203632224</v>
      </c>
      <c r="T241" s="9">
        <f t="shared" si="208"/>
        <v>105794.07313532213</v>
      </c>
      <c r="U241" s="10">
        <f t="shared" si="193"/>
        <v>7.0000000000000007E-2</v>
      </c>
      <c r="V241" s="10">
        <f t="shared" si="194"/>
        <v>1.7000000000000001E-2</v>
      </c>
      <c r="W241" s="48">
        <f t="shared" si="209"/>
        <v>8.7000000000000008E-2</v>
      </c>
      <c r="X241" s="11">
        <f t="shared" si="195"/>
        <v>20</v>
      </c>
      <c r="Y241" s="11">
        <f>IF(O241&lt;&gt;"",IF($B$16=listy!$K$8,'RZĄDOWY PROGRAM'!$F$3*'RZĄDOWY PROGRAM'!$F$15,T240*$F$15),"")</f>
        <v>50</v>
      </c>
      <c r="Z241" s="11">
        <f t="shared" si="210"/>
        <v>70</v>
      </c>
      <c r="AB241" s="8">
        <f t="shared" si="211"/>
        <v>214</v>
      </c>
      <c r="AC241" s="8"/>
      <c r="AD241" s="11">
        <f>IF(AB241&lt;&gt;"",ROUND(IF($F$11="raty równe",-PMT(W241/12,$F$4-AB240+SUM($AC$28:AC241),AG240,2),AE241+AF241),2),"")</f>
        <v>3280.39</v>
      </c>
      <c r="AE241" s="11">
        <f>IF(AB241&lt;&gt;"",IF($F$11="raty malejące",AG240/($F$4-AB240+SUM($AC$28:AC240)),MIN(AD241-AF241,AG240)),"")</f>
        <v>2547.5490051747747</v>
      </c>
      <c r="AF241" s="11">
        <f t="shared" si="230"/>
        <v>732.84099482522527</v>
      </c>
      <c r="AG241" s="9">
        <f t="shared" si="228"/>
        <v>98533.967522442501</v>
      </c>
      <c r="AH241" s="11"/>
      <c r="AI241" s="33">
        <f>IF(AB241&lt;&gt;"",ROUND(IF($F$11="raty równe",-PMT(W241/12,($F$4-AB240+SUM($AC$27:AC240)),AG240,2),AG240/($F$4-AB240+SUM($AC$27:AC240))+AG240*W241/12),2),"")</f>
        <v>3280.39</v>
      </c>
      <c r="AJ241" s="33">
        <f t="shared" si="212"/>
        <v>241.71000000000004</v>
      </c>
      <c r="AK241" s="33">
        <f t="shared" si="196"/>
        <v>76920.157603292057</v>
      </c>
      <c r="AL241" s="33">
        <f>IF(AB241&lt;&gt;"",AK241-SUM($AJ$28:AJ241),"")</f>
        <v>26990.487603292015</v>
      </c>
      <c r="AM241" s="11">
        <f t="shared" si="213"/>
        <v>20</v>
      </c>
      <c r="AN241" s="11">
        <f>IF(AB241&lt;&gt;"",IF($B$16=listy!$K$8,'RZĄDOWY PROGRAM'!$F$3*'RZĄDOWY PROGRAM'!$F$15,AG240*$F$15),"")</f>
        <v>50</v>
      </c>
      <c r="AO241" s="11">
        <f t="shared" si="214"/>
        <v>70</v>
      </c>
      <c r="AQ241" s="8">
        <f t="shared" si="215"/>
        <v>214</v>
      </c>
      <c r="AR241" s="8"/>
      <c r="AS241" s="78">
        <f>IF(AQ241&lt;&gt;"",ROUND(IF($F$11="raty równe",-PMT(W241/12,$F$4-AQ240+SUM($AR$28:AR241),AV240,2),AT241+AU241),2),"")</f>
        <v>3263.83</v>
      </c>
      <c r="AT241" s="78">
        <f>IF(AQ241&lt;&gt;"",IF($F$11="raty malejące",AV240/($F$4-AQ240+SUM($AR$28:AR240)),MIN(AS241-AU241,AV240)),"")</f>
        <v>2534.690791325409</v>
      </c>
      <c r="AU241" s="78">
        <f t="shared" si="216"/>
        <v>729.1392086745908</v>
      </c>
      <c r="AV241" s="79">
        <f t="shared" si="217"/>
        <v>98036.234543100887</v>
      </c>
      <c r="AW241" s="11"/>
      <c r="AX241" s="33">
        <f>IF(AQ241&lt;&gt;"",ROUND(IF($F$11="raty równe",-PMT(W241/12,($F$4-AQ240+SUM($AR$27:AR240)),AV240,2),AV240/($F$4-AQ240+SUM($AR$27:AR240))+AV240*W241/12),2),"")</f>
        <v>3263.83</v>
      </c>
      <c r="AY241" s="33">
        <f t="shared" si="218"/>
        <v>258.27</v>
      </c>
      <c r="AZ241" s="33">
        <f t="shared" si="233"/>
        <v>77267.745110834992</v>
      </c>
      <c r="BA241" s="33">
        <f>IF(AQ241&lt;&gt;"",AZ241-SUM($AY$44:AY241),"")</f>
        <v>26130.295110835177</v>
      </c>
      <c r="BB241" s="11">
        <f t="shared" si="219"/>
        <v>20</v>
      </c>
      <c r="BC241" s="11">
        <f>IF(AQ241&lt;&gt;"",IF($B$16=listy!$K$8,'RZĄDOWY PROGRAM'!$F$3*'RZĄDOWY PROGRAM'!$F$15,AV240*$F$15),"")</f>
        <v>50</v>
      </c>
      <c r="BD241" s="11">
        <f t="shared" si="220"/>
        <v>70</v>
      </c>
      <c r="BF241" s="8" t="str">
        <f t="shared" si="237"/>
        <v/>
      </c>
      <c r="BG241" s="8"/>
      <c r="BH241" s="78" t="str">
        <f>IF(BF241&lt;&gt;"",ROUND(IF($F$11="raty równe",-PMT(W241/12,$F$4-BF240+SUM(BV$28:$BV241)-SUM($BM$29:BM241),BK240,2),BI241+BJ241),2),"")</f>
        <v/>
      </c>
      <c r="BI241" s="78" t="str">
        <f>IF(BF241&lt;&gt;"",IF($F$11="raty malejące",MIN(BK240/($F$4-BF240+SUM($BG$27:BG241)-SUM($BM$27:BM241)),BK240),MIN(BH241-BJ241,BK240)),"")</f>
        <v/>
      </c>
      <c r="BJ241" s="78" t="str">
        <f t="shared" si="238"/>
        <v/>
      </c>
      <c r="BK241" s="79" t="str">
        <f t="shared" si="239"/>
        <v/>
      </c>
      <c r="BL241" s="11"/>
      <c r="BM241" s="33"/>
      <c r="BN241" s="33">
        <f t="shared" si="234"/>
        <v>3522.1</v>
      </c>
      <c r="BO241" s="33">
        <f t="shared" si="235"/>
        <v>14171.755708424595</v>
      </c>
      <c r="BP241" s="33">
        <f>IF(O241&lt;&gt;"",BO241-SUM($BN$44:BN241),"")</f>
        <v>83.44570842459143</v>
      </c>
      <c r="BQ241" s="11" t="str">
        <f t="shared" si="240"/>
        <v/>
      </c>
      <c r="BR241" s="11" t="str">
        <f>IF(BF241&lt;&gt;"",IF($B$16=listy!$K$8,'RZĄDOWY PROGRAM'!$F$3*'RZĄDOWY PROGRAM'!$F$15,BK240*$F$15),"")</f>
        <v/>
      </c>
      <c r="BS241" s="11" t="str">
        <f t="shared" si="241"/>
        <v/>
      </c>
      <c r="BU241" s="8" t="str">
        <f t="shared" si="224"/>
        <v/>
      </c>
      <c r="BV241" s="8"/>
      <c r="BW241" s="78" t="str">
        <f>IF(BU241&lt;&gt;"",ROUND(IF($F$11="raty równe",-PMT(W241/12,$F$4-BU240+SUM($BV$28:BV241)-$CB$43,BZ240,2),BX241+BY241),2),"")</f>
        <v/>
      </c>
      <c r="BX241" s="78" t="str">
        <f>IF(BU241&lt;&gt;"",IF($F$11="raty malejące",MIN(BZ240/($F$4-BU240+SUM($BV$28:BV240)-SUM($CB$28:CB240)),BZ240),MIN(BW241-BY241,BZ240)),"")</f>
        <v/>
      </c>
      <c r="BY241" s="78" t="str">
        <f t="shared" ref="BY241:BY304" si="245">IF(BU241&lt;&gt;"",BZ240*W241/12,"")</f>
        <v/>
      </c>
      <c r="BZ241" s="79" t="str">
        <f t="shared" si="231"/>
        <v/>
      </c>
      <c r="CA241" s="11"/>
      <c r="CB241" s="33"/>
      <c r="CC241" s="33">
        <f t="shared" si="225"/>
        <v>3522.1</v>
      </c>
      <c r="CD241" s="33">
        <f t="shared" si="236"/>
        <v>14172.445326008803</v>
      </c>
      <c r="CE241" s="33">
        <f>IF(O241&lt;&gt;"",CD241-SUM($CC$44:CC241),"")</f>
        <v>83.795326008808843</v>
      </c>
      <c r="CF241" s="11" t="str">
        <f t="shared" ref="CF241:CF304" si="246">IF(BU241&lt;&gt;"",$F$14,"")</f>
        <v/>
      </c>
      <c r="CG241" s="11" t="str">
        <f>IF(BU241&lt;&gt;"",IF($B$16=listy!$K$8,'RZĄDOWY PROGRAM'!$F$3*'RZĄDOWY PROGRAM'!$F$15,BZ240*$F$15),"")</f>
        <v/>
      </c>
      <c r="CH241" s="11" t="str">
        <f t="shared" ref="CH241:CH304" si="247">IF(BW241&lt;&gt;"",CF241+CG241,"")</f>
        <v/>
      </c>
      <c r="CJ241" s="48">
        <f t="shared" si="201"/>
        <v>0.06</v>
      </c>
      <c r="CK241" s="18">
        <f t="shared" si="202"/>
        <v>4.8675505653430484E-3</v>
      </c>
      <c r="CL241" s="11">
        <f t="shared" si="232"/>
        <v>0</v>
      </c>
      <c r="CM241" s="11">
        <f t="shared" si="203"/>
        <v>63512.655540889667</v>
      </c>
      <c r="CN241" s="11">
        <f>IF(AB241&lt;&gt;"",CM241-SUM($CL$28:CL241),"")</f>
        <v>35335.895540889673</v>
      </c>
    </row>
    <row r="242" spans="1:92" x14ac:dyDescent="0.45">
      <c r="A242" s="68">
        <f t="shared" si="226"/>
        <v>51257</v>
      </c>
      <c r="B242" s="8">
        <f t="shared" si="186"/>
        <v>215</v>
      </c>
      <c r="C242" s="11">
        <f t="shared" si="187"/>
        <v>3522.09</v>
      </c>
      <c r="D242" s="11">
        <f t="shared" si="188"/>
        <v>2918.9922021988054</v>
      </c>
      <c r="E242" s="11">
        <f t="shared" si="189"/>
        <v>603.09779780119459</v>
      </c>
      <c r="F242" s="9">
        <f t="shared" si="204"/>
        <v>80266.910942793547</v>
      </c>
      <c r="G242" s="10">
        <f t="shared" si="190"/>
        <v>7.0000000000000007E-2</v>
      </c>
      <c r="H242" s="10">
        <f t="shared" si="191"/>
        <v>1.7000000000000001E-2</v>
      </c>
      <c r="I242" s="48">
        <f t="shared" si="205"/>
        <v>8.7000000000000008E-2</v>
      </c>
      <c r="J242" s="11">
        <f t="shared" si="192"/>
        <v>20</v>
      </c>
      <c r="K242" s="11">
        <f>IF(B242&lt;&gt;"",IF($B$16=listy!$K$8,'RZĄDOWY PROGRAM'!$F$3*'RZĄDOWY PROGRAM'!$F$15,F241*$F$15),"")</f>
        <v>50</v>
      </c>
      <c r="L242" s="11">
        <f t="shared" si="206"/>
        <v>70</v>
      </c>
      <c r="N242" s="54">
        <f t="shared" si="227"/>
        <v>51257</v>
      </c>
      <c r="O242" s="8">
        <f t="shared" si="207"/>
        <v>215</v>
      </c>
      <c r="P242" s="8"/>
      <c r="Q242" s="11">
        <f>IF(O242&lt;&gt;"",ROUND(IF($F$11="raty równe",-PMT(W242/12,$F$4-O241+SUM($P$28:P242),T241,2),R242+S242),2),"")</f>
        <v>3522.09</v>
      </c>
      <c r="R242" s="11">
        <f>IF(O242&lt;&gt;"",IF($F$11="raty malejące",T241/($F$4-O241+SUM($P$28:P242)),IF(Q242-S242&gt;T241,T241,Q242-S242)),"")</f>
        <v>2755.0829697689146</v>
      </c>
      <c r="S242" s="11">
        <f t="shared" si="229"/>
        <v>767.00703023108554</v>
      </c>
      <c r="T242" s="9">
        <f t="shared" si="208"/>
        <v>103038.99016555322</v>
      </c>
      <c r="U242" s="10">
        <f t="shared" si="193"/>
        <v>7.0000000000000007E-2</v>
      </c>
      <c r="V242" s="10">
        <f t="shared" si="194"/>
        <v>1.7000000000000001E-2</v>
      </c>
      <c r="W242" s="48">
        <f t="shared" si="209"/>
        <v>8.7000000000000008E-2</v>
      </c>
      <c r="X242" s="11">
        <f t="shared" si="195"/>
        <v>20</v>
      </c>
      <c r="Y242" s="11">
        <f>IF(O242&lt;&gt;"",IF($B$16=listy!$K$8,'RZĄDOWY PROGRAM'!$F$3*'RZĄDOWY PROGRAM'!$F$15,T241*$F$15),"")</f>
        <v>50</v>
      </c>
      <c r="Z242" s="11">
        <f t="shared" si="210"/>
        <v>70</v>
      </c>
      <c r="AB242" s="8">
        <f t="shared" si="211"/>
        <v>215</v>
      </c>
      <c r="AC242" s="8"/>
      <c r="AD242" s="11">
        <f>IF(AB242&lt;&gt;"",ROUND(IF($F$11="raty równe",-PMT(W242/12,$F$4-AB241+SUM($AC$28:AC242),AG241,2),AE242+AF242),2),"")</f>
        <v>3280.4</v>
      </c>
      <c r="AE242" s="11">
        <f>IF(AB242&lt;&gt;"",IF($F$11="raty malejące",AG241/($F$4-AB241+SUM($AC$28:AC241)),MIN(AD242-AF242,AG241)),"")</f>
        <v>2566.0287354622919</v>
      </c>
      <c r="AF242" s="11">
        <f t="shared" si="230"/>
        <v>714.37126453770816</v>
      </c>
      <c r="AG242" s="9">
        <f t="shared" si="228"/>
        <v>95967.938786980216</v>
      </c>
      <c r="AH242" s="11"/>
      <c r="AI242" s="33">
        <f>IF(AB242&lt;&gt;"",ROUND(IF($F$11="raty równe",-PMT(W242/12,($F$4-AB241+SUM($AC$27:AC241)),AG241,2),AG241/($F$4-AB241+SUM($AC$27:AC241))+AG241*W242/12),2),"")</f>
        <v>3280.4</v>
      </c>
      <c r="AJ242" s="33">
        <f t="shared" si="212"/>
        <v>241.69000000000005</v>
      </c>
      <c r="AK242" s="33">
        <f t="shared" si="196"/>
        <v>77465.121936160896</v>
      </c>
      <c r="AL242" s="33">
        <f>IF(AB242&lt;&gt;"",AK242-SUM($AJ$28:AJ242),"")</f>
        <v>27293.761936160852</v>
      </c>
      <c r="AM242" s="11">
        <f t="shared" si="213"/>
        <v>20</v>
      </c>
      <c r="AN242" s="11">
        <f>IF(AB242&lt;&gt;"",IF($B$16=listy!$K$8,'RZĄDOWY PROGRAM'!$F$3*'RZĄDOWY PROGRAM'!$F$15,AG241*$F$15),"")</f>
        <v>50</v>
      </c>
      <c r="AO242" s="11">
        <f t="shared" si="214"/>
        <v>70</v>
      </c>
      <c r="AQ242" s="8">
        <f t="shared" si="215"/>
        <v>215</v>
      </c>
      <c r="AR242" s="8"/>
      <c r="AS242" s="78">
        <f>IF(AQ242&lt;&gt;"",ROUND(IF($F$11="raty równe",-PMT(W242/12,$F$4-AQ241+SUM($AR$28:AR242),AV241,2),AT242+AU242),2),"")</f>
        <v>3263.82</v>
      </c>
      <c r="AT242" s="78">
        <f>IF(AQ242&lt;&gt;"",IF($F$11="raty malejące",AV241/($F$4-AQ241+SUM($AR$28:AR241)),MIN(AS242-AU242,AV241)),"")</f>
        <v>2553.0572995625189</v>
      </c>
      <c r="AU242" s="78">
        <f t="shared" si="216"/>
        <v>710.76270043748139</v>
      </c>
      <c r="AV242" s="79">
        <f t="shared" si="217"/>
        <v>95483.177243538375</v>
      </c>
      <c r="AW242" s="11"/>
      <c r="AX242" s="33">
        <f>IF(AQ242&lt;&gt;"",ROUND(IF($F$11="raty równe",-PMT(W242/12,($F$4-AQ241+SUM($AR$27:AR241)),AV241,2),AV241/($F$4-AQ241+SUM($AR$27:AR241))+AV241*W242/12),2),"")</f>
        <v>3263.82</v>
      </c>
      <c r="AY242" s="33">
        <f t="shared" si="218"/>
        <v>258.27</v>
      </c>
      <c r="AZ242" s="33">
        <f t="shared" si="233"/>
        <v>77830.6598825166</v>
      </c>
      <c r="BA242" s="33">
        <f>IF(AQ242&lt;&gt;"",AZ242-SUM($AY$44:AY242),"")</f>
        <v>26434.939882516788</v>
      </c>
      <c r="BB242" s="11">
        <f t="shared" si="219"/>
        <v>20</v>
      </c>
      <c r="BC242" s="11">
        <f>IF(AQ242&lt;&gt;"",IF($B$16=listy!$K$8,'RZĄDOWY PROGRAM'!$F$3*'RZĄDOWY PROGRAM'!$F$15,AV241*$F$15),"")</f>
        <v>50</v>
      </c>
      <c r="BD242" s="11">
        <f t="shared" si="220"/>
        <v>70</v>
      </c>
      <c r="BF242" s="8" t="str">
        <f t="shared" si="237"/>
        <v/>
      </c>
      <c r="BG242" s="8"/>
      <c r="BH242" s="78" t="str">
        <f>IF(BF242&lt;&gt;"",ROUND(IF($F$11="raty równe",-PMT(W242/12,$F$4-BF241+SUM(BV$28:$BV242)-SUM($BM$29:BM242),BK241,2),BI242+BJ242),2),"")</f>
        <v/>
      </c>
      <c r="BI242" s="78" t="str">
        <f>IF(BF242&lt;&gt;"",IF($F$11="raty malejące",MIN(BK241/($F$4-BF241+SUM($BG$27:BG242)-SUM($BM$27:BM242)),BK241),MIN(BH242-BJ242,BK241)),"")</f>
        <v/>
      </c>
      <c r="BJ242" s="78" t="str">
        <f t="shared" si="238"/>
        <v/>
      </c>
      <c r="BK242" s="79" t="str">
        <f t="shared" si="239"/>
        <v/>
      </c>
      <c r="BL242" s="11"/>
      <c r="BM242" s="33"/>
      <c r="BN242" s="33">
        <f t="shared" si="234"/>
        <v>3522.09</v>
      </c>
      <c r="BO242" s="33">
        <f t="shared" si="235"/>
        <v>17749.720915808059</v>
      </c>
      <c r="BP242" s="33">
        <f>IF(O242&lt;&gt;"",BO242-SUM($BN$44:BN242),"")</f>
        <v>139.32091580805718</v>
      </c>
      <c r="BQ242" s="11" t="str">
        <f t="shared" si="240"/>
        <v/>
      </c>
      <c r="BR242" s="11" t="str">
        <f>IF(BF242&lt;&gt;"",IF($B$16=listy!$K$8,'RZĄDOWY PROGRAM'!$F$3*'RZĄDOWY PROGRAM'!$F$15,BK241*$F$15),"")</f>
        <v/>
      </c>
      <c r="BS242" s="11" t="str">
        <f t="shared" si="241"/>
        <v/>
      </c>
      <c r="BU242" s="8" t="str">
        <f t="shared" si="224"/>
        <v/>
      </c>
      <c r="BV242" s="8"/>
      <c r="BW242" s="78" t="str">
        <f>IF(BU242&lt;&gt;"",ROUND(IF($F$11="raty równe",-PMT(W242/12,$F$4-BU241+SUM($BV$28:BV242)-$CB$43,BZ241,2),BX242+BY242),2),"")</f>
        <v/>
      </c>
      <c r="BX242" s="78" t="str">
        <f>IF(BU242&lt;&gt;"",IF($F$11="raty malejące",MIN(BZ241/($F$4-BU241+SUM($BV$28:BV241)-SUM($CB$28:CB241)),BZ241),MIN(BW242-BY242,BZ241)),"")</f>
        <v/>
      </c>
      <c r="BY242" s="78" t="str">
        <f t="shared" si="245"/>
        <v/>
      </c>
      <c r="BZ242" s="79" t="str">
        <f t="shared" si="231"/>
        <v/>
      </c>
      <c r="CA242" s="11"/>
      <c r="CB242" s="33"/>
      <c r="CC242" s="33">
        <f t="shared" si="225"/>
        <v>3522.09</v>
      </c>
      <c r="CD242" s="33">
        <f t="shared" si="236"/>
        <v>17750.413252358521</v>
      </c>
      <c r="CE242" s="33">
        <f>IF(O242&lt;&gt;"",CD242-SUM($CC$44:CC242),"")</f>
        <v>139.67325235852695</v>
      </c>
      <c r="CF242" s="11" t="str">
        <f t="shared" si="246"/>
        <v/>
      </c>
      <c r="CG242" s="11" t="str">
        <f>IF(BU242&lt;&gt;"",IF($B$16=listy!$K$8,'RZĄDOWY PROGRAM'!$F$3*'RZĄDOWY PROGRAM'!$F$15,BZ241*$F$15),"")</f>
        <v/>
      </c>
      <c r="CH242" s="11" t="str">
        <f t="shared" si="247"/>
        <v/>
      </c>
      <c r="CJ242" s="48">
        <f t="shared" si="201"/>
        <v>0.06</v>
      </c>
      <c r="CK242" s="18">
        <f t="shared" si="202"/>
        <v>4.8675505653430484E-3</v>
      </c>
      <c r="CL242" s="11">
        <f t="shared" si="232"/>
        <v>0</v>
      </c>
      <c r="CM242" s="11">
        <f t="shared" si="203"/>
        <v>63763.067901421113</v>
      </c>
      <c r="CN242" s="11">
        <f>IF(AB242&lt;&gt;"",CM242-SUM($CL$28:CL242),"")</f>
        <v>35586.307901421118</v>
      </c>
    </row>
    <row r="243" spans="1:92" x14ac:dyDescent="0.45">
      <c r="A243" s="68">
        <f t="shared" si="226"/>
        <v>51288</v>
      </c>
      <c r="B243" s="8">
        <f t="shared" si="186"/>
        <v>216</v>
      </c>
      <c r="C243" s="11">
        <f t="shared" si="187"/>
        <v>3522.1</v>
      </c>
      <c r="D243" s="11">
        <f t="shared" si="188"/>
        <v>2940.1648956647468</v>
      </c>
      <c r="E243" s="11">
        <f t="shared" si="189"/>
        <v>581.9351043352533</v>
      </c>
      <c r="F243" s="9">
        <f t="shared" si="204"/>
        <v>77326.746047128807</v>
      </c>
      <c r="G243" s="10">
        <f t="shared" si="190"/>
        <v>7.0000000000000007E-2</v>
      </c>
      <c r="H243" s="10">
        <f t="shared" si="191"/>
        <v>1.7000000000000001E-2</v>
      </c>
      <c r="I243" s="48">
        <f t="shared" si="205"/>
        <v>8.7000000000000008E-2</v>
      </c>
      <c r="J243" s="11">
        <f t="shared" si="192"/>
        <v>20</v>
      </c>
      <c r="K243" s="11">
        <f>IF(B243&lt;&gt;"",IF($B$16=listy!$K$8,'RZĄDOWY PROGRAM'!$F$3*'RZĄDOWY PROGRAM'!$F$15,F242*$F$15),"")</f>
        <v>50</v>
      </c>
      <c r="L243" s="11">
        <f t="shared" si="206"/>
        <v>70</v>
      </c>
      <c r="N243" s="54">
        <f t="shared" si="227"/>
        <v>51288</v>
      </c>
      <c r="O243" s="8">
        <f t="shared" si="207"/>
        <v>216</v>
      </c>
      <c r="P243" s="8"/>
      <c r="Q243" s="11">
        <f>IF(O243&lt;&gt;"",ROUND(IF($F$11="raty równe",-PMT(W243/12,$F$4-O242+SUM($P$28:P243),T242,2),R243+S243),2),"")</f>
        <v>3522.1</v>
      </c>
      <c r="R243" s="11">
        <f>IF(O243&lt;&gt;"",IF($F$11="raty malejące",T242/($F$4-O242+SUM($P$28:P243)),IF(Q243-S243&gt;T242,T242,Q243-S243)),"")</f>
        <v>2775.067321299739</v>
      </c>
      <c r="S243" s="11">
        <f t="shared" si="229"/>
        <v>747.03267870026093</v>
      </c>
      <c r="T243" s="9">
        <f t="shared" si="208"/>
        <v>100263.92284425348</v>
      </c>
      <c r="U243" s="10">
        <f t="shared" si="193"/>
        <v>7.0000000000000007E-2</v>
      </c>
      <c r="V243" s="10">
        <f t="shared" si="194"/>
        <v>1.7000000000000001E-2</v>
      </c>
      <c r="W243" s="48">
        <f t="shared" si="209"/>
        <v>8.7000000000000008E-2</v>
      </c>
      <c r="X243" s="11">
        <f t="shared" si="195"/>
        <v>20</v>
      </c>
      <c r="Y243" s="11">
        <f>IF(O243&lt;&gt;"",IF($B$16=listy!$K$8,'RZĄDOWY PROGRAM'!$F$3*'RZĄDOWY PROGRAM'!$F$15,T242*$F$15),"")</f>
        <v>50</v>
      </c>
      <c r="Z243" s="11">
        <f t="shared" si="210"/>
        <v>70</v>
      </c>
      <c r="AB243" s="8">
        <f t="shared" si="211"/>
        <v>216</v>
      </c>
      <c r="AC243" s="8"/>
      <c r="AD243" s="11">
        <f>IF(AB243&lt;&gt;"",ROUND(IF($F$11="raty równe",-PMT(W243/12,$F$4-AB242+SUM($AC$28:AC243),AG242,2),AE243+AF243),2),"")</f>
        <v>3280.39</v>
      </c>
      <c r="AE243" s="11">
        <f>IF(AB243&lt;&gt;"",IF($F$11="raty malejące",AG242/($F$4-AB242+SUM($AC$28:AC242)),MIN(AD243-AF243,AG242)),"")</f>
        <v>2584.6224437943933</v>
      </c>
      <c r="AF243" s="11">
        <f t="shared" si="230"/>
        <v>695.76755620560664</v>
      </c>
      <c r="AG243" s="9">
        <f t="shared" si="228"/>
        <v>93383.316343185827</v>
      </c>
      <c r="AH243" s="11"/>
      <c r="AI243" s="33">
        <f>IF(AB243&lt;&gt;"",ROUND(IF($F$11="raty równe",-PMT(W243/12,($F$4-AB242+SUM($AC$27:AC242)),AG242,2),AG242/($F$4-AB242+SUM($AC$27:AC242))+AG242*W243/12),2),"")</f>
        <v>3280.39</v>
      </c>
      <c r="AJ243" s="33">
        <f t="shared" si="212"/>
        <v>241.71000000000004</v>
      </c>
      <c r="AK243" s="33">
        <f t="shared" si="196"/>
        <v>78012.254908601433</v>
      </c>
      <c r="AL243" s="33">
        <f>IF(AB243&lt;&gt;"",AK243-SUM($AJ$28:AJ243),"")</f>
        <v>27599.18490860139</v>
      </c>
      <c r="AM243" s="11">
        <f t="shared" si="213"/>
        <v>20</v>
      </c>
      <c r="AN243" s="11">
        <f>IF(AB243&lt;&gt;"",IF($B$16=listy!$K$8,'RZĄDOWY PROGRAM'!$F$3*'RZĄDOWY PROGRAM'!$F$15,AG242*$F$15),"")</f>
        <v>50</v>
      </c>
      <c r="AO243" s="11">
        <f t="shared" si="214"/>
        <v>70</v>
      </c>
      <c r="AQ243" s="8">
        <f t="shared" si="215"/>
        <v>216</v>
      </c>
      <c r="AR243" s="8"/>
      <c r="AS243" s="78">
        <f>IF(AQ243&lt;&gt;"",ROUND(IF($F$11="raty równe",-PMT(W243/12,$F$4-AQ242+SUM($AR$28:AR243),AV242,2),AT243+AU243),2),"")</f>
        <v>3263.83</v>
      </c>
      <c r="AT243" s="78">
        <f>IF(AQ243&lt;&gt;"",IF($F$11="raty malejące",AV242/($F$4-AQ242+SUM($AR$28:AR242)),MIN(AS243-AU243,AV242)),"")</f>
        <v>2571.5769649843464</v>
      </c>
      <c r="AU243" s="78">
        <f t="shared" si="216"/>
        <v>692.25303501565338</v>
      </c>
      <c r="AV243" s="79">
        <f t="shared" si="217"/>
        <v>92911.600278554033</v>
      </c>
      <c r="AW243" s="11"/>
      <c r="AX243" s="33">
        <f>IF(AQ243&lt;&gt;"",ROUND(IF($F$11="raty równe",-PMT(W243/12,($F$4-AQ242+SUM($AR$27:AR242)),AV242,2),AV242/($F$4-AQ242+SUM($AR$27:AR242))+AV242*W243/12),2),"")</f>
        <v>3263.83</v>
      </c>
      <c r="AY243" s="33">
        <f t="shared" si="218"/>
        <v>258.27</v>
      </c>
      <c r="AZ243" s="33">
        <f t="shared" si="233"/>
        <v>78395.794067251467</v>
      </c>
      <c r="BA243" s="33">
        <f>IF(AQ243&lt;&gt;"",AZ243-SUM($AY$44:AY243),"")</f>
        <v>26741.804067251658</v>
      </c>
      <c r="BB243" s="11">
        <f t="shared" si="219"/>
        <v>20</v>
      </c>
      <c r="BC243" s="11">
        <f>IF(AQ243&lt;&gt;"",IF($B$16=listy!$K$8,'RZĄDOWY PROGRAM'!$F$3*'RZĄDOWY PROGRAM'!$F$15,AV242*$F$15),"")</f>
        <v>50</v>
      </c>
      <c r="BD243" s="11">
        <f t="shared" si="220"/>
        <v>70</v>
      </c>
      <c r="BF243" s="8" t="str">
        <f t="shared" si="237"/>
        <v/>
      </c>
      <c r="BG243" s="8"/>
      <c r="BH243" s="78" t="str">
        <f>IF(BF243&lt;&gt;"",ROUND(IF($F$11="raty równe",-PMT(W243/12,$F$4-BF242+SUM(BV$28:$BV243)-SUM($BM$29:BM243),BK242,2),BI243+BJ243),2),"")</f>
        <v/>
      </c>
      <c r="BI243" s="78" t="str">
        <f>IF(BF243&lt;&gt;"",IF($F$11="raty malejące",MIN(BK242/($F$4-BF242+SUM($BG$27:BG243)-SUM($BM$27:BM243)),BK242),MIN(BH243-BJ243,BK242)),"")</f>
        <v/>
      </c>
      <c r="BJ243" s="78" t="str">
        <f t="shared" si="238"/>
        <v/>
      </c>
      <c r="BK243" s="79" t="str">
        <f t="shared" si="239"/>
        <v/>
      </c>
      <c r="BL243" s="11"/>
      <c r="BM243" s="33"/>
      <c r="BN243" s="33">
        <f t="shared" si="234"/>
        <v>3522.1</v>
      </c>
      <c r="BO243" s="33">
        <f t="shared" si="235"/>
        <v>21341.803023711582</v>
      </c>
      <c r="BP243" s="33">
        <f>IF(O243&lt;&gt;"",BO243-SUM($BN$44:BN243),"")</f>
        <v>209.30302371158177</v>
      </c>
      <c r="BQ243" s="11" t="str">
        <f t="shared" si="240"/>
        <v/>
      </c>
      <c r="BR243" s="11" t="str">
        <f>IF(BF243&lt;&gt;"",IF($B$16=listy!$K$8,'RZĄDOWY PROGRAM'!$F$3*'RZĄDOWY PROGRAM'!$F$15,BK242*$F$15),"")</f>
        <v/>
      </c>
      <c r="BS243" s="11" t="str">
        <f t="shared" si="241"/>
        <v/>
      </c>
      <c r="BU243" s="8" t="str">
        <f t="shared" si="224"/>
        <v/>
      </c>
      <c r="BV243" s="8"/>
      <c r="BW243" s="78" t="str">
        <f>IF(BU243&lt;&gt;"",ROUND(IF($F$11="raty równe",-PMT(W243/12,$F$4-BU242+SUM($BV$28:BV243)-$CB$43,BZ242,2),BX243+BY243),2),"")</f>
        <v/>
      </c>
      <c r="BX243" s="78" t="str">
        <f>IF(BU243&lt;&gt;"",IF($F$11="raty malejące",MIN(BZ242/($F$4-BU242+SUM($BV$28:BV242)-SUM($CB$28:CB242)),BZ242),MIN(BW243-BY243,BZ242)),"")</f>
        <v/>
      </c>
      <c r="BY243" s="78" t="str">
        <f t="shared" si="245"/>
        <v/>
      </c>
      <c r="BZ243" s="79" t="str">
        <f t="shared" si="231"/>
        <v/>
      </c>
      <c r="CA243" s="11"/>
      <c r="CB243" s="33"/>
      <c r="CC243" s="33">
        <f t="shared" si="225"/>
        <v>3522.1</v>
      </c>
      <c r="CD243" s="33">
        <f t="shared" si="236"/>
        <v>21342.498089948411</v>
      </c>
      <c r="CE243" s="33">
        <f>IF(O243&lt;&gt;"",CD243-SUM($CC$44:CC243),"")</f>
        <v>209.65808994841791</v>
      </c>
      <c r="CF243" s="11" t="str">
        <f t="shared" si="246"/>
        <v/>
      </c>
      <c r="CG243" s="11" t="str">
        <f>IF(BU243&lt;&gt;"",IF($B$16=listy!$K$8,'RZĄDOWY PROGRAM'!$F$3*'RZĄDOWY PROGRAM'!$F$15,BZ242*$F$15),"")</f>
        <v/>
      </c>
      <c r="CH243" s="11" t="str">
        <f t="shared" si="247"/>
        <v/>
      </c>
      <c r="CJ243" s="48">
        <f t="shared" si="201"/>
        <v>0.06</v>
      </c>
      <c r="CK243" s="18">
        <f t="shared" si="202"/>
        <v>4.8675505653430484E-3</v>
      </c>
      <c r="CL243" s="11">
        <f t="shared" si="232"/>
        <v>0</v>
      </c>
      <c r="CM243" s="11">
        <f t="shared" si="203"/>
        <v>64014.467566762491</v>
      </c>
      <c r="CN243" s="11">
        <f>IF(AB243&lt;&gt;"",CM243-SUM($CL$28:CL243),"")</f>
        <v>35837.707566762496</v>
      </c>
    </row>
    <row r="244" spans="1:92" x14ac:dyDescent="0.45">
      <c r="A244" s="68">
        <f t="shared" si="226"/>
        <v>51318</v>
      </c>
      <c r="B244" s="8">
        <f t="shared" si="186"/>
        <v>217</v>
      </c>
      <c r="C244" s="11">
        <f t="shared" si="187"/>
        <v>3522.09</v>
      </c>
      <c r="D244" s="11">
        <f t="shared" si="188"/>
        <v>2961.4710911583161</v>
      </c>
      <c r="E244" s="11">
        <f t="shared" si="189"/>
        <v>560.61890884168395</v>
      </c>
      <c r="F244" s="9">
        <f t="shared" si="204"/>
        <v>74365.274955970497</v>
      </c>
      <c r="G244" s="10">
        <f t="shared" si="190"/>
        <v>7.0000000000000007E-2</v>
      </c>
      <c r="H244" s="10">
        <f t="shared" si="191"/>
        <v>1.7000000000000001E-2</v>
      </c>
      <c r="I244" s="48">
        <f t="shared" si="205"/>
        <v>8.7000000000000008E-2</v>
      </c>
      <c r="J244" s="11">
        <f t="shared" si="192"/>
        <v>20</v>
      </c>
      <c r="K244" s="11">
        <f>IF(B244&lt;&gt;"",IF($B$16=listy!$K$8,'RZĄDOWY PROGRAM'!$F$3*'RZĄDOWY PROGRAM'!$F$15,F243*$F$15),"")</f>
        <v>50</v>
      </c>
      <c r="L244" s="11">
        <f t="shared" si="206"/>
        <v>70</v>
      </c>
      <c r="N244" s="54">
        <f t="shared" si="227"/>
        <v>51318</v>
      </c>
      <c r="O244" s="8">
        <f t="shared" si="207"/>
        <v>217</v>
      </c>
      <c r="P244" s="8"/>
      <c r="Q244" s="11">
        <f>IF(O244&lt;&gt;"",ROUND(IF($F$11="raty równe",-PMT(W244/12,$F$4-O243+SUM($P$28:P244),T243,2),R244+S244),2),"")</f>
        <v>3522.09</v>
      </c>
      <c r="R244" s="11">
        <f>IF(O244&lt;&gt;"",IF($F$11="raty malejące",T243/($F$4-O243+SUM($P$28:P244)),IF(Q244-S244&gt;T243,T243,Q244-S244)),"")</f>
        <v>2795.1765593791624</v>
      </c>
      <c r="S244" s="11">
        <f t="shared" si="229"/>
        <v>726.91344062083783</v>
      </c>
      <c r="T244" s="9">
        <f t="shared" si="208"/>
        <v>97468.746284874316</v>
      </c>
      <c r="U244" s="10">
        <f t="shared" si="193"/>
        <v>7.0000000000000007E-2</v>
      </c>
      <c r="V244" s="10">
        <f t="shared" si="194"/>
        <v>1.7000000000000001E-2</v>
      </c>
      <c r="W244" s="48">
        <f t="shared" si="209"/>
        <v>8.7000000000000008E-2</v>
      </c>
      <c r="X244" s="11">
        <f t="shared" si="195"/>
        <v>20</v>
      </c>
      <c r="Y244" s="11">
        <f>IF(O244&lt;&gt;"",IF($B$16=listy!$K$8,'RZĄDOWY PROGRAM'!$F$3*'RZĄDOWY PROGRAM'!$F$15,T243*$F$15),"")</f>
        <v>50</v>
      </c>
      <c r="Z244" s="11">
        <f t="shared" si="210"/>
        <v>70</v>
      </c>
      <c r="AB244" s="8">
        <f t="shared" si="211"/>
        <v>217</v>
      </c>
      <c r="AC244" s="8"/>
      <c r="AD244" s="11">
        <f>IF(AB244&lt;&gt;"",ROUND(IF($F$11="raty równe",-PMT(W244/12,$F$4-AB243+SUM($AC$28:AC244),AG243,2),AE244+AF244),2),"")</f>
        <v>3280.4</v>
      </c>
      <c r="AE244" s="11">
        <f>IF(AB244&lt;&gt;"",IF($F$11="raty malejące",AG243/($F$4-AB243+SUM($AC$28:AC243)),MIN(AD244-AF244,AG243)),"")</f>
        <v>2603.3709565119029</v>
      </c>
      <c r="AF244" s="11">
        <f t="shared" si="230"/>
        <v>677.02904348809727</v>
      </c>
      <c r="AG244" s="9">
        <f t="shared" si="228"/>
        <v>90779.94538667392</v>
      </c>
      <c r="AH244" s="11"/>
      <c r="AI244" s="33">
        <f>IF(AB244&lt;&gt;"",ROUND(IF($F$11="raty równe",-PMT(W244/12,($F$4-AB243+SUM($AC$27:AC243)),AG243,2),AG243/($F$4-AB243+SUM($AC$27:AC243))+AG243*W244/12),2),"")</f>
        <v>3280.4</v>
      </c>
      <c r="AJ244" s="33">
        <f t="shared" si="212"/>
        <v>241.69000000000005</v>
      </c>
      <c r="AK244" s="33">
        <f t="shared" si="196"/>
        <v>78561.52507094352</v>
      </c>
      <c r="AL244" s="33">
        <f>IF(AB244&lt;&gt;"",AK244-SUM($AJ$28:AJ244),"")</f>
        <v>27906.765070943475</v>
      </c>
      <c r="AM244" s="11">
        <f t="shared" si="213"/>
        <v>20</v>
      </c>
      <c r="AN244" s="11">
        <f>IF(AB244&lt;&gt;"",IF($B$16=listy!$K$8,'RZĄDOWY PROGRAM'!$F$3*'RZĄDOWY PROGRAM'!$F$15,AG243*$F$15),"")</f>
        <v>50</v>
      </c>
      <c r="AO244" s="11">
        <f t="shared" si="214"/>
        <v>70</v>
      </c>
      <c r="AQ244" s="8">
        <f t="shared" si="215"/>
        <v>217</v>
      </c>
      <c r="AR244" s="8"/>
      <c r="AS244" s="78">
        <f>IF(AQ244&lt;&gt;"",ROUND(IF($F$11="raty równe",-PMT(W244/12,$F$4-AQ243+SUM($AR$28:AR244),AV243,2),AT244+AU244),2),"")</f>
        <v>3263.82</v>
      </c>
      <c r="AT244" s="78">
        <f>IF(AQ244&lt;&gt;"",IF($F$11="raty malejące",AV243/($F$4-AQ243+SUM($AR$28:AR243)),MIN(AS244-AU244,AV243)),"")</f>
        <v>2590.2108979804834</v>
      </c>
      <c r="AU244" s="78">
        <f t="shared" si="216"/>
        <v>673.60910201951685</v>
      </c>
      <c r="AV244" s="79">
        <f t="shared" si="217"/>
        <v>90321.389380573557</v>
      </c>
      <c r="AW244" s="11"/>
      <c r="AX244" s="33">
        <f>IF(AQ244&lt;&gt;"",ROUND(IF($F$11="raty równe",-PMT(W244/12,($F$4-AQ243+SUM($AR$27:AR243)),AV243,2),AV243/($F$4-AQ243+SUM($AR$27:AR243))+AV243*W244/12),2),"")</f>
        <v>3263.82</v>
      </c>
      <c r="AY244" s="33">
        <f t="shared" si="218"/>
        <v>258.27</v>
      </c>
      <c r="AZ244" s="33">
        <f t="shared" si="233"/>
        <v>78963.156415554855</v>
      </c>
      <c r="BA244" s="33">
        <f>IF(AQ244&lt;&gt;"",AZ244-SUM($AY$44:AY244),"")</f>
        <v>27050.896415555049</v>
      </c>
      <c r="BB244" s="11">
        <f t="shared" si="219"/>
        <v>20</v>
      </c>
      <c r="BC244" s="11">
        <f>IF(AQ244&lt;&gt;"",IF($B$16=listy!$K$8,'RZĄDOWY PROGRAM'!$F$3*'RZĄDOWY PROGRAM'!$F$15,AV243*$F$15),"")</f>
        <v>50</v>
      </c>
      <c r="BD244" s="11">
        <f t="shared" si="220"/>
        <v>70</v>
      </c>
      <c r="BF244" s="8" t="str">
        <f t="shared" si="237"/>
        <v/>
      </c>
      <c r="BG244" s="8"/>
      <c r="BH244" s="78" t="str">
        <f>IF(BF244&lt;&gt;"",ROUND(IF($F$11="raty równe",-PMT(W244/12,$F$4-BF243+SUM(BV$28:$BV244)-SUM($BM$29:BM244),BK243,2),BI244+BJ244),2),"")</f>
        <v/>
      </c>
      <c r="BI244" s="78" t="str">
        <f>IF(BF244&lt;&gt;"",IF($F$11="raty malejące",MIN(BK243/($F$4-BF243+SUM($BG$27:BG244)-SUM($BM$27:BM244)),BK243),MIN(BH244-BJ244,BK243)),"")</f>
        <v/>
      </c>
      <c r="BJ244" s="78" t="str">
        <f t="shared" si="238"/>
        <v/>
      </c>
      <c r="BK244" s="79" t="str">
        <f t="shared" si="239"/>
        <v/>
      </c>
      <c r="BL244" s="11"/>
      <c r="BM244" s="33"/>
      <c r="BN244" s="33">
        <f t="shared" si="234"/>
        <v>3522.09</v>
      </c>
      <c r="BO244" s="33">
        <f t="shared" si="235"/>
        <v>24948.037691064124</v>
      </c>
      <c r="BP244" s="33">
        <f>IF(O244&lt;&gt;"",BO244-SUM($BN$44:BN244),"")</f>
        <v>293.44769106412423</v>
      </c>
      <c r="BQ244" s="11" t="str">
        <f t="shared" si="240"/>
        <v/>
      </c>
      <c r="BR244" s="11" t="str">
        <f>IF(BF244&lt;&gt;"",IF($B$16=listy!$K$8,'RZĄDOWY PROGRAM'!$F$3*'RZĄDOWY PROGRAM'!$F$15,BK243*$F$15),"")</f>
        <v/>
      </c>
      <c r="BS244" s="11" t="str">
        <f t="shared" si="241"/>
        <v/>
      </c>
      <c r="BU244" s="8" t="str">
        <f t="shared" si="224"/>
        <v/>
      </c>
      <c r="BV244" s="8"/>
      <c r="BW244" s="78" t="str">
        <f>IF(BU244&lt;&gt;"",ROUND(IF($F$11="raty równe",-PMT(W244/12,$F$4-BU243+SUM($BV$28:BV244)-$CB$43,BZ243,2),BX244+BY244),2),"")</f>
        <v/>
      </c>
      <c r="BX244" s="78" t="str">
        <f>IF(BU244&lt;&gt;"",IF($F$11="raty malejące",MIN(BZ243/($F$4-BU243+SUM($BV$28:BV243)-SUM($CB$28:CB243)),BZ243),MIN(BW244-BY244,BZ243)),"")</f>
        <v/>
      </c>
      <c r="BY244" s="78" t="str">
        <f t="shared" si="245"/>
        <v/>
      </c>
      <c r="BZ244" s="79" t="str">
        <f t="shared" si="231"/>
        <v/>
      </c>
      <c r="CA244" s="11"/>
      <c r="CB244" s="33"/>
      <c r="CC244" s="33">
        <f t="shared" si="225"/>
        <v>3522.09</v>
      </c>
      <c r="CD244" s="33">
        <f t="shared" si="236"/>
        <v>24948.735497749698</v>
      </c>
      <c r="CE244" s="33">
        <f>IF(O244&lt;&gt;"",CD244-SUM($CC$44:CC244),"")</f>
        <v>293.80549774970495</v>
      </c>
      <c r="CF244" s="11" t="str">
        <f t="shared" si="246"/>
        <v/>
      </c>
      <c r="CG244" s="11" t="str">
        <f>IF(BU244&lt;&gt;"",IF($B$16=listy!$K$8,'RZĄDOWY PROGRAM'!$F$3*'RZĄDOWY PROGRAM'!$F$15,BZ243*$F$15),"")</f>
        <v/>
      </c>
      <c r="CH244" s="11" t="str">
        <f t="shared" si="247"/>
        <v/>
      </c>
      <c r="CJ244" s="48">
        <f t="shared" si="201"/>
        <v>0.06</v>
      </c>
      <c r="CK244" s="18">
        <f t="shared" si="202"/>
        <v>4.8675505653430484E-3</v>
      </c>
      <c r="CL244" s="11">
        <f t="shared" si="232"/>
        <v>0</v>
      </c>
      <c r="CM244" s="11">
        <f t="shared" si="203"/>
        <v>64266.858429576227</v>
      </c>
      <c r="CN244" s="11">
        <f>IF(AB244&lt;&gt;"",CM244-SUM($CL$28:CL244),"")</f>
        <v>36090.098429576232</v>
      </c>
    </row>
    <row r="245" spans="1:92" x14ac:dyDescent="0.45">
      <c r="A245" s="68">
        <f t="shared" si="226"/>
        <v>51349</v>
      </c>
      <c r="B245" s="8">
        <f t="shared" si="186"/>
        <v>218</v>
      </c>
      <c r="C245" s="11">
        <f t="shared" si="187"/>
        <v>3522.1</v>
      </c>
      <c r="D245" s="11">
        <f t="shared" si="188"/>
        <v>2982.951756569214</v>
      </c>
      <c r="E245" s="11">
        <f t="shared" si="189"/>
        <v>539.14824343078612</v>
      </c>
      <c r="F245" s="9">
        <f t="shared" si="204"/>
        <v>71382.323199401289</v>
      </c>
      <c r="G245" s="10">
        <f t="shared" si="190"/>
        <v>7.0000000000000007E-2</v>
      </c>
      <c r="H245" s="10">
        <f t="shared" si="191"/>
        <v>1.7000000000000001E-2</v>
      </c>
      <c r="I245" s="48">
        <f t="shared" si="205"/>
        <v>8.7000000000000008E-2</v>
      </c>
      <c r="J245" s="11">
        <f t="shared" si="192"/>
        <v>20</v>
      </c>
      <c r="K245" s="11">
        <f>IF(B245&lt;&gt;"",IF($B$16=listy!$K$8,'RZĄDOWY PROGRAM'!$F$3*'RZĄDOWY PROGRAM'!$F$15,F244*$F$15),"")</f>
        <v>50</v>
      </c>
      <c r="L245" s="11">
        <f t="shared" si="206"/>
        <v>70</v>
      </c>
      <c r="N245" s="54">
        <f t="shared" si="227"/>
        <v>51349</v>
      </c>
      <c r="O245" s="8">
        <f t="shared" si="207"/>
        <v>218</v>
      </c>
      <c r="P245" s="8"/>
      <c r="Q245" s="11">
        <f>IF(O245&lt;&gt;"",ROUND(IF($F$11="raty równe",-PMT(W245/12,$F$4-O244+SUM($P$28:P245),T244,2),R245+S245),2),"")</f>
        <v>3522.1</v>
      </c>
      <c r="R245" s="11">
        <f>IF(O245&lt;&gt;"",IF($F$11="raty malejące",T244/($F$4-O244+SUM($P$28:P245)),IF(Q245-S245&gt;T244,T244,Q245-S245)),"")</f>
        <v>2815.4515894346609</v>
      </c>
      <c r="S245" s="11">
        <f t="shared" si="229"/>
        <v>706.64841056533885</v>
      </c>
      <c r="T245" s="9">
        <f t="shared" si="208"/>
        <v>94653.294695439661</v>
      </c>
      <c r="U245" s="10">
        <f t="shared" si="193"/>
        <v>7.0000000000000007E-2</v>
      </c>
      <c r="V245" s="10">
        <f t="shared" si="194"/>
        <v>1.7000000000000001E-2</v>
      </c>
      <c r="W245" s="48">
        <f t="shared" si="209"/>
        <v>8.7000000000000008E-2</v>
      </c>
      <c r="X245" s="11">
        <f t="shared" si="195"/>
        <v>20</v>
      </c>
      <c r="Y245" s="11">
        <f>IF(O245&lt;&gt;"",IF($B$16=listy!$K$8,'RZĄDOWY PROGRAM'!$F$3*'RZĄDOWY PROGRAM'!$F$15,T244*$F$15),"")</f>
        <v>50</v>
      </c>
      <c r="Z245" s="11">
        <f t="shared" si="210"/>
        <v>70</v>
      </c>
      <c r="AB245" s="8">
        <f t="shared" si="211"/>
        <v>218</v>
      </c>
      <c r="AC245" s="8"/>
      <c r="AD245" s="11">
        <f>IF(AB245&lt;&gt;"",ROUND(IF($F$11="raty równe",-PMT(W245/12,$F$4-AB244+SUM($AC$28:AC245),AG244,2),AE245+AF245),2),"")</f>
        <v>3280.39</v>
      </c>
      <c r="AE245" s="11">
        <f>IF(AB245&lt;&gt;"",IF($F$11="raty malejące",AG244/($F$4-AB244+SUM($AC$28:AC244)),MIN(AD245-AF245,AG244)),"")</f>
        <v>2622.2353959466141</v>
      </c>
      <c r="AF245" s="11">
        <f t="shared" si="230"/>
        <v>658.15460405338592</v>
      </c>
      <c r="AG245" s="9">
        <f t="shared" si="228"/>
        <v>88157.709990727308</v>
      </c>
      <c r="AH245" s="11"/>
      <c r="AI245" s="33">
        <f>IF(AB245&lt;&gt;"",ROUND(IF($F$11="raty równe",-PMT(W245/12,($F$4-AB244+SUM($AC$27:AC244)),AG244,2),AG244/($F$4-AB244+SUM($AC$27:AC244))+AG244*W245/12),2),"")</f>
        <v>3280.39</v>
      </c>
      <c r="AJ245" s="33">
        <f t="shared" si="212"/>
        <v>241.71000000000004</v>
      </c>
      <c r="AK245" s="33">
        <f t="shared" si="196"/>
        <v>79112.980849519896</v>
      </c>
      <c r="AL245" s="33">
        <f>IF(AB245&lt;&gt;"",AK245-SUM($AJ$28:AJ245),"")</f>
        <v>28216.510849519851</v>
      </c>
      <c r="AM245" s="11">
        <f t="shared" si="213"/>
        <v>20</v>
      </c>
      <c r="AN245" s="11">
        <f>IF(AB245&lt;&gt;"",IF($B$16=listy!$K$8,'RZĄDOWY PROGRAM'!$F$3*'RZĄDOWY PROGRAM'!$F$15,AG244*$F$15),"")</f>
        <v>50</v>
      </c>
      <c r="AO245" s="11">
        <f t="shared" si="214"/>
        <v>70</v>
      </c>
      <c r="AQ245" s="8">
        <f t="shared" si="215"/>
        <v>218</v>
      </c>
      <c r="AR245" s="8"/>
      <c r="AS245" s="78">
        <f>IF(AQ245&lt;&gt;"",ROUND(IF($F$11="raty równe",-PMT(W245/12,$F$4-AQ244+SUM($AR$28:AR245),AV244,2),AT245+AU245),2),"")</f>
        <v>3263.83</v>
      </c>
      <c r="AT245" s="78">
        <f>IF(AQ245&lt;&gt;"",IF($F$11="raty malejące",AV244/($F$4-AQ244+SUM($AR$28:AR244)),MIN(AS245-AU245,AV244)),"")</f>
        <v>2608.9999269908417</v>
      </c>
      <c r="AU245" s="78">
        <f t="shared" si="216"/>
        <v>654.83007300915835</v>
      </c>
      <c r="AV245" s="79">
        <f t="shared" si="217"/>
        <v>87712.389453582713</v>
      </c>
      <c r="AW245" s="11"/>
      <c r="AX245" s="33">
        <f>IF(AQ245&lt;&gt;"",ROUND(IF($F$11="raty równe",-PMT(W245/12,($F$4-AQ244+SUM($AR$27:AR244)),AV244,2),AV244/($F$4-AQ244+SUM($AR$27:AR244))+AV244*W245/12),2),"")</f>
        <v>3263.83</v>
      </c>
      <c r="AY245" s="33">
        <f t="shared" si="218"/>
        <v>258.27</v>
      </c>
      <c r="AZ245" s="33">
        <f t="shared" si="233"/>
        <v>79532.755712442828</v>
      </c>
      <c r="BA245" s="33">
        <f>IF(AQ245&lt;&gt;"",AZ245-SUM($AY$44:AY245),"")</f>
        <v>27362.225712443025</v>
      </c>
      <c r="BB245" s="11">
        <f t="shared" si="219"/>
        <v>20</v>
      </c>
      <c r="BC245" s="11">
        <f>IF(AQ245&lt;&gt;"",IF($B$16=listy!$K$8,'RZĄDOWY PROGRAM'!$F$3*'RZĄDOWY PROGRAM'!$F$15,AV244*$F$15),"")</f>
        <v>50</v>
      </c>
      <c r="BD245" s="11">
        <f t="shared" si="220"/>
        <v>70</v>
      </c>
      <c r="BF245" s="8" t="str">
        <f t="shared" si="237"/>
        <v/>
      </c>
      <c r="BG245" s="8"/>
      <c r="BH245" s="78" t="str">
        <f>IF(BF245&lt;&gt;"",ROUND(IF($F$11="raty równe",-PMT(W245/12,$F$4-BF244+SUM(BV$28:$BV245)-SUM($BM$29:BM245),BK244,2),BI245+BJ245),2),"")</f>
        <v/>
      </c>
      <c r="BI245" s="78" t="str">
        <f>IF(BF245&lt;&gt;"",IF($F$11="raty malejące",MIN(BK244/($F$4-BF244+SUM($BG$27:BG245)-SUM($BM$27:BM245)),BK244),MIN(BH245-BJ245,BK244)),"")</f>
        <v/>
      </c>
      <c r="BJ245" s="78" t="str">
        <f t="shared" si="238"/>
        <v/>
      </c>
      <c r="BK245" s="79" t="str">
        <f t="shared" si="239"/>
        <v/>
      </c>
      <c r="BL245" s="11"/>
      <c r="BM245" s="33"/>
      <c r="BN245" s="33">
        <f t="shared" si="234"/>
        <v>3522.1</v>
      </c>
      <c r="BO245" s="33">
        <f t="shared" si="235"/>
        <v>28568.500717387669</v>
      </c>
      <c r="BP245" s="33">
        <f>IF(O245&lt;&gt;"",BO245-SUM($BN$44:BN245),"")</f>
        <v>391.81071738767059</v>
      </c>
      <c r="BQ245" s="11" t="str">
        <f t="shared" si="240"/>
        <v/>
      </c>
      <c r="BR245" s="11" t="str">
        <f>IF(BF245&lt;&gt;"",IF($B$16=listy!$K$8,'RZĄDOWY PROGRAM'!$F$3*'RZĄDOWY PROGRAM'!$F$15,BK244*$F$15),"")</f>
        <v/>
      </c>
      <c r="BS245" s="11" t="str">
        <f t="shared" si="241"/>
        <v/>
      </c>
      <c r="BU245" s="8" t="str">
        <f t="shared" si="224"/>
        <v/>
      </c>
      <c r="BV245" s="8"/>
      <c r="BW245" s="78" t="str">
        <f>IF(BU245&lt;&gt;"",ROUND(IF($F$11="raty równe",-PMT(W245/12,$F$4-BU244+SUM($BV$28:BV245)-$CB$43,BZ244,2),BX245+BY245),2),"")</f>
        <v/>
      </c>
      <c r="BX245" s="78" t="str">
        <f>IF(BU245&lt;&gt;"",IF($F$11="raty malejące",MIN(BZ244/($F$4-BU244+SUM($BV$28:BV244)-SUM($CB$28:CB244)),BZ244),MIN(BW245-BY245,BZ244)),"")</f>
        <v/>
      </c>
      <c r="BY245" s="78" t="str">
        <f t="shared" si="245"/>
        <v/>
      </c>
      <c r="BZ245" s="79" t="str">
        <f t="shared" si="231"/>
        <v/>
      </c>
      <c r="CA245" s="11"/>
      <c r="CB245" s="33"/>
      <c r="CC245" s="33">
        <f t="shared" si="225"/>
        <v>3522.1</v>
      </c>
      <c r="CD245" s="33">
        <f t="shared" si="236"/>
        <v>28569.201275326799</v>
      </c>
      <c r="CE245" s="33">
        <f>IF(O245&lt;&gt;"",CD245-SUM($CC$44:CC245),"")</f>
        <v>392.17127532680752</v>
      </c>
      <c r="CF245" s="11" t="str">
        <f t="shared" si="246"/>
        <v/>
      </c>
      <c r="CG245" s="11" t="str">
        <f>IF(BU245&lt;&gt;"",IF($B$16=listy!$K$8,'RZĄDOWY PROGRAM'!$F$3*'RZĄDOWY PROGRAM'!$F$15,BZ244*$F$15),"")</f>
        <v/>
      </c>
      <c r="CH245" s="11" t="str">
        <f t="shared" si="247"/>
        <v/>
      </c>
      <c r="CJ245" s="48">
        <f t="shared" si="201"/>
        <v>0.06</v>
      </c>
      <c r="CK245" s="18">
        <f t="shared" si="202"/>
        <v>4.8675505653430484E-3</v>
      </c>
      <c r="CL245" s="11">
        <f t="shared" si="232"/>
        <v>0</v>
      </c>
      <c r="CM245" s="11">
        <f t="shared" si="203"/>
        <v>64520.244397872411</v>
      </c>
      <c r="CN245" s="11">
        <f>IF(AB245&lt;&gt;"",CM245-SUM($CL$28:CL245),"")</f>
        <v>36343.484397872417</v>
      </c>
    </row>
    <row r="246" spans="1:92" x14ac:dyDescent="0.45">
      <c r="A246" s="68">
        <f t="shared" si="226"/>
        <v>51380</v>
      </c>
      <c r="B246" s="8">
        <f t="shared" si="186"/>
        <v>219</v>
      </c>
      <c r="C246" s="11">
        <f t="shared" si="187"/>
        <v>3522.09</v>
      </c>
      <c r="D246" s="11">
        <f t="shared" si="188"/>
        <v>3004.568156804341</v>
      </c>
      <c r="E246" s="11">
        <f t="shared" si="189"/>
        <v>517.52184319565936</v>
      </c>
      <c r="F246" s="9">
        <f t="shared" si="204"/>
        <v>68377.755042596953</v>
      </c>
      <c r="G246" s="10">
        <f t="shared" si="190"/>
        <v>7.0000000000000007E-2</v>
      </c>
      <c r="H246" s="10">
        <f t="shared" si="191"/>
        <v>1.7000000000000001E-2</v>
      </c>
      <c r="I246" s="48">
        <f t="shared" si="205"/>
        <v>8.7000000000000008E-2</v>
      </c>
      <c r="J246" s="11">
        <f t="shared" si="192"/>
        <v>20</v>
      </c>
      <c r="K246" s="11">
        <f>IF(B246&lt;&gt;"",IF($B$16=listy!$K$8,'RZĄDOWY PROGRAM'!$F$3*'RZĄDOWY PROGRAM'!$F$15,F245*$F$15),"")</f>
        <v>50</v>
      </c>
      <c r="L246" s="11">
        <f t="shared" si="206"/>
        <v>70</v>
      </c>
      <c r="N246" s="54">
        <f t="shared" si="227"/>
        <v>51380</v>
      </c>
      <c r="O246" s="8">
        <f t="shared" si="207"/>
        <v>219</v>
      </c>
      <c r="P246" s="8"/>
      <c r="Q246" s="11">
        <f>IF(O246&lt;&gt;"",ROUND(IF($F$11="raty równe",-PMT(W246/12,$F$4-O245+SUM($P$28:P246),T245,2),R246+S246),2),"")</f>
        <v>3522.09</v>
      </c>
      <c r="R246" s="11">
        <f>IF(O246&lt;&gt;"",IF($F$11="raty malejące",T245/($F$4-O245+SUM($P$28:P246)),IF(Q246-S246&gt;T245,T245,Q246-S246)),"")</f>
        <v>2835.8536134580627</v>
      </c>
      <c r="S246" s="11">
        <f t="shared" si="229"/>
        <v>686.23638654193758</v>
      </c>
      <c r="T246" s="9">
        <f t="shared" si="208"/>
        <v>91817.441081981597</v>
      </c>
      <c r="U246" s="10">
        <f t="shared" si="193"/>
        <v>7.0000000000000007E-2</v>
      </c>
      <c r="V246" s="10">
        <f t="shared" si="194"/>
        <v>1.7000000000000001E-2</v>
      </c>
      <c r="W246" s="48">
        <f t="shared" si="209"/>
        <v>8.7000000000000008E-2</v>
      </c>
      <c r="X246" s="11">
        <f t="shared" si="195"/>
        <v>20</v>
      </c>
      <c r="Y246" s="11">
        <f>IF(O246&lt;&gt;"",IF($B$16=listy!$K$8,'RZĄDOWY PROGRAM'!$F$3*'RZĄDOWY PROGRAM'!$F$15,T245*$F$15),"")</f>
        <v>50</v>
      </c>
      <c r="Z246" s="11">
        <f t="shared" si="210"/>
        <v>70</v>
      </c>
      <c r="AB246" s="8">
        <f t="shared" si="211"/>
        <v>219</v>
      </c>
      <c r="AC246" s="8"/>
      <c r="AD246" s="11">
        <f>IF(AB246&lt;&gt;"",ROUND(IF($F$11="raty równe",-PMT(W246/12,$F$4-AB245+SUM($AC$28:AC246),AG245,2),AE246+AF246),2),"")</f>
        <v>3280.4</v>
      </c>
      <c r="AE246" s="11">
        <f>IF(AB246&lt;&gt;"",IF($F$11="raty malejące",AG245/($F$4-AB245+SUM($AC$28:AC245)),MIN(AD246-AF246,AG245)),"")</f>
        <v>2641.2566025672272</v>
      </c>
      <c r="AF246" s="11">
        <f t="shared" si="230"/>
        <v>639.14339743277299</v>
      </c>
      <c r="AG246" s="9">
        <f t="shared" si="228"/>
        <v>85516.45338816008</v>
      </c>
      <c r="AH246" s="11"/>
      <c r="AI246" s="33">
        <f>IF(AB246&lt;&gt;"",ROUND(IF($F$11="raty równe",-PMT(W246/12,($F$4-AB245+SUM($AC$27:AC245)),AG245,2),AG245/($F$4-AB245+SUM($AC$27:AC245))+AG245*W246/12),2),"")</f>
        <v>3280.4</v>
      </c>
      <c r="AJ246" s="33">
        <f t="shared" si="212"/>
        <v>241.69000000000005</v>
      </c>
      <c r="AK246" s="33">
        <f t="shared" si="196"/>
        <v>79666.590861594552</v>
      </c>
      <c r="AL246" s="33">
        <f>IF(AB246&lt;&gt;"",AK246-SUM($AJ$28:AJ246),"")</f>
        <v>28528.430861594505</v>
      </c>
      <c r="AM246" s="11">
        <f t="shared" si="213"/>
        <v>20</v>
      </c>
      <c r="AN246" s="11">
        <f>IF(AB246&lt;&gt;"",IF($B$16=listy!$K$8,'RZĄDOWY PROGRAM'!$F$3*'RZĄDOWY PROGRAM'!$F$15,AG245*$F$15),"")</f>
        <v>50</v>
      </c>
      <c r="AO246" s="11">
        <f t="shared" si="214"/>
        <v>70</v>
      </c>
      <c r="AQ246" s="8">
        <f t="shared" si="215"/>
        <v>219</v>
      </c>
      <c r="AR246" s="8"/>
      <c r="AS246" s="78">
        <f>IF(AQ246&lt;&gt;"",ROUND(IF($F$11="raty równe",-PMT(W246/12,$F$4-AQ245+SUM($AR$28:AR246),AV245,2),AT246+AU246),2),"")</f>
        <v>3263.82</v>
      </c>
      <c r="AT246" s="78">
        <f>IF(AQ246&lt;&gt;"",IF($F$11="raty malejące",AV245/($F$4-AQ245+SUM($AR$28:AR245)),MIN(AS246-AU246,AV245)),"")</f>
        <v>2627.9051764615256</v>
      </c>
      <c r="AU246" s="78">
        <f t="shared" si="216"/>
        <v>635.91482353847471</v>
      </c>
      <c r="AV246" s="79">
        <f t="shared" si="217"/>
        <v>85084.484277121184</v>
      </c>
      <c r="AW246" s="11"/>
      <c r="AX246" s="33">
        <f>IF(AQ246&lt;&gt;"",ROUND(IF($F$11="raty równe",-PMT(W246/12,($F$4-AQ245+SUM($AR$27:AR245)),AV245,2),AV245/($F$4-AQ245+SUM($AR$27:AR245))+AV245*W246/12),2),"")</f>
        <v>3263.82</v>
      </c>
      <c r="AY246" s="33">
        <f t="shared" si="218"/>
        <v>258.27</v>
      </c>
      <c r="AZ246" s="33">
        <f t="shared" si="233"/>
        <v>80104.600777568266</v>
      </c>
      <c r="BA246" s="33">
        <f>IF(AQ246&lt;&gt;"",AZ246-SUM($AY$44:AY246),"")</f>
        <v>27675.800777568467</v>
      </c>
      <c r="BB246" s="11">
        <f t="shared" si="219"/>
        <v>20</v>
      </c>
      <c r="BC246" s="11">
        <f>IF(AQ246&lt;&gt;"",IF($B$16=listy!$K$8,'RZĄDOWY PROGRAM'!$F$3*'RZĄDOWY PROGRAM'!$F$15,AV245*$F$15),"")</f>
        <v>50</v>
      </c>
      <c r="BD246" s="11">
        <f t="shared" si="220"/>
        <v>70</v>
      </c>
      <c r="BF246" s="8" t="str">
        <f t="shared" si="237"/>
        <v/>
      </c>
      <c r="BG246" s="8"/>
      <c r="BH246" s="78" t="str">
        <f>IF(BF246&lt;&gt;"",ROUND(IF($F$11="raty równe",-PMT(W246/12,$F$4-BF245+SUM(BV$28:$BV246)-SUM($BM$29:BM246),BK245,2),BI246+BJ246),2),"")</f>
        <v/>
      </c>
      <c r="BI246" s="78" t="str">
        <f>IF(BF246&lt;&gt;"",IF($F$11="raty malejące",MIN(BK245/($F$4-BF245+SUM($BG$27:BG246)-SUM($BM$27:BM246)),BK245),MIN(BH246-BJ246,BK245)),"")</f>
        <v/>
      </c>
      <c r="BJ246" s="78" t="str">
        <f t="shared" si="238"/>
        <v/>
      </c>
      <c r="BK246" s="79" t="str">
        <f t="shared" si="239"/>
        <v/>
      </c>
      <c r="BL246" s="11"/>
      <c r="BM246" s="33"/>
      <c r="BN246" s="33">
        <f t="shared" si="234"/>
        <v>3522.09</v>
      </c>
      <c r="BO246" s="33">
        <f t="shared" si="235"/>
        <v>32203.228201060188</v>
      </c>
      <c r="BP246" s="33">
        <f>IF(O246&lt;&gt;"",BO246-SUM($BN$44:BN246),"")</f>
        <v>504.4482010601896</v>
      </c>
      <c r="BQ246" s="11" t="str">
        <f t="shared" si="240"/>
        <v/>
      </c>
      <c r="BR246" s="11" t="str">
        <f>IF(BF246&lt;&gt;"",IF($B$16=listy!$K$8,'RZĄDOWY PROGRAM'!$F$3*'RZĄDOWY PROGRAM'!$F$15,BK245*$F$15),"")</f>
        <v/>
      </c>
      <c r="BS246" s="11" t="str">
        <f t="shared" si="241"/>
        <v/>
      </c>
      <c r="BU246" s="8" t="str">
        <f t="shared" si="224"/>
        <v/>
      </c>
      <c r="BV246" s="8"/>
      <c r="BW246" s="78" t="str">
        <f>IF(BU246&lt;&gt;"",ROUND(IF($F$11="raty równe",-PMT(W246/12,$F$4-BU245+SUM($BV$28:BV246)-$CB$43,BZ245,2),BX246+BY246),2),"")</f>
        <v/>
      </c>
      <c r="BX246" s="78" t="str">
        <f>IF(BU246&lt;&gt;"",IF($F$11="raty malejące",MIN(BZ245/($F$4-BU245+SUM($BV$28:BV245)-SUM($CB$28:CB245)),BZ245),MIN(BW246-BY246,BZ245)),"")</f>
        <v/>
      </c>
      <c r="BY246" s="78" t="str">
        <f t="shared" si="245"/>
        <v/>
      </c>
      <c r="BZ246" s="79" t="str">
        <f t="shared" si="231"/>
        <v/>
      </c>
      <c r="CA246" s="11"/>
      <c r="CB246" s="33"/>
      <c r="CC246" s="33">
        <f t="shared" si="225"/>
        <v>3522.09</v>
      </c>
      <c r="CD246" s="33">
        <f t="shared" si="236"/>
        <v>32203.931521100287</v>
      </c>
      <c r="CE246" s="33">
        <f>IF(O246&lt;&gt;"",CD246-SUM($CC$44:CC246),"")</f>
        <v>504.81152110029507</v>
      </c>
      <c r="CF246" s="11" t="str">
        <f t="shared" si="246"/>
        <v/>
      </c>
      <c r="CG246" s="11" t="str">
        <f>IF(BU246&lt;&gt;"",IF($B$16=listy!$K$8,'RZĄDOWY PROGRAM'!$F$3*'RZĄDOWY PROGRAM'!$F$15,BZ245*$F$15),"")</f>
        <v/>
      </c>
      <c r="CH246" s="11" t="str">
        <f t="shared" si="247"/>
        <v/>
      </c>
      <c r="CJ246" s="48">
        <f t="shared" si="201"/>
        <v>0.06</v>
      </c>
      <c r="CK246" s="18">
        <f t="shared" si="202"/>
        <v>4.8675505653430484E-3</v>
      </c>
      <c r="CL246" s="11">
        <f t="shared" si="232"/>
        <v>0</v>
      </c>
      <c r="CM246" s="11">
        <f t="shared" si="203"/>
        <v>64774.629395069314</v>
      </c>
      <c r="CN246" s="11">
        <f>IF(AB246&lt;&gt;"",CM246-SUM($CL$28:CL246),"")</f>
        <v>36597.86939506932</v>
      </c>
    </row>
    <row r="247" spans="1:92" x14ac:dyDescent="0.45">
      <c r="A247" s="68">
        <f t="shared" si="226"/>
        <v>51410</v>
      </c>
      <c r="B247" s="8">
        <f t="shared" si="186"/>
        <v>220</v>
      </c>
      <c r="C247" s="11">
        <f t="shared" si="187"/>
        <v>3522.1</v>
      </c>
      <c r="D247" s="11">
        <f t="shared" si="188"/>
        <v>3026.3612759411717</v>
      </c>
      <c r="E247" s="11">
        <f t="shared" si="189"/>
        <v>495.73872405882798</v>
      </c>
      <c r="F247" s="9">
        <f t="shared" si="204"/>
        <v>65351.393766655783</v>
      </c>
      <c r="G247" s="10">
        <f t="shared" si="190"/>
        <v>7.0000000000000007E-2</v>
      </c>
      <c r="H247" s="10">
        <f t="shared" si="191"/>
        <v>1.7000000000000001E-2</v>
      </c>
      <c r="I247" s="48">
        <f t="shared" si="205"/>
        <v>8.7000000000000008E-2</v>
      </c>
      <c r="J247" s="11">
        <f t="shared" si="192"/>
        <v>20</v>
      </c>
      <c r="K247" s="11">
        <f>IF(B247&lt;&gt;"",IF($B$16=listy!$K$8,'RZĄDOWY PROGRAM'!$F$3*'RZĄDOWY PROGRAM'!$F$15,F246*$F$15),"")</f>
        <v>50</v>
      </c>
      <c r="L247" s="11">
        <f t="shared" si="206"/>
        <v>70</v>
      </c>
      <c r="N247" s="54">
        <f t="shared" si="227"/>
        <v>51410</v>
      </c>
      <c r="O247" s="8">
        <f t="shared" si="207"/>
        <v>220</v>
      </c>
      <c r="P247" s="8"/>
      <c r="Q247" s="11">
        <f>IF(O247&lt;&gt;"",ROUND(IF($F$11="raty równe",-PMT(W247/12,$F$4-O246+SUM($P$28:P247),T246,2),R247+S247),2),"")</f>
        <v>3522.1</v>
      </c>
      <c r="R247" s="11">
        <f>IF(O247&lt;&gt;"",IF($F$11="raty malejące",T246/($F$4-O246+SUM($P$28:P247)),IF(Q247-S247&gt;T246,T246,Q247-S247)),"")</f>
        <v>2856.4235521556334</v>
      </c>
      <c r="S247" s="11">
        <f t="shared" si="229"/>
        <v>665.67644784436663</v>
      </c>
      <c r="T247" s="9">
        <f t="shared" si="208"/>
        <v>88961.017529825956</v>
      </c>
      <c r="U247" s="10">
        <f t="shared" si="193"/>
        <v>7.0000000000000007E-2</v>
      </c>
      <c r="V247" s="10">
        <f t="shared" si="194"/>
        <v>1.7000000000000001E-2</v>
      </c>
      <c r="W247" s="48">
        <f t="shared" si="209"/>
        <v>8.7000000000000008E-2</v>
      </c>
      <c r="X247" s="11">
        <f t="shared" si="195"/>
        <v>20</v>
      </c>
      <c r="Y247" s="11">
        <f>IF(O247&lt;&gt;"",IF($B$16=listy!$K$8,'RZĄDOWY PROGRAM'!$F$3*'RZĄDOWY PROGRAM'!$F$15,T246*$F$15),"")</f>
        <v>50</v>
      </c>
      <c r="Z247" s="11">
        <f t="shared" si="210"/>
        <v>70</v>
      </c>
      <c r="AB247" s="8">
        <f t="shared" si="211"/>
        <v>220</v>
      </c>
      <c r="AC247" s="8"/>
      <c r="AD247" s="11">
        <f>IF(AB247&lt;&gt;"",ROUND(IF($F$11="raty równe",-PMT(W247/12,$F$4-AB246+SUM($AC$28:AC247),AG246,2),AE247+AF247),2),"")</f>
        <v>3280.39</v>
      </c>
      <c r="AE247" s="11">
        <f>IF(AB247&lt;&gt;"",IF($F$11="raty malejące",AG246/($F$4-AB246+SUM($AC$28:AC246)),MIN(AD247-AF247,AG246)),"")</f>
        <v>2660.3957129358391</v>
      </c>
      <c r="AF247" s="11">
        <f t="shared" si="230"/>
        <v>619.99428706416063</v>
      </c>
      <c r="AG247" s="9">
        <f t="shared" si="228"/>
        <v>82856.057675224234</v>
      </c>
      <c r="AH247" s="11"/>
      <c r="AI247" s="33">
        <f>IF(AB247&lt;&gt;"",ROUND(IF($F$11="raty równe",-PMT(W247/12,($F$4-AB246+SUM($AC$27:AC246)),AG246,2),AG246/($F$4-AB246+SUM($AC$27:AC246))+AG246*W247/12),2),"")</f>
        <v>3280.39</v>
      </c>
      <c r="AJ247" s="33">
        <f t="shared" si="212"/>
        <v>241.71000000000004</v>
      </c>
      <c r="AK247" s="33">
        <f t="shared" si="196"/>
        <v>80222.403600698279</v>
      </c>
      <c r="AL247" s="33">
        <f>IF(AB247&lt;&gt;"",AK247-SUM($AJ$28:AJ247),"")</f>
        <v>28842.533600698232</v>
      </c>
      <c r="AM247" s="11">
        <f t="shared" si="213"/>
        <v>20</v>
      </c>
      <c r="AN247" s="11">
        <f>IF(AB247&lt;&gt;"",IF($B$16=listy!$K$8,'RZĄDOWY PROGRAM'!$F$3*'RZĄDOWY PROGRAM'!$F$15,AG246*$F$15),"")</f>
        <v>50</v>
      </c>
      <c r="AO247" s="11">
        <f t="shared" si="214"/>
        <v>70</v>
      </c>
      <c r="AQ247" s="8">
        <f t="shared" si="215"/>
        <v>220</v>
      </c>
      <c r="AR247" s="8"/>
      <c r="AS247" s="78">
        <f>IF(AQ247&lt;&gt;"",ROUND(IF($F$11="raty równe",-PMT(W247/12,$F$4-AQ246+SUM($AR$28:AR247),AV246,2),AT247+AU247),2),"")</f>
        <v>3263.83</v>
      </c>
      <c r="AT247" s="78">
        <f>IF(AQ247&lt;&gt;"",IF($F$11="raty malejące",AV246/($F$4-AQ246+SUM($AR$28:AR246)),MIN(AS247-AU247,AV246)),"")</f>
        <v>2646.9674889908711</v>
      </c>
      <c r="AU247" s="78">
        <f t="shared" si="216"/>
        <v>616.86251100912864</v>
      </c>
      <c r="AV247" s="79">
        <f t="shared" si="217"/>
        <v>82437.516788130306</v>
      </c>
      <c r="AW247" s="11"/>
      <c r="AX247" s="33">
        <f>IF(AQ247&lt;&gt;"",ROUND(IF($F$11="raty równe",-PMT(W247/12,($F$4-AQ246+SUM($AR$27:AR246)),AV246,2),AV246/($F$4-AQ246+SUM($AR$27:AR246))+AV246*W247/12),2),"")</f>
        <v>3263.83</v>
      </c>
      <c r="AY247" s="33">
        <f t="shared" si="218"/>
        <v>258.27</v>
      </c>
      <c r="AZ247" s="33">
        <f t="shared" si="233"/>
        <v>80678.70046535744</v>
      </c>
      <c r="BA247" s="33">
        <f>IF(AQ247&lt;&gt;"",AZ247-SUM($AY$44:AY247),"")</f>
        <v>27991.630465357644</v>
      </c>
      <c r="BB247" s="11">
        <f t="shared" si="219"/>
        <v>20</v>
      </c>
      <c r="BC247" s="11">
        <f>IF(AQ247&lt;&gt;"",IF($B$16=listy!$K$8,'RZĄDOWY PROGRAM'!$F$3*'RZĄDOWY PROGRAM'!$F$15,AV246*$F$15),"")</f>
        <v>50</v>
      </c>
      <c r="BD247" s="11">
        <f t="shared" si="220"/>
        <v>70</v>
      </c>
      <c r="BF247" s="8" t="str">
        <f t="shared" si="237"/>
        <v/>
      </c>
      <c r="BG247" s="8"/>
      <c r="BH247" s="78" t="str">
        <f>IF(BF247&lt;&gt;"",ROUND(IF($F$11="raty równe",-PMT(W247/12,$F$4-BF246+SUM(BV$28:$BV247)-SUM($BM$29:BM247),BK246,2),BI247+BJ247),2),"")</f>
        <v/>
      </c>
      <c r="BI247" s="78" t="str">
        <f>IF(BF247&lt;&gt;"",IF($F$11="raty malejące",MIN(BK246/($F$4-BF246+SUM($BG$27:BG247)-SUM($BM$27:BM247)),BK246),MIN(BH247-BJ247,BK246)),"")</f>
        <v/>
      </c>
      <c r="BJ247" s="78" t="str">
        <f t="shared" si="238"/>
        <v/>
      </c>
      <c r="BK247" s="79" t="str">
        <f t="shared" si="239"/>
        <v/>
      </c>
      <c r="BL247" s="11"/>
      <c r="BM247" s="33"/>
      <c r="BN247" s="33">
        <f t="shared" si="234"/>
        <v>3522.1</v>
      </c>
      <c r="BO247" s="33">
        <f t="shared" si="235"/>
        <v>35852.296382785302</v>
      </c>
      <c r="BP247" s="33">
        <f>IF(O247&lt;&gt;"",BO247-SUM($BN$44:BN247),"")</f>
        <v>631.41638278530445</v>
      </c>
      <c r="BQ247" s="11" t="str">
        <f t="shared" si="240"/>
        <v/>
      </c>
      <c r="BR247" s="11" t="str">
        <f>IF(BF247&lt;&gt;"",IF($B$16=listy!$K$8,'RZĄDOWY PROGRAM'!$F$3*'RZĄDOWY PROGRAM'!$F$15,BK246*$F$15),"")</f>
        <v/>
      </c>
      <c r="BS247" s="11" t="str">
        <f t="shared" si="241"/>
        <v/>
      </c>
      <c r="BU247" s="8" t="str">
        <f t="shared" si="224"/>
        <v/>
      </c>
      <c r="BV247" s="8"/>
      <c r="BW247" s="78" t="str">
        <f>IF(BU247&lt;&gt;"",ROUND(IF($F$11="raty równe",-PMT(W247/12,$F$4-BU246+SUM($BV$28:BV247)-$CB$43,BZ246,2),BX247+BY247),2),"")</f>
        <v/>
      </c>
      <c r="BX247" s="78" t="str">
        <f>IF(BU247&lt;&gt;"",IF($F$11="raty malejące",MIN(BZ246/($F$4-BU246+SUM($BV$28:BV246)-SUM($CB$28:CB246)),BZ246),MIN(BW247-BY247,BZ246)),"")</f>
        <v/>
      </c>
      <c r="BY247" s="78" t="str">
        <f t="shared" si="245"/>
        <v/>
      </c>
      <c r="BZ247" s="79" t="str">
        <f t="shared" si="231"/>
        <v/>
      </c>
      <c r="CA247" s="11"/>
      <c r="CB247" s="33"/>
      <c r="CC247" s="33">
        <f t="shared" si="225"/>
        <v>3522.1</v>
      </c>
      <c r="CD247" s="33">
        <f t="shared" si="236"/>
        <v>35853.002475816545</v>
      </c>
      <c r="CE247" s="33">
        <f>IF(O247&lt;&gt;"",CD247-SUM($CC$44:CC247),"")</f>
        <v>631.7824758165516</v>
      </c>
      <c r="CF247" s="11" t="str">
        <f t="shared" si="246"/>
        <v/>
      </c>
      <c r="CG247" s="11" t="str">
        <f>IF(BU247&lt;&gt;"",IF($B$16=listy!$K$8,'RZĄDOWY PROGRAM'!$F$3*'RZĄDOWY PROGRAM'!$F$15,BZ246*$F$15),"")</f>
        <v/>
      </c>
      <c r="CH247" s="11" t="str">
        <f t="shared" si="247"/>
        <v/>
      </c>
      <c r="CJ247" s="48">
        <f t="shared" si="201"/>
        <v>0.06</v>
      </c>
      <c r="CK247" s="18">
        <f t="shared" si="202"/>
        <v>4.8675505653430484E-3</v>
      </c>
      <c r="CL247" s="11">
        <f t="shared" si="232"/>
        <v>0</v>
      </c>
      <c r="CM247" s="11">
        <f t="shared" si="203"/>
        <v>65030.017360054124</v>
      </c>
      <c r="CN247" s="11">
        <f>IF(AB247&lt;&gt;"",CM247-SUM($CL$28:CL247),"")</f>
        <v>36853.257360054129</v>
      </c>
    </row>
    <row r="248" spans="1:92" x14ac:dyDescent="0.45">
      <c r="A248" s="68">
        <f t="shared" si="226"/>
        <v>51441</v>
      </c>
      <c r="B248" s="8">
        <f t="shared" si="186"/>
        <v>221</v>
      </c>
      <c r="C248" s="11">
        <f t="shared" si="187"/>
        <v>3522.09</v>
      </c>
      <c r="D248" s="11">
        <f t="shared" si="188"/>
        <v>3048.2923951917455</v>
      </c>
      <c r="E248" s="11">
        <f t="shared" si="189"/>
        <v>473.79760480825445</v>
      </c>
      <c r="F248" s="9">
        <f t="shared" si="204"/>
        <v>62303.101371464036</v>
      </c>
      <c r="G248" s="10">
        <f t="shared" si="190"/>
        <v>7.0000000000000007E-2</v>
      </c>
      <c r="H248" s="10">
        <f t="shared" si="191"/>
        <v>1.7000000000000001E-2</v>
      </c>
      <c r="I248" s="48">
        <f t="shared" si="205"/>
        <v>8.7000000000000008E-2</v>
      </c>
      <c r="J248" s="11">
        <f t="shared" si="192"/>
        <v>20</v>
      </c>
      <c r="K248" s="11">
        <f>IF(B248&lt;&gt;"",IF($B$16=listy!$K$8,'RZĄDOWY PROGRAM'!$F$3*'RZĄDOWY PROGRAM'!$F$15,F247*$F$15),"")</f>
        <v>50</v>
      </c>
      <c r="L248" s="11">
        <f t="shared" si="206"/>
        <v>70</v>
      </c>
      <c r="N248" s="54">
        <f t="shared" si="227"/>
        <v>51441</v>
      </c>
      <c r="O248" s="8">
        <f t="shared" si="207"/>
        <v>221</v>
      </c>
      <c r="P248" s="8"/>
      <c r="Q248" s="11">
        <f>IF(O248&lt;&gt;"",ROUND(IF($F$11="raty równe",-PMT(W248/12,$F$4-O247+SUM($P$28:P248),T247,2),R248+S248),2),"")</f>
        <v>3522.09</v>
      </c>
      <c r="R248" s="11">
        <f>IF(O248&lt;&gt;"",IF($F$11="raty malejące",T247/($F$4-O247+SUM($P$28:P248)),IF(Q248-S248&gt;T247,T247,Q248-S248)),"")</f>
        <v>2877.122622908762</v>
      </c>
      <c r="S248" s="11">
        <f t="shared" si="229"/>
        <v>644.96737709123829</v>
      </c>
      <c r="T248" s="9">
        <f t="shared" si="208"/>
        <v>86083.894906917194</v>
      </c>
      <c r="U248" s="10">
        <f t="shared" si="193"/>
        <v>7.0000000000000007E-2</v>
      </c>
      <c r="V248" s="10">
        <f t="shared" si="194"/>
        <v>1.7000000000000001E-2</v>
      </c>
      <c r="W248" s="48">
        <f t="shared" si="209"/>
        <v>8.7000000000000008E-2</v>
      </c>
      <c r="X248" s="11">
        <f t="shared" si="195"/>
        <v>20</v>
      </c>
      <c r="Y248" s="11">
        <f>IF(O248&lt;&gt;"",IF($B$16=listy!$K$8,'RZĄDOWY PROGRAM'!$F$3*'RZĄDOWY PROGRAM'!$F$15,T247*$F$15),"")</f>
        <v>50</v>
      </c>
      <c r="Z248" s="11">
        <f t="shared" si="210"/>
        <v>70</v>
      </c>
      <c r="AB248" s="8">
        <f t="shared" si="211"/>
        <v>221</v>
      </c>
      <c r="AC248" s="8"/>
      <c r="AD248" s="11">
        <f>IF(AB248&lt;&gt;"",ROUND(IF($F$11="raty równe",-PMT(W248/12,$F$4-AB247+SUM($AC$28:AC248),AG247,2),AE248+AF248),2),"")</f>
        <v>3280.4</v>
      </c>
      <c r="AE248" s="11">
        <f>IF(AB248&lt;&gt;"",IF($F$11="raty malejące",AG247/($F$4-AB247+SUM($AC$28:AC247)),MIN(AD248-AF248,AG247)),"")</f>
        <v>2679.6935818546244</v>
      </c>
      <c r="AF248" s="11">
        <f t="shared" si="230"/>
        <v>600.70641814537578</v>
      </c>
      <c r="AG248" s="9">
        <f t="shared" si="228"/>
        <v>80176.364093369615</v>
      </c>
      <c r="AH248" s="11"/>
      <c r="AI248" s="33">
        <f>IF(AB248&lt;&gt;"",ROUND(IF($F$11="raty równe",-PMT(W248/12,($F$4-AB247+SUM($AC$27:AC247)),AG247,2),AG247/($F$4-AB247+SUM($AC$27:AC247))+AG247*W248/12),2),"")</f>
        <v>3280.4</v>
      </c>
      <c r="AJ248" s="33">
        <f t="shared" si="212"/>
        <v>241.69000000000005</v>
      </c>
      <c r="AK248" s="33">
        <f t="shared" si="196"/>
        <v>80780.387751558097</v>
      </c>
      <c r="AL248" s="33">
        <f>IF(AB248&lt;&gt;"",AK248-SUM($AJ$28:AJ248),"")</f>
        <v>29158.827751558048</v>
      </c>
      <c r="AM248" s="11">
        <f t="shared" si="213"/>
        <v>20</v>
      </c>
      <c r="AN248" s="11">
        <f>IF(AB248&lt;&gt;"",IF($B$16=listy!$K$8,'RZĄDOWY PROGRAM'!$F$3*'RZĄDOWY PROGRAM'!$F$15,AG247*$F$15),"")</f>
        <v>50</v>
      </c>
      <c r="AO248" s="11">
        <f t="shared" si="214"/>
        <v>70</v>
      </c>
      <c r="AQ248" s="8">
        <f t="shared" si="215"/>
        <v>221</v>
      </c>
      <c r="AR248" s="8"/>
      <c r="AS248" s="78">
        <f>IF(AQ248&lt;&gt;"",ROUND(IF($F$11="raty równe",-PMT(W248/12,$F$4-AQ247+SUM($AR$28:AR248),AV247,2),AT248+AU248),2),"")</f>
        <v>3263.82</v>
      </c>
      <c r="AT248" s="78">
        <f>IF(AQ248&lt;&gt;"",IF($F$11="raty malejące",AV247/($F$4-AQ247+SUM($AR$28:AR247)),MIN(AS248-AU248,AV247)),"")</f>
        <v>2666.1480032860554</v>
      </c>
      <c r="AU248" s="78">
        <f t="shared" si="216"/>
        <v>597.67199671394474</v>
      </c>
      <c r="AV248" s="79">
        <f t="shared" si="217"/>
        <v>79771.36878484425</v>
      </c>
      <c r="AW248" s="11"/>
      <c r="AX248" s="33">
        <f>IF(AQ248&lt;&gt;"",ROUND(IF($F$11="raty równe",-PMT(W248/12,($F$4-AQ247+SUM($AR$27:AR247)),AV247,2),AV247/($F$4-AQ247+SUM($AR$27:AR247))+AV247*W248/12),2),"")</f>
        <v>3263.82</v>
      </c>
      <c r="AY248" s="33">
        <f t="shared" si="218"/>
        <v>258.27</v>
      </c>
      <c r="AZ248" s="33">
        <f t="shared" si="233"/>
        <v>81255.0636651471</v>
      </c>
      <c r="BA248" s="33">
        <f>IF(AQ248&lt;&gt;"",AZ248-SUM($AY$44:AY248),"")</f>
        <v>28309.723665147307</v>
      </c>
      <c r="BB248" s="11">
        <f t="shared" si="219"/>
        <v>20</v>
      </c>
      <c r="BC248" s="11">
        <f>IF(AQ248&lt;&gt;"",IF($B$16=listy!$K$8,'RZĄDOWY PROGRAM'!$F$3*'RZĄDOWY PROGRAM'!$F$15,AV247*$F$15),"")</f>
        <v>50</v>
      </c>
      <c r="BD248" s="11">
        <f t="shared" si="220"/>
        <v>70</v>
      </c>
      <c r="BF248" s="8" t="str">
        <f t="shared" si="237"/>
        <v/>
      </c>
      <c r="BG248" s="8"/>
      <c r="BH248" s="78" t="str">
        <f>IF(BF248&lt;&gt;"",ROUND(IF($F$11="raty równe",-PMT(W248/12,$F$4-BF247+SUM(BV$28:$BV248)-SUM($BM$29:BM248),BK247,2),BI248+BJ248),2),"")</f>
        <v/>
      </c>
      <c r="BI248" s="78" t="str">
        <f>IF(BF248&lt;&gt;"",IF($F$11="raty malejące",MIN(BK247/($F$4-BF247+SUM($BG$27:BG248)-SUM($BM$27:BM248)),BK247),MIN(BH248-BJ248,BK247)),"")</f>
        <v/>
      </c>
      <c r="BJ248" s="78" t="str">
        <f t="shared" si="238"/>
        <v/>
      </c>
      <c r="BK248" s="79" t="str">
        <f t="shared" si="239"/>
        <v/>
      </c>
      <c r="BL248" s="11"/>
      <c r="BM248" s="33"/>
      <c r="BN248" s="33">
        <f t="shared" si="234"/>
        <v>3522.09</v>
      </c>
      <c r="BO248" s="33">
        <f t="shared" si="235"/>
        <v>39515.741803862067</v>
      </c>
      <c r="BP248" s="33">
        <f>IF(O248&lt;&gt;"",BO248-SUM($BN$44:BN248),"")</f>
        <v>772.77180386206601</v>
      </c>
      <c r="BQ248" s="11" t="str">
        <f t="shared" si="240"/>
        <v/>
      </c>
      <c r="BR248" s="11" t="str">
        <f>IF(BF248&lt;&gt;"",IF($B$16=listy!$K$8,'RZĄDOWY PROGRAM'!$F$3*'RZĄDOWY PROGRAM'!$F$15,BK247*$F$15),"")</f>
        <v/>
      </c>
      <c r="BS248" s="11" t="str">
        <f t="shared" si="241"/>
        <v/>
      </c>
      <c r="BU248" s="8" t="str">
        <f t="shared" si="224"/>
        <v/>
      </c>
      <c r="BV248" s="8"/>
      <c r="BW248" s="78" t="str">
        <f>IF(BU248&lt;&gt;"",ROUND(IF($F$11="raty równe",-PMT(W248/12,$F$4-BU247+SUM($BV$28:BV248)-$CB$43,BZ247,2),BX248+BY248),2),"")</f>
        <v/>
      </c>
      <c r="BX248" s="78" t="str">
        <f>IF(BU248&lt;&gt;"",IF($F$11="raty malejące",MIN(BZ247/($F$4-BU247+SUM($BV$28:BV247)-SUM($CB$28:CB247)),BZ247),MIN(BW248-BY248,BZ247)),"")</f>
        <v/>
      </c>
      <c r="BY248" s="78" t="str">
        <f t="shared" si="245"/>
        <v/>
      </c>
      <c r="BZ248" s="79" t="str">
        <f t="shared" si="231"/>
        <v/>
      </c>
      <c r="CA248" s="11"/>
      <c r="CB248" s="33"/>
      <c r="CC248" s="33">
        <f t="shared" si="225"/>
        <v>3522.09</v>
      </c>
      <c r="CD248" s="33">
        <f t="shared" si="236"/>
        <v>39516.450680817579</v>
      </c>
      <c r="CE248" s="33">
        <f>IF(O248&lt;&gt;"",CD248-SUM($CC$44:CC248),"")</f>
        <v>773.1406808175816</v>
      </c>
      <c r="CF248" s="11" t="str">
        <f t="shared" si="246"/>
        <v/>
      </c>
      <c r="CG248" s="11" t="str">
        <f>IF(BU248&lt;&gt;"",IF($B$16=listy!$K$8,'RZĄDOWY PROGRAM'!$F$3*'RZĄDOWY PROGRAM'!$F$15,BZ247*$F$15),"")</f>
        <v/>
      </c>
      <c r="CH248" s="11" t="str">
        <f t="shared" si="247"/>
        <v/>
      </c>
      <c r="CJ248" s="48">
        <f t="shared" si="201"/>
        <v>0.06</v>
      </c>
      <c r="CK248" s="18">
        <f t="shared" si="202"/>
        <v>4.8675505653430484E-3</v>
      </c>
      <c r="CL248" s="11">
        <f t="shared" si="232"/>
        <v>0</v>
      </c>
      <c r="CM248" s="11">
        <f t="shared" si="203"/>
        <v>65286.412247243941</v>
      </c>
      <c r="CN248" s="11">
        <f>IF(AB248&lt;&gt;"",CM248-SUM($CL$28:CL248),"")</f>
        <v>37109.652247243946</v>
      </c>
    </row>
    <row r="249" spans="1:92" x14ac:dyDescent="0.45">
      <c r="A249" s="68">
        <f t="shared" si="226"/>
        <v>51471</v>
      </c>
      <c r="B249" s="8">
        <f t="shared" si="186"/>
        <v>222</v>
      </c>
      <c r="C249" s="11">
        <f t="shared" si="187"/>
        <v>3522.1</v>
      </c>
      <c r="D249" s="11">
        <f t="shared" si="188"/>
        <v>3070.4025150568855</v>
      </c>
      <c r="E249" s="11">
        <f t="shared" si="189"/>
        <v>451.69748494311426</v>
      </c>
      <c r="F249" s="9">
        <f t="shared" si="204"/>
        <v>59232.698856407151</v>
      </c>
      <c r="G249" s="10">
        <f t="shared" si="190"/>
        <v>7.0000000000000007E-2</v>
      </c>
      <c r="H249" s="10">
        <f t="shared" si="191"/>
        <v>1.7000000000000001E-2</v>
      </c>
      <c r="I249" s="48">
        <f t="shared" si="205"/>
        <v>8.7000000000000008E-2</v>
      </c>
      <c r="J249" s="11">
        <f t="shared" si="192"/>
        <v>20</v>
      </c>
      <c r="K249" s="11">
        <f>IF(B249&lt;&gt;"",IF($B$16=listy!$K$8,'RZĄDOWY PROGRAM'!$F$3*'RZĄDOWY PROGRAM'!$F$15,F248*$F$15),"")</f>
        <v>50</v>
      </c>
      <c r="L249" s="11">
        <f t="shared" si="206"/>
        <v>70</v>
      </c>
      <c r="N249" s="54">
        <f t="shared" si="227"/>
        <v>51471</v>
      </c>
      <c r="O249" s="8">
        <f t="shared" si="207"/>
        <v>222</v>
      </c>
      <c r="P249" s="8"/>
      <c r="Q249" s="11">
        <f>IF(O249&lt;&gt;"",ROUND(IF($F$11="raty równe",-PMT(W249/12,$F$4-O248+SUM($P$28:P249),T248,2),R249+S249),2),"")</f>
        <v>3522.1</v>
      </c>
      <c r="R249" s="11">
        <f>IF(O249&lt;&gt;"",IF($F$11="raty malejące",T248/($F$4-O248+SUM($P$28:P249)),IF(Q249-S249&gt;T248,T248,Q249-S249)),"")</f>
        <v>2897.9917619248504</v>
      </c>
      <c r="S249" s="11">
        <f t="shared" si="229"/>
        <v>624.10823807514964</v>
      </c>
      <c r="T249" s="9">
        <f t="shared" si="208"/>
        <v>83185.90314499235</v>
      </c>
      <c r="U249" s="10">
        <f t="shared" si="193"/>
        <v>7.0000000000000007E-2</v>
      </c>
      <c r="V249" s="10">
        <f t="shared" si="194"/>
        <v>1.7000000000000001E-2</v>
      </c>
      <c r="W249" s="48">
        <f t="shared" si="209"/>
        <v>8.7000000000000008E-2</v>
      </c>
      <c r="X249" s="11">
        <f t="shared" si="195"/>
        <v>20</v>
      </c>
      <c r="Y249" s="11">
        <f>IF(O249&lt;&gt;"",IF($B$16=listy!$K$8,'RZĄDOWY PROGRAM'!$F$3*'RZĄDOWY PROGRAM'!$F$15,T248*$F$15),"")</f>
        <v>50</v>
      </c>
      <c r="Z249" s="11">
        <f t="shared" si="210"/>
        <v>70</v>
      </c>
      <c r="AB249" s="8">
        <f t="shared" si="211"/>
        <v>222</v>
      </c>
      <c r="AC249" s="8"/>
      <c r="AD249" s="11">
        <f>IF(AB249&lt;&gt;"",ROUND(IF($F$11="raty równe",-PMT(W249/12,$F$4-AB248+SUM($AC$28:AC249),AG248,2),AE249+AF249),2),"")</f>
        <v>3280.39</v>
      </c>
      <c r="AE249" s="11">
        <f>IF(AB249&lt;&gt;"",IF($F$11="raty malejące",AG248/($F$4-AB248+SUM($AC$28:AC248)),MIN(AD249-AF249,AG248)),"")</f>
        <v>2699.1113603230701</v>
      </c>
      <c r="AF249" s="11">
        <f t="shared" si="230"/>
        <v>581.27863967692974</v>
      </c>
      <c r="AG249" s="9">
        <f t="shared" si="228"/>
        <v>77477.252733046538</v>
      </c>
      <c r="AH249" s="11"/>
      <c r="AI249" s="33">
        <f>IF(AB249&lt;&gt;"",ROUND(IF($F$11="raty równe",-PMT(W249/12,($F$4-AB248+SUM($AC$27:AC248)),AG248,2),AG248/($F$4-AB248+SUM($AC$27:AC248))+AG248*W249/12),2),"")</f>
        <v>3280.39</v>
      </c>
      <c r="AJ249" s="33">
        <f t="shared" si="212"/>
        <v>241.71000000000004</v>
      </c>
      <c r="AK249" s="33">
        <f t="shared" si="196"/>
        <v>81340.591875433776</v>
      </c>
      <c r="AL249" s="33">
        <f>IF(AB249&lt;&gt;"",AK249-SUM($AJ$28:AJ249),"")</f>
        <v>29477.321875433729</v>
      </c>
      <c r="AM249" s="11">
        <f t="shared" si="213"/>
        <v>20</v>
      </c>
      <c r="AN249" s="11">
        <f>IF(AB249&lt;&gt;"",IF($B$16=listy!$K$8,'RZĄDOWY PROGRAM'!$F$3*'RZĄDOWY PROGRAM'!$F$15,AG248*$F$15),"")</f>
        <v>50</v>
      </c>
      <c r="AO249" s="11">
        <f t="shared" si="214"/>
        <v>70</v>
      </c>
      <c r="AQ249" s="8">
        <f t="shared" si="215"/>
        <v>222</v>
      </c>
      <c r="AR249" s="8"/>
      <c r="AS249" s="78">
        <f>IF(AQ249&lt;&gt;"",ROUND(IF($F$11="raty równe",-PMT(W249/12,$F$4-AQ248+SUM($AR$28:AR249),AV248,2),AT249+AU249),2),"")</f>
        <v>3263.83</v>
      </c>
      <c r="AT249" s="78">
        <f>IF(AQ249&lt;&gt;"",IF($F$11="raty malejące",AV248/($F$4-AQ248+SUM($AR$28:AR248)),MIN(AS249-AU249,AV248)),"")</f>
        <v>2685.4875763098789</v>
      </c>
      <c r="AU249" s="78">
        <f t="shared" si="216"/>
        <v>578.34242369012088</v>
      </c>
      <c r="AV249" s="79">
        <f t="shared" si="217"/>
        <v>77085.881208534367</v>
      </c>
      <c r="AW249" s="11"/>
      <c r="AX249" s="33">
        <f>IF(AQ249&lt;&gt;"",ROUND(IF($F$11="raty równe",-PMT(W249/12,($F$4-AQ248+SUM($AR$27:AR248)),AV248,2),AV248/($F$4-AQ248+SUM($AR$27:AR248))+AV248*W249/12),2),"")</f>
        <v>3263.83</v>
      </c>
      <c r="AY249" s="33">
        <f t="shared" si="218"/>
        <v>258.27</v>
      </c>
      <c r="AZ249" s="33">
        <f t="shared" si="233"/>
        <v>81833.699301322136</v>
      </c>
      <c r="BA249" s="33">
        <f>IF(AQ249&lt;&gt;"",AZ249-SUM($AY$44:AY249),"")</f>
        <v>28630.089301322347</v>
      </c>
      <c r="BB249" s="11">
        <f t="shared" si="219"/>
        <v>20</v>
      </c>
      <c r="BC249" s="11">
        <f>IF(AQ249&lt;&gt;"",IF($B$16=listy!$K$8,'RZĄDOWY PROGRAM'!$F$3*'RZĄDOWY PROGRAM'!$F$15,AV248*$F$15),"")</f>
        <v>50</v>
      </c>
      <c r="BD249" s="11">
        <f t="shared" si="220"/>
        <v>70</v>
      </c>
      <c r="BF249" s="8" t="str">
        <f t="shared" si="237"/>
        <v/>
      </c>
      <c r="BG249" s="8"/>
      <c r="BH249" s="78" t="str">
        <f>IF(BF249&lt;&gt;"",ROUND(IF($F$11="raty równe",-PMT(W249/12,$F$4-BF248+SUM(BV$28:$BV249)-SUM($BM$29:BM249),BK248,2),BI249+BJ249),2),"")</f>
        <v/>
      </c>
      <c r="BI249" s="78" t="str">
        <f>IF(BF249&lt;&gt;"",IF($F$11="raty malejące",MIN(BK248/($F$4-BF248+SUM($BG$27:BG249)-SUM($BM$27:BM249)),BK248),MIN(BH249-BJ249,BK248)),"")</f>
        <v/>
      </c>
      <c r="BJ249" s="78" t="str">
        <f t="shared" si="238"/>
        <v/>
      </c>
      <c r="BK249" s="79" t="str">
        <f t="shared" si="239"/>
        <v/>
      </c>
      <c r="BL249" s="11"/>
      <c r="BM249" s="33"/>
      <c r="BN249" s="33">
        <f t="shared" si="234"/>
        <v>3522.1</v>
      </c>
      <c r="BO249" s="33">
        <f t="shared" si="235"/>
        <v>43193.641149661511</v>
      </c>
      <c r="BP249" s="33">
        <f>IF(O249&lt;&gt;"",BO249-SUM($BN$44:BN249),"")</f>
        <v>928.5711496615113</v>
      </c>
      <c r="BQ249" s="11" t="str">
        <f t="shared" si="240"/>
        <v/>
      </c>
      <c r="BR249" s="11" t="str">
        <f>IF(BF249&lt;&gt;"",IF($B$16=listy!$K$8,'RZĄDOWY PROGRAM'!$F$3*'RZĄDOWY PROGRAM'!$F$15,BK248*$F$15),"")</f>
        <v/>
      </c>
      <c r="BS249" s="11" t="str">
        <f t="shared" si="241"/>
        <v/>
      </c>
      <c r="BU249" s="8" t="str">
        <f t="shared" si="224"/>
        <v/>
      </c>
      <c r="BV249" s="8"/>
      <c r="BW249" s="78" t="str">
        <f>IF(BU249&lt;&gt;"",ROUND(IF($F$11="raty równe",-PMT(W249/12,$F$4-BU248+SUM($BV$28:BV249)-$CB$43,BZ248,2),BX249+BY249),2),"")</f>
        <v/>
      </c>
      <c r="BX249" s="78" t="str">
        <f>IF(BU249&lt;&gt;"",IF($F$11="raty malejące",MIN(BZ248/($F$4-BU248+SUM($BV$28:BV248)-SUM($CB$28:CB248)),BZ248),MIN(BW249-BY249,BZ248)),"")</f>
        <v/>
      </c>
      <c r="BY249" s="78" t="str">
        <f t="shared" si="245"/>
        <v/>
      </c>
      <c r="BZ249" s="79" t="str">
        <f t="shared" si="231"/>
        <v/>
      </c>
      <c r="CA249" s="11"/>
      <c r="CB249" s="33"/>
      <c r="CC249" s="33">
        <f t="shared" si="225"/>
        <v>3522.1</v>
      </c>
      <c r="CD249" s="33">
        <f t="shared" si="236"/>
        <v>43194.35282151751</v>
      </c>
      <c r="CE249" s="33">
        <f>IF(O249&lt;&gt;"",CD249-SUM($CC$44:CC249),"")</f>
        <v>928.94282151751395</v>
      </c>
      <c r="CF249" s="11" t="str">
        <f t="shared" si="246"/>
        <v/>
      </c>
      <c r="CG249" s="11" t="str">
        <f>IF(BU249&lt;&gt;"",IF($B$16=listy!$K$8,'RZĄDOWY PROGRAM'!$F$3*'RZĄDOWY PROGRAM'!$F$15,BZ248*$F$15),"")</f>
        <v/>
      </c>
      <c r="CH249" s="11" t="str">
        <f t="shared" si="247"/>
        <v/>
      </c>
      <c r="CJ249" s="48">
        <f t="shared" si="201"/>
        <v>0.06</v>
      </c>
      <c r="CK249" s="18">
        <f t="shared" si="202"/>
        <v>4.8675505653430484E-3</v>
      </c>
      <c r="CL249" s="11">
        <f t="shared" si="232"/>
        <v>0</v>
      </c>
      <c r="CM249" s="11">
        <f t="shared" si="203"/>
        <v>65543.818026647015</v>
      </c>
      <c r="CN249" s="11">
        <f>IF(AB249&lt;&gt;"",CM249-SUM($CL$28:CL249),"")</f>
        <v>37367.058026647021</v>
      </c>
    </row>
    <row r="250" spans="1:92" x14ac:dyDescent="0.45">
      <c r="A250" s="68">
        <f t="shared" si="226"/>
        <v>51502</v>
      </c>
      <c r="B250" s="8">
        <f t="shared" si="186"/>
        <v>223</v>
      </c>
      <c r="C250" s="11">
        <f t="shared" si="187"/>
        <v>3522.09</v>
      </c>
      <c r="D250" s="11">
        <f t="shared" si="188"/>
        <v>3092.6529332910482</v>
      </c>
      <c r="E250" s="11">
        <f t="shared" si="189"/>
        <v>429.43706670895193</v>
      </c>
      <c r="F250" s="9">
        <f t="shared" si="204"/>
        <v>56140.0459231161</v>
      </c>
      <c r="G250" s="10">
        <f t="shared" si="190"/>
        <v>7.0000000000000007E-2</v>
      </c>
      <c r="H250" s="10">
        <f t="shared" si="191"/>
        <v>1.7000000000000001E-2</v>
      </c>
      <c r="I250" s="48">
        <f t="shared" si="205"/>
        <v>8.7000000000000008E-2</v>
      </c>
      <c r="J250" s="11">
        <f t="shared" si="192"/>
        <v>20</v>
      </c>
      <c r="K250" s="11">
        <f>IF(B250&lt;&gt;"",IF($B$16=listy!$K$8,'RZĄDOWY PROGRAM'!$F$3*'RZĄDOWY PROGRAM'!$F$15,F249*$F$15),"")</f>
        <v>50</v>
      </c>
      <c r="L250" s="11">
        <f t="shared" si="206"/>
        <v>70</v>
      </c>
      <c r="N250" s="54">
        <f t="shared" si="227"/>
        <v>51502</v>
      </c>
      <c r="O250" s="8">
        <f t="shared" si="207"/>
        <v>223</v>
      </c>
      <c r="P250" s="8"/>
      <c r="Q250" s="11">
        <f>IF(O250&lt;&gt;"",ROUND(IF($F$11="raty równe",-PMT(W250/12,$F$4-O249+SUM($P$28:P250),T249,2),R250+S250),2),"")</f>
        <v>3522.09</v>
      </c>
      <c r="R250" s="11">
        <f>IF(O250&lt;&gt;"",IF($F$11="raty malejące",T249/($F$4-O249+SUM($P$28:P250)),IF(Q250-S250&gt;T249,T249,Q250-S250)),"")</f>
        <v>2918.9922021988054</v>
      </c>
      <c r="S250" s="11">
        <f t="shared" si="229"/>
        <v>603.09779780119459</v>
      </c>
      <c r="T250" s="9">
        <f t="shared" si="208"/>
        <v>80266.910942793547</v>
      </c>
      <c r="U250" s="10">
        <f t="shared" si="193"/>
        <v>7.0000000000000007E-2</v>
      </c>
      <c r="V250" s="10">
        <f t="shared" si="194"/>
        <v>1.7000000000000001E-2</v>
      </c>
      <c r="W250" s="48">
        <f t="shared" si="209"/>
        <v>8.7000000000000008E-2</v>
      </c>
      <c r="X250" s="11">
        <f t="shared" si="195"/>
        <v>20</v>
      </c>
      <c r="Y250" s="11">
        <f>IF(O250&lt;&gt;"",IF($B$16=listy!$K$8,'RZĄDOWY PROGRAM'!$F$3*'RZĄDOWY PROGRAM'!$F$15,T249*$F$15),"")</f>
        <v>50</v>
      </c>
      <c r="Z250" s="11">
        <f t="shared" si="210"/>
        <v>70</v>
      </c>
      <c r="AB250" s="8">
        <f t="shared" si="211"/>
        <v>223</v>
      </c>
      <c r="AC250" s="8"/>
      <c r="AD250" s="11">
        <f>IF(AB250&lt;&gt;"",ROUND(IF($F$11="raty równe",-PMT(W250/12,$F$4-AB249+SUM($AC$28:AC250),AG249,2),AE250+AF250),2),"")</f>
        <v>3280.4</v>
      </c>
      <c r="AE250" s="11">
        <f>IF(AB250&lt;&gt;"",IF($F$11="raty malejące",AG249/($F$4-AB249+SUM($AC$28:AC249)),MIN(AD250-AF250,AG249)),"")</f>
        <v>2718.6899176854126</v>
      </c>
      <c r="AF250" s="11">
        <f t="shared" si="230"/>
        <v>561.71008231458745</v>
      </c>
      <c r="AG250" s="9">
        <f t="shared" si="228"/>
        <v>74758.562815361132</v>
      </c>
      <c r="AH250" s="11"/>
      <c r="AI250" s="33">
        <f>IF(AB250&lt;&gt;"",ROUND(IF($F$11="raty równe",-PMT(W250/12,($F$4-AB249+SUM($AC$27:AC249)),AG249,2),AG249/($F$4-AB249+SUM($AC$27:AC249))+AG249*W250/12),2),"")</f>
        <v>3280.4</v>
      </c>
      <c r="AJ250" s="33">
        <f t="shared" si="212"/>
        <v>241.69000000000005</v>
      </c>
      <c r="AK250" s="33">
        <f t="shared" si="196"/>
        <v>81902.984725048358</v>
      </c>
      <c r="AL250" s="33">
        <f>IF(AB250&lt;&gt;"",AK250-SUM($AJ$28:AJ250),"")</f>
        <v>29798.024725048308</v>
      </c>
      <c r="AM250" s="11">
        <f t="shared" si="213"/>
        <v>20</v>
      </c>
      <c r="AN250" s="11">
        <f>IF(AB250&lt;&gt;"",IF($B$16=listy!$K$8,'RZĄDOWY PROGRAM'!$F$3*'RZĄDOWY PROGRAM'!$F$15,AG249*$F$15),"")</f>
        <v>50</v>
      </c>
      <c r="AO250" s="11">
        <f t="shared" si="214"/>
        <v>70</v>
      </c>
      <c r="AQ250" s="8">
        <f t="shared" si="215"/>
        <v>223</v>
      </c>
      <c r="AR250" s="8"/>
      <c r="AS250" s="78">
        <f>IF(AQ250&lt;&gt;"",ROUND(IF($F$11="raty równe",-PMT(W250/12,$F$4-AQ249+SUM($AR$28:AR250),AV249,2),AT250+AU250),2),"")</f>
        <v>3263.82</v>
      </c>
      <c r="AT250" s="78">
        <f>IF(AQ250&lt;&gt;"",IF($F$11="raty malejące",AV249/($F$4-AQ249+SUM($AR$28:AR249)),MIN(AS250-AU250,AV249)),"")</f>
        <v>2704.9473612381262</v>
      </c>
      <c r="AU250" s="78">
        <f t="shared" si="216"/>
        <v>558.87263876187421</v>
      </c>
      <c r="AV250" s="79">
        <f t="shared" si="217"/>
        <v>74380.933847296241</v>
      </c>
      <c r="AW250" s="11"/>
      <c r="AX250" s="33">
        <f>IF(AQ250&lt;&gt;"",ROUND(IF($F$11="raty równe",-PMT(W250/12,($F$4-AQ249+SUM($AR$27:AR249)),AV249,2),AV249/($F$4-AQ249+SUM($AR$27:AR249))+AV249*W250/12),2),"")</f>
        <v>3263.82</v>
      </c>
      <c r="AY250" s="33">
        <f t="shared" si="218"/>
        <v>258.27</v>
      </c>
      <c r="AZ250" s="33">
        <f t="shared" si="233"/>
        <v>82414.616333453741</v>
      </c>
      <c r="BA250" s="33">
        <f>IF(AQ250&lt;&gt;"",AZ250-SUM($AY$44:AY250),"")</f>
        <v>28952.736333453955</v>
      </c>
      <c r="BB250" s="11">
        <f t="shared" si="219"/>
        <v>20</v>
      </c>
      <c r="BC250" s="11">
        <f>IF(AQ250&lt;&gt;"",IF($B$16=listy!$K$8,'RZĄDOWY PROGRAM'!$F$3*'RZĄDOWY PROGRAM'!$F$15,AV249*$F$15),"")</f>
        <v>50</v>
      </c>
      <c r="BD250" s="11">
        <f t="shared" si="220"/>
        <v>70</v>
      </c>
      <c r="BF250" s="8" t="str">
        <f t="shared" si="237"/>
        <v/>
      </c>
      <c r="BG250" s="8"/>
      <c r="BH250" s="78" t="str">
        <f>IF(BF250&lt;&gt;"",ROUND(IF($F$11="raty równe",-PMT(W250/12,$F$4-BF249+SUM(BV$28:$BV250)-SUM($BM$29:BM250),BK249,2),BI250+BJ250),2),"")</f>
        <v/>
      </c>
      <c r="BI250" s="78" t="str">
        <f>IF(BF250&lt;&gt;"",IF($F$11="raty malejące",MIN(BK249/($F$4-BF249+SUM($BG$27:BG250)-SUM($BM$27:BM250)),BK249),MIN(BH250-BJ250,BK249)),"")</f>
        <v/>
      </c>
      <c r="BJ250" s="78" t="str">
        <f t="shared" si="238"/>
        <v/>
      </c>
      <c r="BK250" s="79" t="str">
        <f t="shared" si="239"/>
        <v/>
      </c>
      <c r="BL250" s="11"/>
      <c r="BM250" s="33"/>
      <c r="BN250" s="33">
        <f t="shared" si="234"/>
        <v>3522.09</v>
      </c>
      <c r="BO250" s="33">
        <f t="shared" si="235"/>
        <v>46886.031407903298</v>
      </c>
      <c r="BP250" s="33">
        <f>IF(O250&lt;&gt;"",BO250-SUM($BN$44:BN250),"")</f>
        <v>1098.8714079032943</v>
      </c>
      <c r="BQ250" s="11" t="str">
        <f t="shared" si="240"/>
        <v/>
      </c>
      <c r="BR250" s="11" t="str">
        <f>IF(BF250&lt;&gt;"",IF($B$16=listy!$K$8,'RZĄDOWY PROGRAM'!$F$3*'RZĄDOWY PROGRAM'!$F$15,BK249*$F$15),"")</f>
        <v/>
      </c>
      <c r="BS250" s="11" t="str">
        <f t="shared" si="241"/>
        <v/>
      </c>
      <c r="BU250" s="8" t="str">
        <f t="shared" si="224"/>
        <v/>
      </c>
      <c r="BV250" s="8"/>
      <c r="BW250" s="78" t="str">
        <f>IF(BU250&lt;&gt;"",ROUND(IF($F$11="raty równe",-PMT(W250/12,$F$4-BU249+SUM($BV$28:BV250)-$CB$43,BZ249,2),BX250+BY250),2),"")</f>
        <v/>
      </c>
      <c r="BX250" s="78" t="str">
        <f>IF(BU250&lt;&gt;"",IF($F$11="raty malejące",MIN(BZ249/($F$4-BU249+SUM($BV$28:BV249)-SUM($CB$28:CB249)),BZ249),MIN(BW250-BY250,BZ249)),"")</f>
        <v/>
      </c>
      <c r="BY250" s="78" t="str">
        <f t="shared" si="245"/>
        <v/>
      </c>
      <c r="BZ250" s="79" t="str">
        <f t="shared" si="231"/>
        <v/>
      </c>
      <c r="CA250" s="11"/>
      <c r="CB250" s="33"/>
      <c r="CC250" s="33">
        <f t="shared" si="225"/>
        <v>3522.09</v>
      </c>
      <c r="CD250" s="33">
        <f t="shared" si="236"/>
        <v>46886.74588567928</v>
      </c>
      <c r="CE250" s="33">
        <f>IF(O250&lt;&gt;"",CD250-SUM($CC$44:CC250),"")</f>
        <v>1099.24588567928</v>
      </c>
      <c r="CF250" s="11" t="str">
        <f t="shared" si="246"/>
        <v/>
      </c>
      <c r="CG250" s="11" t="str">
        <f>IF(BU250&lt;&gt;"",IF($B$16=listy!$K$8,'RZĄDOWY PROGRAM'!$F$3*'RZĄDOWY PROGRAM'!$F$15,BZ249*$F$15),"")</f>
        <v/>
      </c>
      <c r="CH250" s="11" t="str">
        <f t="shared" si="247"/>
        <v/>
      </c>
      <c r="CJ250" s="48">
        <f t="shared" si="201"/>
        <v>0.06</v>
      </c>
      <c r="CK250" s="18">
        <f t="shared" si="202"/>
        <v>4.8675505653430484E-3</v>
      </c>
      <c r="CL250" s="11">
        <f t="shared" si="232"/>
        <v>0</v>
      </c>
      <c r="CM250" s="11">
        <f t="shared" si="203"/>
        <v>65802.238683924195</v>
      </c>
      <c r="CN250" s="11">
        <f>IF(AB250&lt;&gt;"",CM250-SUM($CL$28:CL250),"")</f>
        <v>37625.478683924201</v>
      </c>
    </row>
    <row r="251" spans="1:92" x14ac:dyDescent="0.45">
      <c r="A251" s="68">
        <f t="shared" si="226"/>
        <v>51533</v>
      </c>
      <c r="B251" s="8">
        <f t="shared" si="186"/>
        <v>224</v>
      </c>
      <c r="C251" s="11">
        <f t="shared" si="187"/>
        <v>3522.1</v>
      </c>
      <c r="D251" s="11">
        <f t="shared" si="188"/>
        <v>3115.0846670574083</v>
      </c>
      <c r="E251" s="11">
        <f t="shared" si="189"/>
        <v>407.01533294259178</v>
      </c>
      <c r="F251" s="9">
        <f t="shared" si="204"/>
        <v>53024.96125605869</v>
      </c>
      <c r="G251" s="10">
        <f t="shared" si="190"/>
        <v>7.0000000000000007E-2</v>
      </c>
      <c r="H251" s="10">
        <f t="shared" si="191"/>
        <v>1.7000000000000001E-2</v>
      </c>
      <c r="I251" s="48">
        <f t="shared" si="205"/>
        <v>8.7000000000000008E-2</v>
      </c>
      <c r="J251" s="11">
        <f t="shared" si="192"/>
        <v>20</v>
      </c>
      <c r="K251" s="11">
        <f>IF(B251&lt;&gt;"",IF($B$16=listy!$K$8,'RZĄDOWY PROGRAM'!$F$3*'RZĄDOWY PROGRAM'!$F$15,F250*$F$15),"")</f>
        <v>50</v>
      </c>
      <c r="L251" s="11">
        <f t="shared" si="206"/>
        <v>70</v>
      </c>
      <c r="N251" s="54">
        <f t="shared" si="227"/>
        <v>51533</v>
      </c>
      <c r="O251" s="8">
        <f t="shared" si="207"/>
        <v>224</v>
      </c>
      <c r="P251" s="8"/>
      <c r="Q251" s="11">
        <f>IF(O251&lt;&gt;"",ROUND(IF($F$11="raty równe",-PMT(W251/12,$F$4-O250+SUM($P$28:P251),T250,2),R251+S251),2),"")</f>
        <v>3522.1</v>
      </c>
      <c r="R251" s="11">
        <f>IF(O251&lt;&gt;"",IF($F$11="raty malejące",T250/($F$4-O250+SUM($P$28:P251)),IF(Q251-S251&gt;T250,T250,Q251-S251)),"")</f>
        <v>2940.1648956647468</v>
      </c>
      <c r="S251" s="11">
        <f t="shared" si="229"/>
        <v>581.9351043352533</v>
      </c>
      <c r="T251" s="9">
        <f t="shared" si="208"/>
        <v>77326.746047128807</v>
      </c>
      <c r="U251" s="10">
        <f t="shared" si="193"/>
        <v>7.0000000000000007E-2</v>
      </c>
      <c r="V251" s="10">
        <f t="shared" si="194"/>
        <v>1.7000000000000001E-2</v>
      </c>
      <c r="W251" s="48">
        <f t="shared" si="209"/>
        <v>8.7000000000000008E-2</v>
      </c>
      <c r="X251" s="11">
        <f t="shared" si="195"/>
        <v>20</v>
      </c>
      <c r="Y251" s="11">
        <f>IF(O251&lt;&gt;"",IF($B$16=listy!$K$8,'RZĄDOWY PROGRAM'!$F$3*'RZĄDOWY PROGRAM'!$F$15,T250*$F$15),"")</f>
        <v>50</v>
      </c>
      <c r="Z251" s="11">
        <f t="shared" si="210"/>
        <v>70</v>
      </c>
      <c r="AB251" s="8">
        <f t="shared" si="211"/>
        <v>224</v>
      </c>
      <c r="AC251" s="8"/>
      <c r="AD251" s="11">
        <f>IF(AB251&lt;&gt;"",ROUND(IF($F$11="raty równe",-PMT(W251/12,$F$4-AB250+SUM($AC$28:AC251),AG250,2),AE251+AF251),2),"")</f>
        <v>3280.39</v>
      </c>
      <c r="AE251" s="11">
        <f>IF(AB251&lt;&gt;"",IF($F$11="raty malejące",AG250/($F$4-AB250+SUM($AC$28:AC250)),MIN(AD251-AF251,AG250)),"")</f>
        <v>2738.3904195886316</v>
      </c>
      <c r="AF251" s="11">
        <f t="shared" si="230"/>
        <v>541.99958041136824</v>
      </c>
      <c r="AG251" s="9">
        <f t="shared" si="228"/>
        <v>72020.172395772504</v>
      </c>
      <c r="AH251" s="11"/>
      <c r="AI251" s="33">
        <f>IF(AB251&lt;&gt;"",ROUND(IF($F$11="raty równe",-PMT(W251/12,($F$4-AB250+SUM($AC$27:AC250)),AG250,2),AG250/($F$4-AB250+SUM($AC$27:AC250))+AG250*W251/12),2),"")</f>
        <v>3280.39</v>
      </c>
      <c r="AJ251" s="33">
        <f t="shared" si="212"/>
        <v>241.71000000000004</v>
      </c>
      <c r="AK251" s="33">
        <f t="shared" si="196"/>
        <v>82467.614929925738</v>
      </c>
      <c r="AL251" s="33">
        <f>IF(AB251&lt;&gt;"",AK251-SUM($AJ$28:AJ251),"")</f>
        <v>30120.944929925688</v>
      </c>
      <c r="AM251" s="11">
        <f t="shared" si="213"/>
        <v>20</v>
      </c>
      <c r="AN251" s="11">
        <f>IF(AB251&lt;&gt;"",IF($B$16=listy!$K$8,'RZĄDOWY PROGRAM'!$F$3*'RZĄDOWY PROGRAM'!$F$15,AG250*$F$15),"")</f>
        <v>50</v>
      </c>
      <c r="AO251" s="11">
        <f t="shared" si="214"/>
        <v>70</v>
      </c>
      <c r="AQ251" s="8">
        <f t="shared" si="215"/>
        <v>224</v>
      </c>
      <c r="AR251" s="8"/>
      <c r="AS251" s="78">
        <f>IF(AQ251&lt;&gt;"",ROUND(IF($F$11="raty równe",-PMT(W251/12,$F$4-AQ250+SUM($AR$28:AR251),AV250,2),AT251+AU251),2),"")</f>
        <v>3263.83</v>
      </c>
      <c r="AT251" s="78">
        <f>IF(AQ251&lt;&gt;"",IF($F$11="raty malejące",AV250/($F$4-AQ250+SUM($AR$28:AR250)),MIN(AS251-AU251,AV250)),"")</f>
        <v>2724.5682296071022</v>
      </c>
      <c r="AU251" s="78">
        <f t="shared" si="216"/>
        <v>539.2617703928978</v>
      </c>
      <c r="AV251" s="79">
        <f t="shared" si="217"/>
        <v>71656.365617689138</v>
      </c>
      <c r="AW251" s="11"/>
      <c r="AX251" s="33">
        <f>IF(AQ251&lt;&gt;"",ROUND(IF($F$11="raty równe",-PMT(W251/12,($F$4-AQ250+SUM($AR$27:AR250)),AV250,2),AV250/($F$4-AQ250+SUM($AR$27:AR250))+AV250*W251/12),2),"")</f>
        <v>3263.83</v>
      </c>
      <c r="AY251" s="33">
        <f t="shared" si="218"/>
        <v>258.27</v>
      </c>
      <c r="AZ251" s="33">
        <f t="shared" si="233"/>
        <v>82997.823756438156</v>
      </c>
      <c r="BA251" s="33">
        <f>IF(AQ251&lt;&gt;"",AZ251-SUM($AY$44:AY251),"")</f>
        <v>29277.673756438373</v>
      </c>
      <c r="BB251" s="11">
        <f t="shared" si="219"/>
        <v>20</v>
      </c>
      <c r="BC251" s="11">
        <f>IF(AQ251&lt;&gt;"",IF($B$16=listy!$K$8,'RZĄDOWY PROGRAM'!$F$3*'RZĄDOWY PROGRAM'!$F$15,AV250*$F$15),"")</f>
        <v>50</v>
      </c>
      <c r="BD251" s="11">
        <f t="shared" si="220"/>
        <v>70</v>
      </c>
      <c r="BF251" s="8" t="str">
        <f t="shared" si="237"/>
        <v/>
      </c>
      <c r="BG251" s="8"/>
      <c r="BH251" s="78" t="str">
        <f>IF(BF251&lt;&gt;"",ROUND(IF($F$11="raty równe",-PMT(W251/12,$F$4-BF250+SUM(BV$28:$BV251)-SUM($BM$29:BM251),BK250,2),BI251+BJ251),2),"")</f>
        <v/>
      </c>
      <c r="BI251" s="78" t="str">
        <f>IF(BF251&lt;&gt;"",IF($F$11="raty malejące",MIN(BK250/($F$4-BF250+SUM($BG$27:BG251)-SUM($BM$27:BM251)),BK250),MIN(BH251-BJ251,BK250)),"")</f>
        <v/>
      </c>
      <c r="BJ251" s="78" t="str">
        <f t="shared" si="238"/>
        <v/>
      </c>
      <c r="BK251" s="79" t="str">
        <f t="shared" si="239"/>
        <v/>
      </c>
      <c r="BL251" s="11"/>
      <c r="BM251" s="33"/>
      <c r="BN251" s="33">
        <f t="shared" si="234"/>
        <v>3522.1</v>
      </c>
      <c r="BO251" s="33">
        <f t="shared" si="235"/>
        <v>50592.989712139148</v>
      </c>
      <c r="BP251" s="33">
        <f>IF(O251&lt;&gt;"",BO251-SUM($BN$44:BN251),"")</f>
        <v>1283.7297121391457</v>
      </c>
      <c r="BQ251" s="11" t="str">
        <f t="shared" si="240"/>
        <v/>
      </c>
      <c r="BR251" s="11" t="str">
        <f>IF(BF251&lt;&gt;"",IF($B$16=listy!$K$8,'RZĄDOWY PROGRAM'!$F$3*'RZĄDOWY PROGRAM'!$F$15,BK250*$F$15),"")</f>
        <v/>
      </c>
      <c r="BS251" s="11" t="str">
        <f t="shared" si="241"/>
        <v/>
      </c>
      <c r="BU251" s="8" t="str">
        <f t="shared" si="224"/>
        <v/>
      </c>
      <c r="BV251" s="8"/>
      <c r="BW251" s="78" t="str">
        <f>IF(BU251&lt;&gt;"",ROUND(IF($F$11="raty równe",-PMT(W251/12,$F$4-BU250+SUM($BV$28:BV251)-$CB$43,BZ250,2),BX251+BY251),2),"")</f>
        <v/>
      </c>
      <c r="BX251" s="78" t="str">
        <f>IF(BU251&lt;&gt;"",IF($F$11="raty malejące",MIN(BZ250/($F$4-BU250+SUM($BV$28:BV250)-SUM($CB$28:CB250)),BZ250),MIN(BW251-BY251,BZ250)),"")</f>
        <v/>
      </c>
      <c r="BY251" s="78" t="str">
        <f t="shared" si="245"/>
        <v/>
      </c>
      <c r="BZ251" s="79" t="str">
        <f t="shared" si="231"/>
        <v/>
      </c>
      <c r="CA251" s="11"/>
      <c r="CB251" s="33"/>
      <c r="CC251" s="33">
        <f t="shared" si="225"/>
        <v>3522.1</v>
      </c>
      <c r="CD251" s="33">
        <f t="shared" si="236"/>
        <v>50593.707006898061</v>
      </c>
      <c r="CE251" s="33">
        <f>IF(O251&lt;&gt;"",CD251-SUM($CC$44:CC251),"")</f>
        <v>1284.1070068980625</v>
      </c>
      <c r="CF251" s="11" t="str">
        <f t="shared" si="246"/>
        <v/>
      </c>
      <c r="CG251" s="11" t="str">
        <f>IF(BU251&lt;&gt;"",IF($B$16=listy!$K$8,'RZĄDOWY PROGRAM'!$F$3*'RZĄDOWY PROGRAM'!$F$15,BZ250*$F$15),"")</f>
        <v/>
      </c>
      <c r="CH251" s="11" t="str">
        <f t="shared" si="247"/>
        <v/>
      </c>
      <c r="CJ251" s="48">
        <f t="shared" si="201"/>
        <v>0.06</v>
      </c>
      <c r="CK251" s="18">
        <f t="shared" si="202"/>
        <v>4.8675505653430484E-3</v>
      </c>
      <c r="CL251" s="11">
        <f t="shared" si="232"/>
        <v>0</v>
      </c>
      <c r="CM251" s="11">
        <f t="shared" si="203"/>
        <v>66061.678220450689</v>
      </c>
      <c r="CN251" s="11">
        <f>IF(AB251&lt;&gt;"",CM251-SUM($CL$28:CL251),"")</f>
        <v>37884.918220450694</v>
      </c>
    </row>
    <row r="252" spans="1:92" x14ac:dyDescent="0.45">
      <c r="A252" s="68">
        <f t="shared" si="226"/>
        <v>51561</v>
      </c>
      <c r="B252" s="8">
        <f t="shared" si="186"/>
        <v>225</v>
      </c>
      <c r="C252" s="11">
        <f t="shared" si="187"/>
        <v>3522.09</v>
      </c>
      <c r="D252" s="11">
        <f t="shared" si="188"/>
        <v>3137.6590308935747</v>
      </c>
      <c r="E252" s="11">
        <f t="shared" si="189"/>
        <v>384.43096910642549</v>
      </c>
      <c r="F252" s="9">
        <f t="shared" si="204"/>
        <v>49887.302225165113</v>
      </c>
      <c r="G252" s="10">
        <f t="shared" si="190"/>
        <v>7.0000000000000007E-2</v>
      </c>
      <c r="H252" s="10">
        <f t="shared" si="191"/>
        <v>1.7000000000000001E-2</v>
      </c>
      <c r="I252" s="48">
        <f t="shared" si="205"/>
        <v>8.7000000000000008E-2</v>
      </c>
      <c r="J252" s="11">
        <f t="shared" si="192"/>
        <v>20</v>
      </c>
      <c r="K252" s="11">
        <f>IF(B252&lt;&gt;"",IF($B$16=listy!$K$8,'RZĄDOWY PROGRAM'!$F$3*'RZĄDOWY PROGRAM'!$F$15,F251*$F$15),"")</f>
        <v>50</v>
      </c>
      <c r="L252" s="11">
        <f t="shared" si="206"/>
        <v>70</v>
      </c>
      <c r="N252" s="54">
        <f t="shared" si="227"/>
        <v>51561</v>
      </c>
      <c r="O252" s="8">
        <f t="shared" si="207"/>
        <v>225</v>
      </c>
      <c r="P252" s="8"/>
      <c r="Q252" s="11">
        <f>IF(O252&lt;&gt;"",ROUND(IF($F$11="raty równe",-PMT(W252/12,$F$4-O251+SUM($P$28:P252),T251,2),R252+S252),2),"")</f>
        <v>3522.09</v>
      </c>
      <c r="R252" s="11">
        <f>IF(O252&lt;&gt;"",IF($F$11="raty malejące",T251/($F$4-O251+SUM($P$28:P252)),IF(Q252-S252&gt;T251,T251,Q252-S252)),"")</f>
        <v>2961.4710911583161</v>
      </c>
      <c r="S252" s="11">
        <f t="shared" si="229"/>
        <v>560.61890884168395</v>
      </c>
      <c r="T252" s="9">
        <f t="shared" si="208"/>
        <v>74365.274955970497</v>
      </c>
      <c r="U252" s="10">
        <f t="shared" si="193"/>
        <v>7.0000000000000007E-2</v>
      </c>
      <c r="V252" s="10">
        <f t="shared" si="194"/>
        <v>1.7000000000000001E-2</v>
      </c>
      <c r="W252" s="48">
        <f t="shared" si="209"/>
        <v>8.7000000000000008E-2</v>
      </c>
      <c r="X252" s="11">
        <f t="shared" si="195"/>
        <v>20</v>
      </c>
      <c r="Y252" s="11">
        <f>IF(O252&lt;&gt;"",IF($B$16=listy!$K$8,'RZĄDOWY PROGRAM'!$F$3*'RZĄDOWY PROGRAM'!$F$15,T251*$F$15),"")</f>
        <v>50</v>
      </c>
      <c r="Z252" s="11">
        <f t="shared" si="210"/>
        <v>70</v>
      </c>
      <c r="AB252" s="8">
        <f t="shared" si="211"/>
        <v>225</v>
      </c>
      <c r="AC252" s="8"/>
      <c r="AD252" s="11">
        <f>IF(AB252&lt;&gt;"",ROUND(IF($F$11="raty równe",-PMT(W252/12,$F$4-AB251+SUM($AC$28:AC252),AG251,2),AE252+AF252),2),"")</f>
        <v>3280.4</v>
      </c>
      <c r="AE252" s="11">
        <f>IF(AB252&lt;&gt;"",IF($F$11="raty malejące",AG251/($F$4-AB251+SUM($AC$28:AC251)),MIN(AD252-AF252,AG251)),"")</f>
        <v>2758.2537501306492</v>
      </c>
      <c r="AF252" s="11">
        <f t="shared" si="230"/>
        <v>522.14624986935075</v>
      </c>
      <c r="AG252" s="9">
        <f t="shared" si="228"/>
        <v>69261.918645641854</v>
      </c>
      <c r="AH252" s="11"/>
      <c r="AI252" s="33">
        <f>IF(AB252&lt;&gt;"",ROUND(IF($F$11="raty równe",-PMT(W252/12,($F$4-AB251+SUM($AC$27:AC251)),AG251,2),AG251/($F$4-AB251+SUM($AC$27:AC251))+AG251*W252/12),2),"")</f>
        <v>3280.4</v>
      </c>
      <c r="AJ252" s="33">
        <f t="shared" si="212"/>
        <v>241.69000000000005</v>
      </c>
      <c r="AK252" s="33">
        <f t="shared" si="196"/>
        <v>83034.45131132222</v>
      </c>
      <c r="AL252" s="33">
        <f>IF(AB252&lt;&gt;"",AK252-SUM($AJ$28:AJ252),"")</f>
        <v>30446.091311322169</v>
      </c>
      <c r="AM252" s="11">
        <f t="shared" si="213"/>
        <v>20</v>
      </c>
      <c r="AN252" s="11">
        <f>IF(AB252&lt;&gt;"",IF($B$16=listy!$K$8,'RZĄDOWY PROGRAM'!$F$3*'RZĄDOWY PROGRAM'!$F$15,AG251*$F$15),"")</f>
        <v>50</v>
      </c>
      <c r="AO252" s="11">
        <f t="shared" si="214"/>
        <v>70</v>
      </c>
      <c r="AQ252" s="8">
        <f t="shared" si="215"/>
        <v>225</v>
      </c>
      <c r="AR252" s="8"/>
      <c r="AS252" s="78">
        <f>IF(AQ252&lt;&gt;"",ROUND(IF($F$11="raty równe",-PMT(W252/12,$F$4-AQ251+SUM($AR$28:AR252),AV251,2),AT252+AU252),2),"")</f>
        <v>3263.82</v>
      </c>
      <c r="AT252" s="78">
        <f>IF(AQ252&lt;&gt;"",IF($F$11="raty malejące",AV251/($F$4-AQ251+SUM($AR$28:AR251)),MIN(AS252-AU252,AV251)),"")</f>
        <v>2744.3113492717539</v>
      </c>
      <c r="AU252" s="78">
        <f t="shared" si="216"/>
        <v>519.50865072824627</v>
      </c>
      <c r="AV252" s="79">
        <f t="shared" si="217"/>
        <v>68912.054268417385</v>
      </c>
      <c r="AW252" s="11"/>
      <c r="AX252" s="33">
        <f>IF(AQ252&lt;&gt;"",ROUND(IF($F$11="raty równe",-PMT(W252/12,($F$4-AQ251+SUM($AR$27:AR251)),AV251,2),AV251/($F$4-AQ251+SUM($AR$27:AR251))+AV251*W252/12),2),"")</f>
        <v>3263.82</v>
      </c>
      <c r="AY252" s="33">
        <f t="shared" si="218"/>
        <v>258.27</v>
      </c>
      <c r="AZ252" s="33">
        <f t="shared" si="233"/>
        <v>83583.330600635963</v>
      </c>
      <c r="BA252" s="33">
        <f>IF(AQ252&lt;&gt;"",AZ252-SUM($AY$44:AY252),"")</f>
        <v>29604.910600636184</v>
      </c>
      <c r="BB252" s="11">
        <f t="shared" si="219"/>
        <v>20</v>
      </c>
      <c r="BC252" s="11">
        <f>IF(AQ252&lt;&gt;"",IF($B$16=listy!$K$8,'RZĄDOWY PROGRAM'!$F$3*'RZĄDOWY PROGRAM'!$F$15,AV251*$F$15),"")</f>
        <v>50</v>
      </c>
      <c r="BD252" s="11">
        <f t="shared" si="220"/>
        <v>70</v>
      </c>
      <c r="BF252" s="8" t="str">
        <f t="shared" si="237"/>
        <v/>
      </c>
      <c r="BG252" s="8"/>
      <c r="BH252" s="78" t="str">
        <f>IF(BF252&lt;&gt;"",ROUND(IF($F$11="raty równe",-PMT(W252/12,$F$4-BF251+SUM(BV$28:$BV252)-SUM($BM$29:BM252),BK251,2),BI252+BJ252),2),"")</f>
        <v/>
      </c>
      <c r="BI252" s="78" t="str">
        <f>IF(BF252&lt;&gt;"",IF($F$11="raty malejące",MIN(BK251/($F$4-BF251+SUM($BG$27:BG252)-SUM($BM$27:BM252)),BK251),MIN(BH252-BJ252,BK251)),"")</f>
        <v/>
      </c>
      <c r="BJ252" s="78" t="str">
        <f t="shared" si="238"/>
        <v/>
      </c>
      <c r="BK252" s="79" t="str">
        <f t="shared" si="239"/>
        <v/>
      </c>
      <c r="BL252" s="11"/>
      <c r="BM252" s="33"/>
      <c r="BN252" s="33">
        <f t="shared" si="234"/>
        <v>3522.09</v>
      </c>
      <c r="BO252" s="33">
        <f t="shared" si="235"/>
        <v>54314.553500036476</v>
      </c>
      <c r="BP252" s="33">
        <f>IF(O252&lt;&gt;"",BO252-SUM($BN$44:BN252),"")</f>
        <v>1483.2035000364704</v>
      </c>
      <c r="BQ252" s="11" t="str">
        <f t="shared" si="240"/>
        <v/>
      </c>
      <c r="BR252" s="11" t="str">
        <f>IF(BF252&lt;&gt;"",IF($B$16=listy!$K$8,'RZĄDOWY PROGRAM'!$F$3*'RZĄDOWY PROGRAM'!$F$15,BK251*$F$15),"")</f>
        <v/>
      </c>
      <c r="BS252" s="11" t="str">
        <f t="shared" si="241"/>
        <v/>
      </c>
      <c r="BU252" s="8" t="str">
        <f t="shared" si="224"/>
        <v/>
      </c>
      <c r="BV252" s="8"/>
      <c r="BW252" s="78" t="str">
        <f>IF(BU252&lt;&gt;"",ROUND(IF($F$11="raty równe",-PMT(W252/12,$F$4-BU251+SUM($BV$28:BV252)-$CB$43,BZ251,2),BX252+BY252),2),"")</f>
        <v/>
      </c>
      <c r="BX252" s="78" t="str">
        <f>IF(BU252&lt;&gt;"",IF($F$11="raty malejące",MIN(BZ251/($F$4-BU251+SUM($BV$28:BV251)-SUM($CB$28:CB251)),BZ251),MIN(BW252-BY252,BZ251)),"")</f>
        <v/>
      </c>
      <c r="BY252" s="78" t="str">
        <f t="shared" si="245"/>
        <v/>
      </c>
      <c r="BZ252" s="79" t="str">
        <f t="shared" si="231"/>
        <v/>
      </c>
      <c r="CA252" s="11"/>
      <c r="CB252" s="33"/>
      <c r="CC252" s="33">
        <f t="shared" si="225"/>
        <v>3522.09</v>
      </c>
      <c r="CD252" s="33">
        <f t="shared" si="236"/>
        <v>54315.273622884895</v>
      </c>
      <c r="CE252" s="33">
        <f>IF(O252&lt;&gt;"",CD252-SUM($CC$44:CC252),"")</f>
        <v>1483.583622884893</v>
      </c>
      <c r="CF252" s="11" t="str">
        <f t="shared" si="246"/>
        <v/>
      </c>
      <c r="CG252" s="11" t="str">
        <f>IF(BU252&lt;&gt;"",IF($B$16=listy!$K$8,'RZĄDOWY PROGRAM'!$F$3*'RZĄDOWY PROGRAM'!$F$15,BZ251*$F$15),"")</f>
        <v/>
      </c>
      <c r="CH252" s="11" t="str">
        <f t="shared" si="247"/>
        <v/>
      </c>
      <c r="CJ252" s="48">
        <f t="shared" si="201"/>
        <v>0.06</v>
      </c>
      <c r="CK252" s="18">
        <f t="shared" si="202"/>
        <v>4.8675505653430484E-3</v>
      </c>
      <c r="CL252" s="11">
        <f t="shared" si="232"/>
        <v>0</v>
      </c>
      <c r="CM252" s="11">
        <f t="shared" si="203"/>
        <v>66322.140653377966</v>
      </c>
      <c r="CN252" s="11">
        <f>IF(AB252&lt;&gt;"",CM252-SUM($CL$28:CL252),"")</f>
        <v>38145.380653377972</v>
      </c>
    </row>
    <row r="253" spans="1:92" x14ac:dyDescent="0.45">
      <c r="A253" s="68">
        <f t="shared" si="226"/>
        <v>51592</v>
      </c>
      <c r="B253" s="8">
        <f t="shared" si="186"/>
        <v>226</v>
      </c>
      <c r="C253" s="11">
        <f t="shared" si="187"/>
        <v>3522.1</v>
      </c>
      <c r="D253" s="11">
        <f t="shared" si="188"/>
        <v>3160.4170588675529</v>
      </c>
      <c r="E253" s="11">
        <f t="shared" si="189"/>
        <v>361.68294113244707</v>
      </c>
      <c r="F253" s="9">
        <f t="shared" si="204"/>
        <v>46726.885166297558</v>
      </c>
      <c r="G253" s="10">
        <f t="shared" si="190"/>
        <v>7.0000000000000007E-2</v>
      </c>
      <c r="H253" s="10">
        <f t="shared" si="191"/>
        <v>1.7000000000000001E-2</v>
      </c>
      <c r="I253" s="48">
        <f t="shared" si="205"/>
        <v>8.7000000000000008E-2</v>
      </c>
      <c r="J253" s="11">
        <f t="shared" si="192"/>
        <v>20</v>
      </c>
      <c r="K253" s="11">
        <f>IF(B253&lt;&gt;"",IF($B$16=listy!$K$8,'RZĄDOWY PROGRAM'!$F$3*'RZĄDOWY PROGRAM'!$F$15,F252*$F$15),"")</f>
        <v>50</v>
      </c>
      <c r="L253" s="11">
        <f t="shared" si="206"/>
        <v>70</v>
      </c>
      <c r="N253" s="54">
        <f t="shared" si="227"/>
        <v>51592</v>
      </c>
      <c r="O253" s="8">
        <f t="shared" si="207"/>
        <v>226</v>
      </c>
      <c r="P253" s="8"/>
      <c r="Q253" s="11">
        <f>IF(O253&lt;&gt;"",ROUND(IF($F$11="raty równe",-PMT(W253/12,$F$4-O252+SUM($P$28:P253),T252,2),R253+S253),2),"")</f>
        <v>3522.1</v>
      </c>
      <c r="R253" s="11">
        <f>IF(O253&lt;&gt;"",IF($F$11="raty malejące",T252/($F$4-O252+SUM($P$28:P253)),IF(Q253-S253&gt;T252,T252,Q253-S253)),"")</f>
        <v>2982.951756569214</v>
      </c>
      <c r="S253" s="11">
        <f t="shared" si="229"/>
        <v>539.14824343078612</v>
      </c>
      <c r="T253" s="9">
        <f t="shared" si="208"/>
        <v>71382.323199401289</v>
      </c>
      <c r="U253" s="10">
        <f t="shared" si="193"/>
        <v>7.0000000000000007E-2</v>
      </c>
      <c r="V253" s="10">
        <f t="shared" si="194"/>
        <v>1.7000000000000001E-2</v>
      </c>
      <c r="W253" s="48">
        <f t="shared" si="209"/>
        <v>8.7000000000000008E-2</v>
      </c>
      <c r="X253" s="11">
        <f t="shared" si="195"/>
        <v>20</v>
      </c>
      <c r="Y253" s="11">
        <f>IF(O253&lt;&gt;"",IF($B$16=listy!$K$8,'RZĄDOWY PROGRAM'!$F$3*'RZĄDOWY PROGRAM'!$F$15,T252*$F$15),"")</f>
        <v>50</v>
      </c>
      <c r="Z253" s="11">
        <f t="shared" si="210"/>
        <v>70</v>
      </c>
      <c r="AB253" s="8">
        <f t="shared" si="211"/>
        <v>226</v>
      </c>
      <c r="AC253" s="8"/>
      <c r="AD253" s="11">
        <f>IF(AB253&lt;&gt;"",ROUND(IF($F$11="raty równe",-PMT(W253/12,$F$4-AB252+SUM($AC$28:AC253),AG252,2),AE253+AF253),2),"")</f>
        <v>3280.39</v>
      </c>
      <c r="AE253" s="11">
        <f>IF(AB253&lt;&gt;"",IF($F$11="raty malejące",AG252/($F$4-AB252+SUM($AC$28:AC252)),MIN(AD253-AF253,AG252)),"")</f>
        <v>2778.2410898190965</v>
      </c>
      <c r="AF253" s="11">
        <f t="shared" si="230"/>
        <v>502.14891018090344</v>
      </c>
      <c r="AG253" s="9">
        <f t="shared" si="228"/>
        <v>66483.677555822753</v>
      </c>
      <c r="AH253" s="11"/>
      <c r="AI253" s="33">
        <f>IF(AB253&lt;&gt;"",ROUND(IF($F$11="raty równe",-PMT(W253/12,($F$4-AB252+SUM($AC$27:AC252)),AG252,2),AG252/($F$4-AB252+SUM($AC$27:AC252))+AG252*W253/12),2),"")</f>
        <v>3280.39</v>
      </c>
      <c r="AJ253" s="33">
        <f t="shared" si="212"/>
        <v>241.71000000000004</v>
      </c>
      <c r="AK253" s="33">
        <f t="shared" si="196"/>
        <v>83603.542567565164</v>
      </c>
      <c r="AL253" s="33">
        <f>IF(AB253&lt;&gt;"",AK253-SUM($AJ$28:AJ253),"")</f>
        <v>30773.472567565113</v>
      </c>
      <c r="AM253" s="11">
        <f t="shared" si="213"/>
        <v>20</v>
      </c>
      <c r="AN253" s="11">
        <f>IF(AB253&lt;&gt;"",IF($B$16=listy!$K$8,'RZĄDOWY PROGRAM'!$F$3*'RZĄDOWY PROGRAM'!$F$15,AG252*$F$15),"")</f>
        <v>50</v>
      </c>
      <c r="AO253" s="11">
        <f t="shared" si="214"/>
        <v>70</v>
      </c>
      <c r="AQ253" s="8">
        <f t="shared" si="215"/>
        <v>226</v>
      </c>
      <c r="AR253" s="8"/>
      <c r="AS253" s="78">
        <f>IF(AQ253&lt;&gt;"",ROUND(IF($F$11="raty równe",-PMT(W253/12,$F$4-AQ252+SUM($AR$28:AR253),AV252,2),AT253+AU253),2),"")</f>
        <v>3263.83</v>
      </c>
      <c r="AT253" s="78">
        <f>IF(AQ253&lt;&gt;"",IF($F$11="raty malejące",AV252/($F$4-AQ252+SUM($AR$28:AR252)),MIN(AS253-AU253,AV252)),"")</f>
        <v>2764.2176065539738</v>
      </c>
      <c r="AU253" s="78">
        <f t="shared" si="216"/>
        <v>499.61239344602609</v>
      </c>
      <c r="AV253" s="79">
        <f t="shared" si="217"/>
        <v>66147.836661863417</v>
      </c>
      <c r="AW253" s="11"/>
      <c r="AX253" s="33">
        <f>IF(AQ253&lt;&gt;"",ROUND(IF($F$11="raty równe",-PMT(W253/12,($F$4-AQ252+SUM($AR$27:AR252)),AV252,2),AV252/($F$4-AQ252+SUM($AR$27:AR252))+AV252*W253/12),2),"")</f>
        <v>3263.83</v>
      </c>
      <c r="AY253" s="33">
        <f t="shared" si="218"/>
        <v>258.27</v>
      </c>
      <c r="AZ253" s="33">
        <f t="shared" si="233"/>
        <v>84171.145932011859</v>
      </c>
      <c r="BA253" s="33">
        <f>IF(AQ253&lt;&gt;"",AZ253-SUM($AY$44:AY253),"")</f>
        <v>29934.455932012082</v>
      </c>
      <c r="BB253" s="11">
        <f t="shared" si="219"/>
        <v>20</v>
      </c>
      <c r="BC253" s="11">
        <f>IF(AQ253&lt;&gt;"",IF($B$16=listy!$K$8,'RZĄDOWY PROGRAM'!$F$3*'RZĄDOWY PROGRAM'!$F$15,AV252*$F$15),"")</f>
        <v>50</v>
      </c>
      <c r="BD253" s="11">
        <f t="shared" si="220"/>
        <v>70</v>
      </c>
      <c r="BF253" s="8" t="str">
        <f t="shared" si="237"/>
        <v/>
      </c>
      <c r="BG253" s="8"/>
      <c r="BH253" s="78" t="str">
        <f>IF(BF253&lt;&gt;"",ROUND(IF($F$11="raty równe",-PMT(W253/12,$F$4-BF252+SUM(BV$28:$BV253)-SUM($BM$29:BM253),BK252,2),BI253+BJ253),2),"")</f>
        <v/>
      </c>
      <c r="BI253" s="78" t="str">
        <f>IF(BF253&lt;&gt;"",IF($F$11="raty malejące",MIN(BK252/($F$4-BF252+SUM($BG$27:BG253)-SUM($BM$27:BM253)),BK252),MIN(BH253-BJ253,BK252)),"")</f>
        <v/>
      </c>
      <c r="BJ253" s="78" t="str">
        <f t="shared" si="238"/>
        <v/>
      </c>
      <c r="BK253" s="79" t="str">
        <f t="shared" si="239"/>
        <v/>
      </c>
      <c r="BL253" s="11"/>
      <c r="BM253" s="33"/>
      <c r="BN253" s="33">
        <f t="shared" si="234"/>
        <v>3522.1</v>
      </c>
      <c r="BO253" s="33">
        <f t="shared" si="235"/>
        <v>58050.8003568688</v>
      </c>
      <c r="BP253" s="33">
        <f>IF(O253&lt;&gt;"",BO253-SUM($BN$44:BN253),"")</f>
        <v>1697.3503568687956</v>
      </c>
      <c r="BQ253" s="11" t="str">
        <f t="shared" si="240"/>
        <v/>
      </c>
      <c r="BR253" s="11" t="str">
        <f>IF(BF253&lt;&gt;"",IF($B$16=listy!$K$8,'RZĄDOWY PROGRAM'!$F$3*'RZĄDOWY PROGRAM'!$F$15,BK252*$F$15),"")</f>
        <v/>
      </c>
      <c r="BS253" s="11" t="str">
        <f t="shared" si="241"/>
        <v/>
      </c>
      <c r="BU253" s="8" t="str">
        <f t="shared" si="224"/>
        <v/>
      </c>
      <c r="BV253" s="8"/>
      <c r="BW253" s="78" t="str">
        <f>IF(BU253&lt;&gt;"",ROUND(IF($F$11="raty równe",-PMT(W253/12,$F$4-BU252+SUM($BV$28:BV253)-$CB$43,BZ252,2),BX253+BY253),2),"")</f>
        <v/>
      </c>
      <c r="BX253" s="78" t="str">
        <f>IF(BU253&lt;&gt;"",IF($F$11="raty malejące",MIN(BZ252/($F$4-BU252+SUM($BV$28:BV252)-SUM($CB$28:CB252)),BZ252),MIN(BW253-BY253,BZ252)),"")</f>
        <v/>
      </c>
      <c r="BY253" s="78" t="str">
        <f t="shared" si="245"/>
        <v/>
      </c>
      <c r="BZ253" s="79" t="str">
        <f t="shared" si="231"/>
        <v/>
      </c>
      <c r="CA253" s="11"/>
      <c r="CB253" s="33"/>
      <c r="CC253" s="33">
        <f t="shared" si="225"/>
        <v>3522.1</v>
      </c>
      <c r="CD253" s="33">
        <f t="shared" si="236"/>
        <v>58051.523318957064</v>
      </c>
      <c r="CE253" s="33">
        <f>IF(O253&lt;&gt;"",CD253-SUM($CC$44:CC253),"")</f>
        <v>1697.7333189570636</v>
      </c>
      <c r="CF253" s="11" t="str">
        <f t="shared" si="246"/>
        <v/>
      </c>
      <c r="CG253" s="11" t="str">
        <f>IF(BU253&lt;&gt;"",IF($B$16=listy!$K$8,'RZĄDOWY PROGRAM'!$F$3*'RZĄDOWY PROGRAM'!$F$15,BZ252*$F$15),"")</f>
        <v/>
      </c>
      <c r="CH253" s="11" t="str">
        <f t="shared" si="247"/>
        <v/>
      </c>
      <c r="CJ253" s="48">
        <f t="shared" si="201"/>
        <v>0.06</v>
      </c>
      <c r="CK253" s="18">
        <f t="shared" si="202"/>
        <v>4.8675505653430484E-3</v>
      </c>
      <c r="CL253" s="11">
        <f t="shared" si="232"/>
        <v>0</v>
      </c>
      <c r="CM253" s="11">
        <f t="shared" si="203"/>
        <v>66583.630015695977</v>
      </c>
      <c r="CN253" s="11">
        <f>IF(AB253&lt;&gt;"",CM253-SUM($CL$28:CL253),"")</f>
        <v>38406.870015695982</v>
      </c>
    </row>
    <row r="254" spans="1:92" x14ac:dyDescent="0.45">
      <c r="A254" s="68">
        <f t="shared" si="226"/>
        <v>51622</v>
      </c>
      <c r="B254" s="8">
        <f t="shared" si="186"/>
        <v>227</v>
      </c>
      <c r="C254" s="11">
        <f t="shared" si="187"/>
        <v>3522.09</v>
      </c>
      <c r="D254" s="11">
        <f t="shared" si="188"/>
        <v>3183.3200825443428</v>
      </c>
      <c r="E254" s="11">
        <f t="shared" si="189"/>
        <v>338.76991745565732</v>
      </c>
      <c r="F254" s="9">
        <f t="shared" si="204"/>
        <v>43543.565083753216</v>
      </c>
      <c r="G254" s="10">
        <f t="shared" si="190"/>
        <v>7.0000000000000007E-2</v>
      </c>
      <c r="H254" s="10">
        <f t="shared" si="191"/>
        <v>1.7000000000000001E-2</v>
      </c>
      <c r="I254" s="48">
        <f t="shared" si="205"/>
        <v>8.7000000000000008E-2</v>
      </c>
      <c r="J254" s="11">
        <f t="shared" si="192"/>
        <v>20</v>
      </c>
      <c r="K254" s="11">
        <f>IF(B254&lt;&gt;"",IF($B$16=listy!$K$8,'RZĄDOWY PROGRAM'!$F$3*'RZĄDOWY PROGRAM'!$F$15,F253*$F$15),"")</f>
        <v>50</v>
      </c>
      <c r="L254" s="11">
        <f t="shared" si="206"/>
        <v>70</v>
      </c>
      <c r="N254" s="54">
        <f t="shared" si="227"/>
        <v>51622</v>
      </c>
      <c r="O254" s="8">
        <f t="shared" si="207"/>
        <v>227</v>
      </c>
      <c r="P254" s="8"/>
      <c r="Q254" s="11">
        <f>IF(O254&lt;&gt;"",ROUND(IF($F$11="raty równe",-PMT(W254/12,$F$4-O253+SUM($P$28:P254),T253,2),R254+S254),2),"")</f>
        <v>3522.09</v>
      </c>
      <c r="R254" s="11">
        <f>IF(O254&lt;&gt;"",IF($F$11="raty malejące",T253/($F$4-O253+SUM($P$28:P254)),IF(Q254-S254&gt;T253,T253,Q254-S254)),"")</f>
        <v>3004.568156804341</v>
      </c>
      <c r="S254" s="11">
        <f t="shared" si="229"/>
        <v>517.52184319565936</v>
      </c>
      <c r="T254" s="9">
        <f t="shared" si="208"/>
        <v>68377.755042596953</v>
      </c>
      <c r="U254" s="10">
        <f t="shared" si="193"/>
        <v>7.0000000000000007E-2</v>
      </c>
      <c r="V254" s="10">
        <f t="shared" si="194"/>
        <v>1.7000000000000001E-2</v>
      </c>
      <c r="W254" s="48">
        <f t="shared" si="209"/>
        <v>8.7000000000000008E-2</v>
      </c>
      <c r="X254" s="11">
        <f t="shared" si="195"/>
        <v>20</v>
      </c>
      <c r="Y254" s="11">
        <f>IF(O254&lt;&gt;"",IF($B$16=listy!$K$8,'RZĄDOWY PROGRAM'!$F$3*'RZĄDOWY PROGRAM'!$F$15,T253*$F$15),"")</f>
        <v>50</v>
      </c>
      <c r="Z254" s="11">
        <f t="shared" si="210"/>
        <v>70</v>
      </c>
      <c r="AB254" s="8">
        <f t="shared" si="211"/>
        <v>227</v>
      </c>
      <c r="AC254" s="8"/>
      <c r="AD254" s="11">
        <f>IF(AB254&lt;&gt;"",ROUND(IF($F$11="raty równe",-PMT(W254/12,$F$4-AB253+SUM($AC$28:AC254),AG253,2),AE254+AF254),2),"")</f>
        <v>3280.4</v>
      </c>
      <c r="AE254" s="11">
        <f>IF(AB254&lt;&gt;"",IF($F$11="raty malejące",AG253/($F$4-AB253+SUM($AC$28:AC253)),MIN(AD254-AF254,AG253)),"")</f>
        <v>2798.3933377202852</v>
      </c>
      <c r="AF254" s="11">
        <f t="shared" si="230"/>
        <v>482.00666227971504</v>
      </c>
      <c r="AG254" s="9">
        <f t="shared" si="228"/>
        <v>63685.284218102468</v>
      </c>
      <c r="AH254" s="11"/>
      <c r="AI254" s="33">
        <f>IF(AB254&lt;&gt;"",ROUND(IF($F$11="raty równe",-PMT(W254/12,($F$4-AB253+SUM($AC$27:AC253)),AG253,2),AG253/($F$4-AB253+SUM($AC$27:AC253))+AG253*W254/12),2),"")</f>
        <v>3280.4</v>
      </c>
      <c r="AJ254" s="33">
        <f t="shared" si="212"/>
        <v>241.69000000000005</v>
      </c>
      <c r="AK254" s="33">
        <f t="shared" si="196"/>
        <v>84174.857588985615</v>
      </c>
      <c r="AL254" s="33">
        <f>IF(AB254&lt;&gt;"",AK254-SUM($AJ$28:AJ254),"")</f>
        <v>31103.097588985562</v>
      </c>
      <c r="AM254" s="11">
        <f t="shared" si="213"/>
        <v>20</v>
      </c>
      <c r="AN254" s="11">
        <f>IF(AB254&lt;&gt;"",IF($B$16=listy!$K$8,'RZĄDOWY PROGRAM'!$F$3*'RZĄDOWY PROGRAM'!$F$15,AG253*$F$15),"")</f>
        <v>50</v>
      </c>
      <c r="AO254" s="11">
        <f t="shared" si="214"/>
        <v>70</v>
      </c>
      <c r="AQ254" s="8">
        <f t="shared" si="215"/>
        <v>227</v>
      </c>
      <c r="AR254" s="8"/>
      <c r="AS254" s="78">
        <f>IF(AQ254&lt;&gt;"",ROUND(IF($F$11="raty równe",-PMT(W254/12,$F$4-AQ253+SUM($AR$28:AR254),AV253,2),AT254+AU254),2),"")</f>
        <v>3263.82</v>
      </c>
      <c r="AT254" s="78">
        <f>IF(AQ254&lt;&gt;"",IF($F$11="raty malejące",AV253/($F$4-AQ253+SUM($AR$28:AR253)),MIN(AS254-AU254,AV253)),"")</f>
        <v>2784.2481842014904</v>
      </c>
      <c r="AU254" s="78">
        <f t="shared" si="216"/>
        <v>479.57181579850982</v>
      </c>
      <c r="AV254" s="79">
        <f t="shared" si="217"/>
        <v>63363.588477661928</v>
      </c>
      <c r="AW254" s="11"/>
      <c r="AX254" s="33">
        <f>IF(AQ254&lt;&gt;"",ROUND(IF($F$11="raty równe",-PMT(W254/12,($F$4-AQ253+SUM($AR$27:AR253)),AV253,2),AV253/($F$4-AQ253+SUM($AR$27:AR253))+AV253*W254/12),2),"")</f>
        <v>3263.82</v>
      </c>
      <c r="AY254" s="33">
        <f t="shared" si="218"/>
        <v>258.27</v>
      </c>
      <c r="AZ254" s="33">
        <f t="shared" si="233"/>
        <v>84761.278852275093</v>
      </c>
      <c r="BA254" s="33">
        <f>IF(AQ254&lt;&gt;"",AZ254-SUM($AY$44:AY254),"")</f>
        <v>30266.318852275319</v>
      </c>
      <c r="BB254" s="11">
        <f t="shared" si="219"/>
        <v>20</v>
      </c>
      <c r="BC254" s="11">
        <f>IF(AQ254&lt;&gt;"",IF($B$16=listy!$K$8,'RZĄDOWY PROGRAM'!$F$3*'RZĄDOWY PROGRAM'!$F$15,AV253*$F$15),"")</f>
        <v>50</v>
      </c>
      <c r="BD254" s="11">
        <f t="shared" si="220"/>
        <v>70</v>
      </c>
      <c r="BF254" s="8" t="str">
        <f t="shared" si="237"/>
        <v/>
      </c>
      <c r="BG254" s="8"/>
      <c r="BH254" s="78" t="str">
        <f>IF(BF254&lt;&gt;"",ROUND(IF($F$11="raty równe",-PMT(W254/12,$F$4-BF253+SUM(BV$28:$BV254)-SUM($BM$29:BM254),BK253,2),BI254+BJ254),2),"")</f>
        <v/>
      </c>
      <c r="BI254" s="78" t="str">
        <f>IF(BF254&lt;&gt;"",IF($F$11="raty malejące",MIN(BK253/($F$4-BF253+SUM($BG$27:BG254)-SUM($BM$27:BM254)),BK253),MIN(BH254-BJ254,BK253)),"")</f>
        <v/>
      </c>
      <c r="BJ254" s="78" t="str">
        <f t="shared" si="238"/>
        <v/>
      </c>
      <c r="BK254" s="79" t="str">
        <f t="shared" si="239"/>
        <v/>
      </c>
      <c r="BL254" s="11"/>
      <c r="BM254" s="33"/>
      <c r="BN254" s="33">
        <f t="shared" si="234"/>
        <v>3522.09</v>
      </c>
      <c r="BO254" s="33">
        <f t="shared" si="235"/>
        <v>61801.768173806311</v>
      </c>
      <c r="BP254" s="33">
        <f>IF(O254&lt;&gt;"",BO254-SUM($BN$44:BN254),"")</f>
        <v>1926.2281738063029</v>
      </c>
      <c r="BQ254" s="11" t="str">
        <f t="shared" si="240"/>
        <v/>
      </c>
      <c r="BR254" s="11" t="str">
        <f>IF(BF254&lt;&gt;"",IF($B$16=listy!$K$8,'RZĄDOWY PROGRAM'!$F$3*'RZĄDOWY PROGRAM'!$F$15,BK253*$F$15),"")</f>
        <v/>
      </c>
      <c r="BS254" s="11" t="str">
        <f t="shared" si="241"/>
        <v/>
      </c>
      <c r="BU254" s="8" t="str">
        <f t="shared" si="224"/>
        <v/>
      </c>
      <c r="BV254" s="8"/>
      <c r="BW254" s="78" t="str">
        <f>IF(BU254&lt;&gt;"",ROUND(IF($F$11="raty równe",-PMT(W254/12,$F$4-BU253+SUM($BV$28:BV254)-$CB$43,BZ253,2),BX254+BY254),2),"")</f>
        <v/>
      </c>
      <c r="BX254" s="78" t="str">
        <f>IF(BU254&lt;&gt;"",IF($F$11="raty malejące",MIN(BZ253/($F$4-BU253+SUM($BV$28:BV253)-SUM($CB$28:CB253)),BZ253),MIN(BW254-BY254,BZ253)),"")</f>
        <v/>
      </c>
      <c r="BY254" s="78" t="str">
        <f t="shared" si="245"/>
        <v/>
      </c>
      <c r="BZ254" s="79" t="str">
        <f t="shared" si="231"/>
        <v/>
      </c>
      <c r="CA254" s="11"/>
      <c r="CB254" s="33"/>
      <c r="CC254" s="33">
        <f t="shared" si="225"/>
        <v>3522.09</v>
      </c>
      <c r="CD254" s="33">
        <f t="shared" si="236"/>
        <v>61802.493986328744</v>
      </c>
      <c r="CE254" s="33">
        <f>IF(O254&lt;&gt;"",CD254-SUM($CC$44:CC254),"")</f>
        <v>1926.613986328739</v>
      </c>
      <c r="CF254" s="11" t="str">
        <f t="shared" si="246"/>
        <v/>
      </c>
      <c r="CG254" s="11" t="str">
        <f>IF(BU254&lt;&gt;"",IF($B$16=listy!$K$8,'RZĄDOWY PROGRAM'!$F$3*'RZĄDOWY PROGRAM'!$F$15,BZ253*$F$15),"")</f>
        <v/>
      </c>
      <c r="CH254" s="11" t="str">
        <f t="shared" si="247"/>
        <v/>
      </c>
      <c r="CJ254" s="48">
        <f t="shared" si="201"/>
        <v>0.06</v>
      </c>
      <c r="CK254" s="18">
        <f t="shared" si="202"/>
        <v>4.8675505653430484E-3</v>
      </c>
      <c r="CL254" s="11">
        <f t="shared" si="232"/>
        <v>0</v>
      </c>
      <c r="CM254" s="11">
        <f t="shared" si="203"/>
        <v>66846.150356295635</v>
      </c>
      <c r="CN254" s="11">
        <f>IF(AB254&lt;&gt;"",CM254-SUM($CL$28:CL254),"")</f>
        <v>38669.39035629564</v>
      </c>
    </row>
    <row r="255" spans="1:92" x14ac:dyDescent="0.45">
      <c r="A255" s="68">
        <f t="shared" si="226"/>
        <v>51653</v>
      </c>
      <c r="B255" s="8">
        <f t="shared" si="186"/>
        <v>228</v>
      </c>
      <c r="C255" s="11">
        <f t="shared" si="187"/>
        <v>3522.1</v>
      </c>
      <c r="D255" s="11">
        <f t="shared" si="188"/>
        <v>3206.4091531427889</v>
      </c>
      <c r="E255" s="11">
        <f t="shared" si="189"/>
        <v>315.69084685721083</v>
      </c>
      <c r="F255" s="9">
        <f t="shared" si="204"/>
        <v>40337.155930610425</v>
      </c>
      <c r="G255" s="10">
        <f t="shared" si="190"/>
        <v>7.0000000000000007E-2</v>
      </c>
      <c r="H255" s="10">
        <f t="shared" si="191"/>
        <v>1.7000000000000001E-2</v>
      </c>
      <c r="I255" s="48">
        <f t="shared" si="205"/>
        <v>8.7000000000000008E-2</v>
      </c>
      <c r="J255" s="11">
        <f t="shared" si="192"/>
        <v>20</v>
      </c>
      <c r="K255" s="11">
        <f>IF(B255&lt;&gt;"",IF($B$16=listy!$K$8,'RZĄDOWY PROGRAM'!$F$3*'RZĄDOWY PROGRAM'!$F$15,F254*$F$15),"")</f>
        <v>50</v>
      </c>
      <c r="L255" s="11">
        <f t="shared" si="206"/>
        <v>70</v>
      </c>
      <c r="N255" s="54">
        <f t="shared" si="227"/>
        <v>51653</v>
      </c>
      <c r="O255" s="8">
        <f t="shared" si="207"/>
        <v>228</v>
      </c>
      <c r="P255" s="8"/>
      <c r="Q255" s="11">
        <f>IF(O255&lt;&gt;"",ROUND(IF($F$11="raty równe",-PMT(W255/12,$F$4-O254+SUM($P$28:P255),T254,2),R255+S255),2),"")</f>
        <v>3522.1</v>
      </c>
      <c r="R255" s="11">
        <f>IF(O255&lt;&gt;"",IF($F$11="raty malejące",T254/($F$4-O254+SUM($P$28:P255)),IF(Q255-S255&gt;T254,T254,Q255-S255)),"")</f>
        <v>3026.3612759411717</v>
      </c>
      <c r="S255" s="11">
        <f t="shared" si="229"/>
        <v>495.73872405882798</v>
      </c>
      <c r="T255" s="9">
        <f t="shared" si="208"/>
        <v>65351.393766655783</v>
      </c>
      <c r="U255" s="10">
        <f t="shared" si="193"/>
        <v>7.0000000000000007E-2</v>
      </c>
      <c r="V255" s="10">
        <f t="shared" si="194"/>
        <v>1.7000000000000001E-2</v>
      </c>
      <c r="W255" s="48">
        <f t="shared" si="209"/>
        <v>8.7000000000000008E-2</v>
      </c>
      <c r="X255" s="11">
        <f t="shared" si="195"/>
        <v>20</v>
      </c>
      <c r="Y255" s="11">
        <f>IF(O255&lt;&gt;"",IF($B$16=listy!$K$8,'RZĄDOWY PROGRAM'!$F$3*'RZĄDOWY PROGRAM'!$F$15,T254*$F$15),"")</f>
        <v>50</v>
      </c>
      <c r="Z255" s="11">
        <f t="shared" si="210"/>
        <v>70</v>
      </c>
      <c r="AB255" s="8">
        <f t="shared" si="211"/>
        <v>228</v>
      </c>
      <c r="AC255" s="8"/>
      <c r="AD255" s="11">
        <f>IF(AB255&lt;&gt;"",ROUND(IF($F$11="raty równe",-PMT(W255/12,$F$4-AB254+SUM($AC$28:AC255),AG254,2),AE255+AF255),2),"")</f>
        <v>3280.39</v>
      </c>
      <c r="AE255" s="11">
        <f>IF(AB255&lt;&gt;"",IF($F$11="raty malejące",AG254/($F$4-AB254+SUM($AC$28:AC254)),MIN(AD255-AF255,AG254)),"")</f>
        <v>2818.6716894187571</v>
      </c>
      <c r="AF255" s="11">
        <f t="shared" si="230"/>
        <v>461.71831058124297</v>
      </c>
      <c r="AG255" s="9">
        <f t="shared" si="228"/>
        <v>60866.612528683712</v>
      </c>
      <c r="AH255" s="11"/>
      <c r="AI255" s="33">
        <f>IF(AB255&lt;&gt;"",ROUND(IF($F$11="raty równe",-PMT(W255/12,($F$4-AB254+SUM($AC$27:AC254)),AG254,2),AG254/($F$4-AB254+SUM($AC$27:AC254))+AG254*W255/12),2),"")</f>
        <v>3280.39</v>
      </c>
      <c r="AJ255" s="33">
        <f t="shared" si="212"/>
        <v>241.71000000000004</v>
      </c>
      <c r="AK255" s="33">
        <f t="shared" si="196"/>
        <v>84748.445143258024</v>
      </c>
      <c r="AL255" s="33">
        <f>IF(AB255&lt;&gt;"",AK255-SUM($AJ$28:AJ255),"")</f>
        <v>31434.975143257972</v>
      </c>
      <c r="AM255" s="11">
        <f t="shared" si="213"/>
        <v>20</v>
      </c>
      <c r="AN255" s="11">
        <f>IF(AB255&lt;&gt;"",IF($B$16=listy!$K$8,'RZĄDOWY PROGRAM'!$F$3*'RZĄDOWY PROGRAM'!$F$15,AG254*$F$15),"")</f>
        <v>50</v>
      </c>
      <c r="AO255" s="11">
        <f t="shared" si="214"/>
        <v>70</v>
      </c>
      <c r="AQ255" s="8">
        <f t="shared" si="215"/>
        <v>228</v>
      </c>
      <c r="AR255" s="8"/>
      <c r="AS255" s="78">
        <f>IF(AQ255&lt;&gt;"",ROUND(IF($F$11="raty równe",-PMT(W255/12,$F$4-AQ254+SUM($AR$28:AR255),AV254,2),AT255+AU255),2),"")</f>
        <v>3263.83</v>
      </c>
      <c r="AT255" s="78">
        <f>IF(AQ255&lt;&gt;"",IF($F$11="raty malejące",AV254/($F$4-AQ254+SUM($AR$28:AR254)),MIN(AS255-AU255,AV254)),"")</f>
        <v>2804.4439835369508</v>
      </c>
      <c r="AU255" s="78">
        <f t="shared" si="216"/>
        <v>459.38601646304897</v>
      </c>
      <c r="AV255" s="79">
        <f t="shared" si="217"/>
        <v>60559.144494124979</v>
      </c>
      <c r="AW255" s="11"/>
      <c r="AX255" s="33">
        <f>IF(AQ255&lt;&gt;"",ROUND(IF($F$11="raty równe",-PMT(W255/12,($F$4-AQ254+SUM($AR$27:AR254)),AV254,2),AV254/($F$4-AQ254+SUM($AR$27:AR254))+AV254*W255/12),2),"")</f>
        <v>3263.83</v>
      </c>
      <c r="AY255" s="33">
        <f t="shared" si="218"/>
        <v>258.27</v>
      </c>
      <c r="AZ255" s="33">
        <f t="shared" si="233"/>
        <v>85353.738499020343</v>
      </c>
      <c r="BA255" s="33">
        <f>IF(AQ255&lt;&gt;"",AZ255-SUM($AY$44:AY255),"")</f>
        <v>30600.508499020572</v>
      </c>
      <c r="BB255" s="11">
        <f t="shared" si="219"/>
        <v>20</v>
      </c>
      <c r="BC255" s="11">
        <f>IF(AQ255&lt;&gt;"",IF($B$16=listy!$K$8,'RZĄDOWY PROGRAM'!$F$3*'RZĄDOWY PROGRAM'!$F$15,AV254*$F$15),"")</f>
        <v>50</v>
      </c>
      <c r="BD255" s="11">
        <f t="shared" si="220"/>
        <v>70</v>
      </c>
      <c r="BF255" s="8" t="str">
        <f t="shared" si="237"/>
        <v/>
      </c>
      <c r="BG255" s="8"/>
      <c r="BH255" s="78" t="str">
        <f>IF(BF255&lt;&gt;"",ROUND(IF($F$11="raty równe",-PMT(W255/12,$F$4-BF254+SUM(BV$28:$BV255)-SUM($BM$29:BM255),BK254,2),BI255+BJ255),2),"")</f>
        <v/>
      </c>
      <c r="BI255" s="78" t="str">
        <f>IF(BF255&lt;&gt;"",IF($F$11="raty malejące",MIN(BK254/($F$4-BF254+SUM($BG$27:BG255)-SUM($BM$27:BM255)),BK254),MIN(BH255-BJ255,BK254)),"")</f>
        <v/>
      </c>
      <c r="BJ255" s="78" t="str">
        <f t="shared" si="238"/>
        <v/>
      </c>
      <c r="BK255" s="79" t="str">
        <f t="shared" si="239"/>
        <v/>
      </c>
      <c r="BL255" s="11"/>
      <c r="BM255" s="33"/>
      <c r="BN255" s="33">
        <f t="shared" si="234"/>
        <v>3522.1</v>
      </c>
      <c r="BO255" s="33">
        <f t="shared" si="235"/>
        <v>65567.53499141334</v>
      </c>
      <c r="BP255" s="33">
        <f>IF(O255&lt;&gt;"",BO255-SUM($BN$44:BN255),"")</f>
        <v>2169.8949914133336</v>
      </c>
      <c r="BQ255" s="11" t="str">
        <f t="shared" si="240"/>
        <v/>
      </c>
      <c r="BR255" s="11" t="str">
        <f>IF(BF255&lt;&gt;"",IF($B$16=listy!$K$8,'RZĄDOWY PROGRAM'!$F$3*'RZĄDOWY PROGRAM'!$F$15,BK254*$F$15),"")</f>
        <v/>
      </c>
      <c r="BS255" s="11" t="str">
        <f t="shared" si="241"/>
        <v/>
      </c>
      <c r="BU255" s="8" t="str">
        <f t="shared" si="224"/>
        <v/>
      </c>
      <c r="BV255" s="8"/>
      <c r="BW255" s="78" t="str">
        <f>IF(BU255&lt;&gt;"",ROUND(IF($F$11="raty równe",-PMT(W255/12,$F$4-BU254+SUM($BV$28:BV255)-$CB$43,BZ254,2),BX255+BY255),2),"")</f>
        <v/>
      </c>
      <c r="BX255" s="78" t="str">
        <f>IF(BU255&lt;&gt;"",IF($F$11="raty malejące",MIN(BZ254/($F$4-BU254+SUM($BV$28:BV254)-SUM($CB$28:CB254)),BZ254),MIN(BW255-BY255,BZ254)),"")</f>
        <v/>
      </c>
      <c r="BY255" s="78" t="str">
        <f t="shared" si="245"/>
        <v/>
      </c>
      <c r="BZ255" s="79" t="str">
        <f t="shared" si="231"/>
        <v/>
      </c>
      <c r="CA255" s="11"/>
      <c r="CB255" s="33"/>
      <c r="CC255" s="33">
        <f t="shared" si="225"/>
        <v>3522.1</v>
      </c>
      <c r="CD255" s="33">
        <f t="shared" si="236"/>
        <v>65568.263665608392</v>
      </c>
      <c r="CE255" s="33">
        <f>IF(O255&lt;&gt;"",CD255-SUM($CC$44:CC255),"")</f>
        <v>2170.2836656083891</v>
      </c>
      <c r="CF255" s="11" t="str">
        <f t="shared" si="246"/>
        <v/>
      </c>
      <c r="CG255" s="11" t="str">
        <f>IF(BU255&lt;&gt;"",IF($B$16=listy!$K$8,'RZĄDOWY PROGRAM'!$F$3*'RZĄDOWY PROGRAM'!$F$15,BZ254*$F$15),"")</f>
        <v/>
      </c>
      <c r="CH255" s="11" t="str">
        <f t="shared" si="247"/>
        <v/>
      </c>
      <c r="CJ255" s="48">
        <f t="shared" si="201"/>
        <v>0.06</v>
      </c>
      <c r="CK255" s="18">
        <f t="shared" si="202"/>
        <v>4.8675505653430484E-3</v>
      </c>
      <c r="CL255" s="11">
        <f t="shared" si="232"/>
        <v>0</v>
      </c>
      <c r="CM255" s="11">
        <f t="shared" si="203"/>
        <v>67109.705740031452</v>
      </c>
      <c r="CN255" s="11">
        <f>IF(AB255&lt;&gt;"",CM255-SUM($CL$28:CL255),"")</f>
        <v>38932.945740031457</v>
      </c>
    </row>
    <row r="256" spans="1:92" x14ac:dyDescent="0.45">
      <c r="A256" s="68">
        <f t="shared" si="226"/>
        <v>51683</v>
      </c>
      <c r="B256" s="8">
        <f t="shared" si="186"/>
        <v>229</v>
      </c>
      <c r="C256" s="11">
        <f t="shared" si="187"/>
        <v>3522.09</v>
      </c>
      <c r="D256" s="11">
        <f t="shared" si="188"/>
        <v>3229.6456195030746</v>
      </c>
      <c r="E256" s="11">
        <f t="shared" si="189"/>
        <v>292.44438049692559</v>
      </c>
      <c r="F256" s="9">
        <f t="shared" si="204"/>
        <v>37107.510311107348</v>
      </c>
      <c r="G256" s="10">
        <f t="shared" si="190"/>
        <v>7.0000000000000007E-2</v>
      </c>
      <c r="H256" s="10">
        <f t="shared" si="191"/>
        <v>1.7000000000000001E-2</v>
      </c>
      <c r="I256" s="48">
        <f t="shared" si="205"/>
        <v>8.7000000000000008E-2</v>
      </c>
      <c r="J256" s="11">
        <f t="shared" si="192"/>
        <v>20</v>
      </c>
      <c r="K256" s="11">
        <f>IF(B256&lt;&gt;"",IF($B$16=listy!$K$8,'RZĄDOWY PROGRAM'!$F$3*'RZĄDOWY PROGRAM'!$F$15,F255*$F$15),"")</f>
        <v>50</v>
      </c>
      <c r="L256" s="11">
        <f t="shared" si="206"/>
        <v>70</v>
      </c>
      <c r="N256" s="54">
        <f t="shared" si="227"/>
        <v>51683</v>
      </c>
      <c r="O256" s="8">
        <f t="shared" si="207"/>
        <v>229</v>
      </c>
      <c r="P256" s="8"/>
      <c r="Q256" s="11">
        <f>IF(O256&lt;&gt;"",ROUND(IF($F$11="raty równe",-PMT(W256/12,$F$4-O255+SUM($P$28:P256),T255,2),R256+S256),2),"")</f>
        <v>3522.09</v>
      </c>
      <c r="R256" s="11">
        <f>IF(O256&lt;&gt;"",IF($F$11="raty malejące",T255/($F$4-O255+SUM($P$28:P256)),IF(Q256-S256&gt;T255,T255,Q256-S256)),"")</f>
        <v>3048.2923951917455</v>
      </c>
      <c r="S256" s="11">
        <f t="shared" si="229"/>
        <v>473.79760480825445</v>
      </c>
      <c r="T256" s="9">
        <f t="shared" si="208"/>
        <v>62303.101371464036</v>
      </c>
      <c r="U256" s="10">
        <f t="shared" si="193"/>
        <v>7.0000000000000007E-2</v>
      </c>
      <c r="V256" s="10">
        <f t="shared" si="194"/>
        <v>1.7000000000000001E-2</v>
      </c>
      <c r="W256" s="48">
        <f t="shared" si="209"/>
        <v>8.7000000000000008E-2</v>
      </c>
      <c r="X256" s="11">
        <f t="shared" si="195"/>
        <v>20</v>
      </c>
      <c r="Y256" s="11">
        <f>IF(O256&lt;&gt;"",IF($B$16=listy!$K$8,'RZĄDOWY PROGRAM'!$F$3*'RZĄDOWY PROGRAM'!$F$15,T255*$F$15),"")</f>
        <v>50</v>
      </c>
      <c r="Z256" s="11">
        <f t="shared" si="210"/>
        <v>70</v>
      </c>
      <c r="AB256" s="8">
        <f t="shared" si="211"/>
        <v>229</v>
      </c>
      <c r="AC256" s="8"/>
      <c r="AD256" s="11">
        <f>IF(AB256&lt;&gt;"",ROUND(IF($F$11="raty równe",-PMT(W256/12,$F$4-AB255+SUM($AC$28:AC256),AG255,2),AE256+AF256),2),"")</f>
        <v>3280.4</v>
      </c>
      <c r="AE256" s="11">
        <f>IF(AB256&lt;&gt;"",IF($F$11="raty malejące",AG255/($F$4-AB255+SUM($AC$28:AC255)),MIN(AD256-AF256,AG255)),"")</f>
        <v>2839.117059167043</v>
      </c>
      <c r="AF256" s="11">
        <f t="shared" si="230"/>
        <v>441.28294083295697</v>
      </c>
      <c r="AG256" s="9">
        <f t="shared" si="228"/>
        <v>58027.495469516667</v>
      </c>
      <c r="AH256" s="11"/>
      <c r="AI256" s="33">
        <f>IF(AB256&lt;&gt;"",ROUND(IF($F$11="raty równe",-PMT(W256/12,($F$4-AB255+SUM($AC$27:AC255)),AG255,2),AG255/($F$4-AB255+SUM($AC$27:AC255))+AG255*W256/12),2),"")</f>
        <v>3280.4</v>
      </c>
      <c r="AJ256" s="33">
        <f t="shared" si="212"/>
        <v>241.69000000000005</v>
      </c>
      <c r="AK256" s="33">
        <f t="shared" si="196"/>
        <v>85324.274190333934</v>
      </c>
      <c r="AL256" s="33">
        <f>IF(AB256&lt;&gt;"",AK256-SUM($AJ$28:AJ256),"")</f>
        <v>31769.114190333879</v>
      </c>
      <c r="AM256" s="11">
        <f t="shared" si="213"/>
        <v>20</v>
      </c>
      <c r="AN256" s="11">
        <f>IF(AB256&lt;&gt;"",IF($B$16=listy!$K$8,'RZĄDOWY PROGRAM'!$F$3*'RZĄDOWY PROGRAM'!$F$15,AG255*$F$15),"")</f>
        <v>50</v>
      </c>
      <c r="AO256" s="11">
        <f t="shared" si="214"/>
        <v>70</v>
      </c>
      <c r="AQ256" s="8">
        <f t="shared" si="215"/>
        <v>229</v>
      </c>
      <c r="AR256" s="8"/>
      <c r="AS256" s="78">
        <f>IF(AQ256&lt;&gt;"",ROUND(IF($F$11="raty równe",-PMT(W256/12,$F$4-AQ255+SUM($AR$28:AR256),AV255,2),AT256+AU256),2),"")</f>
        <v>3263.82</v>
      </c>
      <c r="AT256" s="78">
        <f>IF(AQ256&lt;&gt;"",IF($F$11="raty malejące",AV255/($F$4-AQ255+SUM($AR$28:AR255)),MIN(AS256-AU256,AV255)),"")</f>
        <v>2824.7662024175943</v>
      </c>
      <c r="AU256" s="78">
        <f t="shared" si="216"/>
        <v>439.0537975824061</v>
      </c>
      <c r="AV256" s="79">
        <f t="shared" si="217"/>
        <v>57734.378291707384</v>
      </c>
      <c r="AW256" s="11"/>
      <c r="AX256" s="33">
        <f>IF(AQ256&lt;&gt;"",ROUND(IF($F$11="raty równe",-PMT(W256/12,($F$4-AQ255+SUM($AR$27:AR255)),AV255,2),AV255/($F$4-AQ255+SUM($AR$27:AR255))+AV255*W256/12),2),"")</f>
        <v>3263.82</v>
      </c>
      <c r="AY256" s="33">
        <f>IF(AQ256&lt;&gt;"",IF(B256&lt;&gt;"",C256-AS256,-AS256),"")</f>
        <v>258.27</v>
      </c>
      <c r="AZ256" s="33">
        <f t="shared" si="233"/>
        <v>85948.534045869237</v>
      </c>
      <c r="BA256" s="33">
        <f>IF(AQ256&lt;&gt;"",AZ256-SUM($AY$44:AY256),"")</f>
        <v>30937.03404586947</v>
      </c>
      <c r="BB256" s="11">
        <f t="shared" si="219"/>
        <v>20</v>
      </c>
      <c r="BC256" s="11">
        <f>IF(AQ256&lt;&gt;"",IF($B$16=listy!$K$8,'RZĄDOWY PROGRAM'!$F$3*'RZĄDOWY PROGRAM'!$F$15,AV255*$F$15),"")</f>
        <v>50</v>
      </c>
      <c r="BD256" s="11">
        <f t="shared" si="220"/>
        <v>70</v>
      </c>
      <c r="BF256" s="8" t="str">
        <f t="shared" si="237"/>
        <v/>
      </c>
      <c r="BG256" s="8"/>
      <c r="BH256" s="78" t="str">
        <f>IF(BF256&lt;&gt;"",ROUND(IF($F$11="raty równe",-PMT(W256/12,$F$4-BF255+SUM(BV$28:$BV256)-SUM($BM$29:BM256),BK255,2),BI256+BJ256),2),"")</f>
        <v/>
      </c>
      <c r="BI256" s="78" t="str">
        <f>IF(BF256&lt;&gt;"",IF($F$11="raty malejące",MIN(BK255/($F$4-BF255+SUM($BG$27:BG256)-SUM($BM$27:BM256)),BK255),MIN(BH256-BJ256,BK255)),"")</f>
        <v/>
      </c>
      <c r="BJ256" s="78" t="str">
        <f t="shared" si="238"/>
        <v/>
      </c>
      <c r="BK256" s="79" t="str">
        <f t="shared" si="239"/>
        <v/>
      </c>
      <c r="BL256" s="11"/>
      <c r="BM256" s="33"/>
      <c r="BN256" s="33">
        <f t="shared" si="234"/>
        <v>3522.09</v>
      </c>
      <c r="BO256" s="33">
        <f t="shared" si="235"/>
        <v>69348.139157945974</v>
      </c>
      <c r="BP256" s="33">
        <f>IF(O256&lt;&gt;"",BO256-SUM($BN$44:BN256),"")</f>
        <v>2428.4091579459637</v>
      </c>
      <c r="BQ256" s="11" t="str">
        <f t="shared" si="240"/>
        <v/>
      </c>
      <c r="BR256" s="11" t="str">
        <f>IF(BF256&lt;&gt;"",IF($B$16=listy!$K$8,'RZĄDOWY PROGRAM'!$F$3*'RZĄDOWY PROGRAM'!$F$15,BK255*$F$15),"")</f>
        <v/>
      </c>
      <c r="BS256" s="11" t="str">
        <f t="shared" si="241"/>
        <v/>
      </c>
      <c r="BU256" s="8" t="str">
        <f t="shared" si="224"/>
        <v/>
      </c>
      <c r="BV256" s="8"/>
      <c r="BW256" s="78" t="str">
        <f>IF(BU256&lt;&gt;"",ROUND(IF($F$11="raty równe",-PMT(W256/12,$F$4-BU255+SUM($BV$28:BV256)-$CB$43,BZ255,2),BX256+BY256),2),"")</f>
        <v/>
      </c>
      <c r="BX256" s="78" t="str">
        <f>IF(BU256&lt;&gt;"",IF($F$11="raty malejące",MIN(BZ255/($F$4-BU255+SUM($BV$28:BV255)-SUM($CB$28:CB255)),BZ255),MIN(BW256-BY256,BZ255)),"")</f>
        <v/>
      </c>
      <c r="BY256" s="78" t="str">
        <f t="shared" si="245"/>
        <v/>
      </c>
      <c r="BZ256" s="79" t="str">
        <f t="shared" si="231"/>
        <v/>
      </c>
      <c r="CA256" s="11"/>
      <c r="CB256" s="33"/>
      <c r="CC256" s="33">
        <f t="shared" si="225"/>
        <v>3522.09</v>
      </c>
      <c r="CD256" s="33">
        <f t="shared" si="236"/>
        <v>69348.870705096415</v>
      </c>
      <c r="CE256" s="33">
        <f>IF(O256&lt;&gt;"",CD256-SUM($CC$44:CC256),"")</f>
        <v>2428.8007050964079</v>
      </c>
      <c r="CF256" s="11" t="str">
        <f t="shared" si="246"/>
        <v/>
      </c>
      <c r="CG256" s="11" t="str">
        <f>IF(BU256&lt;&gt;"",IF($B$16=listy!$K$8,'RZĄDOWY PROGRAM'!$F$3*'RZĄDOWY PROGRAM'!$F$15,BZ255*$F$15),"")</f>
        <v/>
      </c>
      <c r="CH256" s="11" t="str">
        <f t="shared" si="247"/>
        <v/>
      </c>
      <c r="CJ256" s="48">
        <f t="shared" si="201"/>
        <v>0.06</v>
      </c>
      <c r="CK256" s="18">
        <f t="shared" si="202"/>
        <v>4.8675505653430484E-3</v>
      </c>
      <c r="CL256" s="11">
        <f t="shared" si="232"/>
        <v>0</v>
      </c>
      <c r="CM256" s="11">
        <f t="shared" si="203"/>
        <v>67374.300247784529</v>
      </c>
      <c r="CN256" s="11">
        <f>IF(AB256&lt;&gt;"",CM256-SUM($CL$28:CL256),"")</f>
        <v>39197.540247784535</v>
      </c>
    </row>
    <row r="257" spans="1:92" x14ac:dyDescent="0.45">
      <c r="A257" s="68">
        <f t="shared" si="226"/>
        <v>51714</v>
      </c>
      <c r="B257" s="8">
        <f t="shared" si="186"/>
        <v>230</v>
      </c>
      <c r="C257" s="11">
        <f t="shared" si="187"/>
        <v>3522.1</v>
      </c>
      <c r="D257" s="11">
        <f t="shared" si="188"/>
        <v>3253.0705502444716</v>
      </c>
      <c r="E257" s="11">
        <f t="shared" si="189"/>
        <v>269.02944975552828</v>
      </c>
      <c r="F257" s="9">
        <f t="shared" si="204"/>
        <v>33854.439760862879</v>
      </c>
      <c r="G257" s="10">
        <f t="shared" si="190"/>
        <v>7.0000000000000007E-2</v>
      </c>
      <c r="H257" s="10">
        <f t="shared" si="191"/>
        <v>1.7000000000000001E-2</v>
      </c>
      <c r="I257" s="48">
        <f t="shared" si="205"/>
        <v>8.7000000000000008E-2</v>
      </c>
      <c r="J257" s="11">
        <f t="shared" si="192"/>
        <v>20</v>
      </c>
      <c r="K257" s="11">
        <f>IF(B257&lt;&gt;"",IF($B$16=listy!$K$8,'RZĄDOWY PROGRAM'!$F$3*'RZĄDOWY PROGRAM'!$F$15,F256*$F$15),"")</f>
        <v>50</v>
      </c>
      <c r="L257" s="11">
        <f t="shared" si="206"/>
        <v>70</v>
      </c>
      <c r="N257" s="54">
        <f t="shared" si="227"/>
        <v>51714</v>
      </c>
      <c r="O257" s="8">
        <f t="shared" si="207"/>
        <v>230</v>
      </c>
      <c r="P257" s="8"/>
      <c r="Q257" s="11">
        <f>IF(O257&lt;&gt;"",ROUND(IF($F$11="raty równe",-PMT(W257/12,$F$4-O256+SUM($P$28:P257),T256,2),R257+S257),2),"")</f>
        <v>3522.1</v>
      </c>
      <c r="R257" s="11">
        <f>IF(O257&lt;&gt;"",IF($F$11="raty malejące",T256/($F$4-O256+SUM($P$28:P257)),IF(Q257-S257&gt;T256,T256,Q257-S257)),"")</f>
        <v>3070.4025150568855</v>
      </c>
      <c r="S257" s="11">
        <f t="shared" si="229"/>
        <v>451.69748494311426</v>
      </c>
      <c r="T257" s="9">
        <f t="shared" si="208"/>
        <v>59232.698856407151</v>
      </c>
      <c r="U257" s="10">
        <f t="shared" si="193"/>
        <v>7.0000000000000007E-2</v>
      </c>
      <c r="V257" s="10">
        <f t="shared" si="194"/>
        <v>1.7000000000000001E-2</v>
      </c>
      <c r="W257" s="48">
        <f t="shared" si="209"/>
        <v>8.7000000000000008E-2</v>
      </c>
      <c r="X257" s="11">
        <f t="shared" si="195"/>
        <v>20</v>
      </c>
      <c r="Y257" s="11">
        <f>IF(O257&lt;&gt;"",IF($B$16=listy!$K$8,'RZĄDOWY PROGRAM'!$F$3*'RZĄDOWY PROGRAM'!$F$15,T256*$F$15),"")</f>
        <v>50</v>
      </c>
      <c r="Z257" s="11">
        <f t="shared" si="210"/>
        <v>70</v>
      </c>
      <c r="AB257" s="8">
        <f t="shared" si="211"/>
        <v>230</v>
      </c>
      <c r="AC257" s="8"/>
      <c r="AD257" s="11">
        <f>IF(AB257&lt;&gt;"",ROUND(IF($F$11="raty równe",-PMT(W257/12,$F$4-AB256+SUM($AC$28:AC257),AG256,2),AE257+AF257),2),"")</f>
        <v>3280.39</v>
      </c>
      <c r="AE257" s="11">
        <f>IF(AB257&lt;&gt;"",IF($F$11="raty malejące",AG256/($F$4-AB256+SUM($AC$28:AC256)),MIN(AD257-AF257,AG256)),"")</f>
        <v>2859.6906578460039</v>
      </c>
      <c r="AF257" s="11">
        <f t="shared" si="230"/>
        <v>420.69934215399593</v>
      </c>
      <c r="AG257" s="9">
        <f t="shared" si="228"/>
        <v>55167.804811670663</v>
      </c>
      <c r="AH257" s="11"/>
      <c r="AI257" s="33">
        <f>IF(AB257&lt;&gt;"",ROUND(IF($F$11="raty równe",-PMT(W257/12,($F$4-AB256+SUM($AC$27:AC256)),AG256,2),AG256/($F$4-AB256+SUM($AC$27:AC256))+AG256*W257/12),2),"")</f>
        <v>3280.39</v>
      </c>
      <c r="AJ257" s="33">
        <f t="shared" si="212"/>
        <v>241.71000000000004</v>
      </c>
      <c r="AK257" s="33">
        <f t="shared" si="196"/>
        <v>85902.393567782783</v>
      </c>
      <c r="AL257" s="33">
        <f>IF(AB257&lt;&gt;"",AK257-SUM($AJ$28:AJ257),"")</f>
        <v>32105.52356778273</v>
      </c>
      <c r="AM257" s="11">
        <f t="shared" si="213"/>
        <v>20</v>
      </c>
      <c r="AN257" s="11">
        <f>IF(AB257&lt;&gt;"",IF($B$16=listy!$K$8,'RZĄDOWY PROGRAM'!$F$3*'RZĄDOWY PROGRAM'!$F$15,AG256*$F$15),"")</f>
        <v>50</v>
      </c>
      <c r="AO257" s="11">
        <f t="shared" si="214"/>
        <v>70</v>
      </c>
      <c r="AQ257" s="8">
        <f t="shared" si="215"/>
        <v>230</v>
      </c>
      <c r="AR257" s="8"/>
      <c r="AS257" s="78">
        <f>IF(AQ257&lt;&gt;"",ROUND(IF($F$11="raty równe",-PMT(W257/12,$F$4-AQ256+SUM($AR$28:AR257),AV256,2),AT257+AU257),2),"")</f>
        <v>3263.83</v>
      </c>
      <c r="AT257" s="78">
        <f>IF(AQ257&lt;&gt;"",IF($F$11="raty malejące",AV256/($F$4-AQ256+SUM($AR$28:AR256)),MIN(AS257-AU257,AV256)),"")</f>
        <v>2845.2557573851213</v>
      </c>
      <c r="AU257" s="78">
        <f t="shared" si="216"/>
        <v>418.57424261487859</v>
      </c>
      <c r="AV257" s="79">
        <f t="shared" si="217"/>
        <v>54889.122534322261</v>
      </c>
      <c r="AW257" s="11"/>
      <c r="AX257" s="33">
        <f>IF(AQ257&lt;&gt;"",ROUND(IF($F$11="raty równe",-PMT(W257/12,($F$4-AQ256+SUM($AR$27:AR256)),AV256,2),AV256/($F$4-AQ256+SUM($AR$27:AR256))+AV256*W257/12),2),"")</f>
        <v>3263.83</v>
      </c>
      <c r="AY257" s="33">
        <f t="shared" si="218"/>
        <v>258.27</v>
      </c>
      <c r="AZ257" s="33">
        <f t="shared" si="233"/>
        <v>86545.674702612407</v>
      </c>
      <c r="BA257" s="33">
        <f>IF(AQ257&lt;&gt;"",AZ257-SUM($AY$44:AY257),"")</f>
        <v>31275.904702612643</v>
      </c>
      <c r="BB257" s="11">
        <f t="shared" si="219"/>
        <v>20</v>
      </c>
      <c r="BC257" s="11">
        <f>IF(AQ257&lt;&gt;"",IF($B$16=listy!$K$8,'RZĄDOWY PROGRAM'!$F$3*'RZĄDOWY PROGRAM'!$F$15,AV256*$F$15),"")</f>
        <v>50</v>
      </c>
      <c r="BD257" s="11">
        <f t="shared" si="220"/>
        <v>70</v>
      </c>
      <c r="BF257" s="8" t="str">
        <f t="shared" si="237"/>
        <v/>
      </c>
      <c r="BG257" s="8"/>
      <c r="BH257" s="78" t="str">
        <f>IF(BF257&lt;&gt;"",ROUND(IF($F$11="raty równe",-PMT(W257/12,$F$4-BF256+SUM(BV$28:$BV257)-SUM($BM$29:BM257),BK256,2),BI257+BJ257),2),"")</f>
        <v/>
      </c>
      <c r="BI257" s="78" t="str">
        <f>IF(BF257&lt;&gt;"",IF($F$11="raty malejące",MIN(BK256/($F$4-BF256+SUM($BG$27:BG257)-SUM($BM$27:BM257)),BK256),MIN(BH257-BJ257,BK256)),"")</f>
        <v/>
      </c>
      <c r="BJ257" s="78" t="str">
        <f t="shared" si="238"/>
        <v/>
      </c>
      <c r="BK257" s="79" t="str">
        <f t="shared" si="239"/>
        <v/>
      </c>
      <c r="BL257" s="11"/>
      <c r="BM257" s="33"/>
      <c r="BN257" s="33">
        <f t="shared" si="234"/>
        <v>3522.1</v>
      </c>
      <c r="BO257" s="33">
        <f t="shared" si="235"/>
        <v>73143.659172856627</v>
      </c>
      <c r="BP257" s="33">
        <f>IF(O257&lt;&gt;"",BO257-SUM($BN$44:BN257),"")</f>
        <v>2701.829172856611</v>
      </c>
      <c r="BQ257" s="11" t="str">
        <f t="shared" si="240"/>
        <v/>
      </c>
      <c r="BR257" s="11" t="str">
        <f>IF(BF257&lt;&gt;"",IF($B$16=listy!$K$8,'RZĄDOWY PROGRAM'!$F$3*'RZĄDOWY PROGRAM'!$F$15,BK256*$F$15),"")</f>
        <v/>
      </c>
      <c r="BS257" s="11" t="str">
        <f t="shared" si="241"/>
        <v/>
      </c>
      <c r="BU257" s="8" t="str">
        <f t="shared" si="224"/>
        <v/>
      </c>
      <c r="BV257" s="8"/>
      <c r="BW257" s="78" t="str">
        <f>IF(BU257&lt;&gt;"",ROUND(IF($F$11="raty równe",-PMT(W257/12,$F$4-BU256+SUM($BV$28:BV257)-$CB$43,BZ256,2),BX257+BY257),2),"")</f>
        <v/>
      </c>
      <c r="BX257" s="78" t="str">
        <f>IF(BU257&lt;&gt;"",IF($F$11="raty malejące",MIN(BZ256/($F$4-BU256+SUM($BV$28:BV256)-SUM($CB$28:CB256)),BZ256),MIN(BW257-BY257,BZ256)),"")</f>
        <v/>
      </c>
      <c r="BY257" s="78" t="str">
        <f t="shared" si="245"/>
        <v/>
      </c>
      <c r="BZ257" s="79" t="str">
        <f t="shared" si="231"/>
        <v/>
      </c>
      <c r="CA257" s="11"/>
      <c r="CB257" s="33"/>
      <c r="CC257" s="33">
        <f t="shared" si="225"/>
        <v>3522.1</v>
      </c>
      <c r="CD257" s="33">
        <f t="shared" si="236"/>
        <v>73144.393604289682</v>
      </c>
      <c r="CE257" s="33">
        <f>IF(O257&lt;&gt;"",CD257-SUM($CC$44:CC257),"")</f>
        <v>2702.2236042896693</v>
      </c>
      <c r="CF257" s="11" t="str">
        <f t="shared" si="246"/>
        <v/>
      </c>
      <c r="CG257" s="11" t="str">
        <f>IF(BU257&lt;&gt;"",IF($B$16=listy!$K$8,'RZĄDOWY PROGRAM'!$F$3*'RZĄDOWY PROGRAM'!$F$15,BZ256*$F$15),"")</f>
        <v/>
      </c>
      <c r="CH257" s="11" t="str">
        <f t="shared" si="247"/>
        <v/>
      </c>
      <c r="CJ257" s="48">
        <f t="shared" si="201"/>
        <v>0.06</v>
      </c>
      <c r="CK257" s="18">
        <f t="shared" si="202"/>
        <v>4.8675505653430484E-3</v>
      </c>
      <c r="CL257" s="11">
        <f t="shared" si="232"/>
        <v>0</v>
      </c>
      <c r="CM257" s="11">
        <f t="shared" si="203"/>
        <v>67639.937976525704</v>
      </c>
      <c r="CN257" s="11">
        <f>IF(AB257&lt;&gt;"",CM257-SUM($CL$28:CL257),"")</f>
        <v>39463.177976525709</v>
      </c>
    </row>
    <row r="258" spans="1:92" x14ac:dyDescent="0.45">
      <c r="A258" s="68">
        <f t="shared" si="226"/>
        <v>51745</v>
      </c>
      <c r="B258" s="8">
        <f t="shared" si="186"/>
        <v>231</v>
      </c>
      <c r="C258" s="11">
        <f t="shared" si="187"/>
        <v>3522.09</v>
      </c>
      <c r="D258" s="11">
        <f t="shared" si="188"/>
        <v>3276.6453117337442</v>
      </c>
      <c r="E258" s="11">
        <f t="shared" si="189"/>
        <v>245.44468826625589</v>
      </c>
      <c r="F258" s="9">
        <f t="shared" si="204"/>
        <v>30577.794449129135</v>
      </c>
      <c r="G258" s="10">
        <f t="shared" si="190"/>
        <v>7.0000000000000007E-2</v>
      </c>
      <c r="H258" s="10">
        <f t="shared" si="191"/>
        <v>1.7000000000000001E-2</v>
      </c>
      <c r="I258" s="48">
        <f t="shared" si="205"/>
        <v>8.7000000000000008E-2</v>
      </c>
      <c r="J258" s="11">
        <f t="shared" si="192"/>
        <v>20</v>
      </c>
      <c r="K258" s="11">
        <f>IF(B258&lt;&gt;"",IF($B$16=listy!$K$8,'RZĄDOWY PROGRAM'!$F$3*'RZĄDOWY PROGRAM'!$F$15,F257*$F$15),"")</f>
        <v>50</v>
      </c>
      <c r="L258" s="11">
        <f t="shared" si="206"/>
        <v>70</v>
      </c>
      <c r="N258" s="54">
        <f t="shared" si="227"/>
        <v>51745</v>
      </c>
      <c r="O258" s="8">
        <f t="shared" si="207"/>
        <v>231</v>
      </c>
      <c r="P258" s="8"/>
      <c r="Q258" s="11">
        <f>IF(O258&lt;&gt;"",ROUND(IF($F$11="raty równe",-PMT(W258/12,$F$4-O257+SUM($P$28:P258),T257,2),R258+S258),2),"")</f>
        <v>3522.09</v>
      </c>
      <c r="R258" s="11">
        <f>IF(O258&lt;&gt;"",IF($F$11="raty malejące",T257/($F$4-O257+SUM($P$28:P258)),IF(Q258-S258&gt;T257,T257,Q258-S258)),"")</f>
        <v>3092.6529332910482</v>
      </c>
      <c r="S258" s="11">
        <f t="shared" si="229"/>
        <v>429.43706670895193</v>
      </c>
      <c r="T258" s="9">
        <f t="shared" si="208"/>
        <v>56140.0459231161</v>
      </c>
      <c r="U258" s="10">
        <f t="shared" si="193"/>
        <v>7.0000000000000007E-2</v>
      </c>
      <c r="V258" s="10">
        <f t="shared" si="194"/>
        <v>1.7000000000000001E-2</v>
      </c>
      <c r="W258" s="48">
        <f t="shared" si="209"/>
        <v>8.7000000000000008E-2</v>
      </c>
      <c r="X258" s="11">
        <f t="shared" si="195"/>
        <v>20</v>
      </c>
      <c r="Y258" s="11">
        <f>IF(O258&lt;&gt;"",IF($B$16=listy!$K$8,'RZĄDOWY PROGRAM'!$F$3*'RZĄDOWY PROGRAM'!$F$15,T257*$F$15),"")</f>
        <v>50</v>
      </c>
      <c r="Z258" s="11">
        <f t="shared" si="210"/>
        <v>70</v>
      </c>
      <c r="AB258" s="8">
        <f t="shared" si="211"/>
        <v>231</v>
      </c>
      <c r="AC258" s="8"/>
      <c r="AD258" s="11">
        <f>IF(AB258&lt;&gt;"",ROUND(IF($F$11="raty równe",-PMT(W258/12,$F$4-AB257+SUM($AC$28:AC258),AG257,2),AE258+AF258),2),"")</f>
        <v>3280.4</v>
      </c>
      <c r="AE258" s="11">
        <f>IF(AB258&lt;&gt;"",IF($F$11="raty malejące",AG257/($F$4-AB257+SUM($AC$28:AC257)),MIN(AD258-AF258,AG257)),"")</f>
        <v>2880.4334151153876</v>
      </c>
      <c r="AF258" s="11">
        <f t="shared" si="230"/>
        <v>399.96658488461236</v>
      </c>
      <c r="AG258" s="9">
        <f t="shared" si="228"/>
        <v>52287.371396555274</v>
      </c>
      <c r="AH258" s="11"/>
      <c r="AI258" s="33">
        <f>IF(AB258&lt;&gt;"",ROUND(IF($F$11="raty równe",-PMT(W258/12,($F$4-AB257+SUM($AC$27:AC257)),AG257,2),AG257/($F$4-AB257+SUM($AC$27:AC257))+AG257*W258/12),2),"")</f>
        <v>3280.4</v>
      </c>
      <c r="AJ258" s="33">
        <f t="shared" si="212"/>
        <v>241.69000000000005</v>
      </c>
      <c r="AK258" s="33">
        <f t="shared" si="196"/>
        <v>86482.772305726685</v>
      </c>
      <c r="AL258" s="33">
        <f>IF(AB258&lt;&gt;"",AK258-SUM($AJ$28:AJ258),"")</f>
        <v>32444.212305726629</v>
      </c>
      <c r="AM258" s="11">
        <f t="shared" si="213"/>
        <v>20</v>
      </c>
      <c r="AN258" s="11">
        <f>IF(AB258&lt;&gt;"",IF($B$16=listy!$K$8,'RZĄDOWY PROGRAM'!$F$3*'RZĄDOWY PROGRAM'!$F$15,AG257*$F$15),"")</f>
        <v>50</v>
      </c>
      <c r="AO258" s="11">
        <f t="shared" si="214"/>
        <v>70</v>
      </c>
      <c r="AQ258" s="8">
        <f t="shared" si="215"/>
        <v>231</v>
      </c>
      <c r="AR258" s="8"/>
      <c r="AS258" s="78">
        <f>IF(AQ258&lt;&gt;"",ROUND(IF($F$11="raty równe",-PMT(W258/12,$F$4-AQ257+SUM($AR$28:AR258),AV257,2),AT258+AU258),2),"")</f>
        <v>3263.82</v>
      </c>
      <c r="AT258" s="78">
        <f>IF(AQ258&lt;&gt;"",IF($F$11="raty malejące",AV257/($F$4-AQ257+SUM($AR$28:AR257)),MIN(AS258-AU258,AV257)),"")</f>
        <v>2865.8738616261635</v>
      </c>
      <c r="AU258" s="78">
        <f t="shared" si="216"/>
        <v>397.94613837383645</v>
      </c>
      <c r="AV258" s="79">
        <f t="shared" si="217"/>
        <v>52023.2486726961</v>
      </c>
      <c r="AW258" s="11"/>
      <c r="AX258" s="33">
        <f>IF(AQ258&lt;&gt;"",ROUND(IF($F$11="raty równe",-PMT(W258/12,($F$4-AQ257+SUM($AR$27:AR257)),AV257,2),AV257/($F$4-AQ257+SUM($AR$27:AR257))+AV257*W258/12),2),"")</f>
        <v>3263.82</v>
      </c>
      <c r="AY258" s="33">
        <f t="shared" si="218"/>
        <v>258.27</v>
      </c>
      <c r="AZ258" s="33">
        <f t="shared" si="233"/>
        <v>87145.169715352036</v>
      </c>
      <c r="BA258" s="33">
        <f>IF(AQ258&lt;&gt;"",AZ258-SUM($AY$44:AY258),"")</f>
        <v>31617.129715352276</v>
      </c>
      <c r="BB258" s="11">
        <f t="shared" si="219"/>
        <v>20</v>
      </c>
      <c r="BC258" s="11">
        <f>IF(AQ258&lt;&gt;"",IF($B$16=listy!$K$8,'RZĄDOWY PROGRAM'!$F$3*'RZĄDOWY PROGRAM'!$F$15,AV257*$F$15),"")</f>
        <v>50</v>
      </c>
      <c r="BD258" s="11">
        <f t="shared" si="220"/>
        <v>70</v>
      </c>
      <c r="BF258" s="8" t="str">
        <f t="shared" si="237"/>
        <v/>
      </c>
      <c r="BG258" s="8"/>
      <c r="BH258" s="78" t="str">
        <f>IF(BF258&lt;&gt;"",ROUND(IF($F$11="raty równe",-PMT(W258/12,$F$4-BF257+SUM(BV$28:$BV258)-SUM($BM$29:BM258),BK257,2),BI258+BJ258),2),"")</f>
        <v/>
      </c>
      <c r="BI258" s="78" t="str">
        <f>IF(BF258&lt;&gt;"",IF($F$11="raty malejące",MIN(BK257/($F$4-BF257+SUM($BG$27:BG258)-SUM($BM$27:BM258)),BK257),MIN(BH258-BJ258,BK257)),"")</f>
        <v/>
      </c>
      <c r="BJ258" s="78" t="str">
        <f t="shared" si="238"/>
        <v/>
      </c>
      <c r="BK258" s="79" t="str">
        <f t="shared" si="239"/>
        <v/>
      </c>
      <c r="BL258" s="11"/>
      <c r="BM258" s="33"/>
      <c r="BN258" s="33">
        <f t="shared" si="234"/>
        <v>3522.09</v>
      </c>
      <c r="BO258" s="33">
        <f t="shared" si="235"/>
        <v>76954.133845098695</v>
      </c>
      <c r="BP258" s="33">
        <f>IF(O258&lt;&gt;"",BO258-SUM($BN$44:BN258),"")</f>
        <v>2990.2138450986822</v>
      </c>
      <c r="BQ258" s="11" t="str">
        <f t="shared" si="240"/>
        <v/>
      </c>
      <c r="BR258" s="11" t="str">
        <f>IF(BF258&lt;&gt;"",IF($B$16=listy!$K$8,'RZĄDOWY PROGRAM'!$F$3*'RZĄDOWY PROGRAM'!$F$15,BK257*$F$15),"")</f>
        <v/>
      </c>
      <c r="BS258" s="11" t="str">
        <f t="shared" si="241"/>
        <v/>
      </c>
      <c r="BU258" s="8" t="str">
        <f t="shared" si="224"/>
        <v/>
      </c>
      <c r="BV258" s="8"/>
      <c r="BW258" s="78" t="str">
        <f>IF(BU258&lt;&gt;"",ROUND(IF($F$11="raty równe",-PMT(W258/12,$F$4-BU257+SUM($BV$28:BV258)-$CB$43,BZ257,2),BX258+BY258),2),"")</f>
        <v/>
      </c>
      <c r="BX258" s="78" t="str">
        <f>IF(BU258&lt;&gt;"",IF($F$11="raty malejące",MIN(BZ257/($F$4-BU257+SUM($BV$28:BV257)-SUM($CB$28:CB257)),BZ257),MIN(BW258-BY258,BZ257)),"")</f>
        <v/>
      </c>
      <c r="BY258" s="78" t="str">
        <f t="shared" si="245"/>
        <v/>
      </c>
      <c r="BZ258" s="79" t="str">
        <f t="shared" si="231"/>
        <v/>
      </c>
      <c r="CA258" s="11"/>
      <c r="CB258" s="33"/>
      <c r="CC258" s="33">
        <f t="shared" si="225"/>
        <v>3522.09</v>
      </c>
      <c r="CD258" s="33">
        <f t="shared" si="236"/>
        <v>76954.871172186278</v>
      </c>
      <c r="CE258" s="33">
        <f>IF(O258&lt;&gt;"",CD258-SUM($CC$44:CC258),"")</f>
        <v>2990.611172186269</v>
      </c>
      <c r="CF258" s="11" t="str">
        <f t="shared" si="246"/>
        <v/>
      </c>
      <c r="CG258" s="11" t="str">
        <f>IF(BU258&lt;&gt;"",IF($B$16=listy!$K$8,'RZĄDOWY PROGRAM'!$F$3*'RZĄDOWY PROGRAM'!$F$15,BZ257*$F$15),"")</f>
        <v/>
      </c>
      <c r="CH258" s="11" t="str">
        <f t="shared" si="247"/>
        <v/>
      </c>
      <c r="CJ258" s="48">
        <f t="shared" si="201"/>
        <v>0.06</v>
      </c>
      <c r="CK258" s="18">
        <f t="shared" si="202"/>
        <v>4.8675505653430484E-3</v>
      </c>
      <c r="CL258" s="11">
        <f t="shared" si="232"/>
        <v>0</v>
      </c>
      <c r="CM258" s="11">
        <f t="shared" si="203"/>
        <v>67906.623039379003</v>
      </c>
      <c r="CN258" s="11">
        <f>IF(AB258&lt;&gt;"",CM258-SUM($CL$28:CL258),"")</f>
        <v>39729.863039379008</v>
      </c>
    </row>
    <row r="259" spans="1:92" x14ac:dyDescent="0.45">
      <c r="A259" s="68">
        <f t="shared" si="226"/>
        <v>51775</v>
      </c>
      <c r="B259" s="8">
        <f t="shared" si="186"/>
        <v>232</v>
      </c>
      <c r="C259" s="11">
        <f t="shared" si="187"/>
        <v>3522.1</v>
      </c>
      <c r="D259" s="11">
        <f t="shared" si="188"/>
        <v>3300.4109902438136</v>
      </c>
      <c r="E259" s="11">
        <f t="shared" si="189"/>
        <v>221.68900975618624</v>
      </c>
      <c r="F259" s="9">
        <f t="shared" si="204"/>
        <v>27277.383458885321</v>
      </c>
      <c r="G259" s="10">
        <f t="shared" si="190"/>
        <v>7.0000000000000007E-2</v>
      </c>
      <c r="H259" s="10">
        <f t="shared" si="191"/>
        <v>1.7000000000000001E-2</v>
      </c>
      <c r="I259" s="48">
        <f t="shared" si="205"/>
        <v>8.7000000000000008E-2</v>
      </c>
      <c r="J259" s="11">
        <f t="shared" si="192"/>
        <v>20</v>
      </c>
      <c r="K259" s="11">
        <f>IF(B259&lt;&gt;"",IF($B$16=listy!$K$8,'RZĄDOWY PROGRAM'!$F$3*'RZĄDOWY PROGRAM'!$F$15,F258*$F$15),"")</f>
        <v>50</v>
      </c>
      <c r="L259" s="11">
        <f t="shared" si="206"/>
        <v>70</v>
      </c>
      <c r="N259" s="54">
        <f t="shared" si="227"/>
        <v>51775</v>
      </c>
      <c r="O259" s="8">
        <f t="shared" si="207"/>
        <v>232</v>
      </c>
      <c r="P259" s="8"/>
      <c r="Q259" s="11">
        <f>IF(O259&lt;&gt;"",ROUND(IF($F$11="raty równe",-PMT(W259/12,$F$4-O258+SUM($P$28:P259),T258,2),R259+S259),2),"")</f>
        <v>3522.1</v>
      </c>
      <c r="R259" s="11">
        <f>IF(O259&lt;&gt;"",IF($F$11="raty malejące",T258/($F$4-O258+SUM($P$28:P259)),IF(Q259-S259&gt;T258,T258,Q259-S259)),"")</f>
        <v>3115.0846670574083</v>
      </c>
      <c r="S259" s="11">
        <f t="shared" si="229"/>
        <v>407.01533294259178</v>
      </c>
      <c r="T259" s="9">
        <f t="shared" si="208"/>
        <v>53024.96125605869</v>
      </c>
      <c r="U259" s="10">
        <f t="shared" si="193"/>
        <v>7.0000000000000007E-2</v>
      </c>
      <c r="V259" s="10">
        <f t="shared" si="194"/>
        <v>1.7000000000000001E-2</v>
      </c>
      <c r="W259" s="48">
        <f t="shared" si="209"/>
        <v>8.7000000000000008E-2</v>
      </c>
      <c r="X259" s="11">
        <f t="shared" si="195"/>
        <v>20</v>
      </c>
      <c r="Y259" s="11">
        <f>IF(O259&lt;&gt;"",IF($B$16=listy!$K$8,'RZĄDOWY PROGRAM'!$F$3*'RZĄDOWY PROGRAM'!$F$15,T258*$F$15),"")</f>
        <v>50</v>
      </c>
      <c r="Z259" s="11">
        <f t="shared" si="210"/>
        <v>70</v>
      </c>
      <c r="AB259" s="8">
        <f t="shared" si="211"/>
        <v>232</v>
      </c>
      <c r="AC259" s="8"/>
      <c r="AD259" s="11">
        <f>IF(AB259&lt;&gt;"",ROUND(IF($F$11="raty równe",-PMT(W259/12,$F$4-AB258+SUM($AC$28:AC259),AG258,2),AE259+AF259),2),"")</f>
        <v>3280.39</v>
      </c>
      <c r="AE259" s="11">
        <f>IF(AB259&lt;&gt;"",IF($F$11="raty malejące",AG258/($F$4-AB258+SUM($AC$28:AC258)),MIN(AD259-AF259,AG258)),"")</f>
        <v>2901.3065573749741</v>
      </c>
      <c r="AF259" s="11">
        <f t="shared" si="230"/>
        <v>379.08344262502578</v>
      </c>
      <c r="AG259" s="9">
        <f t="shared" si="228"/>
        <v>49386.064839180297</v>
      </c>
      <c r="AH259" s="11"/>
      <c r="AI259" s="33">
        <f>IF(AB259&lt;&gt;"",ROUND(IF($F$11="raty równe",-PMT(W259/12,($F$4-AB258+SUM($AC$27:AC258)),AG258,2),AG258/($F$4-AB258+SUM($AC$27:AC258))+AG258*W259/12),2),"")</f>
        <v>3280.39</v>
      </c>
      <c r="AJ259" s="33">
        <f t="shared" si="212"/>
        <v>241.71000000000004</v>
      </c>
      <c r="AK259" s="33">
        <f t="shared" si="196"/>
        <v>87065.459312182327</v>
      </c>
      <c r="AL259" s="33">
        <f>IF(AB259&lt;&gt;"",AK259-SUM($AJ$28:AJ259),"")</f>
        <v>32785.189312182272</v>
      </c>
      <c r="AM259" s="11">
        <f t="shared" si="213"/>
        <v>20</v>
      </c>
      <c r="AN259" s="11">
        <f>IF(AB259&lt;&gt;"",IF($B$16=listy!$K$8,'RZĄDOWY PROGRAM'!$F$3*'RZĄDOWY PROGRAM'!$F$15,AG258*$F$15),"")</f>
        <v>50</v>
      </c>
      <c r="AO259" s="11">
        <f t="shared" si="214"/>
        <v>70</v>
      </c>
      <c r="AQ259" s="8">
        <f t="shared" si="215"/>
        <v>232</v>
      </c>
      <c r="AR259" s="8"/>
      <c r="AS259" s="78">
        <f>IF(AQ259&lt;&gt;"",ROUND(IF($F$11="raty równe",-PMT(W259/12,$F$4-AQ258+SUM($AR$28:AR259),AV258,2),AT259+AU259),2),"")</f>
        <v>3263.83</v>
      </c>
      <c r="AT259" s="78">
        <f>IF(AQ259&lt;&gt;"",IF($F$11="raty malejące",AV258/($F$4-AQ258+SUM($AR$28:AR258)),MIN(AS259-AU259,AV258)),"")</f>
        <v>2886.6614471229532</v>
      </c>
      <c r="AU259" s="78">
        <f t="shared" si="216"/>
        <v>377.16855287704675</v>
      </c>
      <c r="AV259" s="79">
        <f t="shared" si="217"/>
        <v>49136.587225573145</v>
      </c>
      <c r="AW259" s="11"/>
      <c r="AX259" s="33">
        <f>IF(AQ259&lt;&gt;"",ROUND(IF($F$11="raty równe",-PMT(W259/12,($F$4-AQ258+SUM($AR$27:AR258)),AV258,2),AV258/($F$4-AQ258+SUM($AR$27:AR258))+AV258*W259/12),2),"")</f>
        <v>3263.83</v>
      </c>
      <c r="AY259" s="33">
        <f t="shared" si="218"/>
        <v>258.27</v>
      </c>
      <c r="AZ259" s="33">
        <f t="shared" si="233"/>
        <v>87747.0283666451</v>
      </c>
      <c r="BA259" s="33">
        <f>IF(AQ259&lt;&gt;"",AZ259-SUM($AY$44:AY259),"")</f>
        <v>31960.718366645342</v>
      </c>
      <c r="BB259" s="11">
        <f t="shared" si="219"/>
        <v>20</v>
      </c>
      <c r="BC259" s="11">
        <f>IF(AQ259&lt;&gt;"",IF($B$16=listy!$K$8,'RZĄDOWY PROGRAM'!$F$3*'RZĄDOWY PROGRAM'!$F$15,AV258*$F$15),"")</f>
        <v>50</v>
      </c>
      <c r="BD259" s="11">
        <f t="shared" si="220"/>
        <v>70</v>
      </c>
      <c r="BF259" s="8" t="str">
        <f t="shared" si="237"/>
        <v/>
      </c>
      <c r="BG259" s="8"/>
      <c r="BH259" s="78" t="str">
        <f>IF(BF259&lt;&gt;"",ROUND(IF($F$11="raty równe",-PMT(W259/12,$F$4-BF258+SUM(BV$28:$BV259)-SUM($BM$29:BM259),BK258,2),BI259+BJ259),2),"")</f>
        <v/>
      </c>
      <c r="BI259" s="78" t="str">
        <f>IF(BF259&lt;&gt;"",IF($F$11="raty malejące",MIN(BK258/($F$4-BF258+SUM($BG$27:BG259)-SUM($BM$27:BM259)),BK258),MIN(BH259-BJ259,BK258)),"")</f>
        <v/>
      </c>
      <c r="BJ259" s="78" t="str">
        <f t="shared" si="238"/>
        <v/>
      </c>
      <c r="BK259" s="79" t="str">
        <f t="shared" si="239"/>
        <v/>
      </c>
      <c r="BL259" s="11"/>
      <c r="BM259" s="33"/>
      <c r="BN259" s="33">
        <f t="shared" si="234"/>
        <v>3522.1</v>
      </c>
      <c r="BO259" s="33">
        <f t="shared" si="235"/>
        <v>80779.6421366383</v>
      </c>
      <c r="BP259" s="33">
        <f>IF(O259&lt;&gt;"",BO259-SUM($BN$44:BN259),"")</f>
        <v>3293.6221366382815</v>
      </c>
      <c r="BQ259" s="11" t="str">
        <f t="shared" si="240"/>
        <v/>
      </c>
      <c r="BR259" s="11" t="str">
        <f>IF(BF259&lt;&gt;"",IF($B$16=listy!$K$8,'RZĄDOWY PROGRAM'!$F$3*'RZĄDOWY PROGRAM'!$F$15,BK258*$F$15),"")</f>
        <v/>
      </c>
      <c r="BS259" s="11" t="str">
        <f t="shared" si="241"/>
        <v/>
      </c>
      <c r="BU259" s="8" t="str">
        <f t="shared" si="224"/>
        <v/>
      </c>
      <c r="BV259" s="8"/>
      <c r="BW259" s="78" t="str">
        <f>IF(BU259&lt;&gt;"",ROUND(IF($F$11="raty równe",-PMT(W259/12,$F$4-BU258+SUM($BV$28:BV259)-$CB$43,BZ258,2),BX259+BY259),2),"")</f>
        <v/>
      </c>
      <c r="BX259" s="78" t="str">
        <f>IF(BU259&lt;&gt;"",IF($F$11="raty malejące",MIN(BZ258/($F$4-BU258+SUM($BV$28:BV258)-SUM($CB$28:CB258)),BZ258),MIN(BW259-BY259,BZ258)),"")</f>
        <v/>
      </c>
      <c r="BY259" s="78" t="str">
        <f t="shared" si="245"/>
        <v/>
      </c>
      <c r="BZ259" s="79" t="str">
        <f t="shared" si="231"/>
        <v/>
      </c>
      <c r="CA259" s="11"/>
      <c r="CB259" s="33"/>
      <c r="CC259" s="33">
        <f t="shared" si="225"/>
        <v>3522.1</v>
      </c>
      <c r="CD259" s="33">
        <f t="shared" si="236"/>
        <v>80780.382370797146</v>
      </c>
      <c r="CE259" s="33">
        <f>IF(O259&lt;&gt;"",CD259-SUM($CC$44:CC259),"")</f>
        <v>3294.0223707971309</v>
      </c>
      <c r="CF259" s="11" t="str">
        <f t="shared" si="246"/>
        <v/>
      </c>
      <c r="CG259" s="11" t="str">
        <f>IF(BU259&lt;&gt;"",IF($B$16=listy!$K$8,'RZĄDOWY PROGRAM'!$F$3*'RZĄDOWY PROGRAM'!$F$15,BZ258*$F$15),"")</f>
        <v/>
      </c>
      <c r="CH259" s="11" t="str">
        <f t="shared" si="247"/>
        <v/>
      </c>
      <c r="CJ259" s="48">
        <f t="shared" si="201"/>
        <v>0.06</v>
      </c>
      <c r="CK259" s="18">
        <f t="shared" si="202"/>
        <v>4.8675505653430484E-3</v>
      </c>
      <c r="CL259" s="11">
        <f t="shared" si="232"/>
        <v>0</v>
      </c>
      <c r="CM259" s="11">
        <f t="shared" si="203"/>
        <v>68174.359565685358</v>
      </c>
      <c r="CN259" s="11">
        <f>IF(AB259&lt;&gt;"",CM259-SUM($CL$28:CL259),"")</f>
        <v>39997.599565685363</v>
      </c>
    </row>
    <row r="260" spans="1:92" x14ac:dyDescent="0.45">
      <c r="A260" s="68">
        <f t="shared" si="226"/>
        <v>51806</v>
      </c>
      <c r="B260" s="8">
        <f t="shared" si="186"/>
        <v>233</v>
      </c>
      <c r="C260" s="11">
        <f t="shared" si="187"/>
        <v>3522.09</v>
      </c>
      <c r="D260" s="11">
        <f t="shared" si="188"/>
        <v>3324.3289699230818</v>
      </c>
      <c r="E260" s="11">
        <f t="shared" si="189"/>
        <v>197.76103007691859</v>
      </c>
      <c r="F260" s="9">
        <f t="shared" si="204"/>
        <v>23953.05448896224</v>
      </c>
      <c r="G260" s="10">
        <f t="shared" si="190"/>
        <v>7.0000000000000007E-2</v>
      </c>
      <c r="H260" s="10">
        <f t="shared" si="191"/>
        <v>1.7000000000000001E-2</v>
      </c>
      <c r="I260" s="48">
        <f t="shared" si="205"/>
        <v>8.7000000000000008E-2</v>
      </c>
      <c r="J260" s="11">
        <f t="shared" si="192"/>
        <v>20</v>
      </c>
      <c r="K260" s="11">
        <f>IF(B260&lt;&gt;"",IF($B$16=listy!$K$8,'RZĄDOWY PROGRAM'!$F$3*'RZĄDOWY PROGRAM'!$F$15,F259*$F$15),"")</f>
        <v>50</v>
      </c>
      <c r="L260" s="11">
        <f t="shared" si="206"/>
        <v>70</v>
      </c>
      <c r="N260" s="54">
        <f t="shared" si="227"/>
        <v>51806</v>
      </c>
      <c r="O260" s="8">
        <f t="shared" si="207"/>
        <v>233</v>
      </c>
      <c r="P260" s="8"/>
      <c r="Q260" s="11">
        <f>IF(O260&lt;&gt;"",ROUND(IF($F$11="raty równe",-PMT(W260/12,$F$4-O259+SUM($P$28:P260),T259,2),R260+S260),2),"")</f>
        <v>3522.09</v>
      </c>
      <c r="R260" s="11">
        <f>IF(O260&lt;&gt;"",IF($F$11="raty malejące",T259/($F$4-O259+SUM($P$28:P260)),IF(Q260-S260&gt;T259,T259,Q260-S260)),"")</f>
        <v>3137.6590308935747</v>
      </c>
      <c r="S260" s="11">
        <f t="shared" si="229"/>
        <v>384.43096910642549</v>
      </c>
      <c r="T260" s="9">
        <f t="shared" si="208"/>
        <v>49887.302225165113</v>
      </c>
      <c r="U260" s="10">
        <f t="shared" si="193"/>
        <v>7.0000000000000007E-2</v>
      </c>
      <c r="V260" s="10">
        <f t="shared" si="194"/>
        <v>1.7000000000000001E-2</v>
      </c>
      <c r="W260" s="48">
        <f t="shared" si="209"/>
        <v>8.7000000000000008E-2</v>
      </c>
      <c r="X260" s="11">
        <f t="shared" si="195"/>
        <v>20</v>
      </c>
      <c r="Y260" s="11">
        <f>IF(O260&lt;&gt;"",IF($B$16=listy!$K$8,'RZĄDOWY PROGRAM'!$F$3*'RZĄDOWY PROGRAM'!$F$15,T259*$F$15),"")</f>
        <v>50</v>
      </c>
      <c r="Z260" s="11">
        <f t="shared" si="210"/>
        <v>70</v>
      </c>
      <c r="AB260" s="8">
        <f t="shared" si="211"/>
        <v>233</v>
      </c>
      <c r="AC260" s="8"/>
      <c r="AD260" s="11">
        <f>IF(AB260&lt;&gt;"",ROUND(IF($F$11="raty równe",-PMT(W260/12,$F$4-AB259+SUM($AC$28:AC260),AG259,2),AE260+AF260),2),"")</f>
        <v>3280.4</v>
      </c>
      <c r="AE260" s="11">
        <f>IF(AB260&lt;&gt;"",IF($F$11="raty malejące",AG259/($F$4-AB259+SUM($AC$28:AC259)),MIN(AD260-AF260,AG259)),"")</f>
        <v>2922.3510299159429</v>
      </c>
      <c r="AF260" s="11">
        <f t="shared" si="230"/>
        <v>358.0489700840572</v>
      </c>
      <c r="AG260" s="9">
        <f t="shared" si="228"/>
        <v>46463.713809264351</v>
      </c>
      <c r="AH260" s="11"/>
      <c r="AI260" s="33">
        <f>IF(AB260&lt;&gt;"",ROUND(IF($F$11="raty równe",-PMT(W260/12,($F$4-AB259+SUM($AC$27:AC259)),AG259,2),AG259/($F$4-AB259+SUM($AC$27:AC259))+AG259*W260/12),2),"")</f>
        <v>3280.4</v>
      </c>
      <c r="AJ260" s="33">
        <f t="shared" si="212"/>
        <v>241.69000000000005</v>
      </c>
      <c r="AK260" s="33">
        <f t="shared" si="196"/>
        <v>87650.423687996794</v>
      </c>
      <c r="AL260" s="33">
        <f>IF(AB260&lt;&gt;"",AK260-SUM($AJ$28:AJ260),"")</f>
        <v>33128.463687996737</v>
      </c>
      <c r="AM260" s="11">
        <f t="shared" si="213"/>
        <v>20</v>
      </c>
      <c r="AN260" s="11">
        <f>IF(AB260&lt;&gt;"",IF($B$16=listy!$K$8,'RZĄDOWY PROGRAM'!$F$3*'RZĄDOWY PROGRAM'!$F$15,AG259*$F$15),"")</f>
        <v>50</v>
      </c>
      <c r="AO260" s="11">
        <f t="shared" si="214"/>
        <v>70</v>
      </c>
      <c r="AQ260" s="8">
        <f t="shared" si="215"/>
        <v>233</v>
      </c>
      <c r="AR260" s="8"/>
      <c r="AS260" s="78">
        <f>IF(AQ260&lt;&gt;"",ROUND(IF($F$11="raty równe",-PMT(W260/12,$F$4-AQ259+SUM($AR$28:AR260),AV259,2),AT260+AU260),2),"")</f>
        <v>3263.82</v>
      </c>
      <c r="AT260" s="78">
        <f>IF(AQ260&lt;&gt;"",IF($F$11="raty malejące",AV259/($F$4-AQ259+SUM($AR$28:AR259)),MIN(AS260-AU260,AV259)),"")</f>
        <v>2907.5797426145946</v>
      </c>
      <c r="AU260" s="78">
        <f t="shared" si="216"/>
        <v>356.24025738540536</v>
      </c>
      <c r="AV260" s="79">
        <f t="shared" si="217"/>
        <v>46229.00748295855</v>
      </c>
      <c r="AW260" s="11"/>
      <c r="AX260" s="33">
        <f>IF(AQ260&lt;&gt;"",ROUND(IF($F$11="raty równe",-PMT(W260/12,($F$4-AQ259+SUM($AR$27:AR259)),AV259,2),AV259/($F$4-AQ259+SUM($AR$27:AR259))+AV259*W260/12),2),"")</f>
        <v>3263.82</v>
      </c>
      <c r="AY260" s="33">
        <f t="shared" si="218"/>
        <v>258.27</v>
      </c>
      <c r="AZ260" s="33">
        <f t="shared" si="233"/>
        <v>88351.25997564703</v>
      </c>
      <c r="BA260" s="33">
        <f>IF(AQ260&lt;&gt;"",AZ260-SUM($AY$44:AY260),"")</f>
        <v>32306.679975647276</v>
      </c>
      <c r="BB260" s="11">
        <f t="shared" si="219"/>
        <v>20</v>
      </c>
      <c r="BC260" s="11">
        <f>IF(AQ260&lt;&gt;"",IF($B$16=listy!$K$8,'RZĄDOWY PROGRAM'!$F$3*'RZĄDOWY PROGRAM'!$F$15,AV259*$F$15),"")</f>
        <v>50</v>
      </c>
      <c r="BD260" s="11">
        <f t="shared" si="220"/>
        <v>70</v>
      </c>
      <c r="BF260" s="8" t="str">
        <f t="shared" si="237"/>
        <v/>
      </c>
      <c r="BG260" s="8"/>
      <c r="BH260" s="78" t="str">
        <f>IF(BF260&lt;&gt;"",ROUND(IF($F$11="raty równe",-PMT(W260/12,$F$4-BF259+SUM(BV$28:$BV260)-SUM($BM$29:BM260),BK259,2),BI260+BJ260),2),"")</f>
        <v/>
      </c>
      <c r="BI260" s="78" t="str">
        <f>IF(BF260&lt;&gt;"",IF($F$11="raty malejące",MIN(BK259/($F$4-BF259+SUM($BG$27:BG260)-SUM($BM$27:BM260)),BK259),MIN(BH260-BJ260,BK259)),"")</f>
        <v/>
      </c>
      <c r="BJ260" s="78" t="str">
        <f t="shared" si="238"/>
        <v/>
      </c>
      <c r="BK260" s="79" t="str">
        <f t="shared" si="239"/>
        <v/>
      </c>
      <c r="BL260" s="11"/>
      <c r="BM260" s="33"/>
      <c r="BN260" s="33">
        <f t="shared" si="234"/>
        <v>3522.09</v>
      </c>
      <c r="BO260" s="33">
        <f t="shared" si="235"/>
        <v>84620.223320766134</v>
      </c>
      <c r="BP260" s="33">
        <f>IF(O260&lt;&gt;"",BO260-SUM($BN$44:BN260),"")</f>
        <v>3612.1133207661187</v>
      </c>
      <c r="BQ260" s="11" t="str">
        <f t="shared" si="240"/>
        <v/>
      </c>
      <c r="BR260" s="11" t="str">
        <f>IF(BF260&lt;&gt;"",IF($B$16=listy!$K$8,'RZĄDOWY PROGRAM'!$F$3*'RZĄDOWY PROGRAM'!$F$15,BK259*$F$15),"")</f>
        <v/>
      </c>
      <c r="BS260" s="11" t="str">
        <f t="shared" si="241"/>
        <v/>
      </c>
      <c r="BU260" s="8" t="str">
        <f t="shared" si="224"/>
        <v/>
      </c>
      <c r="BV260" s="8"/>
      <c r="BW260" s="78" t="str">
        <f>IF(BU260&lt;&gt;"",ROUND(IF($F$11="raty równe",-PMT(W260/12,$F$4-BU259+SUM($BV$28:BV260)-$CB$43,BZ259,2),BX260+BY260),2),"")</f>
        <v/>
      </c>
      <c r="BX260" s="78" t="str">
        <f>IF(BU260&lt;&gt;"",IF($F$11="raty malejące",MIN(BZ259/($F$4-BU259+SUM($BV$28:BV259)-SUM($CB$28:CB259)),BZ259),MIN(BW260-BY260,BZ259)),"")</f>
        <v/>
      </c>
      <c r="BY260" s="78" t="str">
        <f t="shared" si="245"/>
        <v/>
      </c>
      <c r="BZ260" s="79" t="str">
        <f t="shared" si="231"/>
        <v/>
      </c>
      <c r="CA260" s="11"/>
      <c r="CB260" s="33"/>
      <c r="CC260" s="33">
        <f t="shared" si="225"/>
        <v>3522.09</v>
      </c>
      <c r="CD260" s="33">
        <f t="shared" si="236"/>
        <v>84620.966473458</v>
      </c>
      <c r="CE260" s="33">
        <f>IF(O260&lt;&gt;"",CD260-SUM($CC$44:CC260),"")</f>
        <v>3612.5164734579885</v>
      </c>
      <c r="CF260" s="11" t="str">
        <f t="shared" si="246"/>
        <v/>
      </c>
      <c r="CG260" s="11" t="str">
        <f>IF(BU260&lt;&gt;"",IF($B$16=listy!$K$8,'RZĄDOWY PROGRAM'!$F$3*'RZĄDOWY PROGRAM'!$F$15,BZ259*$F$15),"")</f>
        <v/>
      </c>
      <c r="CH260" s="11" t="str">
        <f t="shared" si="247"/>
        <v/>
      </c>
      <c r="CJ260" s="48">
        <f t="shared" si="201"/>
        <v>0.06</v>
      </c>
      <c r="CK260" s="18">
        <f t="shared" si="202"/>
        <v>4.8675505653430484E-3</v>
      </c>
      <c r="CL260" s="11">
        <f t="shared" si="232"/>
        <v>0</v>
      </c>
      <c r="CM260" s="11">
        <f t="shared" si="203"/>
        <v>68443.151701066497</v>
      </c>
      <c r="CN260" s="11">
        <f>IF(AB260&lt;&gt;"",CM260-SUM($CL$28:CL260),"")</f>
        <v>40266.391701066503</v>
      </c>
    </row>
    <row r="261" spans="1:92" x14ac:dyDescent="0.45">
      <c r="A261" s="68">
        <f t="shared" si="226"/>
        <v>51836</v>
      </c>
      <c r="B261" s="8">
        <f t="shared" si="186"/>
        <v>234</v>
      </c>
      <c r="C261" s="11">
        <f t="shared" si="187"/>
        <v>3522.1</v>
      </c>
      <c r="D261" s="11">
        <f t="shared" si="188"/>
        <v>3348.4403549550238</v>
      </c>
      <c r="E261" s="11">
        <f t="shared" si="189"/>
        <v>173.65964504497626</v>
      </c>
      <c r="F261" s="9">
        <f t="shared" si="204"/>
        <v>20604.614134007217</v>
      </c>
      <c r="G261" s="10">
        <f t="shared" si="190"/>
        <v>7.0000000000000007E-2</v>
      </c>
      <c r="H261" s="10">
        <f t="shared" si="191"/>
        <v>1.7000000000000001E-2</v>
      </c>
      <c r="I261" s="48">
        <f t="shared" si="205"/>
        <v>8.7000000000000008E-2</v>
      </c>
      <c r="J261" s="11">
        <f t="shared" si="192"/>
        <v>20</v>
      </c>
      <c r="K261" s="11">
        <f>IF(B261&lt;&gt;"",IF($B$16=listy!$K$8,'RZĄDOWY PROGRAM'!$F$3*'RZĄDOWY PROGRAM'!$F$15,F260*$F$15),"")</f>
        <v>50</v>
      </c>
      <c r="L261" s="11">
        <f t="shared" si="206"/>
        <v>70</v>
      </c>
      <c r="N261" s="54">
        <f t="shared" si="227"/>
        <v>51836</v>
      </c>
      <c r="O261" s="8">
        <f t="shared" si="207"/>
        <v>234</v>
      </c>
      <c r="P261" s="8"/>
      <c r="Q261" s="11">
        <f>IF(O261&lt;&gt;"",ROUND(IF($F$11="raty równe",-PMT(W261/12,$F$4-O260+SUM($P$28:P261),T260,2),R261+S261),2),"")</f>
        <v>3522.1</v>
      </c>
      <c r="R261" s="11">
        <f>IF(O261&lt;&gt;"",IF($F$11="raty malejące",T260/($F$4-O260+SUM($P$28:P261)),IF(Q261-S261&gt;T260,T260,Q261-S261)),"")</f>
        <v>3160.4170588675529</v>
      </c>
      <c r="S261" s="11">
        <f t="shared" si="229"/>
        <v>361.68294113244707</v>
      </c>
      <c r="T261" s="9">
        <f t="shared" si="208"/>
        <v>46726.885166297558</v>
      </c>
      <c r="U261" s="10">
        <f t="shared" si="193"/>
        <v>7.0000000000000007E-2</v>
      </c>
      <c r="V261" s="10">
        <f t="shared" si="194"/>
        <v>1.7000000000000001E-2</v>
      </c>
      <c r="W261" s="48">
        <f t="shared" si="209"/>
        <v>8.7000000000000008E-2</v>
      </c>
      <c r="X261" s="11">
        <f t="shared" si="195"/>
        <v>20</v>
      </c>
      <c r="Y261" s="11">
        <f>IF(O261&lt;&gt;"",IF($B$16=listy!$K$8,'RZĄDOWY PROGRAM'!$F$3*'RZĄDOWY PROGRAM'!$F$15,T260*$F$15),"")</f>
        <v>50</v>
      </c>
      <c r="Z261" s="11">
        <f t="shared" si="210"/>
        <v>70</v>
      </c>
      <c r="AB261" s="8">
        <f t="shared" si="211"/>
        <v>234</v>
      </c>
      <c r="AC261" s="8"/>
      <c r="AD261" s="11">
        <f>IF(AB261&lt;&gt;"",ROUND(IF($F$11="raty równe",-PMT(W261/12,$F$4-AB260+SUM($AC$28:AC261),AG260,2),AE261+AF261),2),"")</f>
        <v>3280.39</v>
      </c>
      <c r="AE261" s="11">
        <f>IF(AB261&lt;&gt;"",IF($F$11="raty malejące",AG260/($F$4-AB260+SUM($AC$28:AC260)),MIN(AD261-AF261,AG260)),"")</f>
        <v>2943.5280748828332</v>
      </c>
      <c r="AF261" s="11">
        <f t="shared" si="230"/>
        <v>336.86192511716655</v>
      </c>
      <c r="AG261" s="9">
        <f t="shared" si="228"/>
        <v>43520.185734381521</v>
      </c>
      <c r="AH261" s="11"/>
      <c r="AI261" s="33">
        <f>IF(AB261&lt;&gt;"",ROUND(IF($F$11="raty równe",-PMT(W261/12,($F$4-AB260+SUM($AC$27:AC260)),AG260,2),AG260/($F$4-AB260+SUM($AC$27:AC260))+AG260*W261/12),2),"")</f>
        <v>3280.39</v>
      </c>
      <c r="AJ261" s="33">
        <f t="shared" si="212"/>
        <v>241.71000000000004</v>
      </c>
      <c r="AK261" s="33">
        <f t="shared" si="196"/>
        <v>88237.714412190617</v>
      </c>
      <c r="AL261" s="33">
        <f>IF(AB261&lt;&gt;"",AK261-SUM($AJ$28:AJ261),"")</f>
        <v>33474.04441219056</v>
      </c>
      <c r="AM261" s="11">
        <f t="shared" si="213"/>
        <v>20</v>
      </c>
      <c r="AN261" s="11">
        <f>IF(AB261&lt;&gt;"",IF($B$16=listy!$K$8,'RZĄDOWY PROGRAM'!$F$3*'RZĄDOWY PROGRAM'!$F$15,AG260*$F$15),"")</f>
        <v>50</v>
      </c>
      <c r="AO261" s="11">
        <f t="shared" si="214"/>
        <v>70</v>
      </c>
      <c r="AQ261" s="8">
        <f t="shared" si="215"/>
        <v>234</v>
      </c>
      <c r="AR261" s="8"/>
      <c r="AS261" s="78">
        <f>IF(AQ261&lt;&gt;"",ROUND(IF($F$11="raty równe",-PMT(W261/12,$F$4-AQ260+SUM($AR$28:AR261),AV260,2),AT261+AU261),2),"")</f>
        <v>3263.83</v>
      </c>
      <c r="AT261" s="78">
        <f>IF(AQ261&lt;&gt;"",IF($F$11="raty malejące",AV260/($F$4-AQ260+SUM($AR$28:AR260)),MIN(AS261-AU261,AV260)),"")</f>
        <v>2928.6696957485506</v>
      </c>
      <c r="AU261" s="78">
        <f t="shared" si="216"/>
        <v>335.16030425144953</v>
      </c>
      <c r="AV261" s="79">
        <f t="shared" si="217"/>
        <v>43300.337787210003</v>
      </c>
      <c r="AW261" s="11"/>
      <c r="AX261" s="33">
        <f>IF(AQ261&lt;&gt;"",ROUND(IF($F$11="raty równe",-PMT(W261/12,($F$4-AQ260+SUM($AR$27:AR260)),AV260,2),AV260/($F$4-AQ260+SUM($AR$27:AR260))+AV260*W261/12),2),"")</f>
        <v>3263.83</v>
      </c>
      <c r="AY261" s="33">
        <f t="shared" si="218"/>
        <v>258.27</v>
      </c>
      <c r="AZ261" s="33">
        <f t="shared" si="233"/>
        <v>88957.873898256061</v>
      </c>
      <c r="BA261" s="33">
        <f>IF(AQ261&lt;&gt;"",AZ261-SUM($AY$44:AY261),"")</f>
        <v>32655.02389825631</v>
      </c>
      <c r="BB261" s="11">
        <f t="shared" si="219"/>
        <v>20</v>
      </c>
      <c r="BC261" s="11">
        <f>IF(AQ261&lt;&gt;"",IF($B$16=listy!$K$8,'RZĄDOWY PROGRAM'!$F$3*'RZĄDOWY PROGRAM'!$F$15,AV260*$F$15),"")</f>
        <v>50</v>
      </c>
      <c r="BD261" s="11">
        <f t="shared" si="220"/>
        <v>70</v>
      </c>
      <c r="BF261" s="8" t="str">
        <f t="shared" si="237"/>
        <v/>
      </c>
      <c r="BG261" s="8"/>
      <c r="BH261" s="78" t="str">
        <f>IF(BF261&lt;&gt;"",ROUND(IF($F$11="raty równe",-PMT(W261/12,$F$4-BF260+SUM(BV$28:$BV261)-SUM($BM$29:BM261),BK260,2),BI261+BJ261),2),"")</f>
        <v/>
      </c>
      <c r="BI261" s="78" t="str">
        <f>IF(BF261&lt;&gt;"",IF($F$11="raty malejące",MIN(BK260/($F$4-BF260+SUM($BG$27:BG261)-SUM($BM$27:BM261)),BK260),MIN(BH261-BJ261,BK260)),"")</f>
        <v/>
      </c>
      <c r="BJ261" s="78" t="str">
        <f t="shared" si="238"/>
        <v/>
      </c>
      <c r="BK261" s="79" t="str">
        <f t="shared" si="239"/>
        <v/>
      </c>
      <c r="BL261" s="11"/>
      <c r="BM261" s="33"/>
      <c r="BN261" s="33">
        <f t="shared" si="234"/>
        <v>3522.1</v>
      </c>
      <c r="BO261" s="33">
        <f t="shared" si="235"/>
        <v>88475.956825616347</v>
      </c>
      <c r="BP261" s="33">
        <f>IF(O261&lt;&gt;"",BO261-SUM($BN$44:BN261),"")</f>
        <v>3945.7468256163265</v>
      </c>
      <c r="BQ261" s="11" t="str">
        <f t="shared" si="240"/>
        <v/>
      </c>
      <c r="BR261" s="11" t="str">
        <f>IF(BF261&lt;&gt;"",IF($B$16=listy!$K$8,'RZĄDOWY PROGRAM'!$F$3*'RZĄDOWY PROGRAM'!$F$15,BK260*$F$15),"")</f>
        <v/>
      </c>
      <c r="BS261" s="11" t="str">
        <f t="shared" si="241"/>
        <v/>
      </c>
      <c r="BU261" s="8" t="str">
        <f t="shared" si="224"/>
        <v/>
      </c>
      <c r="BV261" s="8"/>
      <c r="BW261" s="78" t="str">
        <f>IF(BU261&lt;&gt;"",ROUND(IF($F$11="raty równe",-PMT(W261/12,$F$4-BU260+SUM($BV$28:BV261)-$CB$43,BZ260,2),BX261+BY261),2),"")</f>
        <v/>
      </c>
      <c r="BX261" s="78" t="str">
        <f>IF(BU261&lt;&gt;"",IF($F$11="raty malejące",MIN(BZ260/($F$4-BU260+SUM($BV$28:BV260)-SUM($CB$28:CB260)),BZ260),MIN(BW261-BY261,BZ260)),"")</f>
        <v/>
      </c>
      <c r="BY261" s="78" t="str">
        <f t="shared" si="245"/>
        <v/>
      </c>
      <c r="BZ261" s="79" t="str">
        <f t="shared" si="231"/>
        <v/>
      </c>
      <c r="CA261" s="11"/>
      <c r="CB261" s="33"/>
      <c r="CC261" s="33">
        <f t="shared" si="225"/>
        <v>3522.1</v>
      </c>
      <c r="CD261" s="33">
        <f t="shared" si="236"/>
        <v>88476.70290834819</v>
      </c>
      <c r="CE261" s="33">
        <f>IF(O261&lt;&gt;"",CD261-SUM($CC$44:CC261),"")</f>
        <v>3946.1529083481728</v>
      </c>
      <c r="CF261" s="11" t="str">
        <f t="shared" si="246"/>
        <v/>
      </c>
      <c r="CG261" s="11" t="str">
        <f>IF(BU261&lt;&gt;"",IF($B$16=listy!$K$8,'RZĄDOWY PROGRAM'!$F$3*'RZĄDOWY PROGRAM'!$F$15,BZ260*$F$15),"")</f>
        <v/>
      </c>
      <c r="CH261" s="11" t="str">
        <f t="shared" si="247"/>
        <v/>
      </c>
      <c r="CJ261" s="48">
        <f t="shared" si="201"/>
        <v>0.06</v>
      </c>
      <c r="CK261" s="18">
        <f t="shared" si="202"/>
        <v>4.8675505653430484E-3</v>
      </c>
      <c r="CL261" s="11">
        <f t="shared" si="232"/>
        <v>0</v>
      </c>
      <c r="CM261" s="11">
        <f t="shared" si="203"/>
        <v>68713.003607489169</v>
      </c>
      <c r="CN261" s="11">
        <f>IF(AB261&lt;&gt;"",CM261-SUM($CL$28:CL261),"")</f>
        <v>40536.243607489174</v>
      </c>
    </row>
    <row r="262" spans="1:92" x14ac:dyDescent="0.45">
      <c r="A262" s="68">
        <f t="shared" si="226"/>
        <v>51867</v>
      </c>
      <c r="B262" s="8">
        <f t="shared" si="186"/>
        <v>235</v>
      </c>
      <c r="C262" s="11">
        <f t="shared" si="187"/>
        <v>3522.09</v>
      </c>
      <c r="D262" s="11">
        <f t="shared" si="188"/>
        <v>3372.706547528448</v>
      </c>
      <c r="E262" s="11">
        <f t="shared" si="189"/>
        <v>149.38345247155235</v>
      </c>
      <c r="F262" s="9">
        <f t="shared" si="204"/>
        <v>17231.90758647877</v>
      </c>
      <c r="G262" s="10">
        <f t="shared" si="190"/>
        <v>7.0000000000000007E-2</v>
      </c>
      <c r="H262" s="10">
        <f t="shared" si="191"/>
        <v>1.7000000000000001E-2</v>
      </c>
      <c r="I262" s="48">
        <f t="shared" si="205"/>
        <v>8.7000000000000008E-2</v>
      </c>
      <c r="J262" s="11">
        <f t="shared" si="192"/>
        <v>20</v>
      </c>
      <c r="K262" s="11">
        <f>IF(B262&lt;&gt;"",IF($B$16=listy!$K$8,'RZĄDOWY PROGRAM'!$F$3*'RZĄDOWY PROGRAM'!$F$15,F261*$F$15),"")</f>
        <v>50</v>
      </c>
      <c r="L262" s="11">
        <f t="shared" si="206"/>
        <v>70</v>
      </c>
      <c r="N262" s="54">
        <f t="shared" si="227"/>
        <v>51867</v>
      </c>
      <c r="O262" s="8">
        <f t="shared" si="207"/>
        <v>235</v>
      </c>
      <c r="P262" s="8"/>
      <c r="Q262" s="11">
        <f>IF(O262&lt;&gt;"",ROUND(IF($F$11="raty równe",-PMT(W262/12,$F$4-O261+SUM($P$28:P262),T261,2),R262+S262),2),"")</f>
        <v>3522.09</v>
      </c>
      <c r="R262" s="11">
        <f>IF(O262&lt;&gt;"",IF($F$11="raty malejące",T261/($F$4-O261+SUM($P$28:P262)),IF(Q262-S262&gt;T261,T261,Q262-S262)),"")</f>
        <v>3183.3200825443428</v>
      </c>
      <c r="S262" s="11">
        <f t="shared" si="229"/>
        <v>338.76991745565732</v>
      </c>
      <c r="T262" s="9">
        <f t="shared" si="208"/>
        <v>43543.565083753216</v>
      </c>
      <c r="U262" s="10">
        <f t="shared" si="193"/>
        <v>7.0000000000000007E-2</v>
      </c>
      <c r="V262" s="10">
        <f t="shared" si="194"/>
        <v>1.7000000000000001E-2</v>
      </c>
      <c r="W262" s="48">
        <f t="shared" si="209"/>
        <v>8.7000000000000008E-2</v>
      </c>
      <c r="X262" s="11">
        <f t="shared" si="195"/>
        <v>20</v>
      </c>
      <c r="Y262" s="11">
        <f>IF(O262&lt;&gt;"",IF($B$16=listy!$K$8,'RZĄDOWY PROGRAM'!$F$3*'RZĄDOWY PROGRAM'!$F$15,T261*$F$15),"")</f>
        <v>50</v>
      </c>
      <c r="Z262" s="11">
        <f t="shared" si="210"/>
        <v>70</v>
      </c>
      <c r="AB262" s="8">
        <f t="shared" si="211"/>
        <v>235</v>
      </c>
      <c r="AC262" s="8"/>
      <c r="AD262" s="11">
        <f>IF(AB262&lt;&gt;"",ROUND(IF($F$11="raty równe",-PMT(W262/12,$F$4-AB261+SUM($AC$28:AC262),AG261,2),AE262+AF262),2),"")</f>
        <v>3280.4</v>
      </c>
      <c r="AE262" s="11">
        <f>IF(AB262&lt;&gt;"",IF($F$11="raty malejące",AG261/($F$4-AB261+SUM($AC$28:AC261)),MIN(AD262-AF262,AG261)),"")</f>
        <v>2964.8786534257342</v>
      </c>
      <c r="AF262" s="11">
        <f t="shared" si="230"/>
        <v>315.52134657426603</v>
      </c>
      <c r="AG262" s="9">
        <f t="shared" si="228"/>
        <v>40555.307080955783</v>
      </c>
      <c r="AH262" s="11"/>
      <c r="AI262" s="33">
        <f>IF(AB262&lt;&gt;"",ROUND(IF($F$11="raty równe",-PMT(W262/12,($F$4-AB261+SUM($AC$27:AC261)),AG261,2),AG261/($F$4-AB261+SUM($AC$27:AC261))+AG261*W262/12),2),"")</f>
        <v>3280.4</v>
      </c>
      <c r="AJ262" s="33">
        <f t="shared" si="212"/>
        <v>241.69000000000005</v>
      </c>
      <c r="AK262" s="33">
        <f t="shared" si="196"/>
        <v>88827.300656894658</v>
      </c>
      <c r="AL262" s="33">
        <f>IF(AB262&lt;&gt;"",AK262-SUM($AJ$28:AJ262),"")</f>
        <v>33821.9406568946</v>
      </c>
      <c r="AM262" s="11">
        <f t="shared" si="213"/>
        <v>20</v>
      </c>
      <c r="AN262" s="11">
        <f>IF(AB262&lt;&gt;"",IF($B$16=listy!$K$8,'RZĄDOWY PROGRAM'!$F$3*'RZĄDOWY PROGRAM'!$F$15,AG261*$F$15),"")</f>
        <v>50</v>
      </c>
      <c r="AO262" s="11">
        <f t="shared" si="214"/>
        <v>70</v>
      </c>
      <c r="AQ262" s="8">
        <f t="shared" si="215"/>
        <v>235</v>
      </c>
      <c r="AR262" s="8"/>
      <c r="AS262" s="78">
        <f>IF(AQ262&lt;&gt;"",ROUND(IF($F$11="raty równe",-PMT(W262/12,$F$4-AQ261+SUM($AR$28:AR262),AV261,2),AT262+AU262),2),"")</f>
        <v>3263.82</v>
      </c>
      <c r="AT262" s="78">
        <f>IF(AQ262&lt;&gt;"",IF($F$11="raty malejące",AV261/($F$4-AQ261+SUM($AR$28:AR261)),MIN(AS262-AU262,AV261)),"")</f>
        <v>2949.8925510427275</v>
      </c>
      <c r="AU262" s="78">
        <f t="shared" si="216"/>
        <v>313.92744895727253</v>
      </c>
      <c r="AV262" s="79">
        <f t="shared" si="217"/>
        <v>40350.445236167274</v>
      </c>
      <c r="AW262" s="11"/>
      <c r="AX262" s="33">
        <f>IF(AQ262&lt;&gt;"",ROUND(IF($F$11="raty równe",-PMT(W262/12,($F$4-AQ261+SUM($AR$27:AR261)),AV261,2),AV261/($F$4-AQ261+SUM($AR$27:AR261))+AV261*W262/12),2),"")</f>
        <v>3263.82</v>
      </c>
      <c r="AY262" s="33">
        <f t="shared" si="218"/>
        <v>258.27</v>
      </c>
      <c r="AZ262" s="33">
        <f t="shared" si="233"/>
        <v>89566.879527258061</v>
      </c>
      <c r="BA262" s="33">
        <f>IF(AQ262&lt;&gt;"",AZ262-SUM($AY$44:AY262),"")</f>
        <v>33005.759527258313</v>
      </c>
      <c r="BB262" s="11">
        <f t="shared" si="219"/>
        <v>20</v>
      </c>
      <c r="BC262" s="11">
        <f>IF(AQ262&lt;&gt;"",IF($B$16=listy!$K$8,'RZĄDOWY PROGRAM'!$F$3*'RZĄDOWY PROGRAM'!$F$15,AV261*$F$15),"")</f>
        <v>50</v>
      </c>
      <c r="BD262" s="11">
        <f t="shared" si="220"/>
        <v>70</v>
      </c>
      <c r="BF262" s="8" t="str">
        <f t="shared" si="237"/>
        <v/>
      </c>
      <c r="BG262" s="8"/>
      <c r="BH262" s="78" t="str">
        <f>IF(BF262&lt;&gt;"",ROUND(IF($F$11="raty równe",-PMT(W262/12,$F$4-BF261+SUM(BV$28:$BV262)-SUM($BM$29:BM262),BK261,2),BI262+BJ262),2),"")</f>
        <v/>
      </c>
      <c r="BI262" s="78" t="str">
        <f>IF(BF262&lt;&gt;"",IF($F$11="raty malejące",MIN(BK261/($F$4-BF261+SUM($BG$27:BG262)-SUM($BM$27:BM262)),BK261),MIN(BH262-BJ262,BK261)),"")</f>
        <v/>
      </c>
      <c r="BJ262" s="78" t="str">
        <f t="shared" si="238"/>
        <v/>
      </c>
      <c r="BK262" s="79" t="str">
        <f t="shared" si="239"/>
        <v/>
      </c>
      <c r="BL262" s="11"/>
      <c r="BM262" s="33"/>
      <c r="BN262" s="33">
        <f t="shared" si="234"/>
        <v>3522.09</v>
      </c>
      <c r="BO262" s="33">
        <f t="shared" si="235"/>
        <v>92346.882392485641</v>
      </c>
      <c r="BP262" s="33">
        <f>IF(O262&lt;&gt;"",BO262-SUM($BN$44:BN262),"")</f>
        <v>4294.5823924856231</v>
      </c>
      <c r="BQ262" s="11" t="str">
        <f t="shared" si="240"/>
        <v/>
      </c>
      <c r="BR262" s="11" t="str">
        <f>IF(BF262&lt;&gt;"",IF($B$16=listy!$K$8,'RZĄDOWY PROGRAM'!$F$3*'RZĄDOWY PROGRAM'!$F$15,BK261*$F$15),"")</f>
        <v/>
      </c>
      <c r="BS262" s="11" t="str">
        <f t="shared" si="241"/>
        <v/>
      </c>
      <c r="BU262" s="8" t="str">
        <f t="shared" si="224"/>
        <v/>
      </c>
      <c r="BV262" s="8"/>
      <c r="BW262" s="78" t="str">
        <f>IF(BU262&lt;&gt;"",ROUND(IF($F$11="raty równe",-PMT(W262/12,$F$4-BU261+SUM($BV$28:BV262)-$CB$43,BZ261,2),BX262+BY262),2),"")</f>
        <v/>
      </c>
      <c r="BX262" s="78" t="str">
        <f>IF(BU262&lt;&gt;"",IF($F$11="raty malejące",MIN(BZ261/($F$4-BU261+SUM($BV$28:BV261)-SUM($CB$28:CB261)),BZ261),MIN(BW262-BY262,BZ261)),"")</f>
        <v/>
      </c>
      <c r="BY262" s="78" t="str">
        <f t="shared" si="245"/>
        <v/>
      </c>
      <c r="BZ262" s="79" t="str">
        <f t="shared" si="231"/>
        <v/>
      </c>
      <c r="CA262" s="11"/>
      <c r="CB262" s="33"/>
      <c r="CC262" s="33">
        <f t="shared" si="225"/>
        <v>3522.09</v>
      </c>
      <c r="CD262" s="33">
        <f t="shared" si="236"/>
        <v>92347.631416809774</v>
      </c>
      <c r="CE262" s="33">
        <f>IF(O262&lt;&gt;"",CD262-SUM($CC$44:CC262),"")</f>
        <v>4294.9914168097603</v>
      </c>
      <c r="CF262" s="11" t="str">
        <f t="shared" si="246"/>
        <v/>
      </c>
      <c r="CG262" s="11" t="str">
        <f>IF(BU262&lt;&gt;"",IF($B$16=listy!$K$8,'RZĄDOWY PROGRAM'!$F$3*'RZĄDOWY PROGRAM'!$F$15,BZ261*$F$15),"")</f>
        <v/>
      </c>
      <c r="CH262" s="11" t="str">
        <f t="shared" si="247"/>
        <v/>
      </c>
      <c r="CJ262" s="48">
        <f t="shared" si="201"/>
        <v>0.06</v>
      </c>
      <c r="CK262" s="18">
        <f t="shared" si="202"/>
        <v>4.8675505653430484E-3</v>
      </c>
      <c r="CL262" s="11">
        <f t="shared" si="232"/>
        <v>0</v>
      </c>
      <c r="CM262" s="11">
        <f t="shared" si="203"/>
        <v>68983.91946332957</v>
      </c>
      <c r="CN262" s="11">
        <f>IF(AB262&lt;&gt;"",CM262-SUM($CL$28:CL262),"")</f>
        <v>40807.159463329575</v>
      </c>
    </row>
    <row r="263" spans="1:92" x14ac:dyDescent="0.45">
      <c r="A263" s="68">
        <f t="shared" si="226"/>
        <v>51898</v>
      </c>
      <c r="B263" s="8">
        <f t="shared" si="186"/>
        <v>236</v>
      </c>
      <c r="C263" s="11">
        <f t="shared" si="187"/>
        <v>3522.1</v>
      </c>
      <c r="D263" s="11">
        <f t="shared" si="188"/>
        <v>3397.1686699980287</v>
      </c>
      <c r="E263" s="11">
        <f t="shared" si="189"/>
        <v>124.93133000197109</v>
      </c>
      <c r="F263" s="9">
        <f t="shared" si="204"/>
        <v>13834.738916480741</v>
      </c>
      <c r="G263" s="10">
        <f t="shared" si="190"/>
        <v>7.0000000000000007E-2</v>
      </c>
      <c r="H263" s="10">
        <f t="shared" si="191"/>
        <v>1.7000000000000001E-2</v>
      </c>
      <c r="I263" s="48">
        <f t="shared" si="205"/>
        <v>8.7000000000000008E-2</v>
      </c>
      <c r="J263" s="11">
        <f t="shared" si="192"/>
        <v>20</v>
      </c>
      <c r="K263" s="11">
        <f>IF(B263&lt;&gt;"",IF($B$16=listy!$K$8,'RZĄDOWY PROGRAM'!$F$3*'RZĄDOWY PROGRAM'!$F$15,F262*$F$15),"")</f>
        <v>50</v>
      </c>
      <c r="L263" s="11">
        <f t="shared" si="206"/>
        <v>70</v>
      </c>
      <c r="N263" s="54">
        <f t="shared" si="227"/>
        <v>51898</v>
      </c>
      <c r="O263" s="8">
        <f t="shared" si="207"/>
        <v>236</v>
      </c>
      <c r="P263" s="8"/>
      <c r="Q263" s="11">
        <f>IF(O263&lt;&gt;"",ROUND(IF($F$11="raty równe",-PMT(W263/12,$F$4-O262+SUM($P$28:P263),T262,2),R263+S263),2),"")</f>
        <v>3522.1</v>
      </c>
      <c r="R263" s="11">
        <f>IF(O263&lt;&gt;"",IF($F$11="raty malejące",T262/($F$4-O262+SUM($P$28:P263)),IF(Q263-S263&gt;T262,T262,Q263-S263)),"")</f>
        <v>3206.4091531427889</v>
      </c>
      <c r="S263" s="11">
        <f t="shared" si="229"/>
        <v>315.69084685721083</v>
      </c>
      <c r="T263" s="9">
        <f t="shared" si="208"/>
        <v>40337.155930610425</v>
      </c>
      <c r="U263" s="10">
        <f t="shared" si="193"/>
        <v>7.0000000000000007E-2</v>
      </c>
      <c r="V263" s="10">
        <f t="shared" si="194"/>
        <v>1.7000000000000001E-2</v>
      </c>
      <c r="W263" s="48">
        <f t="shared" si="209"/>
        <v>8.7000000000000008E-2</v>
      </c>
      <c r="X263" s="11">
        <f t="shared" si="195"/>
        <v>20</v>
      </c>
      <c r="Y263" s="11">
        <f>IF(O263&lt;&gt;"",IF($B$16=listy!$K$8,'RZĄDOWY PROGRAM'!$F$3*'RZĄDOWY PROGRAM'!$F$15,T262*$F$15),"")</f>
        <v>50</v>
      </c>
      <c r="Z263" s="11">
        <f t="shared" si="210"/>
        <v>70</v>
      </c>
      <c r="AB263" s="8">
        <f t="shared" si="211"/>
        <v>236</v>
      </c>
      <c r="AC263" s="8"/>
      <c r="AD263" s="11">
        <f>IF(AB263&lt;&gt;"",ROUND(IF($F$11="raty równe",-PMT(W263/12,$F$4-AB262+SUM($AC$28:AC263),AG262,2),AE263+AF263),2),"")</f>
        <v>3280.39</v>
      </c>
      <c r="AE263" s="11">
        <f>IF(AB263&lt;&gt;"",IF($F$11="raty malejące",AG262/($F$4-AB262+SUM($AC$28:AC262)),MIN(AD263-AF263,AG262)),"")</f>
        <v>2986.3640236630704</v>
      </c>
      <c r="AF263" s="11">
        <f t="shared" si="230"/>
        <v>294.02597633692943</v>
      </c>
      <c r="AG263" s="9">
        <f t="shared" si="228"/>
        <v>37568.943057292716</v>
      </c>
      <c r="AH263" s="11"/>
      <c r="AI263" s="33">
        <f>IF(AB263&lt;&gt;"",ROUND(IF($F$11="raty równe",-PMT(W263/12,($F$4-AB262+SUM($AC$27:AC262)),AG262,2),AG262/($F$4-AB262+SUM($AC$27:AC262))+AG262*W263/12),2),"")</f>
        <v>3280.39</v>
      </c>
      <c r="AJ263" s="33">
        <f t="shared" si="212"/>
        <v>241.71000000000004</v>
      </c>
      <c r="AK263" s="33">
        <f t="shared" si="196"/>
        <v>89419.231472694271</v>
      </c>
      <c r="AL263" s="33">
        <f>IF(AB263&lt;&gt;"",AK263-SUM($AJ$28:AJ263),"")</f>
        <v>34172.161472694213</v>
      </c>
      <c r="AM263" s="11">
        <f t="shared" si="213"/>
        <v>20</v>
      </c>
      <c r="AN263" s="11">
        <f>IF(AB263&lt;&gt;"",IF($B$16=listy!$K$8,'RZĄDOWY PROGRAM'!$F$3*'RZĄDOWY PROGRAM'!$F$15,AG262*$F$15),"")</f>
        <v>50</v>
      </c>
      <c r="AO263" s="11">
        <f t="shared" si="214"/>
        <v>70</v>
      </c>
      <c r="AQ263" s="8">
        <f t="shared" si="215"/>
        <v>236</v>
      </c>
      <c r="AR263" s="8"/>
      <c r="AS263" s="78">
        <f>IF(AQ263&lt;&gt;"",ROUND(IF($F$11="raty równe",-PMT(W263/12,$F$4-AQ262+SUM($AR$28:AR263),AV262,2),AT263+AU263),2),"")</f>
        <v>3263.83</v>
      </c>
      <c r="AT263" s="78">
        <f>IF(AQ263&lt;&gt;"",IF($F$11="raty malejące",AV262/($F$4-AQ262+SUM($AR$28:AR262)),MIN(AS263-AU263,AV262)),"")</f>
        <v>2971.2892720377872</v>
      </c>
      <c r="AU263" s="78">
        <f t="shared" si="216"/>
        <v>292.54072796221277</v>
      </c>
      <c r="AV263" s="79">
        <f t="shared" si="217"/>
        <v>37379.155964129488</v>
      </c>
      <c r="AW263" s="11"/>
      <c r="AX263" s="33">
        <f>IF(AQ263&lt;&gt;"",ROUND(IF($F$11="raty równe",-PMT(W263/12,($F$4-AQ262+SUM($AR$27:AR262)),AV262,2),AV262/($F$4-AQ262+SUM($AR$27:AR262))+AV262*W263/12),2),"")</f>
        <v>3263.83</v>
      </c>
      <c r="AY263" s="33">
        <f t="shared" si="218"/>
        <v>258.27</v>
      </c>
      <c r="AZ263" s="33">
        <f t="shared" si="233"/>
        <v>90178.286292471996</v>
      </c>
      <c r="BA263" s="33">
        <f>IF(AQ263&lt;&gt;"",AZ263-SUM($AY$44:AY263),"")</f>
        <v>33358.896292472251</v>
      </c>
      <c r="BB263" s="11">
        <f t="shared" si="219"/>
        <v>20</v>
      </c>
      <c r="BC263" s="11">
        <f>IF(AQ263&lt;&gt;"",IF($B$16=listy!$K$8,'RZĄDOWY PROGRAM'!$F$3*'RZĄDOWY PROGRAM'!$F$15,AV262*$F$15),"")</f>
        <v>50</v>
      </c>
      <c r="BD263" s="11">
        <f t="shared" si="220"/>
        <v>70</v>
      </c>
      <c r="BF263" s="8" t="str">
        <f t="shared" si="237"/>
        <v/>
      </c>
      <c r="BG263" s="8"/>
      <c r="BH263" s="78" t="str">
        <f>IF(BF263&lt;&gt;"",ROUND(IF($F$11="raty równe",-PMT(W263/12,$F$4-BF262+SUM(BV$28:$BV263)-SUM($BM$29:BM263),BK262,2),BI263+BJ263),2),"")</f>
        <v/>
      </c>
      <c r="BI263" s="78" t="str">
        <f>IF(BF263&lt;&gt;"",IF($F$11="raty malejące",MIN(BK262/($F$4-BF262+SUM($BG$27:BG263)-SUM($BM$27:BM263)),BK262),MIN(BH263-BJ263,BK262)),"")</f>
        <v/>
      </c>
      <c r="BJ263" s="78" t="str">
        <f t="shared" si="238"/>
        <v/>
      </c>
      <c r="BK263" s="79" t="str">
        <f t="shared" si="239"/>
        <v/>
      </c>
      <c r="BL263" s="11"/>
      <c r="BM263" s="33"/>
      <c r="BN263" s="33">
        <f t="shared" si="234"/>
        <v>3522.1</v>
      </c>
      <c r="BO263" s="33">
        <f t="shared" si="235"/>
        <v>96233.079919359399</v>
      </c>
      <c r="BP263" s="33">
        <f>IF(O263&lt;&gt;"",BO263-SUM($BN$44:BN263),"")</f>
        <v>4658.6799193593761</v>
      </c>
      <c r="BQ263" s="11" t="str">
        <f t="shared" si="240"/>
        <v/>
      </c>
      <c r="BR263" s="11" t="str">
        <f>IF(BF263&lt;&gt;"",IF($B$16=listy!$K$8,'RZĄDOWY PROGRAM'!$F$3*'RZĄDOWY PROGRAM'!$F$15,BK262*$F$15),"")</f>
        <v/>
      </c>
      <c r="BS263" s="11" t="str">
        <f t="shared" si="241"/>
        <v/>
      </c>
      <c r="BU263" s="8" t="str">
        <f t="shared" si="224"/>
        <v/>
      </c>
      <c r="BV263" s="8"/>
      <c r="BW263" s="78" t="str">
        <f>IF(BU263&lt;&gt;"",ROUND(IF($F$11="raty równe",-PMT(W263/12,$F$4-BU262+SUM($BV$28:BV263)-$CB$43,BZ262,2),BX263+BY263),2),"")</f>
        <v/>
      </c>
      <c r="BX263" s="78" t="str">
        <f>IF(BU263&lt;&gt;"",IF($F$11="raty malejące",MIN(BZ262/($F$4-BU262+SUM($BV$28:BV262)-SUM($CB$28:CB262)),BZ262),MIN(BW263-BY263,BZ262)),"")</f>
        <v/>
      </c>
      <c r="BY263" s="78" t="str">
        <f t="shared" si="245"/>
        <v/>
      </c>
      <c r="BZ263" s="79" t="str">
        <f t="shared" si="231"/>
        <v/>
      </c>
      <c r="CA263" s="11"/>
      <c r="CB263" s="33"/>
      <c r="CC263" s="33">
        <f t="shared" si="225"/>
        <v>3522.1</v>
      </c>
      <c r="CD263" s="33">
        <f t="shared" si="236"/>
        <v>96233.831896873686</v>
      </c>
      <c r="CE263" s="33">
        <f>IF(O263&lt;&gt;"",CD263-SUM($CC$44:CC263),"")</f>
        <v>4659.091896873666</v>
      </c>
      <c r="CF263" s="11" t="str">
        <f t="shared" si="246"/>
        <v/>
      </c>
      <c r="CG263" s="11" t="str">
        <f>IF(BU263&lt;&gt;"",IF($B$16=listy!$K$8,'RZĄDOWY PROGRAM'!$F$3*'RZĄDOWY PROGRAM'!$F$15,BZ262*$F$15),"")</f>
        <v/>
      </c>
      <c r="CH263" s="11" t="str">
        <f t="shared" si="247"/>
        <v/>
      </c>
      <c r="CJ263" s="48">
        <f t="shared" si="201"/>
        <v>0.06</v>
      </c>
      <c r="CK263" s="18">
        <f t="shared" si="202"/>
        <v>4.8675505653430484E-3</v>
      </c>
      <c r="CL263" s="11">
        <f t="shared" si="232"/>
        <v>0</v>
      </c>
      <c r="CM263" s="11">
        <f t="shared" si="203"/>
        <v>69255.903463438051</v>
      </c>
      <c r="CN263" s="11">
        <f>IF(AB263&lt;&gt;"",CM263-SUM($CL$28:CL263),"")</f>
        <v>41079.143463438057</v>
      </c>
    </row>
    <row r="264" spans="1:92" x14ac:dyDescent="0.45">
      <c r="A264" s="68">
        <f t="shared" si="226"/>
        <v>51926</v>
      </c>
      <c r="B264" s="8">
        <f t="shared" si="186"/>
        <v>237</v>
      </c>
      <c r="C264" s="11">
        <f t="shared" si="187"/>
        <v>3522.09</v>
      </c>
      <c r="D264" s="11">
        <f t="shared" si="188"/>
        <v>3421.7881428555147</v>
      </c>
      <c r="E264" s="11">
        <f t="shared" si="189"/>
        <v>100.30185714448538</v>
      </c>
      <c r="F264" s="9">
        <f t="shared" si="204"/>
        <v>10412.950773625227</v>
      </c>
      <c r="G264" s="10">
        <f t="shared" si="190"/>
        <v>7.0000000000000007E-2</v>
      </c>
      <c r="H264" s="10">
        <f t="shared" si="191"/>
        <v>1.7000000000000001E-2</v>
      </c>
      <c r="I264" s="48">
        <f t="shared" si="205"/>
        <v>8.7000000000000008E-2</v>
      </c>
      <c r="J264" s="11">
        <f t="shared" si="192"/>
        <v>20</v>
      </c>
      <c r="K264" s="11">
        <f>IF(B264&lt;&gt;"",IF($B$16=listy!$K$8,'RZĄDOWY PROGRAM'!$F$3*'RZĄDOWY PROGRAM'!$F$15,F263*$F$15),"")</f>
        <v>50</v>
      </c>
      <c r="L264" s="11">
        <f t="shared" si="206"/>
        <v>70</v>
      </c>
      <c r="N264" s="54">
        <f t="shared" si="227"/>
        <v>51926</v>
      </c>
      <c r="O264" s="8">
        <f t="shared" si="207"/>
        <v>237</v>
      </c>
      <c r="P264" s="8"/>
      <c r="Q264" s="11">
        <f>IF(O264&lt;&gt;"",ROUND(IF($F$11="raty równe",-PMT(W264/12,$F$4-O263+SUM($P$28:P264),T263,2),R264+S264),2),"")</f>
        <v>3522.09</v>
      </c>
      <c r="R264" s="11">
        <f>IF(O264&lt;&gt;"",IF($F$11="raty malejące",T263/($F$4-O263+SUM($P$28:P264)),IF(Q264-S264&gt;T263,T263,Q264-S264)),"")</f>
        <v>3229.6456195030746</v>
      </c>
      <c r="S264" s="11">
        <f t="shared" si="229"/>
        <v>292.44438049692559</v>
      </c>
      <c r="T264" s="9">
        <f t="shared" si="208"/>
        <v>37107.510311107348</v>
      </c>
      <c r="U264" s="10">
        <f t="shared" si="193"/>
        <v>7.0000000000000007E-2</v>
      </c>
      <c r="V264" s="10">
        <f t="shared" si="194"/>
        <v>1.7000000000000001E-2</v>
      </c>
      <c r="W264" s="48">
        <f t="shared" si="209"/>
        <v>8.7000000000000008E-2</v>
      </c>
      <c r="X264" s="11">
        <f t="shared" si="195"/>
        <v>20</v>
      </c>
      <c r="Y264" s="11">
        <f>IF(O264&lt;&gt;"",IF($B$16=listy!$K$8,'RZĄDOWY PROGRAM'!$F$3*'RZĄDOWY PROGRAM'!$F$15,T263*$F$15),"")</f>
        <v>50</v>
      </c>
      <c r="Z264" s="11">
        <f t="shared" si="210"/>
        <v>70</v>
      </c>
      <c r="AB264" s="8">
        <f t="shared" si="211"/>
        <v>237</v>
      </c>
      <c r="AC264" s="8"/>
      <c r="AD264" s="11">
        <f>IF(AB264&lt;&gt;"",ROUND(IF($F$11="raty równe",-PMT(W264/12,$F$4-AB263+SUM($AC$28:AC264),AG263,2),AE264+AF264),2),"")</f>
        <v>3280.4</v>
      </c>
      <c r="AE264" s="11">
        <f>IF(AB264&lt;&gt;"",IF($F$11="raty malejące",AG263/($F$4-AB263+SUM($AC$28:AC263)),MIN(AD264-AF264,AG263)),"")</f>
        <v>3008.0251628346277</v>
      </c>
      <c r="AF264" s="11">
        <f t="shared" si="230"/>
        <v>272.37483716537218</v>
      </c>
      <c r="AG264" s="9">
        <f t="shared" si="228"/>
        <v>34560.917894458085</v>
      </c>
      <c r="AH264" s="11"/>
      <c r="AI264" s="33">
        <f>IF(AB264&lt;&gt;"",ROUND(IF($F$11="raty równe",-PMT(W264/12,($F$4-AB263+SUM($AC$27:AC263)),AG263,2),AG263/($F$4-AB263+SUM($AC$27:AC263))+AG263*W264/12),2),"")</f>
        <v>3280.4</v>
      </c>
      <c r="AJ264" s="33">
        <f t="shared" si="212"/>
        <v>241.69000000000005</v>
      </c>
      <c r="AK264" s="33">
        <f t="shared" si="196"/>
        <v>90013.476103567315</v>
      </c>
      <c r="AL264" s="33">
        <f>IF(AB264&lt;&gt;"",AK264-SUM($AJ$28:AJ264),"")</f>
        <v>34524.716103567254</v>
      </c>
      <c r="AM264" s="11">
        <f t="shared" si="213"/>
        <v>20</v>
      </c>
      <c r="AN264" s="11">
        <f>IF(AB264&lt;&gt;"",IF($B$16=listy!$K$8,'RZĄDOWY PROGRAM'!$F$3*'RZĄDOWY PROGRAM'!$F$15,AG263*$F$15),"")</f>
        <v>50</v>
      </c>
      <c r="AO264" s="11">
        <f t="shared" si="214"/>
        <v>70</v>
      </c>
      <c r="AQ264" s="8">
        <f t="shared" si="215"/>
        <v>237</v>
      </c>
      <c r="AR264" s="8"/>
      <c r="AS264" s="78">
        <f>IF(AQ264&lt;&gt;"",ROUND(IF($F$11="raty równe",-PMT(W264/12,$F$4-AQ263+SUM($AR$28:AR264),AV263,2),AT264+AU264),2),"")</f>
        <v>3263.82</v>
      </c>
      <c r="AT264" s="78">
        <f>IF(AQ264&lt;&gt;"",IF($F$11="raty malejące",AV263/($F$4-AQ263+SUM($AR$28:AR263)),MIN(AS264-AU264,AV263)),"")</f>
        <v>2992.8211192600616</v>
      </c>
      <c r="AU264" s="78">
        <f t="shared" si="216"/>
        <v>270.99888073993878</v>
      </c>
      <c r="AV264" s="79">
        <f t="shared" si="217"/>
        <v>34386.334844869423</v>
      </c>
      <c r="AW264" s="11"/>
      <c r="AX264" s="33">
        <f>IF(AQ264&lt;&gt;"",ROUND(IF($F$11="raty równe",-PMT(W264/12,($F$4-AQ263+SUM($AR$27:AR263)),AV263,2),AV263/($F$4-AQ263+SUM($AR$27:AR263))+AV263*W264/12),2),"")</f>
        <v>3263.82</v>
      </c>
      <c r="AY264" s="33">
        <f t="shared" si="218"/>
        <v>258.27</v>
      </c>
      <c r="AZ264" s="33">
        <f t="shared" si="233"/>
        <v>90792.103660895926</v>
      </c>
      <c r="BA264" s="33">
        <f>IF(AQ264&lt;&gt;"",AZ264-SUM($AY$44:AY264),"")</f>
        <v>33714.443660896184</v>
      </c>
      <c r="BB264" s="11">
        <f t="shared" si="219"/>
        <v>20</v>
      </c>
      <c r="BC264" s="11">
        <f>IF(AQ264&lt;&gt;"",IF($B$16=listy!$K$8,'RZĄDOWY PROGRAM'!$F$3*'RZĄDOWY PROGRAM'!$F$15,AV263*$F$15),"")</f>
        <v>50</v>
      </c>
      <c r="BD264" s="11">
        <f t="shared" si="220"/>
        <v>70</v>
      </c>
      <c r="BF264" s="8" t="str">
        <f t="shared" si="237"/>
        <v/>
      </c>
      <c r="BG264" s="8"/>
      <c r="BH264" s="78" t="str">
        <f>IF(BF264&lt;&gt;"",ROUND(IF($F$11="raty równe",-PMT(W264/12,$F$4-BF263+SUM(BV$28:$BV264)-SUM($BM$29:BM264),BK263,2),BI264+BJ264),2),"")</f>
        <v/>
      </c>
      <c r="BI264" s="78" t="str">
        <f>IF(BF264&lt;&gt;"",IF($F$11="raty malejące",MIN(BK263/($F$4-BF263+SUM($BG$27:BG264)-SUM($BM$27:BM264)),BK263),MIN(BH264-BJ264,BK263)),"")</f>
        <v/>
      </c>
      <c r="BJ264" s="78" t="str">
        <f t="shared" si="238"/>
        <v/>
      </c>
      <c r="BK264" s="79" t="str">
        <f t="shared" si="239"/>
        <v/>
      </c>
      <c r="BL264" s="11"/>
      <c r="BM264" s="33"/>
      <c r="BN264" s="33">
        <f t="shared" si="234"/>
        <v>3522.09</v>
      </c>
      <c r="BO264" s="33">
        <f t="shared" si="235"/>
        <v>100134.589619238</v>
      </c>
      <c r="BP264" s="33">
        <f>IF(O264&lt;&gt;"",BO264-SUM($BN$44:BN264),"")</f>
        <v>5038.0996192379826</v>
      </c>
      <c r="BQ264" s="11" t="str">
        <f t="shared" si="240"/>
        <v/>
      </c>
      <c r="BR264" s="11" t="str">
        <f>IF(BF264&lt;&gt;"",IF($B$16=listy!$K$8,'RZĄDOWY PROGRAM'!$F$3*'RZĄDOWY PROGRAM'!$F$15,BK263*$F$15),"")</f>
        <v/>
      </c>
      <c r="BS264" s="11" t="str">
        <f t="shared" si="241"/>
        <v/>
      </c>
      <c r="BU264" s="8" t="str">
        <f t="shared" si="224"/>
        <v/>
      </c>
      <c r="BV264" s="8"/>
      <c r="BW264" s="78" t="str">
        <f>IF(BU264&lt;&gt;"",ROUND(IF($F$11="raty równe",-PMT(W264/12,$F$4-BU263+SUM($BV$28:BV264)-$CB$43,BZ263,2),BX264+BY264),2),"")</f>
        <v/>
      </c>
      <c r="BX264" s="78" t="str">
        <f>IF(BU264&lt;&gt;"",IF($F$11="raty malejące",MIN(BZ263/($F$4-BU263+SUM($BV$28:BV263)-SUM($CB$28:CB263)),BZ263),MIN(BW264-BY264,BZ263)),"")</f>
        <v/>
      </c>
      <c r="BY264" s="78" t="str">
        <f t="shared" si="245"/>
        <v/>
      </c>
      <c r="BZ264" s="79" t="str">
        <f t="shared" si="231"/>
        <v/>
      </c>
      <c r="CA264" s="11"/>
      <c r="CB264" s="33"/>
      <c r="CC264" s="33">
        <f t="shared" si="225"/>
        <v>3522.09</v>
      </c>
      <c r="CD264" s="33">
        <f t="shared" si="236"/>
        <v>100135.34456158604</v>
      </c>
      <c r="CE264" s="33">
        <f>IF(O264&lt;&gt;"",CD264-SUM($CC$44:CC264),"")</f>
        <v>5038.5145615860238</v>
      </c>
      <c r="CF264" s="11" t="str">
        <f t="shared" si="246"/>
        <v/>
      </c>
      <c r="CG264" s="11" t="str">
        <f>IF(BU264&lt;&gt;"",IF($B$16=listy!$K$8,'RZĄDOWY PROGRAM'!$F$3*'RZĄDOWY PROGRAM'!$F$15,BZ263*$F$15),"")</f>
        <v/>
      </c>
      <c r="CH264" s="11" t="str">
        <f t="shared" si="247"/>
        <v/>
      </c>
      <c r="CJ264" s="48">
        <f t="shared" si="201"/>
        <v>0.06</v>
      </c>
      <c r="CK264" s="18">
        <f t="shared" si="202"/>
        <v>4.8675505653430484E-3</v>
      </c>
      <c r="CL264" s="11">
        <f t="shared" si="232"/>
        <v>0</v>
      </c>
      <c r="CM264" s="11">
        <f t="shared" si="203"/>
        <v>69528.959819204072</v>
      </c>
      <c r="CN264" s="11">
        <f>IF(AB264&lt;&gt;"",CM264-SUM($CL$28:CL264),"")</f>
        <v>41352.199819204077</v>
      </c>
    </row>
    <row r="265" spans="1:92" x14ac:dyDescent="0.45">
      <c r="A265" s="68">
        <f t="shared" si="226"/>
        <v>51957</v>
      </c>
      <c r="B265" s="8">
        <f t="shared" si="186"/>
        <v>238</v>
      </c>
      <c r="C265" s="11">
        <f t="shared" si="187"/>
        <v>3522.1</v>
      </c>
      <c r="D265" s="11">
        <f t="shared" si="188"/>
        <v>3446.6061068912172</v>
      </c>
      <c r="E265" s="11">
        <f t="shared" si="189"/>
        <v>75.493893108782899</v>
      </c>
      <c r="F265" s="9">
        <f t="shared" si="204"/>
        <v>6966.3446667340104</v>
      </c>
      <c r="G265" s="10">
        <f t="shared" si="190"/>
        <v>7.0000000000000007E-2</v>
      </c>
      <c r="H265" s="10">
        <f t="shared" si="191"/>
        <v>1.7000000000000001E-2</v>
      </c>
      <c r="I265" s="48">
        <f t="shared" si="205"/>
        <v>8.7000000000000008E-2</v>
      </c>
      <c r="J265" s="11">
        <f t="shared" si="192"/>
        <v>20</v>
      </c>
      <c r="K265" s="11">
        <f>IF(B265&lt;&gt;"",IF($B$16=listy!$K$8,'RZĄDOWY PROGRAM'!$F$3*'RZĄDOWY PROGRAM'!$F$15,F264*$F$15),"")</f>
        <v>50</v>
      </c>
      <c r="L265" s="11">
        <f t="shared" si="206"/>
        <v>70</v>
      </c>
      <c r="N265" s="54">
        <f t="shared" si="227"/>
        <v>51957</v>
      </c>
      <c r="O265" s="8">
        <f t="shared" si="207"/>
        <v>238</v>
      </c>
      <c r="P265" s="8"/>
      <c r="Q265" s="11">
        <f>IF(O265&lt;&gt;"",ROUND(IF($F$11="raty równe",-PMT(W265/12,$F$4-O264+SUM($P$28:P265),T264,2),R265+S265),2),"")</f>
        <v>3522.1</v>
      </c>
      <c r="R265" s="11">
        <f>IF(O265&lt;&gt;"",IF($F$11="raty malejące",T264/($F$4-O264+SUM($P$28:P265)),IF(Q265-S265&gt;T264,T264,Q265-S265)),"")</f>
        <v>3253.0705502444716</v>
      </c>
      <c r="S265" s="11">
        <f t="shared" si="229"/>
        <v>269.02944975552828</v>
      </c>
      <c r="T265" s="9">
        <f t="shared" si="208"/>
        <v>33854.439760862879</v>
      </c>
      <c r="U265" s="10">
        <f t="shared" si="193"/>
        <v>7.0000000000000007E-2</v>
      </c>
      <c r="V265" s="10">
        <f t="shared" si="194"/>
        <v>1.7000000000000001E-2</v>
      </c>
      <c r="W265" s="48">
        <f t="shared" si="209"/>
        <v>8.7000000000000008E-2</v>
      </c>
      <c r="X265" s="11">
        <f t="shared" si="195"/>
        <v>20</v>
      </c>
      <c r="Y265" s="11">
        <f>IF(O265&lt;&gt;"",IF($B$16=listy!$K$8,'RZĄDOWY PROGRAM'!$F$3*'RZĄDOWY PROGRAM'!$F$15,T264*$F$15),"")</f>
        <v>50</v>
      </c>
      <c r="Z265" s="11">
        <f t="shared" si="210"/>
        <v>70</v>
      </c>
      <c r="AB265" s="8">
        <f t="shared" si="211"/>
        <v>238</v>
      </c>
      <c r="AC265" s="8"/>
      <c r="AD265" s="11">
        <f>IF(AB265&lt;&gt;"",ROUND(IF($F$11="raty równe",-PMT(W265/12,$F$4-AB264+SUM($AC$28:AC265),AG264,2),AE265+AF265),2),"")</f>
        <v>3280.39</v>
      </c>
      <c r="AE265" s="11">
        <f>IF(AB265&lt;&gt;"",IF($F$11="raty malejące",AG264/($F$4-AB264+SUM($AC$28:AC264)),MIN(AD265-AF265,AG264)),"")</f>
        <v>3029.8233452651789</v>
      </c>
      <c r="AF265" s="11">
        <f t="shared" si="230"/>
        <v>250.56665473482113</v>
      </c>
      <c r="AG265" s="9">
        <f t="shared" si="228"/>
        <v>31531.094549192905</v>
      </c>
      <c r="AH265" s="11"/>
      <c r="AI265" s="33">
        <f>IF(AB265&lt;&gt;"",ROUND(IF($F$11="raty równe",-PMT(W265/12,($F$4-AB264+SUM($AC$27:AC264)),AG264,2),AG264/($F$4-AB264+SUM($AC$27:AC264))+AG264*W265/12),2),"")</f>
        <v>3280.39</v>
      </c>
      <c r="AJ265" s="33">
        <f t="shared" si="212"/>
        <v>241.71000000000004</v>
      </c>
      <c r="AK265" s="33">
        <f t="shared" si="196"/>
        <v>90610.083672229419</v>
      </c>
      <c r="AL265" s="33">
        <f>IF(AB265&lt;&gt;"",AK265-SUM($AJ$28:AJ265),"")</f>
        <v>34879.61367222936</v>
      </c>
      <c r="AM265" s="11">
        <f t="shared" si="213"/>
        <v>20</v>
      </c>
      <c r="AN265" s="11">
        <f>IF(AB265&lt;&gt;"",IF($B$16=listy!$K$8,'RZĄDOWY PROGRAM'!$F$3*'RZĄDOWY PROGRAM'!$F$15,AG264*$F$15),"")</f>
        <v>50</v>
      </c>
      <c r="AO265" s="11">
        <f t="shared" si="214"/>
        <v>70</v>
      </c>
      <c r="AQ265" s="8">
        <f t="shared" si="215"/>
        <v>238</v>
      </c>
      <c r="AR265" s="8"/>
      <c r="AS265" s="78">
        <f>IF(AQ265&lt;&gt;"",ROUND(IF($F$11="raty równe",-PMT(W265/12,$F$4-AQ264+SUM($AR$28:AR265),AV264,2),AT265+AU265),2),"")</f>
        <v>3263.83</v>
      </c>
      <c r="AT265" s="78">
        <f>IF(AQ265&lt;&gt;"",IF($F$11="raty malejące",AV264/($F$4-AQ264+SUM($AR$28:AR264)),MIN(AS265-AU265,AV264)),"")</f>
        <v>3014.5290723746966</v>
      </c>
      <c r="AU265" s="78">
        <f t="shared" si="216"/>
        <v>249.30092762530333</v>
      </c>
      <c r="AV265" s="79">
        <f t="shared" si="217"/>
        <v>31371.805772494728</v>
      </c>
      <c r="AW265" s="11"/>
      <c r="AX265" s="33">
        <f>IF(AQ265&lt;&gt;"",ROUND(IF($F$11="raty równe",-PMT(W265/12,($F$4-AQ264+SUM($AR$27:AR264)),AV264,2),AV264/($F$4-AQ264+SUM($AR$27:AR264))+AV264*W265/12),2),"")</f>
        <v>3263.83</v>
      </c>
      <c r="AY265" s="33">
        <f t="shared" si="218"/>
        <v>258.27</v>
      </c>
      <c r="AZ265" s="33">
        <f t="shared" si="233"/>
        <v>91408.341136853589</v>
      </c>
      <c r="BA265" s="33">
        <f>IF(AQ265&lt;&gt;"",AZ265-SUM($AY$44:AY265),"")</f>
        <v>34072.411136853851</v>
      </c>
      <c r="BB265" s="11">
        <f t="shared" si="219"/>
        <v>20</v>
      </c>
      <c r="BC265" s="11">
        <f>IF(AQ265&lt;&gt;"",IF($B$16=listy!$K$8,'RZĄDOWY PROGRAM'!$F$3*'RZĄDOWY PROGRAM'!$F$15,AV264*$F$15),"")</f>
        <v>50</v>
      </c>
      <c r="BD265" s="11">
        <f t="shared" si="220"/>
        <v>70</v>
      </c>
      <c r="BF265" s="8" t="str">
        <f t="shared" si="237"/>
        <v/>
      </c>
      <c r="BG265" s="8"/>
      <c r="BH265" s="78" t="str">
        <f>IF(BF265&lt;&gt;"",ROUND(IF($F$11="raty równe",-PMT(W265/12,$F$4-BF264+SUM(BV$28:$BV265)-SUM($BM$29:BM265),BK264,2),BI265+BJ265),2),"")</f>
        <v/>
      </c>
      <c r="BI265" s="78" t="str">
        <f>IF(BF265&lt;&gt;"",IF($F$11="raty malejące",MIN(BK264/($F$4-BF264+SUM($BG$27:BG265)-SUM($BM$27:BM265)),BK264),MIN(BH265-BJ265,BK264)),"")</f>
        <v/>
      </c>
      <c r="BJ265" s="78" t="str">
        <f t="shared" si="238"/>
        <v/>
      </c>
      <c r="BK265" s="79" t="str">
        <f t="shared" si="239"/>
        <v/>
      </c>
      <c r="BL265" s="11"/>
      <c r="BM265" s="33"/>
      <c r="BN265" s="33">
        <f t="shared" si="234"/>
        <v>3522.1</v>
      </c>
      <c r="BO265" s="33">
        <f t="shared" si="235"/>
        <v>104051.49186367034</v>
      </c>
      <c r="BP265" s="33">
        <f>IF(O265&lt;&gt;"",BO265-SUM($BN$44:BN265),"")</f>
        <v>5432.9018636703113</v>
      </c>
      <c r="BQ265" s="11" t="str">
        <f t="shared" si="240"/>
        <v/>
      </c>
      <c r="BR265" s="11" t="str">
        <f>IF(BF265&lt;&gt;"",IF($B$16=listy!$K$8,'RZĄDOWY PROGRAM'!$F$3*'RZĄDOWY PROGRAM'!$F$15,BK264*$F$15),"")</f>
        <v/>
      </c>
      <c r="BS265" s="11" t="str">
        <f t="shared" si="241"/>
        <v/>
      </c>
      <c r="BU265" s="8" t="str">
        <f t="shared" si="224"/>
        <v/>
      </c>
      <c r="BV265" s="8"/>
      <c r="BW265" s="78" t="str">
        <f>IF(BU265&lt;&gt;"",ROUND(IF($F$11="raty równe",-PMT(W265/12,$F$4-BU264+SUM($BV$28:BV265)-$CB$43,BZ264,2),BX265+BY265),2),"")</f>
        <v/>
      </c>
      <c r="BX265" s="78" t="str">
        <f>IF(BU265&lt;&gt;"",IF($F$11="raty malejące",MIN(BZ264/($F$4-BU264+SUM($BV$28:BV264)-SUM($CB$28:CB264)),BZ264),MIN(BW265-BY265,BZ264)),"")</f>
        <v/>
      </c>
      <c r="BY265" s="78" t="str">
        <f t="shared" si="245"/>
        <v/>
      </c>
      <c r="BZ265" s="79" t="str">
        <f t="shared" si="231"/>
        <v/>
      </c>
      <c r="CA265" s="11"/>
      <c r="CB265" s="33"/>
      <c r="CC265" s="33">
        <f t="shared" si="225"/>
        <v>3522.1</v>
      </c>
      <c r="CD265" s="33">
        <f t="shared" si="236"/>
        <v>104052.24978254162</v>
      </c>
      <c r="CE265" s="33">
        <f>IF(O265&lt;&gt;"",CD265-SUM($CC$44:CC265),"")</f>
        <v>5433.3197825415991</v>
      </c>
      <c r="CF265" s="11" t="str">
        <f t="shared" si="246"/>
        <v/>
      </c>
      <c r="CG265" s="11" t="str">
        <f>IF(BU265&lt;&gt;"",IF($B$16=listy!$K$8,'RZĄDOWY PROGRAM'!$F$3*'RZĄDOWY PROGRAM'!$F$15,BZ264*$F$15),"")</f>
        <v/>
      </c>
      <c r="CH265" s="11" t="str">
        <f t="shared" si="247"/>
        <v/>
      </c>
      <c r="CJ265" s="48">
        <f t="shared" si="201"/>
        <v>0.06</v>
      </c>
      <c r="CK265" s="18">
        <f t="shared" si="202"/>
        <v>4.8675505653430484E-3</v>
      </c>
      <c r="CL265" s="11">
        <f t="shared" si="232"/>
        <v>0</v>
      </c>
      <c r="CM265" s="11">
        <f t="shared" si="203"/>
        <v>69803.09275862138</v>
      </c>
      <c r="CN265" s="11">
        <f>IF(AB265&lt;&gt;"",CM265-SUM($CL$28:CL265),"")</f>
        <v>41626.332758621385</v>
      </c>
    </row>
    <row r="266" spans="1:92" x14ac:dyDescent="0.45">
      <c r="A266" s="68">
        <f t="shared" si="226"/>
        <v>51987</v>
      </c>
      <c r="B266" s="8">
        <f t="shared" si="186"/>
        <v>239</v>
      </c>
      <c r="C266" s="11">
        <f t="shared" si="187"/>
        <v>3522.09</v>
      </c>
      <c r="D266" s="11">
        <f t="shared" si="188"/>
        <v>3471.5840011661785</v>
      </c>
      <c r="E266" s="11">
        <f t="shared" si="189"/>
        <v>50.505998833821586</v>
      </c>
      <c r="F266" s="9">
        <f t="shared" si="204"/>
        <v>3494.7606655678319</v>
      </c>
      <c r="G266" s="10">
        <f t="shared" si="190"/>
        <v>7.0000000000000007E-2</v>
      </c>
      <c r="H266" s="10">
        <f t="shared" si="191"/>
        <v>1.7000000000000001E-2</v>
      </c>
      <c r="I266" s="48">
        <f t="shared" si="205"/>
        <v>8.7000000000000008E-2</v>
      </c>
      <c r="J266" s="11">
        <f t="shared" si="192"/>
        <v>20</v>
      </c>
      <c r="K266" s="11">
        <f>IF(B266&lt;&gt;"",IF($B$16=listy!$K$8,'RZĄDOWY PROGRAM'!$F$3*'RZĄDOWY PROGRAM'!$F$15,F265*$F$15),"")</f>
        <v>50</v>
      </c>
      <c r="L266" s="11">
        <f t="shared" si="206"/>
        <v>70</v>
      </c>
      <c r="N266" s="54">
        <f t="shared" si="227"/>
        <v>51987</v>
      </c>
      <c r="O266" s="8">
        <f t="shared" si="207"/>
        <v>239</v>
      </c>
      <c r="P266" s="8"/>
      <c r="Q266" s="11">
        <f>IF(O266&lt;&gt;"",ROUND(IF($F$11="raty równe",-PMT(W266/12,$F$4-O265+SUM($P$28:P266),T265,2),R266+S266),2),"")</f>
        <v>3522.09</v>
      </c>
      <c r="R266" s="11">
        <f>IF(O266&lt;&gt;"",IF($F$11="raty malejące",T265/($F$4-O265+SUM($P$28:P266)),IF(Q266-S266&gt;T265,T265,Q266-S266)),"")</f>
        <v>3276.6453117337442</v>
      </c>
      <c r="S266" s="11">
        <f t="shared" si="229"/>
        <v>245.44468826625589</v>
      </c>
      <c r="T266" s="9">
        <f t="shared" si="208"/>
        <v>30577.794449129135</v>
      </c>
      <c r="U266" s="10">
        <f t="shared" si="193"/>
        <v>7.0000000000000007E-2</v>
      </c>
      <c r="V266" s="10">
        <f t="shared" si="194"/>
        <v>1.7000000000000001E-2</v>
      </c>
      <c r="W266" s="48">
        <f t="shared" si="209"/>
        <v>8.7000000000000008E-2</v>
      </c>
      <c r="X266" s="11">
        <f t="shared" si="195"/>
        <v>20</v>
      </c>
      <c r="Y266" s="11">
        <f>IF(O266&lt;&gt;"",IF($B$16=listy!$K$8,'RZĄDOWY PROGRAM'!$F$3*'RZĄDOWY PROGRAM'!$F$15,T265*$F$15),"")</f>
        <v>50</v>
      </c>
      <c r="Z266" s="11">
        <f t="shared" si="210"/>
        <v>70</v>
      </c>
      <c r="AB266" s="8">
        <f t="shared" si="211"/>
        <v>239</v>
      </c>
      <c r="AC266" s="8"/>
      <c r="AD266" s="11">
        <f>IF(AB266&lt;&gt;"",ROUND(IF($F$11="raty równe",-PMT(W266/12,$F$4-AB265+SUM($AC$28:AC266),AG265,2),AE266+AF266),2),"")</f>
        <v>3280.4</v>
      </c>
      <c r="AE266" s="11">
        <f>IF(AB266&lt;&gt;"",IF($F$11="raty malejące",AG265/($F$4-AB265+SUM($AC$28:AC265)),MIN(AD266-AF266,AG265)),"")</f>
        <v>3051.7995645183514</v>
      </c>
      <c r="AF266" s="11">
        <f t="shared" si="230"/>
        <v>228.60043548164859</v>
      </c>
      <c r="AG266" s="9">
        <f t="shared" si="228"/>
        <v>28479.294984674554</v>
      </c>
      <c r="AH266" s="11"/>
      <c r="AI266" s="33">
        <f>IF(AB266&lt;&gt;"",ROUND(IF($F$11="raty równe",-PMT(W266/12,($F$4-AB265+SUM($AC$27:AC265)),AG265,2),AG265/($F$4-AB265+SUM($AC$27:AC265))+AG265*W266/12),2),"")</f>
        <v>3280.4</v>
      </c>
      <c r="AJ266" s="33">
        <f t="shared" si="212"/>
        <v>241.69000000000005</v>
      </c>
      <c r="AK266" s="33">
        <f t="shared" si="196"/>
        <v>91209.02349507311</v>
      </c>
      <c r="AL266" s="33">
        <f>IF(AB266&lt;&gt;"",AK266-SUM($AJ$28:AJ266),"")</f>
        <v>35236.863495073048</v>
      </c>
      <c r="AM266" s="11">
        <f t="shared" si="213"/>
        <v>20</v>
      </c>
      <c r="AN266" s="11">
        <f>IF(AB266&lt;&gt;"",IF($B$16=listy!$K$8,'RZĄDOWY PROGRAM'!$F$3*'RZĄDOWY PROGRAM'!$F$15,AG265*$F$15),"")</f>
        <v>50</v>
      </c>
      <c r="AO266" s="11">
        <f t="shared" si="214"/>
        <v>70</v>
      </c>
      <c r="AQ266" s="8">
        <f t="shared" si="215"/>
        <v>239</v>
      </c>
      <c r="AR266" s="8"/>
      <c r="AS266" s="78">
        <f>IF(AQ266&lt;&gt;"",ROUND(IF($F$11="raty równe",-PMT(W266/12,$F$4-AQ265+SUM($AR$28:AR266),AV265,2),AT266+AU266),2),"")</f>
        <v>3263.82</v>
      </c>
      <c r="AT266" s="78">
        <f>IF(AQ266&lt;&gt;"",IF($F$11="raty malejące",AV265/($F$4-AQ265+SUM($AR$28:AR265)),MIN(AS266-AU266,AV265)),"")</f>
        <v>3036.3744081494133</v>
      </c>
      <c r="AU266" s="78">
        <f t="shared" si="216"/>
        <v>227.44559185058679</v>
      </c>
      <c r="AV266" s="79">
        <f t="shared" si="217"/>
        <v>28335.431364345313</v>
      </c>
      <c r="AW266" s="11"/>
      <c r="AX266" s="33">
        <f>IF(AQ266&lt;&gt;"",ROUND(IF($F$11="raty równe",-PMT(W266/12,($F$4-AQ265+SUM($AR$27:AR265)),AV265,2),AV265/($F$4-AQ265+SUM($AR$27:AR265))+AV265*W266/12),2),"")</f>
        <v>3263.82</v>
      </c>
      <c r="AY266" s="33">
        <f t="shared" si="218"/>
        <v>258.27</v>
      </c>
      <c r="AZ266" s="33">
        <f t="shared" si="233"/>
        <v>92027.008262141593</v>
      </c>
      <c r="BA266" s="33">
        <f>IF(AQ266&lt;&gt;"",AZ266-SUM($AY$44:AY266),"")</f>
        <v>34432.808262141858</v>
      </c>
      <c r="BB266" s="11">
        <f t="shared" si="219"/>
        <v>20</v>
      </c>
      <c r="BC266" s="11">
        <f>IF(AQ266&lt;&gt;"",IF($B$16=listy!$K$8,'RZĄDOWY PROGRAM'!$F$3*'RZĄDOWY PROGRAM'!$F$15,AV265*$F$15),"")</f>
        <v>50</v>
      </c>
      <c r="BD266" s="11">
        <f t="shared" si="220"/>
        <v>70</v>
      </c>
      <c r="BF266" s="8" t="str">
        <f t="shared" si="237"/>
        <v/>
      </c>
      <c r="BG266" s="8"/>
      <c r="BH266" s="78" t="str">
        <f>IF(BF266&lt;&gt;"",ROUND(IF($F$11="raty równe",-PMT(W266/12,$F$4-BF265+SUM(BV$28:$BV266)-SUM($BM$29:BM266),BK265,2),BI266+BJ266),2),"")</f>
        <v/>
      </c>
      <c r="BI266" s="78" t="str">
        <f>IF(BF266&lt;&gt;"",IF($F$11="raty malejące",MIN(BK265/($F$4-BF265+SUM($BG$27:BG266)-SUM($BM$27:BM266)),BK265),MIN(BH266-BJ266,BK265)),"")</f>
        <v/>
      </c>
      <c r="BJ266" s="78" t="str">
        <f t="shared" si="238"/>
        <v/>
      </c>
      <c r="BK266" s="79" t="str">
        <f t="shared" si="239"/>
        <v/>
      </c>
      <c r="BL266" s="11"/>
      <c r="BM266" s="33"/>
      <c r="BN266" s="33">
        <f t="shared" si="234"/>
        <v>3522.09</v>
      </c>
      <c r="BO266" s="33">
        <f t="shared" si="235"/>
        <v>107983.82734108744</v>
      </c>
      <c r="BP266" s="33">
        <f>IF(O266&lt;&gt;"",BO266-SUM($BN$44:BN266),"")</f>
        <v>5843.1473410874169</v>
      </c>
      <c r="BQ266" s="11" t="str">
        <f t="shared" si="240"/>
        <v/>
      </c>
      <c r="BR266" s="11" t="str">
        <f>IF(BF266&lt;&gt;"",IF($B$16=listy!$K$8,'RZĄDOWY PROGRAM'!$F$3*'RZĄDOWY PROGRAM'!$F$15,BK265*$F$15),"")</f>
        <v/>
      </c>
      <c r="BS266" s="11" t="str">
        <f t="shared" si="241"/>
        <v/>
      </c>
      <c r="BU266" s="8" t="str">
        <f t="shared" si="224"/>
        <v/>
      </c>
      <c r="BV266" s="8"/>
      <c r="BW266" s="78" t="str">
        <f>IF(BU266&lt;&gt;"",ROUND(IF($F$11="raty równe",-PMT(W266/12,$F$4-BU265+SUM($BV$28:BV266)-$CB$43,BZ265,2),BX266+BY266),2),"")</f>
        <v/>
      </c>
      <c r="BX266" s="78" t="str">
        <f>IF(BU266&lt;&gt;"",IF($F$11="raty malejące",MIN(BZ265/($F$4-BU265+SUM($BV$28:BV265)-SUM($CB$28:CB265)),BZ265),MIN(BW266-BY266,BZ265)),"")</f>
        <v/>
      </c>
      <c r="BY266" s="78" t="str">
        <f t="shared" si="245"/>
        <v/>
      </c>
      <c r="BZ266" s="79" t="str">
        <f t="shared" si="231"/>
        <v/>
      </c>
      <c r="CA266" s="11"/>
      <c r="CB266" s="33"/>
      <c r="CC266" s="33">
        <f t="shared" si="225"/>
        <v>3522.09</v>
      </c>
      <c r="CD266" s="33">
        <f t="shared" si="236"/>
        <v>107984.58824821755</v>
      </c>
      <c r="CE266" s="33">
        <f>IF(O266&lt;&gt;"",CD266-SUM($CC$44:CC266),"")</f>
        <v>5843.5682482175325</v>
      </c>
      <c r="CF266" s="11" t="str">
        <f t="shared" si="246"/>
        <v/>
      </c>
      <c r="CG266" s="11" t="str">
        <f>IF(BU266&lt;&gt;"",IF($B$16=listy!$K$8,'RZĄDOWY PROGRAM'!$F$3*'RZĄDOWY PROGRAM'!$F$15,BZ265*$F$15),"")</f>
        <v/>
      </c>
      <c r="CH266" s="11" t="str">
        <f t="shared" si="247"/>
        <v/>
      </c>
      <c r="CJ266" s="48">
        <f t="shared" si="201"/>
        <v>0.06</v>
      </c>
      <c r="CK266" s="18">
        <f t="shared" si="202"/>
        <v>4.8675505653430484E-3</v>
      </c>
      <c r="CL266" s="11">
        <f t="shared" si="232"/>
        <v>0</v>
      </c>
      <c r="CM266" s="11">
        <f t="shared" si="203"/>
        <v>70078.306526353525</v>
      </c>
      <c r="CN266" s="11">
        <f>IF(AB266&lt;&gt;"",CM266-SUM($CL$28:CL266),"")</f>
        <v>41901.54652635353</v>
      </c>
    </row>
    <row r="267" spans="1:92" x14ac:dyDescent="0.45">
      <c r="A267" s="68">
        <f t="shared" si="226"/>
        <v>52018</v>
      </c>
      <c r="B267" s="8">
        <f t="shared" si="186"/>
        <v>240</v>
      </c>
      <c r="C267" s="11">
        <f t="shared" si="187"/>
        <v>3522.1</v>
      </c>
      <c r="D267" s="11">
        <f t="shared" si="188"/>
        <v>3494.7606655678319</v>
      </c>
      <c r="E267" s="11">
        <f t="shared" si="189"/>
        <v>25.337014825366783</v>
      </c>
      <c r="F267" s="9">
        <f t="shared" si="204"/>
        <v>0</v>
      </c>
      <c r="G267" s="10">
        <f t="shared" si="190"/>
        <v>7.0000000000000007E-2</v>
      </c>
      <c r="H267" s="10">
        <f t="shared" si="191"/>
        <v>1.7000000000000001E-2</v>
      </c>
      <c r="I267" s="48">
        <f t="shared" si="205"/>
        <v>8.7000000000000008E-2</v>
      </c>
      <c r="J267" s="11">
        <f t="shared" si="192"/>
        <v>20</v>
      </c>
      <c r="K267" s="11">
        <f>IF(B267&lt;&gt;"",IF($B$16=listy!$K$8,'RZĄDOWY PROGRAM'!$F$3*'RZĄDOWY PROGRAM'!$F$15,F266*$F$15),"")</f>
        <v>50</v>
      </c>
      <c r="L267" s="11">
        <f t="shared" si="206"/>
        <v>70</v>
      </c>
      <c r="N267" s="54">
        <f t="shared" si="227"/>
        <v>52018</v>
      </c>
      <c r="O267" s="8">
        <f t="shared" si="207"/>
        <v>240</v>
      </c>
      <c r="P267" s="8"/>
      <c r="Q267" s="11">
        <f>IF(O267&lt;&gt;"",ROUND(IF($F$11="raty równe",-PMT(W267/12,$F$4-O266+SUM($P$28:P267),T266,2),R267+S267),2),"")</f>
        <v>3522.1</v>
      </c>
      <c r="R267" s="11">
        <f>IF(O267&lt;&gt;"",IF($F$11="raty malejące",T266/($F$4-O266+SUM($P$28:P267)),IF(Q267-S267&gt;T266,T266,Q267-S267)),"")</f>
        <v>3300.4109902438136</v>
      </c>
      <c r="S267" s="11">
        <f t="shared" ref="S267:S275" si="248">IF(O267&lt;&gt;"",T266*W267/12,"")</f>
        <v>221.68900975618624</v>
      </c>
      <c r="T267" s="9">
        <f>IF(O267&lt;&gt;"",T266-R267,"")</f>
        <v>27277.383458885321</v>
      </c>
      <c r="U267" s="10">
        <f t="shared" ref="U267:U275" si="249">IF(O267&lt;&gt;"",$F$5,"")</f>
        <v>7.0000000000000007E-2</v>
      </c>
      <c r="V267" s="10">
        <f t="shared" ref="V267:V275" si="250">IF(O267&lt;&gt;"",$F$6,"")</f>
        <v>1.7000000000000001E-2</v>
      </c>
      <c r="W267" s="48">
        <f t="shared" si="209"/>
        <v>8.7000000000000008E-2</v>
      </c>
      <c r="X267" s="11">
        <f t="shared" si="195"/>
        <v>20</v>
      </c>
      <c r="Y267" s="11">
        <f>IF(O267&lt;&gt;"",IF($B$16=listy!$K$8,'RZĄDOWY PROGRAM'!$F$3*'RZĄDOWY PROGRAM'!$F$15,T266*$F$15),"")</f>
        <v>50</v>
      </c>
      <c r="Z267" s="11">
        <f t="shared" ref="Z267:Z275" si="251">IF(O267&lt;&gt;"",X267+Y267,"")</f>
        <v>70</v>
      </c>
      <c r="AB267" s="8">
        <f t="shared" si="211"/>
        <v>240</v>
      </c>
      <c r="AC267" s="8"/>
      <c r="AD267" s="11">
        <f>IF(AB267&lt;&gt;"",ROUND(IF($F$11="raty równe",-PMT(W267/12,$F$4-AB266+SUM($AC$28:AC267),AG266,2),AE267+AF267),2),"")</f>
        <v>3280.4</v>
      </c>
      <c r="AE267" s="11">
        <f>IF(AB267&lt;&gt;"",IF($F$11="raty malejące",AG266/($F$4-AB266+SUM($AC$28:AC266)),MIN(AD267-AF267,AG266)),"")</f>
        <v>3073.9251113611094</v>
      </c>
      <c r="AF267" s="11">
        <f t="shared" si="230"/>
        <v>206.47488863889055</v>
      </c>
      <c r="AG267" s="9">
        <f t="shared" si="228"/>
        <v>25405.369873313444</v>
      </c>
      <c r="AH267" s="11"/>
      <c r="AI267" s="33">
        <f>IF(AB267&lt;&gt;"",ROUND(IF($F$11="raty równe",-PMT(W267/12,($F$4-AB266+SUM($AC$27:AC266)),AG266,2),AG266/($F$4-AB266+SUM($AC$27:AC266))+AG266*W267/12),2),"")</f>
        <v>3280.4</v>
      </c>
      <c r="AJ267" s="33">
        <f t="shared" si="212"/>
        <v>241.69999999999982</v>
      </c>
      <c r="AK267" s="33">
        <f t="shared" si="196"/>
        <v>91810.334767514156</v>
      </c>
      <c r="AL267" s="33">
        <f>IF(AB267&lt;&gt;"",AK267-SUM($AJ$28:AJ267),"")</f>
        <v>35596.474767514097</v>
      </c>
      <c r="AM267" s="11">
        <f t="shared" si="213"/>
        <v>20</v>
      </c>
      <c r="AN267" s="11">
        <f>IF(AB267&lt;&gt;"",IF($B$16=listy!$K$8,'RZĄDOWY PROGRAM'!$F$3*'RZĄDOWY PROGRAM'!$F$15,AG266*$F$15),"")</f>
        <v>50</v>
      </c>
      <c r="AO267" s="11">
        <f t="shared" si="214"/>
        <v>70</v>
      </c>
      <c r="AQ267" s="8">
        <f t="shared" si="215"/>
        <v>240</v>
      </c>
      <c r="AR267" s="8"/>
      <c r="AS267" s="78">
        <f>IF(AQ267&lt;&gt;"",ROUND(IF($F$11="raty równe",-PMT(W267/12,$F$4-AQ266+SUM($AR$28:AR267),AV266,2),AT267+AU267),2),"")</f>
        <v>3263.83</v>
      </c>
      <c r="AT267" s="78">
        <f>IF(AQ267&lt;&gt;"",IF($F$11="raty malejące",AV266/($F$4-AQ266+SUM($AR$28:AR266)),MIN(AS267-AU267,AV266)),"")</f>
        <v>3058.3981226084966</v>
      </c>
      <c r="AU267" s="78">
        <f t="shared" si="216"/>
        <v>205.43187739150355</v>
      </c>
      <c r="AV267" s="79">
        <f t="shared" si="217"/>
        <v>25277.033241736815</v>
      </c>
      <c r="AW267" s="11"/>
      <c r="AX267" s="33">
        <f>IF(AQ267&lt;&gt;"",ROUND(IF($F$11="raty równe",-PMT(W267/12,($F$4-AQ266+SUM($AR$27:AR266)),AV266,2),AV266/($F$4-AQ266+SUM($AR$27:AR266))+AV266*W267/12),2),"")</f>
        <v>3263.83</v>
      </c>
      <c r="AY267" s="33">
        <f t="shared" si="218"/>
        <v>258.27</v>
      </c>
      <c r="AZ267" s="33">
        <f t="shared" si="233"/>
        <v>92648.114616177103</v>
      </c>
      <c r="BA267" s="33">
        <f>IF(AQ267&lt;&gt;"",AZ267-SUM($AY$44:AY267),"")</f>
        <v>34795.644616177371</v>
      </c>
      <c r="BB267" s="11">
        <f t="shared" si="219"/>
        <v>20</v>
      </c>
      <c r="BC267" s="11">
        <f>IF(AQ267&lt;&gt;"",IF($B$16=listy!$K$8,'RZĄDOWY PROGRAM'!$F$3*'RZĄDOWY PROGRAM'!$F$15,AV266*$F$15),"")</f>
        <v>50</v>
      </c>
      <c r="BD267" s="11">
        <f t="shared" si="220"/>
        <v>70</v>
      </c>
      <c r="BF267" s="8" t="str">
        <f t="shared" si="237"/>
        <v/>
      </c>
      <c r="BG267" s="8"/>
      <c r="BH267" s="78" t="str">
        <f>IF(BF267&lt;&gt;"",ROUND(IF($F$11="raty równe",-PMT(W267/12,$F$4-BF266+SUM(BV$28:$BV267)-SUM($BM$29:BM267),BK266,2),BI267+BJ267),2),"")</f>
        <v/>
      </c>
      <c r="BI267" s="78" t="str">
        <f>IF(BF267&lt;&gt;"",IF($F$11="raty malejące",MIN(BK266/($F$4-BF266+SUM($BG$27:BG267)-SUM($BM$27:BM267)),BK266),MIN(BH267-BJ267,BK266)),"")</f>
        <v/>
      </c>
      <c r="BJ267" s="78" t="str">
        <f t="shared" si="238"/>
        <v/>
      </c>
      <c r="BK267" s="79" t="str">
        <f t="shared" si="239"/>
        <v/>
      </c>
      <c r="BL267" s="11"/>
      <c r="BM267" s="33"/>
      <c r="BN267" s="33">
        <f t="shared" si="234"/>
        <v>3522.1</v>
      </c>
      <c r="BO267" s="33">
        <f t="shared" si="235"/>
        <v>111931.67690034329</v>
      </c>
      <c r="BP267" s="33">
        <f>IF(O267&lt;&gt;"",BO267-SUM($BN$44:BN267),"")</f>
        <v>6268.8969003432576</v>
      </c>
      <c r="BQ267" s="11" t="str">
        <f t="shared" si="240"/>
        <v/>
      </c>
      <c r="BR267" s="11" t="str">
        <f>IF(BF267&lt;&gt;"",IF($B$16=listy!$K$8,'RZĄDOWY PROGRAM'!$F$3*'RZĄDOWY PROGRAM'!$F$15,BK266*$F$15),"")</f>
        <v/>
      </c>
      <c r="BS267" s="11" t="str">
        <f t="shared" si="241"/>
        <v/>
      </c>
      <c r="BU267" s="8" t="str">
        <f t="shared" si="224"/>
        <v/>
      </c>
      <c r="BV267" s="8"/>
      <c r="BW267" s="78" t="str">
        <f>IF(BU267&lt;&gt;"",ROUND(IF($F$11="raty równe",-PMT(W267/12,$F$4-BU266+SUM($BV$28:BV267)-$CB$43,BZ266,2),BX267+BY267),2),"")</f>
        <v/>
      </c>
      <c r="BX267" s="78" t="str">
        <f>IF(BU267&lt;&gt;"",IF($F$11="raty malejące",MIN(BZ266/($F$4-BU266+SUM($BV$28:BV266)-SUM($CB$28:CB266)),BZ266),MIN(BW267-BY267,BZ266)),"")</f>
        <v/>
      </c>
      <c r="BY267" s="78" t="str">
        <f t="shared" si="245"/>
        <v/>
      </c>
      <c r="BZ267" s="79" t="str">
        <f t="shared" si="231"/>
        <v/>
      </c>
      <c r="CA267" s="11"/>
      <c r="CB267" s="33"/>
      <c r="CC267" s="33">
        <f t="shared" si="225"/>
        <v>3522.1</v>
      </c>
      <c r="CD267" s="33">
        <f t="shared" si="236"/>
        <v>111932.44080751408</v>
      </c>
      <c r="CE267" s="33">
        <f>IF(O267&lt;&gt;"",CD267-SUM($CC$44:CC267),"")</f>
        <v>6269.3208075140574</v>
      </c>
      <c r="CF267" s="11" t="str">
        <f t="shared" si="246"/>
        <v/>
      </c>
      <c r="CG267" s="11" t="str">
        <f>IF(BU267&lt;&gt;"",IF($B$16=listy!$K$8,'RZĄDOWY PROGRAM'!$F$3*'RZĄDOWY PROGRAM'!$F$15,BZ266*$F$15),"")</f>
        <v/>
      </c>
      <c r="CH267" s="11" t="str">
        <f t="shared" si="247"/>
        <v/>
      </c>
      <c r="CJ267" s="48">
        <f t="shared" si="201"/>
        <v>0.06</v>
      </c>
      <c r="CK267" s="18">
        <f t="shared" si="202"/>
        <v>4.8675505653430484E-3</v>
      </c>
      <c r="CL267" s="11">
        <f t="shared" si="232"/>
        <v>0</v>
      </c>
      <c r="CM267" s="11">
        <f t="shared" si="203"/>
        <v>70354.605383799542</v>
      </c>
      <c r="CN267" s="11">
        <f>IF(AB267&lt;&gt;"",CM267-SUM($CL$28:CL267),"")</f>
        <v>42177.845383799548</v>
      </c>
    </row>
    <row r="268" spans="1:92" x14ac:dyDescent="0.45">
      <c r="A268" s="68" t="str">
        <f t="shared" ref="A268:A331" si="252">IF(B268&lt;&gt;"",EDATE(A267,1),"")</f>
        <v/>
      </c>
      <c r="B268" s="8" t="str">
        <f t="shared" si="186"/>
        <v/>
      </c>
      <c r="C268" s="11" t="str">
        <f t="shared" si="187"/>
        <v/>
      </c>
      <c r="D268" s="11" t="str">
        <f t="shared" si="188"/>
        <v/>
      </c>
      <c r="E268" s="11" t="str">
        <f t="shared" ref="E268:E331" si="253">IF(B268&lt;&gt;"",F267*I268/12,"")</f>
        <v/>
      </c>
      <c r="F268" s="9" t="str">
        <f t="shared" ref="F268:F331" si="254">IF(B268&lt;&gt;"",F267-D268,"")</f>
        <v/>
      </c>
      <c r="G268" s="10" t="str">
        <f t="shared" ref="G268:G331" si="255">IF(B268&lt;&gt;"",$F$5,"")</f>
        <v/>
      </c>
      <c r="H268" s="10" t="str">
        <f t="shared" ref="H268:H331" si="256">IF(B268&lt;&gt;"",$F$6,"")</f>
        <v/>
      </c>
      <c r="I268" s="48" t="str">
        <f t="shared" si="205"/>
        <v/>
      </c>
      <c r="J268" s="11" t="str">
        <f t="shared" si="192"/>
        <v/>
      </c>
      <c r="K268" s="11" t="str">
        <f>IF(B268&lt;&gt;"",IF($B$16=listy!$K$8,'RZĄDOWY PROGRAM'!$F$3*'RZĄDOWY PROGRAM'!$F$15,F267*$F$15),"")</f>
        <v/>
      </c>
      <c r="L268" s="11" t="str">
        <f t="shared" ref="L268:L331" si="257">IF(B268&lt;&gt;"",J268+K268,"")</f>
        <v/>
      </c>
      <c r="N268" s="54">
        <f t="shared" si="227"/>
        <v>52048</v>
      </c>
      <c r="O268" s="8">
        <f t="shared" si="207"/>
        <v>241</v>
      </c>
      <c r="P268" s="8"/>
      <c r="Q268" s="11">
        <f>IF(O268&lt;&gt;"",ROUND(IF($F$11="raty równe",-PMT(W268/12,$F$4-O267+SUM($P$28:P268),T267,2),R268+S268),2),"")</f>
        <v>3522.09</v>
      </c>
      <c r="R268" s="11">
        <f>IF(O268&lt;&gt;"",IF($F$11="raty malejące",T267/($F$4-O267+SUM($P$28:P268)),IF(Q268-S268&gt;T267,T267,Q268-S268)),"")</f>
        <v>3324.3289699230818</v>
      </c>
      <c r="S268" s="11">
        <f t="shared" si="248"/>
        <v>197.76103007691859</v>
      </c>
      <c r="T268" s="9">
        <f t="shared" ref="T268:T275" si="258">IF(O268&lt;&gt;"",T267-R268,"")</f>
        <v>23953.05448896224</v>
      </c>
      <c r="U268" s="10">
        <f t="shared" si="249"/>
        <v>7.0000000000000007E-2</v>
      </c>
      <c r="V268" s="10">
        <f t="shared" si="250"/>
        <v>1.7000000000000001E-2</v>
      </c>
      <c r="W268" s="48">
        <f t="shared" si="209"/>
        <v>8.7000000000000008E-2</v>
      </c>
      <c r="X268" s="11">
        <f t="shared" si="195"/>
        <v>20</v>
      </c>
      <c r="Y268" s="11">
        <f>IF(O268&lt;&gt;"",IF($B$16=listy!$K$8,'RZĄDOWY PROGRAM'!$F$3*'RZĄDOWY PROGRAM'!$F$15,T267*$F$15),"")</f>
        <v>50</v>
      </c>
      <c r="Z268" s="11">
        <f t="shared" si="251"/>
        <v>70</v>
      </c>
      <c r="AB268" s="8">
        <f t="shared" si="211"/>
        <v>241</v>
      </c>
      <c r="AC268" s="8"/>
      <c r="AD268" s="11">
        <f>IF(AB268&lt;&gt;"",ROUND(IF($F$11="raty równe",-PMT(W268/12,$F$4-AB267+SUM($AC$28:AC268),AG267,2),AE268+AF268),2),"")</f>
        <v>3280.39</v>
      </c>
      <c r="AE268" s="11">
        <f>IF(AB268&lt;&gt;"",IF($F$11="raty malejące",AG267/($F$4-AB267+SUM($AC$28:AC267)),MIN(AD268-AF268,AG267)),"")</f>
        <v>3096.2010684184775</v>
      </c>
      <c r="AF268" s="11">
        <f t="shared" si="230"/>
        <v>184.1889315815225</v>
      </c>
      <c r="AG268" s="9">
        <f t="shared" si="228"/>
        <v>22309.168804894965</v>
      </c>
      <c r="AH268" s="11"/>
      <c r="AI268" s="33">
        <f>IF(AB268&lt;&gt;"",ROUND(IF($F$11="raty równe",-PMT(W268/12,($F$4-AB267+SUM($AC$27:AC267)),AG267,2),AG267/($F$4-AB267+SUM($AC$27:AC267))+AG267*W268/12),2),"")</f>
        <v>3280.39</v>
      </c>
      <c r="AJ268" s="33">
        <f t="shared" si="212"/>
        <v>-3280.39</v>
      </c>
      <c r="AK268" s="33">
        <f t="shared" si="196"/>
        <v>88891.92683950474</v>
      </c>
      <c r="AL268" s="33">
        <f>IF(AB268&lt;&gt;"",AK268-SUM($AJ$28:AJ268),"")</f>
        <v>35958.456839504681</v>
      </c>
      <c r="AM268" s="11">
        <f t="shared" si="213"/>
        <v>20</v>
      </c>
      <c r="AN268" s="11">
        <f>IF(AB268&lt;&gt;"",IF($B$16=listy!$K$8,'RZĄDOWY PROGRAM'!$F$3*'RZĄDOWY PROGRAM'!$F$15,AG267*$F$15),"")</f>
        <v>50</v>
      </c>
      <c r="AO268" s="11">
        <f t="shared" si="214"/>
        <v>70</v>
      </c>
      <c r="AQ268" s="8">
        <f t="shared" si="215"/>
        <v>241</v>
      </c>
      <c r="AR268" s="8"/>
      <c r="AS268" s="78">
        <f>IF(AQ268&lt;&gt;"",ROUND(IF($F$11="raty równe",-PMT(W268/12,$F$4-AQ267+SUM($AR$28:AR268),AV267,2),AT268+AU268),2),"")</f>
        <v>3263.82</v>
      </c>
      <c r="AT268" s="78">
        <f>IF(AQ268&lt;&gt;"",IF($F$11="raty malejące",AV267/($F$4-AQ267+SUM($AR$28:AR267)),MIN(AS268-AU268,AV267)),"")</f>
        <v>3080.5615089974081</v>
      </c>
      <c r="AU268" s="78">
        <f t="shared" si="216"/>
        <v>183.25849100259191</v>
      </c>
      <c r="AV268" s="79">
        <f t="shared" si="217"/>
        <v>22196.471732739406</v>
      </c>
      <c r="AW268" s="11"/>
      <c r="AX268" s="33">
        <f>IF(AQ268&lt;&gt;"",ROUND(IF($F$11="raty równe",-PMT(W268/12,($F$4-AQ267+SUM($AR$27:AR267)),AV267,2),AV267/($F$4-AQ267+SUM($AR$27:AR267))+AV267*W268/12),2),"")</f>
        <v>3263.82</v>
      </c>
      <c r="AY268" s="33">
        <f t="shared" si="218"/>
        <v>-3263.82</v>
      </c>
      <c r="AZ268" s="33">
        <f t="shared" si="233"/>
        <v>89749.57981614623</v>
      </c>
      <c r="BA268" s="33">
        <f>IF(AQ268&lt;&gt;"",AZ268-SUM($AY$44:AY268),"")</f>
        <v>35160.929816146498</v>
      </c>
      <c r="BB268" s="11">
        <f t="shared" si="219"/>
        <v>20</v>
      </c>
      <c r="BC268" s="11">
        <f>IF(AQ268&lt;&gt;"",IF($B$16=listy!$K$8,'RZĄDOWY PROGRAM'!$F$3*'RZĄDOWY PROGRAM'!$F$15,AV267*$F$15),"")</f>
        <v>50</v>
      </c>
      <c r="BD268" s="11">
        <f t="shared" si="220"/>
        <v>70</v>
      </c>
      <c r="BF268" s="8" t="str">
        <f t="shared" si="237"/>
        <v/>
      </c>
      <c r="BG268" s="8"/>
      <c r="BH268" s="78" t="str">
        <f>IF(BF268&lt;&gt;"",ROUND(IF($F$11="raty równe",-PMT(W268/12,$F$4-BF267+SUM(BV$28:$BV268)-SUM($BM$29:BM268),BK267,2),BI268+BJ268),2),"")</f>
        <v/>
      </c>
      <c r="BI268" s="78" t="str">
        <f>IF(BF268&lt;&gt;"",IF($F$11="raty malejące",MIN(BK267/($F$4-BF267+SUM($BG$27:BG268)-SUM($BM$27:BM268)),BK267),MIN(BH268-BJ268,BK267)),"")</f>
        <v/>
      </c>
      <c r="BJ268" s="78" t="str">
        <f t="shared" si="238"/>
        <v/>
      </c>
      <c r="BK268" s="79" t="str">
        <f t="shared" si="239"/>
        <v/>
      </c>
      <c r="BL268" s="11"/>
      <c r="BM268" s="33"/>
      <c r="BN268" s="33">
        <f t="shared" si="234"/>
        <v>0</v>
      </c>
      <c r="BO268" s="33">
        <f t="shared" si="235"/>
        <v>112372.9917090559</v>
      </c>
      <c r="BP268" s="33">
        <f>IF(O268&lt;&gt;"",BO268-SUM($BN$44:BN268),"")</f>
        <v>6710.211709055875</v>
      </c>
      <c r="BQ268" s="11" t="str">
        <f t="shared" si="240"/>
        <v/>
      </c>
      <c r="BR268" s="11" t="str">
        <f>IF(BF268&lt;&gt;"",IF($B$16=listy!$K$8,'RZĄDOWY PROGRAM'!$F$3*'RZĄDOWY PROGRAM'!$F$15,BK267*$F$15),"")</f>
        <v/>
      </c>
      <c r="BS268" s="11" t="str">
        <f t="shared" si="241"/>
        <v/>
      </c>
      <c r="BU268" s="8" t="str">
        <f t="shared" si="224"/>
        <v/>
      </c>
      <c r="BV268" s="8"/>
      <c r="BW268" s="78" t="str">
        <f>IF(BU268&lt;&gt;"",ROUND(IF($F$11="raty równe",-PMT(W268/12,$F$4-BU267+SUM($BV$28:BV268)-$CB$43,BZ267,2),BX268+BY268),2),"")</f>
        <v/>
      </c>
      <c r="BX268" s="78" t="str">
        <f>IF(BU268&lt;&gt;"",IF($F$11="raty malejące",MIN(BZ267/($F$4-BU267+SUM($BV$28:BV267)-SUM($CB$28:CB267)),BZ267),MIN(BW268-BY268,BZ267)),"")</f>
        <v/>
      </c>
      <c r="BY268" s="78" t="str">
        <f t="shared" si="245"/>
        <v/>
      </c>
      <c r="BZ268" s="79" t="str">
        <f t="shared" si="231"/>
        <v/>
      </c>
      <c r="CA268" s="11"/>
      <c r="CB268" s="33"/>
      <c r="CC268" s="33">
        <f t="shared" si="225"/>
        <v>0</v>
      </c>
      <c r="CD268" s="33">
        <f t="shared" si="236"/>
        <v>112373.75862809569</v>
      </c>
      <c r="CE268" s="33">
        <f>IF(O268&lt;&gt;"",CD268-SUM($CC$44:CC268),"")</f>
        <v>6710.6386280956649</v>
      </c>
      <c r="CF268" s="11" t="str">
        <f t="shared" si="246"/>
        <v/>
      </c>
      <c r="CG268" s="11" t="str">
        <f>IF(BU268&lt;&gt;"",IF($B$16=listy!$K$8,'RZĄDOWY PROGRAM'!$F$3*'RZĄDOWY PROGRAM'!$F$15,BZ267*$F$15),"")</f>
        <v/>
      </c>
      <c r="CH268" s="11" t="str">
        <f t="shared" si="247"/>
        <v/>
      </c>
      <c r="CJ268" s="48">
        <f t="shared" si="201"/>
        <v>0.06</v>
      </c>
      <c r="CK268" s="18">
        <f t="shared" si="202"/>
        <v>4.8675505653430484E-3</v>
      </c>
      <c r="CL268" s="11">
        <f t="shared" ref="CL268:CL299" si="259">IF(N268&lt;&gt;"",IF(ISNUMBER(C268),C268,0)-Q268,"")</f>
        <v>-3522.09</v>
      </c>
      <c r="CM268" s="11">
        <f t="shared" si="203"/>
        <v>67109.90360915997</v>
      </c>
      <c r="CN268" s="11">
        <f>IF(AB268&lt;&gt;"",CM268-SUM($CL$28:CL268),"")</f>
        <v>42455.233609159972</v>
      </c>
    </row>
    <row r="269" spans="1:92" x14ac:dyDescent="0.45">
      <c r="A269" s="68" t="str">
        <f t="shared" si="252"/>
        <v/>
      </c>
      <c r="B269" s="8" t="str">
        <f t="shared" si="186"/>
        <v/>
      </c>
      <c r="C269" s="11" t="str">
        <f t="shared" si="187"/>
        <v/>
      </c>
      <c r="D269" s="11" t="str">
        <f t="shared" si="188"/>
        <v/>
      </c>
      <c r="E269" s="11" t="str">
        <f t="shared" si="253"/>
        <v/>
      </c>
      <c r="F269" s="9" t="str">
        <f t="shared" si="254"/>
        <v/>
      </c>
      <c r="G269" s="10" t="str">
        <f t="shared" si="255"/>
        <v/>
      </c>
      <c r="H269" s="10" t="str">
        <f t="shared" si="256"/>
        <v/>
      </c>
      <c r="I269" s="48" t="str">
        <f t="shared" si="205"/>
        <v/>
      </c>
      <c r="J269" s="11" t="str">
        <f t="shared" si="192"/>
        <v/>
      </c>
      <c r="K269" s="11" t="str">
        <f>IF(B269&lt;&gt;"",IF($B$16=listy!$K$8,'RZĄDOWY PROGRAM'!$F$3*'RZĄDOWY PROGRAM'!$F$15,F268*$F$15),"")</f>
        <v/>
      </c>
      <c r="L269" s="11" t="str">
        <f t="shared" si="257"/>
        <v/>
      </c>
      <c r="N269" s="54">
        <f t="shared" si="227"/>
        <v>52079</v>
      </c>
      <c r="O269" s="8">
        <f t="shared" si="207"/>
        <v>242</v>
      </c>
      <c r="P269" s="8"/>
      <c r="Q269" s="11">
        <f>IF(O269&lt;&gt;"",ROUND(IF($F$11="raty równe",-PMT(W269/12,$F$4-O268+SUM($P$28:P269),T268,2),R269+S269),2),"")</f>
        <v>3522.1</v>
      </c>
      <c r="R269" s="11">
        <f>IF(O269&lt;&gt;"",IF($F$11="raty malejące",T268/($F$4-O268+SUM($P$28:P269)),IF(Q269-S269&gt;T268,T268,Q269-S269)),"")</f>
        <v>3348.4403549550238</v>
      </c>
      <c r="S269" s="11">
        <f t="shared" si="248"/>
        <v>173.65964504497626</v>
      </c>
      <c r="T269" s="9">
        <f t="shared" si="258"/>
        <v>20604.614134007217</v>
      </c>
      <c r="U269" s="10">
        <f t="shared" si="249"/>
        <v>7.0000000000000007E-2</v>
      </c>
      <c r="V269" s="10">
        <f t="shared" si="250"/>
        <v>1.7000000000000001E-2</v>
      </c>
      <c r="W269" s="48">
        <f t="shared" si="209"/>
        <v>8.7000000000000008E-2</v>
      </c>
      <c r="X269" s="11">
        <f t="shared" si="195"/>
        <v>20</v>
      </c>
      <c r="Y269" s="11">
        <f>IF(O269&lt;&gt;"",IF($B$16=listy!$K$8,'RZĄDOWY PROGRAM'!$F$3*'RZĄDOWY PROGRAM'!$F$15,T268*$F$15),"")</f>
        <v>50</v>
      </c>
      <c r="Z269" s="11">
        <f t="shared" si="251"/>
        <v>70</v>
      </c>
      <c r="AB269" s="8">
        <f t="shared" si="211"/>
        <v>242</v>
      </c>
      <c r="AC269" s="8"/>
      <c r="AD269" s="11">
        <f>IF(AB269&lt;&gt;"",ROUND(IF($F$11="raty równe",-PMT(W269/12,$F$4-AB268+SUM($AC$28:AC269),AG268,2),AE269+AF269),2),"")</f>
        <v>3280.39</v>
      </c>
      <c r="AE269" s="11">
        <f>IF(AB269&lt;&gt;"",IF($F$11="raty malejące",AG268/($F$4-AB268+SUM($AC$28:AC268)),MIN(AD269-AF269,AG268)),"")</f>
        <v>3118.6485261645112</v>
      </c>
      <c r="AF269" s="11">
        <f t="shared" si="230"/>
        <v>161.74147383548851</v>
      </c>
      <c r="AG269" s="9">
        <f t="shared" si="228"/>
        <v>19190.520278730455</v>
      </c>
      <c r="AH269" s="11"/>
      <c r="AI269" s="33">
        <f>IF(AB269&lt;&gt;"",ROUND(IF($F$11="raty równe",-PMT(W269/12,($F$4-AB268+SUM($AC$27:AC268)),AG268,2),AG268/($F$4-AB268+SUM($AC$27:AC268))+AG268*W269/12),2),"")</f>
        <v>3280.39</v>
      </c>
      <c r="AJ269" s="33">
        <f t="shared" si="212"/>
        <v>-3280.39</v>
      </c>
      <c r="AK269" s="33">
        <f t="shared" si="196"/>
        <v>85962.012457985824</v>
      </c>
      <c r="AL269" s="33">
        <f>IF(AB269&lt;&gt;"",AK269-SUM($AJ$28:AJ269),"")</f>
        <v>36308.932457985764</v>
      </c>
      <c r="AM269" s="11">
        <f t="shared" si="213"/>
        <v>20</v>
      </c>
      <c r="AN269" s="11">
        <f>IF(AB269&lt;&gt;"",IF($B$16=listy!$K$8,'RZĄDOWY PROGRAM'!$F$3*'RZĄDOWY PROGRAM'!$F$15,AG268*$F$15),"")</f>
        <v>50</v>
      </c>
      <c r="AO269" s="11">
        <f t="shared" si="214"/>
        <v>70</v>
      </c>
      <c r="AQ269" s="8">
        <f t="shared" si="215"/>
        <v>242</v>
      </c>
      <c r="AR269" s="8"/>
      <c r="AS269" s="78">
        <f>IF(AQ269&lt;&gt;"",ROUND(IF($F$11="raty równe",-PMT(W269/12,$F$4-AQ268+SUM($AR$28:AR269),AV268,2),AT269+AU269),2),"")</f>
        <v>3263.83</v>
      </c>
      <c r="AT269" s="78">
        <f>IF(AQ269&lt;&gt;"",IF($F$11="raty malejące",AV268/($F$4-AQ268+SUM($AR$28:AR268)),MIN(AS269-AU269,AV268)),"")</f>
        <v>3102.9055799376392</v>
      </c>
      <c r="AU269" s="78">
        <f t="shared" si="216"/>
        <v>160.92442006236072</v>
      </c>
      <c r="AV269" s="79">
        <f t="shared" si="217"/>
        <v>19093.566152801766</v>
      </c>
      <c r="AW269" s="11"/>
      <c r="AX269" s="33">
        <f>IF(AQ269&lt;&gt;"",ROUND(IF($F$11="raty równe",-PMT(W269/12,($F$4-AQ268+SUM($AR$27:AR268)),AV268,2),AV268/($F$4-AQ268+SUM($AR$27:AR268))+AV268*W269/12),2),"")</f>
        <v>3263.83</v>
      </c>
      <c r="AY269" s="33">
        <f t="shared" si="218"/>
        <v>-3263.83</v>
      </c>
      <c r="AZ269" s="33">
        <f t="shared" si="233"/>
        <v>86839.606916704681</v>
      </c>
      <c r="BA269" s="33">
        <f>IF(AQ269&lt;&gt;"",AZ269-SUM($AY$44:AY269),"")</f>
        <v>35514.78691670495</v>
      </c>
      <c r="BB269" s="11">
        <f t="shared" si="219"/>
        <v>20</v>
      </c>
      <c r="BC269" s="11">
        <f>IF(AQ269&lt;&gt;"",IF($B$16=listy!$K$8,'RZĄDOWY PROGRAM'!$F$3*'RZĄDOWY PROGRAM'!$F$15,AV268*$F$15),"")</f>
        <v>50</v>
      </c>
      <c r="BD269" s="11">
        <f t="shared" si="220"/>
        <v>70</v>
      </c>
      <c r="BF269" s="8" t="str">
        <f t="shared" si="237"/>
        <v/>
      </c>
      <c r="BG269" s="8"/>
      <c r="BH269" s="78" t="str">
        <f>IF(BF269&lt;&gt;"",ROUND(IF($F$11="raty równe",-PMT(W269/12,$F$4-BF268+SUM(BV$28:$BV269)-SUM($BM$29:BM269),BK268,2),BI269+BJ269),2),"")</f>
        <v/>
      </c>
      <c r="BI269" s="78" t="str">
        <f>IF(BF269&lt;&gt;"",IF($F$11="raty malejące",MIN(BK268/($F$4-BF268+SUM($BG$27:BG269)-SUM($BM$27:BM269)),BK268),MIN(BH269-BJ269,BK268)),"")</f>
        <v/>
      </c>
      <c r="BJ269" s="78" t="str">
        <f t="shared" si="238"/>
        <v/>
      </c>
      <c r="BK269" s="79" t="str">
        <f t="shared" si="239"/>
        <v/>
      </c>
      <c r="BL269" s="11"/>
      <c r="BM269" s="33"/>
      <c r="BN269" s="33">
        <f t="shared" si="234"/>
        <v>0</v>
      </c>
      <c r="BO269" s="33">
        <f t="shared" si="235"/>
        <v>112816.04649670731</v>
      </c>
      <c r="BP269" s="33">
        <f>IF(O269&lt;&gt;"",BO269-SUM($BN$44:BN269),"")</f>
        <v>7153.2664967072778</v>
      </c>
      <c r="BQ269" s="11" t="str">
        <f t="shared" si="240"/>
        <v/>
      </c>
      <c r="BR269" s="11" t="str">
        <f>IF(BF269&lt;&gt;"",IF($B$16=listy!$K$8,'RZĄDOWY PROGRAM'!$F$3*'RZĄDOWY PROGRAM'!$F$15,BK268*$F$15),"")</f>
        <v/>
      </c>
      <c r="BS269" s="11" t="str">
        <f t="shared" si="241"/>
        <v/>
      </c>
      <c r="BU269" s="8" t="str">
        <f t="shared" si="224"/>
        <v/>
      </c>
      <c r="BV269" s="8"/>
      <c r="BW269" s="78" t="str">
        <f>IF(BU269&lt;&gt;"",ROUND(IF($F$11="raty równe",-PMT(W269/12,$F$4-BU268+SUM($BV$28:BV269)-$CB$43,BZ268,2),BX269+BY269),2),"")</f>
        <v/>
      </c>
      <c r="BX269" s="78" t="str">
        <f>IF(BU269&lt;&gt;"",IF($F$11="raty malejące",MIN(BZ268/($F$4-BU268+SUM($BV$28:BV268)-SUM($CB$28:CB268)),BZ268),MIN(BW269-BY269,BZ268)),"")</f>
        <v/>
      </c>
      <c r="BY269" s="78" t="str">
        <f t="shared" si="245"/>
        <v/>
      </c>
      <c r="BZ269" s="79" t="str">
        <f t="shared" si="231"/>
        <v/>
      </c>
      <c r="CA269" s="11"/>
      <c r="CB269" s="33"/>
      <c r="CC269" s="33">
        <f t="shared" si="225"/>
        <v>0</v>
      </c>
      <c r="CD269" s="33">
        <f t="shared" si="236"/>
        <v>112816.81643949103</v>
      </c>
      <c r="CE269" s="33">
        <f>IF(O269&lt;&gt;"",CD269-SUM($CC$44:CC269),"")</f>
        <v>7153.6964394910028</v>
      </c>
      <c r="CF269" s="11" t="str">
        <f t="shared" si="246"/>
        <v/>
      </c>
      <c r="CG269" s="11" t="str">
        <f>IF(BU269&lt;&gt;"",IF($B$16=listy!$K$8,'RZĄDOWY PROGRAM'!$F$3*'RZĄDOWY PROGRAM'!$F$15,BZ268*$F$15),"")</f>
        <v/>
      </c>
      <c r="CH269" s="11" t="str">
        <f t="shared" si="247"/>
        <v/>
      </c>
      <c r="CJ269" s="48">
        <f t="shared" si="201"/>
        <v>0.06</v>
      </c>
      <c r="CK269" s="18">
        <f t="shared" si="202"/>
        <v>4.8675505653430484E-3</v>
      </c>
      <c r="CL269" s="11">
        <f t="shared" si="259"/>
        <v>-3522.1</v>
      </c>
      <c r="CM269" s="11">
        <f t="shared" si="203"/>
        <v>63852.398897054816</v>
      </c>
      <c r="CN269" s="11">
        <f>IF(AB269&lt;&gt;"",CM269-SUM($CL$28:CL269),"")</f>
        <v>42719.828897054816</v>
      </c>
    </row>
    <row r="270" spans="1:92" x14ac:dyDescent="0.45">
      <c r="A270" s="68" t="str">
        <f t="shared" si="252"/>
        <v/>
      </c>
      <c r="B270" s="8" t="str">
        <f t="shared" si="186"/>
        <v/>
      </c>
      <c r="C270" s="11" t="str">
        <f t="shared" si="187"/>
        <v/>
      </c>
      <c r="D270" s="11" t="str">
        <f t="shared" si="188"/>
        <v/>
      </c>
      <c r="E270" s="11" t="str">
        <f t="shared" si="253"/>
        <v/>
      </c>
      <c r="F270" s="9" t="str">
        <f t="shared" si="254"/>
        <v/>
      </c>
      <c r="G270" s="10" t="str">
        <f t="shared" si="255"/>
        <v/>
      </c>
      <c r="H270" s="10" t="str">
        <f t="shared" si="256"/>
        <v/>
      </c>
      <c r="I270" s="48" t="str">
        <f t="shared" si="205"/>
        <v/>
      </c>
      <c r="J270" s="11" t="str">
        <f t="shared" si="192"/>
        <v/>
      </c>
      <c r="K270" s="11" t="str">
        <f>IF(B270&lt;&gt;"",IF($B$16=listy!$K$8,'RZĄDOWY PROGRAM'!$F$3*'RZĄDOWY PROGRAM'!$F$15,F269*$F$15),"")</f>
        <v/>
      </c>
      <c r="L270" s="11" t="str">
        <f t="shared" si="257"/>
        <v/>
      </c>
      <c r="N270" s="54">
        <f t="shared" si="227"/>
        <v>52110</v>
      </c>
      <c r="O270" s="8">
        <f t="shared" si="207"/>
        <v>243</v>
      </c>
      <c r="P270" s="8"/>
      <c r="Q270" s="11">
        <f>IF(O270&lt;&gt;"",ROUND(IF($F$11="raty równe",-PMT(W270/12,$F$4-O269+SUM($P$28:P270),T269,2),R270+S270),2),"")</f>
        <v>3522.09</v>
      </c>
      <c r="R270" s="11">
        <f>IF(O270&lt;&gt;"",IF($F$11="raty malejące",T269/($F$4-O269+SUM($P$28:P270)),IF(Q270-S270&gt;T269,T269,Q270-S270)),"")</f>
        <v>3372.706547528448</v>
      </c>
      <c r="S270" s="11">
        <f t="shared" si="248"/>
        <v>149.38345247155235</v>
      </c>
      <c r="T270" s="9">
        <f t="shared" si="258"/>
        <v>17231.90758647877</v>
      </c>
      <c r="U270" s="10">
        <f t="shared" si="249"/>
        <v>7.0000000000000007E-2</v>
      </c>
      <c r="V270" s="10">
        <f t="shared" si="250"/>
        <v>1.7000000000000001E-2</v>
      </c>
      <c r="W270" s="48">
        <f t="shared" si="209"/>
        <v>8.7000000000000008E-2</v>
      </c>
      <c r="X270" s="11">
        <f t="shared" si="195"/>
        <v>20</v>
      </c>
      <c r="Y270" s="11">
        <f>IF(O270&lt;&gt;"",IF($B$16=listy!$K$8,'RZĄDOWY PROGRAM'!$F$3*'RZĄDOWY PROGRAM'!$F$15,T269*$F$15),"")</f>
        <v>50</v>
      </c>
      <c r="Z270" s="11">
        <f t="shared" si="251"/>
        <v>70</v>
      </c>
      <c r="AB270" s="8">
        <f t="shared" si="211"/>
        <v>243</v>
      </c>
      <c r="AC270" s="8"/>
      <c r="AD270" s="11">
        <f>IF(AB270&lt;&gt;"",ROUND(IF($F$11="raty równe",-PMT(W270/12,$F$4-AB269+SUM($AC$28:AC270),AG269,2),AE270+AF270),2),"")</f>
        <v>3280.4</v>
      </c>
      <c r="AE270" s="11">
        <f>IF(AB270&lt;&gt;"",IF($F$11="raty malejące",AG269/($F$4-AB269+SUM($AC$28:AC269)),MIN(AD270-AF270,AG269)),"")</f>
        <v>3141.2687279792044</v>
      </c>
      <c r="AF270" s="11">
        <f t="shared" si="230"/>
        <v>139.13127202079582</v>
      </c>
      <c r="AG270" s="9">
        <f t="shared" si="228"/>
        <v>16049.251550751251</v>
      </c>
      <c r="AH270" s="11"/>
      <c r="AI270" s="33">
        <f>IF(AB270&lt;&gt;"",ROUND(IF($F$11="raty równe",-PMT(W270/12,($F$4-AB269+SUM($AC$27:AC269)),AG269,2),AG269/($F$4-AB269+SUM($AC$27:AC269))+AG269*W270/12),2),"")</f>
        <v>3280.4</v>
      </c>
      <c r="AJ270" s="33">
        <f t="shared" si="212"/>
        <v>-3280.4</v>
      </c>
      <c r="AK270" s="33">
        <f t="shared" si="196"/>
        <v>83020.536256279534</v>
      </c>
      <c r="AL270" s="33">
        <f>IF(AB270&lt;&gt;"",AK270-SUM($AJ$28:AJ270),"")</f>
        <v>36647.856256279476</v>
      </c>
      <c r="AM270" s="11">
        <f t="shared" si="213"/>
        <v>20</v>
      </c>
      <c r="AN270" s="11">
        <f>IF(AB270&lt;&gt;"",IF($B$16=listy!$K$8,'RZĄDOWY PROGRAM'!$F$3*'RZĄDOWY PROGRAM'!$F$15,AG269*$F$15),"")</f>
        <v>50</v>
      </c>
      <c r="AO270" s="11">
        <f t="shared" si="214"/>
        <v>70</v>
      </c>
      <c r="AQ270" s="8">
        <f t="shared" si="215"/>
        <v>243</v>
      </c>
      <c r="AR270" s="8"/>
      <c r="AS270" s="78">
        <f>IF(AQ270&lt;&gt;"",ROUND(IF($F$11="raty równe",-PMT(W270/12,$F$4-AQ269+SUM($AR$28:AR270),AV269,2),AT270+AU270),2),"")</f>
        <v>3263.82</v>
      </c>
      <c r="AT270" s="78">
        <f>IF(AQ270&lt;&gt;"",IF($F$11="raty malejące",AV269/($F$4-AQ269+SUM($AR$28:AR269)),MIN(AS270-AU270,AV269)),"")</f>
        <v>3125.3916453921875</v>
      </c>
      <c r="AU270" s="78">
        <f t="shared" si="216"/>
        <v>138.42835460781282</v>
      </c>
      <c r="AV270" s="79">
        <f t="shared" si="217"/>
        <v>15968.174507409578</v>
      </c>
      <c r="AW270" s="11"/>
      <c r="AX270" s="33">
        <f>IF(AQ270&lt;&gt;"",ROUND(IF($F$11="raty równe",-PMT(W270/12,($F$4-AQ269+SUM($AR$27:AR269)),AV269,2),AV269/($F$4-AQ269+SUM($AR$27:AR269))+AV269*W270/12),2),"")</f>
        <v>3263.82</v>
      </c>
      <c r="AY270" s="33">
        <f t="shared" si="218"/>
        <v>-3263.82</v>
      </c>
      <c r="AZ270" s="33">
        <f t="shared" si="233"/>
        <v>83918.170820675354</v>
      </c>
      <c r="BA270" s="33">
        <f>IF(AQ270&lt;&gt;"",AZ270-SUM($AY$44:AY270),"")</f>
        <v>35857.170820675623</v>
      </c>
      <c r="BB270" s="11">
        <f t="shared" si="219"/>
        <v>20</v>
      </c>
      <c r="BC270" s="11">
        <f>IF(AQ270&lt;&gt;"",IF($B$16=listy!$K$8,'RZĄDOWY PROGRAM'!$F$3*'RZĄDOWY PROGRAM'!$F$15,AV269*$F$15),"")</f>
        <v>50</v>
      </c>
      <c r="BD270" s="11">
        <f t="shared" si="220"/>
        <v>70</v>
      </c>
      <c r="BF270" s="8" t="str">
        <f t="shared" si="237"/>
        <v/>
      </c>
      <c r="BG270" s="8"/>
      <c r="BH270" s="78" t="str">
        <f>IF(BF270&lt;&gt;"",ROUND(IF($F$11="raty równe",-PMT(W270/12,$F$4-BF269+SUM(BV$28:$BV270)-SUM($BM$29:BM270),BK269,2),BI270+BJ270),2),"")</f>
        <v/>
      </c>
      <c r="BI270" s="78" t="str">
        <f>IF(BF270&lt;&gt;"",IF($F$11="raty malejące",MIN(BK269/($F$4-BF269+SUM($BG$27:BG270)-SUM($BM$27:BM270)),BK269),MIN(BH270-BJ270,BK269)),"")</f>
        <v/>
      </c>
      <c r="BJ270" s="78" t="str">
        <f t="shared" si="238"/>
        <v/>
      </c>
      <c r="BK270" s="79" t="str">
        <f t="shared" si="239"/>
        <v/>
      </c>
      <c r="BL270" s="11"/>
      <c r="BM270" s="33"/>
      <c r="BN270" s="33">
        <f t="shared" si="234"/>
        <v>0</v>
      </c>
      <c r="BO270" s="33">
        <f t="shared" si="235"/>
        <v>113260.84812354021</v>
      </c>
      <c r="BP270" s="33">
        <f>IF(O270&lt;&gt;"",BO270-SUM($BN$44:BN270),"")</f>
        <v>7598.0681235401862</v>
      </c>
      <c r="BQ270" s="11" t="str">
        <f t="shared" si="240"/>
        <v/>
      </c>
      <c r="BR270" s="11" t="str">
        <f>IF(BF270&lt;&gt;"",IF($B$16=listy!$K$8,'RZĄDOWY PROGRAM'!$F$3*'RZĄDOWY PROGRAM'!$F$15,BK269*$F$15),"")</f>
        <v/>
      </c>
      <c r="BS270" s="11" t="str">
        <f t="shared" si="241"/>
        <v/>
      </c>
      <c r="BU270" s="8" t="str">
        <f t="shared" si="224"/>
        <v/>
      </c>
      <c r="BV270" s="8"/>
      <c r="BW270" s="78" t="str">
        <f>IF(BU270&lt;&gt;"",ROUND(IF($F$11="raty równe",-PMT(W270/12,$F$4-BU269+SUM($BV$28:BV270)-$CB$43,BZ269,2),BX270+BY270),2),"")</f>
        <v/>
      </c>
      <c r="BX270" s="78" t="str">
        <f>IF(BU270&lt;&gt;"",IF($F$11="raty malejące",MIN(BZ269/($F$4-BU269+SUM($BV$28:BV269)-SUM($CB$28:CB269)),BZ269),MIN(BW270-BY270,BZ269)),"")</f>
        <v/>
      </c>
      <c r="BY270" s="78" t="str">
        <f t="shared" si="245"/>
        <v/>
      </c>
      <c r="BZ270" s="79" t="str">
        <f t="shared" si="231"/>
        <v/>
      </c>
      <c r="CA270" s="11"/>
      <c r="CB270" s="33"/>
      <c r="CC270" s="33">
        <f t="shared" si="225"/>
        <v>0</v>
      </c>
      <c r="CD270" s="33">
        <f t="shared" si="236"/>
        <v>113261.62110198963</v>
      </c>
      <c r="CE270" s="33">
        <f>IF(O270&lt;&gt;"",CD270-SUM($CC$44:CC270),"")</f>
        <v>7598.5011019896046</v>
      </c>
      <c r="CF270" s="11" t="str">
        <f t="shared" si="246"/>
        <v/>
      </c>
      <c r="CG270" s="11" t="str">
        <f>IF(BU270&lt;&gt;"",IF($B$16=listy!$K$8,'RZĄDOWY PROGRAM'!$F$3*'RZĄDOWY PROGRAM'!$F$15,BZ269*$F$15),"")</f>
        <v/>
      </c>
      <c r="CH270" s="11" t="str">
        <f t="shared" si="247"/>
        <v/>
      </c>
      <c r="CJ270" s="48">
        <f t="shared" si="201"/>
        <v>0.06</v>
      </c>
      <c r="CK270" s="18">
        <f t="shared" si="202"/>
        <v>4.8675505653430484E-3</v>
      </c>
      <c r="CL270" s="11">
        <f t="shared" si="259"/>
        <v>-3522.09</v>
      </c>
      <c r="CM270" s="11">
        <f t="shared" si="203"/>
        <v>60582.060769138217</v>
      </c>
      <c r="CN270" s="11">
        <f>IF(AB270&lt;&gt;"",CM270-SUM($CL$28:CL270),"")</f>
        <v>42971.580769138222</v>
      </c>
    </row>
    <row r="271" spans="1:92" x14ac:dyDescent="0.45">
      <c r="A271" s="68" t="str">
        <f t="shared" si="252"/>
        <v/>
      </c>
      <c r="B271" s="8" t="str">
        <f t="shared" si="186"/>
        <v/>
      </c>
      <c r="C271" s="11" t="str">
        <f t="shared" si="187"/>
        <v/>
      </c>
      <c r="D271" s="11" t="str">
        <f t="shared" si="188"/>
        <v/>
      </c>
      <c r="E271" s="11" t="str">
        <f t="shared" si="253"/>
        <v/>
      </c>
      <c r="F271" s="9" t="str">
        <f t="shared" si="254"/>
        <v/>
      </c>
      <c r="G271" s="10" t="str">
        <f t="shared" si="255"/>
        <v/>
      </c>
      <c r="H271" s="10" t="str">
        <f t="shared" si="256"/>
        <v/>
      </c>
      <c r="I271" s="48" t="str">
        <f t="shared" si="205"/>
        <v/>
      </c>
      <c r="J271" s="11" t="str">
        <f t="shared" si="192"/>
        <v/>
      </c>
      <c r="K271" s="11" t="str">
        <f>IF(B271&lt;&gt;"",IF($B$16=listy!$K$8,'RZĄDOWY PROGRAM'!$F$3*'RZĄDOWY PROGRAM'!$F$15,F270*$F$15),"")</f>
        <v/>
      </c>
      <c r="L271" s="11" t="str">
        <f t="shared" si="257"/>
        <v/>
      </c>
      <c r="N271" s="54">
        <f t="shared" si="227"/>
        <v>52140</v>
      </c>
      <c r="O271" s="8">
        <f t="shared" si="207"/>
        <v>244</v>
      </c>
      <c r="P271" s="8"/>
      <c r="Q271" s="11">
        <f>IF(O271&lt;&gt;"",ROUND(IF($F$11="raty równe",-PMT(W271/12,$F$4-O270+SUM($P$28:P271),T270,2),R271+S271),2),"")</f>
        <v>3522.1</v>
      </c>
      <c r="R271" s="11">
        <f>IF(O271&lt;&gt;"",IF($F$11="raty malejące",T270/($F$4-O270+SUM($P$28:P271)),IF(Q271-S271&gt;T270,T270,Q271-S271)),"")</f>
        <v>3397.1686699980287</v>
      </c>
      <c r="S271" s="11">
        <f t="shared" si="248"/>
        <v>124.93133000197109</v>
      </c>
      <c r="T271" s="9">
        <f t="shared" si="258"/>
        <v>13834.738916480741</v>
      </c>
      <c r="U271" s="10">
        <f t="shared" si="249"/>
        <v>7.0000000000000007E-2</v>
      </c>
      <c r="V271" s="10">
        <f t="shared" si="250"/>
        <v>1.7000000000000001E-2</v>
      </c>
      <c r="W271" s="48">
        <f t="shared" si="209"/>
        <v>8.7000000000000008E-2</v>
      </c>
      <c r="X271" s="11">
        <f t="shared" si="195"/>
        <v>20</v>
      </c>
      <c r="Y271" s="11">
        <f>IF(O271&lt;&gt;"",IF($B$16=listy!$K$8,'RZĄDOWY PROGRAM'!$F$3*'RZĄDOWY PROGRAM'!$F$15,T270*$F$15),"")</f>
        <v>50</v>
      </c>
      <c r="Z271" s="11">
        <f t="shared" si="251"/>
        <v>70</v>
      </c>
      <c r="AB271" s="8">
        <f t="shared" si="211"/>
        <v>244</v>
      </c>
      <c r="AC271" s="8"/>
      <c r="AD271" s="11">
        <f>IF(AB271&lt;&gt;"",ROUND(IF($F$11="raty równe",-PMT(W271/12,$F$4-AB270+SUM($AC$28:AC271),AG270,2),AE271+AF271),2),"")</f>
        <v>3280.4</v>
      </c>
      <c r="AE271" s="11">
        <f>IF(AB271&lt;&gt;"",IF($F$11="raty malejące",AG270/($F$4-AB270+SUM($AC$28:AC270)),MIN(AD271-AF271,AG270)),"")</f>
        <v>3164.0429262570533</v>
      </c>
      <c r="AF271" s="11">
        <f t="shared" si="230"/>
        <v>116.35707374294658</v>
      </c>
      <c r="AG271" s="9">
        <f t="shared" si="228"/>
        <v>12885.208624494197</v>
      </c>
      <c r="AH271" s="11"/>
      <c r="AI271" s="33">
        <f>IF(AB271&lt;&gt;"",ROUND(IF($F$11="raty równe",-PMT(W271/12,($F$4-AB270+SUM($AC$27:AC270)),AG270,2),AG270/($F$4-AB270+SUM($AC$27:AC270))+AG270*W271/12),2),"")</f>
        <v>3280.4</v>
      </c>
      <c r="AJ271" s="33">
        <f t="shared" si="212"/>
        <v>-3280.4</v>
      </c>
      <c r="AK271" s="33">
        <f t="shared" si="196"/>
        <v>80067.462649412904</v>
      </c>
      <c r="AL271" s="33">
        <f>IF(AB271&lt;&gt;"",AK271-SUM($AJ$28:AJ271),"")</f>
        <v>36975.182649412847</v>
      </c>
      <c r="AM271" s="11">
        <f t="shared" si="213"/>
        <v>20</v>
      </c>
      <c r="AN271" s="11">
        <f>IF(AB271&lt;&gt;"",IF($B$16=listy!$K$8,'RZĄDOWY PROGRAM'!$F$3*'RZĄDOWY PROGRAM'!$F$15,AG270*$F$15),"")</f>
        <v>50</v>
      </c>
      <c r="AO271" s="11">
        <f t="shared" si="214"/>
        <v>70</v>
      </c>
      <c r="AQ271" s="8">
        <f t="shared" si="215"/>
        <v>244</v>
      </c>
      <c r="AR271" s="8"/>
      <c r="AS271" s="78">
        <f>IF(AQ271&lt;&gt;"",ROUND(IF($F$11="raty równe",-PMT(W271/12,$F$4-AQ270+SUM($AR$28:AR271),AV270,2),AT271+AU271),2),"")</f>
        <v>3263.83</v>
      </c>
      <c r="AT271" s="78">
        <f>IF(AQ271&lt;&gt;"",IF($F$11="raty malejące",AV270/($F$4-AQ270+SUM($AR$28:AR270)),MIN(AS271-AU271,AV270)),"")</f>
        <v>3148.0607348212807</v>
      </c>
      <c r="AU271" s="78">
        <f t="shared" si="216"/>
        <v>115.76926517871944</v>
      </c>
      <c r="AV271" s="79">
        <f t="shared" si="217"/>
        <v>12820.113772588298</v>
      </c>
      <c r="AW271" s="11"/>
      <c r="AX271" s="33">
        <f>IF(AQ271&lt;&gt;"",ROUND(IF($F$11="raty równe",-PMT(W271/12,($F$4-AQ270+SUM($AR$27:AR270)),AV270,2),AV270/($F$4-AQ270+SUM($AR$27:AR270))+AV270*W271/12),2),"")</f>
        <v>3263.83</v>
      </c>
      <c r="AY271" s="33">
        <f t="shared" si="218"/>
        <v>-3263.83</v>
      </c>
      <c r="AZ271" s="33">
        <f t="shared" si="233"/>
        <v>80985.206331930152</v>
      </c>
      <c r="BA271" s="33">
        <f>IF(AQ271&lt;&gt;"",AZ271-SUM($AY$44:AY271),"")</f>
        <v>36188.036331930423</v>
      </c>
      <c r="BB271" s="11">
        <f t="shared" si="219"/>
        <v>20</v>
      </c>
      <c r="BC271" s="11">
        <f>IF(AQ271&lt;&gt;"",IF($B$16=listy!$K$8,'RZĄDOWY PROGRAM'!$F$3*'RZĄDOWY PROGRAM'!$F$15,AV270*$F$15),"")</f>
        <v>50</v>
      </c>
      <c r="BD271" s="11">
        <f t="shared" si="220"/>
        <v>70</v>
      </c>
      <c r="BF271" s="8" t="str">
        <f t="shared" si="237"/>
        <v/>
      </c>
      <c r="BG271" s="8"/>
      <c r="BH271" s="78" t="str">
        <f>IF(BF271&lt;&gt;"",ROUND(IF($F$11="raty równe",-PMT(W271/12,$F$4-BF270+SUM(BV$28:$BV271)-SUM($BM$29:BM271),BK270,2),BI271+BJ271),2),"")</f>
        <v/>
      </c>
      <c r="BI271" s="78" t="str">
        <f>IF(BF271&lt;&gt;"",IF($F$11="raty malejące",MIN(BK270/($F$4-BF270+SUM($BG$27:BG271)-SUM($BM$27:BM271)),BK270),MIN(BH271-BJ271,BK270)),"")</f>
        <v/>
      </c>
      <c r="BJ271" s="78" t="str">
        <f t="shared" si="238"/>
        <v/>
      </c>
      <c r="BK271" s="79" t="str">
        <f t="shared" si="239"/>
        <v/>
      </c>
      <c r="BL271" s="11"/>
      <c r="BM271" s="33"/>
      <c r="BN271" s="33">
        <f t="shared" si="234"/>
        <v>0</v>
      </c>
      <c r="BO271" s="33">
        <f t="shared" si="235"/>
        <v>113707.40347684536</v>
      </c>
      <c r="BP271" s="33">
        <f>IF(O271&lt;&gt;"",BO271-SUM($BN$44:BN271),"")</f>
        <v>8044.6234768453287</v>
      </c>
      <c r="BQ271" s="11" t="str">
        <f t="shared" si="240"/>
        <v/>
      </c>
      <c r="BR271" s="11" t="str">
        <f>IF(BF271&lt;&gt;"",IF($B$16=listy!$K$8,'RZĄDOWY PROGRAM'!$F$3*'RZĄDOWY PROGRAM'!$F$15,BK270*$F$15),"")</f>
        <v/>
      </c>
      <c r="BS271" s="11" t="str">
        <f t="shared" si="241"/>
        <v/>
      </c>
      <c r="BU271" s="8" t="str">
        <f t="shared" si="224"/>
        <v/>
      </c>
      <c r="BV271" s="8"/>
      <c r="BW271" s="78" t="str">
        <f>IF(BU271&lt;&gt;"",ROUND(IF($F$11="raty równe",-PMT(W271/12,$F$4-BU270+SUM($BV$28:BV271)-$CB$43,BZ270,2),BX271+BY271),2),"")</f>
        <v/>
      </c>
      <c r="BX271" s="78" t="str">
        <f>IF(BU271&lt;&gt;"",IF($F$11="raty malejące",MIN(BZ270/($F$4-BU270+SUM($BV$28:BV270)-SUM($CB$28:CB270)),BZ270),MIN(BW271-BY271,BZ270)),"")</f>
        <v/>
      </c>
      <c r="BY271" s="78" t="str">
        <f t="shared" si="245"/>
        <v/>
      </c>
      <c r="BZ271" s="79" t="str">
        <f t="shared" si="231"/>
        <v/>
      </c>
      <c r="CA271" s="11"/>
      <c r="CB271" s="33"/>
      <c r="CC271" s="33">
        <f t="shared" si="225"/>
        <v>0</v>
      </c>
      <c r="CD271" s="33">
        <f t="shared" si="236"/>
        <v>113708.17950292923</v>
      </c>
      <c r="CE271" s="33">
        <f>IF(O271&lt;&gt;"",CD271-SUM($CC$44:CC271),"")</f>
        <v>8045.0595029292017</v>
      </c>
      <c r="CF271" s="11" t="str">
        <f t="shared" si="246"/>
        <v/>
      </c>
      <c r="CG271" s="11" t="str">
        <f>IF(BU271&lt;&gt;"",IF($B$16=listy!$K$8,'RZĄDOWY PROGRAM'!$F$3*'RZĄDOWY PROGRAM'!$F$15,BZ270*$F$15),"")</f>
        <v/>
      </c>
      <c r="CH271" s="11" t="str">
        <f t="shared" si="247"/>
        <v/>
      </c>
      <c r="CJ271" s="48">
        <f t="shared" si="201"/>
        <v>0.06</v>
      </c>
      <c r="CK271" s="18">
        <f t="shared" si="202"/>
        <v>4.8675505653430484E-3</v>
      </c>
      <c r="CL271" s="11">
        <f t="shared" si="259"/>
        <v>-3522.1</v>
      </c>
      <c r="CM271" s="11">
        <f t="shared" si="203"/>
        <v>57298.818626896864</v>
      </c>
      <c r="CN271" s="11">
        <f>IF(AB271&lt;&gt;"",CM271-SUM($CL$28:CL271),"")</f>
        <v>43210.438626896866</v>
      </c>
    </row>
    <row r="272" spans="1:92" x14ac:dyDescent="0.45">
      <c r="A272" s="68" t="str">
        <f t="shared" si="252"/>
        <v/>
      </c>
      <c r="B272" s="8" t="str">
        <f t="shared" si="186"/>
        <v/>
      </c>
      <c r="C272" s="11" t="str">
        <f t="shared" si="187"/>
        <v/>
      </c>
      <c r="D272" s="11" t="str">
        <f t="shared" si="188"/>
        <v/>
      </c>
      <c r="E272" s="11" t="str">
        <f t="shared" si="253"/>
        <v/>
      </c>
      <c r="F272" s="9" t="str">
        <f t="shared" si="254"/>
        <v/>
      </c>
      <c r="G272" s="10" t="str">
        <f t="shared" si="255"/>
        <v/>
      </c>
      <c r="H272" s="10" t="str">
        <f t="shared" si="256"/>
        <v/>
      </c>
      <c r="I272" s="48" t="str">
        <f t="shared" si="205"/>
        <v/>
      </c>
      <c r="J272" s="11" t="str">
        <f t="shared" si="192"/>
        <v/>
      </c>
      <c r="K272" s="11" t="str">
        <f>IF(B272&lt;&gt;"",IF($B$16=listy!$K$8,'RZĄDOWY PROGRAM'!$F$3*'RZĄDOWY PROGRAM'!$F$15,F271*$F$15),"")</f>
        <v/>
      </c>
      <c r="L272" s="11" t="str">
        <f t="shared" si="257"/>
        <v/>
      </c>
      <c r="N272" s="54">
        <f t="shared" si="227"/>
        <v>52171</v>
      </c>
      <c r="O272" s="8">
        <f t="shared" si="207"/>
        <v>245</v>
      </c>
      <c r="P272" s="8"/>
      <c r="Q272" s="11">
        <f>IF(O272&lt;&gt;"",ROUND(IF($F$11="raty równe",-PMT(W272/12,$F$4-O271+SUM($P$28:P272),T271,2),R272+S272),2),"")</f>
        <v>3522.09</v>
      </c>
      <c r="R272" s="11">
        <f>IF(O272&lt;&gt;"",IF($F$11="raty malejące",T271/($F$4-O271+SUM($P$28:P272)),IF(Q272-S272&gt;T271,T271,Q272-S272)),"")</f>
        <v>3421.7881428555147</v>
      </c>
      <c r="S272" s="11">
        <f t="shared" si="248"/>
        <v>100.30185714448538</v>
      </c>
      <c r="T272" s="9">
        <f t="shared" si="258"/>
        <v>10412.950773625227</v>
      </c>
      <c r="U272" s="10">
        <f t="shared" si="249"/>
        <v>7.0000000000000007E-2</v>
      </c>
      <c r="V272" s="10">
        <f t="shared" si="250"/>
        <v>1.7000000000000001E-2</v>
      </c>
      <c r="W272" s="48">
        <f t="shared" si="209"/>
        <v>8.7000000000000008E-2</v>
      </c>
      <c r="X272" s="11">
        <f t="shared" si="195"/>
        <v>20</v>
      </c>
      <c r="Y272" s="11">
        <f>IF(O272&lt;&gt;"",IF($B$16=listy!$K$8,'RZĄDOWY PROGRAM'!$F$3*'RZĄDOWY PROGRAM'!$F$15,T271*$F$15),"")</f>
        <v>50</v>
      </c>
      <c r="Z272" s="11">
        <f t="shared" si="251"/>
        <v>70</v>
      </c>
      <c r="AB272" s="8">
        <f t="shared" si="211"/>
        <v>245</v>
      </c>
      <c r="AC272" s="8"/>
      <c r="AD272" s="11">
        <f>IF(AB272&lt;&gt;"",ROUND(IF($F$11="raty równe",-PMT(W272/12,$F$4-AB271+SUM($AC$28:AC272),AG271,2),AE272+AF272),2),"")</f>
        <v>3280.39</v>
      </c>
      <c r="AE272" s="11">
        <f>IF(AB272&lt;&gt;"",IF($F$11="raty malejące",AG271/($F$4-AB271+SUM($AC$28:AC271)),MIN(AD272-AF272,AG271)),"")</f>
        <v>3186.972237472417</v>
      </c>
      <c r="AF272" s="11">
        <f t="shared" si="230"/>
        <v>93.417762527582923</v>
      </c>
      <c r="AG272" s="9">
        <f t="shared" si="228"/>
        <v>9698.2363870217796</v>
      </c>
      <c r="AH272" s="11"/>
      <c r="AI272" s="33">
        <f>IF(AB272&lt;&gt;"",ROUND(IF($F$11="raty równe",-PMT(W272/12,($F$4-AB271+SUM($AC$27:AC271)),AG271,2),AG271/($F$4-AB271+SUM($AC$27:AC271))+AG271*W272/12),2),"")</f>
        <v>3280.39</v>
      </c>
      <c r="AJ272" s="33">
        <f t="shared" si="212"/>
        <v>-3280.39</v>
      </c>
      <c r="AK272" s="33">
        <f t="shared" si="196"/>
        <v>77102.755912111548</v>
      </c>
      <c r="AL272" s="33">
        <f>IF(AB272&lt;&gt;"",AK272-SUM($AJ$28:AJ272),"")</f>
        <v>37290.865912111491</v>
      </c>
      <c r="AM272" s="11">
        <f t="shared" si="213"/>
        <v>20</v>
      </c>
      <c r="AN272" s="11">
        <f>IF(AB272&lt;&gt;"",IF($B$16=listy!$K$8,'RZĄDOWY PROGRAM'!$F$3*'RZĄDOWY PROGRAM'!$F$15,AG271*$F$15),"")</f>
        <v>50</v>
      </c>
      <c r="AO272" s="11">
        <f t="shared" si="214"/>
        <v>70</v>
      </c>
      <c r="AQ272" s="8">
        <f t="shared" si="215"/>
        <v>245</v>
      </c>
      <c r="AR272" s="8"/>
      <c r="AS272" s="78">
        <f>IF(AQ272&lt;&gt;"",ROUND(IF($F$11="raty równe",-PMT(W272/12,$F$4-AQ271+SUM($AR$28:AR272),AV271,2),AT272+AU272),2),"")</f>
        <v>3263.82</v>
      </c>
      <c r="AT272" s="78">
        <f>IF(AQ272&lt;&gt;"",IF($F$11="raty malejące",AV271/($F$4-AQ271+SUM($AR$28:AR271)),MIN(AS272-AU272,AV271)),"")</f>
        <v>3170.874175148735</v>
      </c>
      <c r="AU272" s="78">
        <f t="shared" si="216"/>
        <v>92.945824851265172</v>
      </c>
      <c r="AV272" s="79">
        <f t="shared" si="217"/>
        <v>9649.2395974395622</v>
      </c>
      <c r="AW272" s="11"/>
      <c r="AX272" s="33">
        <f>IF(AQ272&lt;&gt;"",ROUND(IF($F$11="raty równe",-PMT(W272/12,($F$4-AQ271+SUM($AR$27:AR271)),AV271,2),AV271/($F$4-AQ271+SUM($AR$27:AR271))+AV271*W272/12),2),"")</f>
        <v>3263.82</v>
      </c>
      <c r="AY272" s="33">
        <f t="shared" si="218"/>
        <v>-3263.82</v>
      </c>
      <c r="AZ272" s="33">
        <f t="shared" si="233"/>
        <v>78040.687997291127</v>
      </c>
      <c r="BA272" s="33">
        <f>IF(AQ272&lt;&gt;"",AZ272-SUM($AY$44:AY272),"")</f>
        <v>36507.337997291397</v>
      </c>
      <c r="BB272" s="11">
        <f t="shared" si="219"/>
        <v>20</v>
      </c>
      <c r="BC272" s="11">
        <f>IF(AQ272&lt;&gt;"",IF($B$16=listy!$K$8,'RZĄDOWY PROGRAM'!$F$3*'RZĄDOWY PROGRAM'!$F$15,AV271*$F$15),"")</f>
        <v>50</v>
      </c>
      <c r="BD272" s="11">
        <f t="shared" si="220"/>
        <v>70</v>
      </c>
      <c r="BF272" s="8" t="str">
        <f t="shared" si="237"/>
        <v/>
      </c>
      <c r="BG272" s="8"/>
      <c r="BH272" s="78" t="str">
        <f>IF(BF272&lt;&gt;"",ROUND(IF($F$11="raty równe",-PMT(W272/12,$F$4-BF271+SUM(BV$28:$BV272)-SUM($BM$29:BM272),BK271,2),BI272+BJ272),2),"")</f>
        <v/>
      </c>
      <c r="BI272" s="78" t="str">
        <f>IF(BF272&lt;&gt;"",IF($F$11="raty malejące",MIN(BK271/($F$4-BF271+SUM($BG$27:BG272)-SUM($BM$27:BM272)),BK271),MIN(BH272-BJ272,BK271)),"")</f>
        <v/>
      </c>
      <c r="BJ272" s="78" t="str">
        <f t="shared" si="238"/>
        <v/>
      </c>
      <c r="BK272" s="79" t="str">
        <f t="shared" si="239"/>
        <v/>
      </c>
      <c r="BL272" s="11"/>
      <c r="BM272" s="33"/>
      <c r="BN272" s="33">
        <f t="shared" si="234"/>
        <v>0</v>
      </c>
      <c r="BO272" s="33">
        <f t="shared" si="235"/>
        <v>114155.71947106806</v>
      </c>
      <c r="BP272" s="33">
        <f>IF(O272&lt;&gt;"",BO272-SUM($BN$44:BN272),"")</f>
        <v>8492.9394710680353</v>
      </c>
      <c r="BQ272" s="11" t="str">
        <f t="shared" si="240"/>
        <v/>
      </c>
      <c r="BR272" s="11" t="str">
        <f>IF(BF272&lt;&gt;"",IF($B$16=listy!$K$8,'RZĄDOWY PROGRAM'!$F$3*'RZĄDOWY PROGRAM'!$F$15,BK271*$F$15),"")</f>
        <v/>
      </c>
      <c r="BS272" s="11" t="str">
        <f t="shared" si="241"/>
        <v/>
      </c>
      <c r="BU272" s="8" t="str">
        <f t="shared" si="224"/>
        <v/>
      </c>
      <c r="BV272" s="8"/>
      <c r="BW272" s="78" t="str">
        <f>IF(BU272&lt;&gt;"",ROUND(IF($F$11="raty równe",-PMT(W272/12,$F$4-BU271+SUM($BV$28:BV272)-$CB$43,BZ271,2),BX272+BY272),2),"")</f>
        <v/>
      </c>
      <c r="BX272" s="78" t="str">
        <f>IF(BU272&lt;&gt;"",IF($F$11="raty malejące",MIN(BZ271/($F$4-BU271+SUM($BV$28:BV271)-SUM($CB$28:CB271)),BZ271),MIN(BW272-BY272,BZ271)),"")</f>
        <v/>
      </c>
      <c r="BY272" s="78" t="str">
        <f t="shared" si="245"/>
        <v/>
      </c>
      <c r="BZ272" s="79" t="str">
        <f t="shared" si="231"/>
        <v/>
      </c>
      <c r="CA272" s="11"/>
      <c r="CB272" s="33"/>
      <c r="CC272" s="33">
        <f t="shared" si="225"/>
        <v>0</v>
      </c>
      <c r="CD272" s="33">
        <f t="shared" si="236"/>
        <v>114156.49855680235</v>
      </c>
      <c r="CE272" s="33">
        <f>IF(O272&lt;&gt;"",CD272-SUM($CC$44:CC272),"")</f>
        <v>8493.3785568023304</v>
      </c>
      <c r="CF272" s="11" t="str">
        <f t="shared" si="246"/>
        <v/>
      </c>
      <c r="CG272" s="11" t="str">
        <f>IF(BU272&lt;&gt;"",IF($B$16=listy!$K$8,'RZĄDOWY PROGRAM'!$F$3*'RZĄDOWY PROGRAM'!$F$15,BZ271*$F$15),"")</f>
        <v/>
      </c>
      <c r="CH272" s="11" t="str">
        <f t="shared" si="247"/>
        <v/>
      </c>
      <c r="CJ272" s="48">
        <f t="shared" si="201"/>
        <v>0.06</v>
      </c>
      <c r="CK272" s="18">
        <f t="shared" si="202"/>
        <v>4.8675505653430484E-3</v>
      </c>
      <c r="CL272" s="11">
        <f t="shared" si="259"/>
        <v>-3522.09</v>
      </c>
      <c r="CM272" s="11">
        <f t="shared" si="203"/>
        <v>54002.641593467546</v>
      </c>
      <c r="CN272" s="11">
        <f>IF(AB272&lt;&gt;"",CM272-SUM($CL$28:CL272),"")</f>
        <v>43436.351593467552</v>
      </c>
    </row>
    <row r="273" spans="1:92" x14ac:dyDescent="0.45">
      <c r="A273" s="68" t="str">
        <f t="shared" si="252"/>
        <v/>
      </c>
      <c r="B273" s="8" t="str">
        <f t="shared" si="186"/>
        <v/>
      </c>
      <c r="C273" s="11" t="str">
        <f t="shared" si="187"/>
        <v/>
      </c>
      <c r="D273" s="11" t="str">
        <f t="shared" si="188"/>
        <v/>
      </c>
      <c r="E273" s="11" t="str">
        <f t="shared" si="253"/>
        <v/>
      </c>
      <c r="F273" s="9" t="str">
        <f t="shared" si="254"/>
        <v/>
      </c>
      <c r="G273" s="10" t="str">
        <f t="shared" si="255"/>
        <v/>
      </c>
      <c r="H273" s="10" t="str">
        <f t="shared" si="256"/>
        <v/>
      </c>
      <c r="I273" s="48" t="str">
        <f t="shared" si="205"/>
        <v/>
      </c>
      <c r="J273" s="11" t="str">
        <f t="shared" si="192"/>
        <v/>
      </c>
      <c r="K273" s="11" t="str">
        <f>IF(B273&lt;&gt;"",IF($B$16=listy!$K$8,'RZĄDOWY PROGRAM'!$F$3*'RZĄDOWY PROGRAM'!$F$15,F272*$F$15),"")</f>
        <v/>
      </c>
      <c r="L273" s="11" t="str">
        <f t="shared" si="257"/>
        <v/>
      </c>
      <c r="N273" s="54">
        <f t="shared" si="227"/>
        <v>52201</v>
      </c>
      <c r="O273" s="8">
        <f t="shared" si="207"/>
        <v>246</v>
      </c>
      <c r="P273" s="8"/>
      <c r="Q273" s="11">
        <f>IF(O273&lt;&gt;"",ROUND(IF($F$11="raty równe",-PMT(W273/12,$F$4-O272+SUM($P$28:P273),T272,2),R273+S273),2),"")</f>
        <v>3522.1</v>
      </c>
      <c r="R273" s="11">
        <f>IF(O273&lt;&gt;"",IF($F$11="raty malejące",T272/($F$4-O272+SUM($P$28:P273)),IF(Q273-S273&gt;T272,T272,Q273-S273)),"")</f>
        <v>3446.6061068912172</v>
      </c>
      <c r="S273" s="11">
        <f t="shared" si="248"/>
        <v>75.493893108782899</v>
      </c>
      <c r="T273" s="9">
        <f t="shared" si="258"/>
        <v>6966.3446667340104</v>
      </c>
      <c r="U273" s="10">
        <f t="shared" si="249"/>
        <v>7.0000000000000007E-2</v>
      </c>
      <c r="V273" s="10">
        <f t="shared" si="250"/>
        <v>1.7000000000000001E-2</v>
      </c>
      <c r="W273" s="48">
        <f t="shared" si="209"/>
        <v>8.7000000000000008E-2</v>
      </c>
      <c r="X273" s="11">
        <f t="shared" si="195"/>
        <v>20</v>
      </c>
      <c r="Y273" s="11">
        <f>IF(O273&lt;&gt;"",IF($B$16=listy!$K$8,'RZĄDOWY PROGRAM'!$F$3*'RZĄDOWY PROGRAM'!$F$15,T272*$F$15),"")</f>
        <v>50</v>
      </c>
      <c r="Z273" s="11">
        <f t="shared" si="251"/>
        <v>70</v>
      </c>
      <c r="AB273" s="8">
        <f t="shared" si="211"/>
        <v>246</v>
      </c>
      <c r="AC273" s="8"/>
      <c r="AD273" s="11">
        <f>IF(AB273&lt;&gt;"",ROUND(IF($F$11="raty równe",-PMT(W273/12,$F$4-AB272+SUM($AC$28:AC273),AG272,2),AE273+AF273),2),"")</f>
        <v>3280.39</v>
      </c>
      <c r="AE273" s="11">
        <f>IF(AB273&lt;&gt;"",IF($F$11="raty malejące",AG272/($F$4-AB272+SUM($AC$28:AC272)),MIN(AD273-AF273,AG272)),"")</f>
        <v>3210.0777861940919</v>
      </c>
      <c r="AF273" s="11">
        <f t="shared" si="230"/>
        <v>70.312213805907916</v>
      </c>
      <c r="AG273" s="9">
        <f t="shared" si="228"/>
        <v>6488.1586008276881</v>
      </c>
      <c r="AH273" s="11"/>
      <c r="AI273" s="33">
        <f>IF(AB273&lt;&gt;"",ROUND(IF($F$11="raty równe",-PMT(W273/12,($F$4-AB272+SUM($AC$27:AC272)),AG272,2),AG272/($F$4-AB272+SUM($AC$27:AC272))+AG272*W273/12),2),"")</f>
        <v>3280.39</v>
      </c>
      <c r="AJ273" s="33">
        <f t="shared" si="212"/>
        <v>-3280.39</v>
      </c>
      <c r="AK273" s="33">
        <f t="shared" si="196"/>
        <v>74126.360178246454</v>
      </c>
      <c r="AL273" s="33">
        <f>IF(AB273&lt;&gt;"",AK273-SUM($AJ$28:AJ273),"")</f>
        <v>37594.860178246396</v>
      </c>
      <c r="AM273" s="11">
        <f t="shared" si="213"/>
        <v>20</v>
      </c>
      <c r="AN273" s="11">
        <f>IF(AB273&lt;&gt;"",IF($B$16=listy!$K$8,'RZĄDOWY PROGRAM'!$F$3*'RZĄDOWY PROGRAM'!$F$15,AG272*$F$15),"")</f>
        <v>50</v>
      </c>
      <c r="AO273" s="11">
        <f t="shared" si="214"/>
        <v>70</v>
      </c>
      <c r="AQ273" s="8">
        <f t="shared" si="215"/>
        <v>246</v>
      </c>
      <c r="AR273" s="8"/>
      <c r="AS273" s="78">
        <f>IF(AQ273&lt;&gt;"",ROUND(IF($F$11="raty równe",-PMT(W273/12,$F$4-AQ272+SUM($AR$28:AR273),AV272,2),AT273+AU273),2),"")</f>
        <v>3263.83</v>
      </c>
      <c r="AT273" s="78">
        <f>IF(AQ273&lt;&gt;"",IF($F$11="raty malejące",AV272/($F$4-AQ272+SUM($AR$28:AR272)),MIN(AS273-AU273,AV272)),"")</f>
        <v>3193.8730129185633</v>
      </c>
      <c r="AU273" s="78">
        <f t="shared" si="216"/>
        <v>69.956987081436836</v>
      </c>
      <c r="AV273" s="79">
        <f t="shared" si="217"/>
        <v>6455.3665845209989</v>
      </c>
      <c r="AW273" s="11"/>
      <c r="AX273" s="33">
        <f>IF(AQ273&lt;&gt;"",ROUND(IF($F$11="raty równe",-PMT(W273/12,($F$4-AQ272+SUM($AR$27:AR272)),AV272,2),AV272/($F$4-AQ272+SUM($AR$27:AR272))+AV272*W273/12),2),"")</f>
        <v>3263.83</v>
      </c>
      <c r="AY273" s="33">
        <f t="shared" si="218"/>
        <v>-3263.83</v>
      </c>
      <c r="AZ273" s="33">
        <f t="shared" si="233"/>
        <v>75084.550263225727</v>
      </c>
      <c r="BA273" s="33">
        <f>IF(AQ273&lt;&gt;"",AZ273-SUM($AY$44:AY273),"")</f>
        <v>36815.030263225999</v>
      </c>
      <c r="BB273" s="11">
        <f t="shared" si="219"/>
        <v>20</v>
      </c>
      <c r="BC273" s="11">
        <f>IF(AQ273&lt;&gt;"",IF($B$16=listy!$K$8,'RZĄDOWY PROGRAM'!$F$3*'RZĄDOWY PROGRAM'!$F$15,AV272*$F$15),"")</f>
        <v>50</v>
      </c>
      <c r="BD273" s="11">
        <f t="shared" si="220"/>
        <v>70</v>
      </c>
      <c r="BF273" s="8" t="str">
        <f t="shared" si="237"/>
        <v/>
      </c>
      <c r="BG273" s="8"/>
      <c r="BH273" s="78" t="str">
        <f>IF(BF273&lt;&gt;"",ROUND(IF($F$11="raty równe",-PMT(W273/12,$F$4-BF272+SUM(BV$28:$BV273)-SUM($BM$29:BM273),BK272,2),BI273+BJ273),2),"")</f>
        <v/>
      </c>
      <c r="BI273" s="78" t="str">
        <f>IF(BF273&lt;&gt;"",IF($F$11="raty malejące",MIN(BK272/($F$4-BF272+SUM($BG$27:BG273)-SUM($BM$27:BM273)),BK272),MIN(BH273-BJ273,BK272)),"")</f>
        <v/>
      </c>
      <c r="BJ273" s="78" t="str">
        <f t="shared" si="238"/>
        <v/>
      </c>
      <c r="BK273" s="79" t="str">
        <f t="shared" si="239"/>
        <v/>
      </c>
      <c r="BL273" s="11"/>
      <c r="BM273" s="33"/>
      <c r="BN273" s="33">
        <f t="shared" si="234"/>
        <v>0</v>
      </c>
      <c r="BO273" s="33">
        <f t="shared" si="235"/>
        <v>114605.80304791538</v>
      </c>
      <c r="BP273" s="33">
        <f>IF(O273&lt;&gt;"",BO273-SUM($BN$44:BN273),"")</f>
        <v>8943.0230479153543</v>
      </c>
      <c r="BQ273" s="11" t="str">
        <f t="shared" si="240"/>
        <v/>
      </c>
      <c r="BR273" s="11" t="str">
        <f>IF(BF273&lt;&gt;"",IF($B$16=listy!$K$8,'RZĄDOWY PROGRAM'!$F$3*'RZĄDOWY PROGRAM'!$F$15,BK272*$F$15),"")</f>
        <v/>
      </c>
      <c r="BS273" s="11" t="str">
        <f t="shared" si="241"/>
        <v/>
      </c>
      <c r="BU273" s="8" t="str">
        <f t="shared" si="224"/>
        <v/>
      </c>
      <c r="BV273" s="8"/>
      <c r="BW273" s="78" t="str">
        <f>IF(BU273&lt;&gt;"",ROUND(IF($F$11="raty równe",-PMT(W273/12,$F$4-BU272+SUM($BV$28:BV273)-$CB$43,BZ272,2),BX273+BY273),2),"")</f>
        <v/>
      </c>
      <c r="BX273" s="78" t="str">
        <f>IF(BU273&lt;&gt;"",IF($F$11="raty malejące",MIN(BZ272/($F$4-BU272+SUM($BV$28:BV272)-SUM($CB$28:CB272)),BZ272),MIN(BW273-BY273,BZ272)),"")</f>
        <v/>
      </c>
      <c r="BY273" s="78" t="str">
        <f t="shared" si="245"/>
        <v/>
      </c>
      <c r="BZ273" s="79" t="str">
        <f t="shared" si="231"/>
        <v/>
      </c>
      <c r="CA273" s="11"/>
      <c r="CB273" s="33"/>
      <c r="CC273" s="33">
        <f t="shared" si="225"/>
        <v>0</v>
      </c>
      <c r="CD273" s="33">
        <f t="shared" si="236"/>
        <v>114606.58520536344</v>
      </c>
      <c r="CE273" s="33">
        <f>IF(O273&lt;&gt;"",CD273-SUM($CC$44:CC273),"")</f>
        <v>8943.46520536342</v>
      </c>
      <c r="CF273" s="11" t="str">
        <f t="shared" si="246"/>
        <v/>
      </c>
      <c r="CG273" s="11" t="str">
        <f>IF(BU273&lt;&gt;"",IF($B$16=listy!$K$8,'RZĄDOWY PROGRAM'!$F$3*'RZĄDOWY PROGRAM'!$F$15,BZ272*$F$15),"")</f>
        <v/>
      </c>
      <c r="CH273" s="11" t="str">
        <f t="shared" si="247"/>
        <v/>
      </c>
      <c r="CJ273" s="48">
        <f t="shared" si="201"/>
        <v>0.06</v>
      </c>
      <c r="CK273" s="18">
        <f t="shared" si="202"/>
        <v>4.8675505653430484E-3</v>
      </c>
      <c r="CL273" s="11">
        <f t="shared" si="259"/>
        <v>-3522.1</v>
      </c>
      <c r="CM273" s="11">
        <f t="shared" si="203"/>
        <v>50693.458670248372</v>
      </c>
      <c r="CN273" s="11">
        <f>IF(AB273&lt;&gt;"",CM273-SUM($CL$28:CL273),"")</f>
        <v>43649.268670248377</v>
      </c>
    </row>
    <row r="274" spans="1:92" x14ac:dyDescent="0.45">
      <c r="A274" s="68" t="str">
        <f t="shared" si="252"/>
        <v/>
      </c>
      <c r="B274" s="8" t="str">
        <f t="shared" si="186"/>
        <v/>
      </c>
      <c r="C274" s="11" t="str">
        <f t="shared" si="187"/>
        <v/>
      </c>
      <c r="D274" s="11" t="str">
        <f t="shared" si="188"/>
        <v/>
      </c>
      <c r="E274" s="11" t="str">
        <f t="shared" si="253"/>
        <v/>
      </c>
      <c r="F274" s="9" t="str">
        <f t="shared" si="254"/>
        <v/>
      </c>
      <c r="G274" s="10" t="str">
        <f t="shared" si="255"/>
        <v/>
      </c>
      <c r="H274" s="10" t="str">
        <f t="shared" si="256"/>
        <v/>
      </c>
      <c r="I274" s="48" t="str">
        <f t="shared" si="205"/>
        <v/>
      </c>
      <c r="J274" s="11" t="str">
        <f t="shared" si="192"/>
        <v/>
      </c>
      <c r="K274" s="11" t="str">
        <f>IF(B274&lt;&gt;"",IF($B$16=listy!$K$8,'RZĄDOWY PROGRAM'!$F$3*'RZĄDOWY PROGRAM'!$F$15,F273*$F$15),"")</f>
        <v/>
      </c>
      <c r="L274" s="11" t="str">
        <f t="shared" si="257"/>
        <v/>
      </c>
      <c r="N274" s="54">
        <f t="shared" si="227"/>
        <v>52232</v>
      </c>
      <c r="O274" s="8">
        <f t="shared" si="207"/>
        <v>247</v>
      </c>
      <c r="P274" s="8"/>
      <c r="Q274" s="11">
        <f>IF(O274&lt;&gt;"",ROUND(IF($F$11="raty równe",-PMT(W274/12,$F$4-O273+SUM($P$28:P274),T273,2),R274+S274),2),"")</f>
        <v>3522.09</v>
      </c>
      <c r="R274" s="11">
        <f>IF(O274&lt;&gt;"",IF($F$11="raty malejące",T273/($F$4-O273+SUM($P$28:P274)),IF(Q274-S274&gt;T273,T273,Q274-S274)),"")</f>
        <v>3471.5840011661785</v>
      </c>
      <c r="S274" s="11">
        <f t="shared" si="248"/>
        <v>50.505998833821586</v>
      </c>
      <c r="T274" s="9">
        <f t="shared" si="258"/>
        <v>3494.7606655678319</v>
      </c>
      <c r="U274" s="10">
        <f t="shared" si="249"/>
        <v>7.0000000000000007E-2</v>
      </c>
      <c r="V274" s="10">
        <f t="shared" si="250"/>
        <v>1.7000000000000001E-2</v>
      </c>
      <c r="W274" s="48">
        <f t="shared" si="209"/>
        <v>8.7000000000000008E-2</v>
      </c>
      <c r="X274" s="11">
        <f t="shared" si="195"/>
        <v>20</v>
      </c>
      <c r="Y274" s="11">
        <f>IF(O274&lt;&gt;"",IF($B$16=listy!$K$8,'RZĄDOWY PROGRAM'!$F$3*'RZĄDOWY PROGRAM'!$F$15,T273*$F$15),"")</f>
        <v>50</v>
      </c>
      <c r="Z274" s="11">
        <f t="shared" si="251"/>
        <v>70</v>
      </c>
      <c r="AB274" s="8">
        <f t="shared" si="211"/>
        <v>247</v>
      </c>
      <c r="AC274" s="8"/>
      <c r="AD274" s="11">
        <f>IF(AB274&lt;&gt;"",ROUND(IF($F$11="raty równe",-PMT(W274/12,$F$4-AB273+SUM($AC$28:AC274),AG273,2),AE274+AF274),2),"")</f>
        <v>3280.4</v>
      </c>
      <c r="AE274" s="11">
        <f>IF(AB274&lt;&gt;"",IF($F$11="raty malejące",AG273/($F$4-AB273+SUM($AC$28:AC273)),MIN(AD274-AF274,AG273)),"")</f>
        <v>3233.3608501439994</v>
      </c>
      <c r="AF274" s="11">
        <f t="shared" si="230"/>
        <v>47.039149856000741</v>
      </c>
      <c r="AG274" s="9">
        <f t="shared" si="228"/>
        <v>3254.7977506836887</v>
      </c>
      <c r="AH274" s="11"/>
      <c r="AI274" s="33">
        <f>IF(AB274&lt;&gt;"",ROUND(IF($F$11="raty równe",-PMT(W274/12,($F$4-AB273+SUM($AC$27:AC273)),AG273,2),AG273/($F$4-AB273+SUM($AC$27:AC273))+AG273*W274/12),2),"")</f>
        <v>3280.4</v>
      </c>
      <c r="AJ274" s="33">
        <f t="shared" si="212"/>
        <v>-3280.4</v>
      </c>
      <c r="AK274" s="33">
        <f t="shared" si="196"/>
        <v>71138.219361424344</v>
      </c>
      <c r="AL274" s="33">
        <f>IF(AB274&lt;&gt;"",AK274-SUM($AJ$28:AJ274),"")</f>
        <v>37887.119361424287</v>
      </c>
      <c r="AM274" s="11">
        <f t="shared" si="213"/>
        <v>20</v>
      </c>
      <c r="AN274" s="11">
        <f>IF(AB274&lt;&gt;"",IF($B$16=listy!$K$8,'RZĄDOWY PROGRAM'!$F$3*'RZĄDOWY PROGRAM'!$F$15,AG273*$F$15),"")</f>
        <v>50</v>
      </c>
      <c r="AO274" s="11">
        <f t="shared" si="214"/>
        <v>70</v>
      </c>
      <c r="AQ274" s="8">
        <f t="shared" si="215"/>
        <v>247</v>
      </c>
      <c r="AR274" s="8"/>
      <c r="AS274" s="78">
        <f>IF(AQ274&lt;&gt;"",ROUND(IF($F$11="raty równe",-PMT(W274/12,$F$4-AQ273+SUM($AR$28:AR274),AV273,2),AT274+AU274),2),"")</f>
        <v>3263.82</v>
      </c>
      <c r="AT274" s="78">
        <f>IF(AQ274&lt;&gt;"",IF($F$11="raty malejące",AV273/($F$4-AQ273+SUM($AR$28:AR273)),MIN(AS274-AU274,AV273)),"")</f>
        <v>3217.0185922622231</v>
      </c>
      <c r="AU274" s="78">
        <f t="shared" si="216"/>
        <v>46.801407737777247</v>
      </c>
      <c r="AV274" s="79">
        <f t="shared" si="217"/>
        <v>3238.3479922587758</v>
      </c>
      <c r="AW274" s="11"/>
      <c r="AX274" s="33">
        <f>IF(AQ274&lt;&gt;"",ROUND(IF($F$11="raty równe",-PMT(W274/12,($F$4-AQ273+SUM($AR$27:AR273)),AV273,2),AV273/($F$4-AQ273+SUM($AR$27:AR273))+AV273*W274/12),2),"")</f>
        <v>3263.82</v>
      </c>
      <c r="AY274" s="33">
        <f t="shared" si="218"/>
        <v>-3263.82</v>
      </c>
      <c r="AZ274" s="33">
        <f t="shared" si="233"/>
        <v>72116.767317742386</v>
      </c>
      <c r="BA274" s="33">
        <f>IF(AQ274&lt;&gt;"",AZ274-SUM($AY$44:AY274),"")</f>
        <v>37111.067317742658</v>
      </c>
      <c r="BB274" s="11">
        <f t="shared" si="219"/>
        <v>20</v>
      </c>
      <c r="BC274" s="11">
        <f>IF(AQ274&lt;&gt;"",IF($B$16=listy!$K$8,'RZĄDOWY PROGRAM'!$F$3*'RZĄDOWY PROGRAM'!$F$15,AV273*$F$15),"")</f>
        <v>50</v>
      </c>
      <c r="BD274" s="11">
        <f t="shared" si="220"/>
        <v>70</v>
      </c>
      <c r="BF274" s="8" t="str">
        <f t="shared" si="237"/>
        <v/>
      </c>
      <c r="BG274" s="8"/>
      <c r="BH274" s="78" t="str">
        <f>IF(BF274&lt;&gt;"",ROUND(IF($F$11="raty równe",-PMT(W274/12,$F$4-BF273+SUM(BV$28:$BV274)-SUM($BM$29:BM274),BK273,2),BI274+BJ274),2),"")</f>
        <v/>
      </c>
      <c r="BI274" s="78" t="str">
        <f>IF(BF274&lt;&gt;"",IF($F$11="raty malejące",MIN(BK273/($F$4-BF273+SUM($BG$27:BG274)-SUM($BM$27:BM274)),BK273),MIN(BH274-BJ274,BK273)),"")</f>
        <v/>
      </c>
      <c r="BJ274" s="78" t="str">
        <f t="shared" si="238"/>
        <v/>
      </c>
      <c r="BK274" s="79" t="str">
        <f t="shared" si="239"/>
        <v/>
      </c>
      <c r="BL274" s="11"/>
      <c r="BM274" s="33"/>
      <c r="BN274" s="33">
        <f t="shared" si="234"/>
        <v>0</v>
      </c>
      <c r="BO274" s="33">
        <f t="shared" si="235"/>
        <v>115057.66117646355</v>
      </c>
      <c r="BP274" s="33">
        <f>IF(O274&lt;&gt;"",BO274-SUM($BN$44:BN274),"")</f>
        <v>9394.8811764635175</v>
      </c>
      <c r="BQ274" s="11" t="str">
        <f t="shared" si="240"/>
        <v/>
      </c>
      <c r="BR274" s="11" t="str">
        <f>IF(BF274&lt;&gt;"",IF($B$16=listy!$K$8,'RZĄDOWY PROGRAM'!$F$3*'RZĄDOWY PROGRAM'!$F$15,BK273*$F$15),"")</f>
        <v/>
      </c>
      <c r="BS274" s="11" t="str">
        <f t="shared" si="241"/>
        <v/>
      </c>
      <c r="BU274" s="8" t="str">
        <f t="shared" si="224"/>
        <v/>
      </c>
      <c r="BV274" s="8"/>
      <c r="BW274" s="78" t="str">
        <f>IF(BU274&lt;&gt;"",ROUND(IF($F$11="raty równe",-PMT(W274/12,$F$4-BU273+SUM($BV$28:BV274)-$CB$43,BZ273,2),BX274+BY274),2),"")</f>
        <v/>
      </c>
      <c r="BX274" s="78" t="str">
        <f>IF(BU274&lt;&gt;"",IF($F$11="raty malejące",MIN(BZ273/($F$4-BU273+SUM($BV$28:BV273)-SUM($CB$28:CB273)),BZ273),MIN(BW274-BY274,BZ273)),"")</f>
        <v/>
      </c>
      <c r="BY274" s="78" t="str">
        <f t="shared" si="245"/>
        <v/>
      </c>
      <c r="BZ274" s="79" t="str">
        <f t="shared" si="231"/>
        <v/>
      </c>
      <c r="CA274" s="11"/>
      <c r="CB274" s="33"/>
      <c r="CC274" s="33">
        <f t="shared" si="225"/>
        <v>0</v>
      </c>
      <c r="CD274" s="33">
        <f t="shared" si="236"/>
        <v>115058.44641773625</v>
      </c>
      <c r="CE274" s="33">
        <f>IF(O274&lt;&gt;"",CD274-SUM($CC$44:CC274),"")</f>
        <v>9395.3264177362289</v>
      </c>
      <c r="CF274" s="11" t="str">
        <f t="shared" si="246"/>
        <v/>
      </c>
      <c r="CG274" s="11" t="str">
        <f>IF(BU274&lt;&gt;"",IF($B$16=listy!$K$8,'RZĄDOWY PROGRAM'!$F$3*'RZĄDOWY PROGRAM'!$F$15,BZ273*$F$15),"")</f>
        <v/>
      </c>
      <c r="CH274" s="11" t="str">
        <f t="shared" si="247"/>
        <v/>
      </c>
      <c r="CJ274" s="48">
        <f t="shared" si="201"/>
        <v>0.06</v>
      </c>
      <c r="CK274" s="18">
        <f t="shared" si="202"/>
        <v>4.8675505653430484E-3</v>
      </c>
      <c r="CL274" s="11">
        <f t="shared" si="259"/>
        <v>-3522.09</v>
      </c>
      <c r="CM274" s="11">
        <f t="shared" si="203"/>
        <v>47371.238578710123</v>
      </c>
      <c r="CN274" s="11">
        <f>IF(AB274&lt;&gt;"",CM274-SUM($CL$28:CL274),"")</f>
        <v>43849.138578710132</v>
      </c>
    </row>
    <row r="275" spans="1:92" x14ac:dyDescent="0.45">
      <c r="A275" s="68" t="str">
        <f t="shared" si="252"/>
        <v/>
      </c>
      <c r="B275" s="8" t="str">
        <f t="shared" si="186"/>
        <v/>
      </c>
      <c r="C275" s="11" t="str">
        <f t="shared" si="187"/>
        <v/>
      </c>
      <c r="D275" s="11" t="str">
        <f t="shared" si="188"/>
        <v/>
      </c>
      <c r="E275" s="11" t="str">
        <f t="shared" si="253"/>
        <v/>
      </c>
      <c r="F275" s="9" t="str">
        <f t="shared" si="254"/>
        <v/>
      </c>
      <c r="G275" s="10" t="str">
        <f t="shared" si="255"/>
        <v/>
      </c>
      <c r="H275" s="10" t="str">
        <f t="shared" si="256"/>
        <v/>
      </c>
      <c r="I275" s="48" t="str">
        <f t="shared" si="205"/>
        <v/>
      </c>
      <c r="J275" s="11" t="str">
        <f t="shared" si="192"/>
        <v/>
      </c>
      <c r="K275" s="11" t="str">
        <f>IF(B275&lt;&gt;"",IF($B$16=listy!$K$8,'RZĄDOWY PROGRAM'!$F$3*'RZĄDOWY PROGRAM'!$F$15,F274*$F$15),"")</f>
        <v/>
      </c>
      <c r="L275" s="11" t="str">
        <f t="shared" si="257"/>
        <v/>
      </c>
      <c r="N275" s="54">
        <f t="shared" si="227"/>
        <v>52263</v>
      </c>
      <c r="O275" s="8">
        <f t="shared" si="207"/>
        <v>248</v>
      </c>
      <c r="P275" s="8"/>
      <c r="Q275" s="11">
        <f>IF(O275&lt;&gt;"",ROUND(IF($F$11="raty równe",-PMT(W275/12,$F$4-O274+SUM($P$28:P275),T274,2),R275+S275),2),"")</f>
        <v>3522.1</v>
      </c>
      <c r="R275" s="11">
        <f>IF(O275&lt;&gt;"",IF($F$11="raty malejące",T274/($F$4-O274+SUM($P$28:P275)),IF(Q275-S275&gt;T274,T274,Q275-S275)),"")</f>
        <v>3494.7606655678319</v>
      </c>
      <c r="S275" s="11">
        <f t="shared" si="248"/>
        <v>25.337014825366783</v>
      </c>
      <c r="T275" s="9">
        <f t="shared" si="258"/>
        <v>0</v>
      </c>
      <c r="U275" s="10">
        <f t="shared" si="249"/>
        <v>7.0000000000000007E-2</v>
      </c>
      <c r="V275" s="10">
        <f t="shared" si="250"/>
        <v>1.7000000000000001E-2</v>
      </c>
      <c r="W275" s="48">
        <f t="shared" si="209"/>
        <v>8.7000000000000008E-2</v>
      </c>
      <c r="X275" s="11">
        <f t="shared" si="195"/>
        <v>20</v>
      </c>
      <c r="Y275" s="11">
        <f>IF(O275&lt;&gt;"",IF($B$16=listy!$K$8,'RZĄDOWY PROGRAM'!$F$3*'RZĄDOWY PROGRAM'!$F$15,T274*$F$15),"")</f>
        <v>50</v>
      </c>
      <c r="Z275" s="11">
        <f t="shared" si="251"/>
        <v>70</v>
      </c>
      <c r="AB275" s="8">
        <f t="shared" si="211"/>
        <v>248</v>
      </c>
      <c r="AC275" s="8"/>
      <c r="AD275" s="11">
        <f>IF(AB275&lt;&gt;"",ROUND(IF($F$11="raty równe",-PMT(W275/12,$F$4-AB274+SUM($AC$28:AC275),AG274,2),AE275+AF275),2),"")</f>
        <v>3280.4</v>
      </c>
      <c r="AE275" s="11">
        <f>IF(AB275&lt;&gt;"",IF($F$11="raty malejące",AG274/($F$4-AB274+SUM($AC$28:AC274)),MIN(AD275-AF275,AG274)),"")</f>
        <v>3254.7977506836887</v>
      </c>
      <c r="AF275" s="11">
        <f t="shared" si="230"/>
        <v>23.597283692456745</v>
      </c>
      <c r="AG275" s="9">
        <f t="shared" si="228"/>
        <v>0</v>
      </c>
      <c r="AH275" s="11"/>
      <c r="AI275" s="33">
        <f>IF(AB275&lt;&gt;"",ROUND(IF($F$11="raty równe",-PMT(W275/12,($F$4-AB274+SUM($AC$27:AC274)),AG274,2),AG274/($F$4-AB274+SUM($AC$27:AC274))+AG274*W275/12),2),"")</f>
        <v>3280.4</v>
      </c>
      <c r="AJ275" s="33">
        <f t="shared" si="212"/>
        <v>-3280.4</v>
      </c>
      <c r="AK275" s="33">
        <f t="shared" si="196"/>
        <v>68138.297154119224</v>
      </c>
      <c r="AL275" s="33">
        <f>IF(AB275&lt;&gt;"",AK275-SUM($AJ$28:AJ275),"")</f>
        <v>38167.597154119168</v>
      </c>
      <c r="AM275" s="11">
        <f t="shared" si="213"/>
        <v>20</v>
      </c>
      <c r="AN275" s="11">
        <f>IF(AB275&lt;&gt;"",IF($B$16=listy!$K$8,'RZĄDOWY PROGRAM'!$F$3*'RZĄDOWY PROGRAM'!$F$15,AG274*$F$15),"")</f>
        <v>50</v>
      </c>
      <c r="AO275" s="11">
        <f t="shared" si="214"/>
        <v>70</v>
      </c>
      <c r="AQ275" s="8">
        <f t="shared" si="215"/>
        <v>248</v>
      </c>
      <c r="AR275" s="8"/>
      <c r="AS275" s="78">
        <f>IF(AQ275&lt;&gt;"",ROUND(IF($F$11="raty równe",-PMT(W275/12,$F$4-AQ274+SUM($AR$28:AR275),AV274,2),AT275+AU275),2),"")</f>
        <v>3263.83</v>
      </c>
      <c r="AT275" s="78">
        <f>IF(AQ275&lt;&gt;"",IF($F$11="raty malejące",AV274/($F$4-AQ274+SUM($AR$28:AR274)),MIN(AS275-AU275,AV274)),"")</f>
        <v>3238.3479922587758</v>
      </c>
      <c r="AU275" s="78">
        <f t="shared" si="216"/>
        <v>23.478022943876127</v>
      </c>
      <c r="AV275" s="79">
        <f t="shared" si="217"/>
        <v>0</v>
      </c>
      <c r="AW275" s="11"/>
      <c r="AX275" s="33">
        <f>IF(AQ275&lt;&gt;"",ROUND(IF($F$11="raty równe",-PMT(W275/12,($F$4-AQ274+SUM($AR$27:AR274)),AV274,2),AV274/($F$4-AQ274+SUM($AR$27:AR274))+AV274*W275/12),2),"")</f>
        <v>3263.83</v>
      </c>
      <c r="AY275" s="33">
        <f t="shared" si="218"/>
        <v>-3263.83</v>
      </c>
      <c r="AZ275" s="33">
        <f t="shared" si="233"/>
        <v>69137.273247080229</v>
      </c>
      <c r="BA275" s="33">
        <f>IF(AQ275&lt;&gt;"",AZ275-SUM($AY$44:AY275),"")</f>
        <v>37395.403247080503</v>
      </c>
      <c r="BB275" s="11">
        <f t="shared" si="219"/>
        <v>20</v>
      </c>
      <c r="BC275" s="11">
        <f>IF(AQ275&lt;&gt;"",IF($B$16=listy!$K$8,'RZĄDOWY PROGRAM'!$F$3*'RZĄDOWY PROGRAM'!$F$15,AV274*$F$15),"")</f>
        <v>50</v>
      </c>
      <c r="BD275" s="11">
        <f t="shared" si="220"/>
        <v>70</v>
      </c>
      <c r="BF275" s="8" t="str">
        <f t="shared" si="237"/>
        <v/>
      </c>
      <c r="BG275" s="8"/>
      <c r="BH275" s="78" t="str">
        <f>IF(BF275&lt;&gt;"",ROUND(IF($F$11="raty równe",-PMT(W275/12,$F$4-BF274+SUM(BV$28:$BV275)-SUM($BM$29:BM275),BK274,2),BI275+BJ275),2),"")</f>
        <v/>
      </c>
      <c r="BI275" s="78" t="str">
        <f>IF(BF275&lt;&gt;"",IF($F$11="raty malejące",MIN(BK274/($F$4-BF274+SUM($BG$27:BG275)-SUM($BM$27:BM275)),BK274),MIN(BH275-BJ275,BK274)),"")</f>
        <v/>
      </c>
      <c r="BJ275" s="78" t="str">
        <f t="shared" si="238"/>
        <v/>
      </c>
      <c r="BK275" s="79" t="str">
        <f t="shared" si="239"/>
        <v/>
      </c>
      <c r="BL275" s="11"/>
      <c r="BM275" s="33"/>
      <c r="BN275" s="33">
        <f t="shared" si="234"/>
        <v>0</v>
      </c>
      <c r="BO275" s="33">
        <f t="shared" si="235"/>
        <v>115511.30085326586</v>
      </c>
      <c r="BP275" s="33">
        <f>IF(O275&lt;&gt;"",BO275-SUM($BN$44:BN275),"")</f>
        <v>9848.5208532658289</v>
      </c>
      <c r="BQ275" s="11" t="str">
        <f t="shared" si="240"/>
        <v/>
      </c>
      <c r="BR275" s="11" t="str">
        <f>IF(BF275&lt;&gt;"",IF($B$16=listy!$K$8,'RZĄDOWY PROGRAM'!$F$3*'RZĄDOWY PROGRAM'!$F$15,BK274*$F$15),"")</f>
        <v/>
      </c>
      <c r="BS275" s="11" t="str">
        <f t="shared" si="241"/>
        <v/>
      </c>
      <c r="BU275" s="8" t="str">
        <f t="shared" si="224"/>
        <v/>
      </c>
      <c r="BV275" s="8"/>
      <c r="BW275" s="78" t="str">
        <f>IF(BU275&lt;&gt;"",ROUND(IF($F$11="raty równe",-PMT(W275/12,$F$4-BU274+SUM($BV$28:BV275)-$CB$43,BZ274,2),BX275+BY275),2),"")</f>
        <v/>
      </c>
      <c r="BX275" s="78" t="str">
        <f>IF(BU275&lt;&gt;"",IF($F$11="raty malejące",MIN(BZ274/($F$4-BU274+SUM($BV$28:BV274)-SUM($CB$28:CB274)),BZ274),MIN(BW275-BY275,BZ274)),"")</f>
        <v/>
      </c>
      <c r="BY275" s="78" t="str">
        <f t="shared" si="245"/>
        <v/>
      </c>
      <c r="BZ275" s="79" t="str">
        <f t="shared" si="231"/>
        <v/>
      </c>
      <c r="CA275" s="11"/>
      <c r="CB275" s="33"/>
      <c r="CC275" s="33">
        <f t="shared" si="225"/>
        <v>0</v>
      </c>
      <c r="CD275" s="33">
        <f t="shared" si="236"/>
        <v>115512.08919052186</v>
      </c>
      <c r="CE275" s="33">
        <f>IF(O275&lt;&gt;"",CD275-SUM($CC$44:CC275),"")</f>
        <v>9848.9691905218351</v>
      </c>
      <c r="CF275" s="11" t="str">
        <f t="shared" si="246"/>
        <v/>
      </c>
      <c r="CG275" s="11" t="str">
        <f>IF(BU275&lt;&gt;"",IF($B$16=listy!$K$8,'RZĄDOWY PROGRAM'!$F$3*'RZĄDOWY PROGRAM'!$F$15,BZ274*$F$15),"")</f>
        <v/>
      </c>
      <c r="CH275" s="11" t="str">
        <f t="shared" si="247"/>
        <v/>
      </c>
      <c r="CJ275" s="48">
        <f t="shared" si="201"/>
        <v>0.06</v>
      </c>
      <c r="CK275" s="18">
        <f t="shared" si="202"/>
        <v>4.8675505653430484E-3</v>
      </c>
      <c r="CL275" s="11">
        <f t="shared" si="259"/>
        <v>-3522.1</v>
      </c>
      <c r="CM275" s="11">
        <f t="shared" si="203"/>
        <v>44035.90991700122</v>
      </c>
      <c r="CN275" s="11">
        <f>IF(AB275&lt;&gt;"",CM275-SUM($CL$28:CL275),"")</f>
        <v>44035.909917001227</v>
      </c>
    </row>
    <row r="276" spans="1:92" x14ac:dyDescent="0.45">
      <c r="A276" s="68" t="str">
        <f t="shared" si="252"/>
        <v/>
      </c>
      <c r="B276" s="8" t="str">
        <f t="shared" si="186"/>
        <v/>
      </c>
      <c r="C276" s="11" t="str">
        <f t="shared" si="187"/>
        <v/>
      </c>
      <c r="D276" s="11" t="str">
        <f t="shared" si="188"/>
        <v/>
      </c>
      <c r="E276" s="11" t="str">
        <f t="shared" si="253"/>
        <v/>
      </c>
      <c r="F276" s="9" t="str">
        <f t="shared" si="254"/>
        <v/>
      </c>
      <c r="G276" s="10" t="str">
        <f t="shared" si="255"/>
        <v/>
      </c>
      <c r="H276" s="10" t="str">
        <f t="shared" si="256"/>
        <v/>
      </c>
      <c r="I276" s="48" t="str">
        <f t="shared" si="205"/>
        <v/>
      </c>
      <c r="J276" s="11" t="str">
        <f t="shared" si="192"/>
        <v/>
      </c>
      <c r="K276" s="11" t="str">
        <f>IF(B276&lt;&gt;"",IF($B$16=listy!$K$8,'RZĄDOWY PROGRAM'!$F$3*'RZĄDOWY PROGRAM'!$F$15,F275*$F$15),"")</f>
        <v/>
      </c>
      <c r="L276" s="11" t="str">
        <f t="shared" si="257"/>
        <v/>
      </c>
      <c r="N276" s="54" t="str">
        <f t="shared" ref="N276:N339" si="260">IF(O276&lt;&gt;"",EDATE(N275,1),"")</f>
        <v/>
      </c>
      <c r="O276" s="8" t="str">
        <f t="shared" si="207"/>
        <v/>
      </c>
      <c r="P276" s="8"/>
      <c r="Q276" s="11" t="str">
        <f>IF(O276&lt;&gt;"",ROUND(IF($F$11="raty równe",-PMT(W276/12,$F$4-O275+SUM($P$28:P276),T275,2),R276+S276),2),"")</f>
        <v/>
      </c>
      <c r="R276" s="11" t="str">
        <f>IF(O276&lt;&gt;"",IF($F$11="raty malejące",T275/($F$4-O275+SUM($P$28:P276)),IF(Q276-S276&gt;T275,T275,Q276-S276)),"")</f>
        <v/>
      </c>
      <c r="S276" s="11" t="str">
        <f t="shared" ref="S276:S339" si="261">IF(O276&lt;&gt;"",T275*W276/12,"")</f>
        <v/>
      </c>
      <c r="T276" s="9" t="str">
        <f t="shared" ref="T276:T339" si="262">IF(O276&lt;&gt;"",T275-R276,"")</f>
        <v/>
      </c>
      <c r="U276" s="10" t="str">
        <f t="shared" ref="U276:U339" si="263">IF(O276&lt;&gt;"",$F$5,"")</f>
        <v/>
      </c>
      <c r="V276" s="10" t="str">
        <f t="shared" ref="V276:V339" si="264">IF(O276&lt;&gt;"",$F$6,"")</f>
        <v/>
      </c>
      <c r="W276" s="48" t="str">
        <f t="shared" si="209"/>
        <v/>
      </c>
      <c r="X276" s="11" t="str">
        <f t="shared" ref="X276:X339" si="265">IF(O276&lt;&gt;"",$F$14,"")</f>
        <v/>
      </c>
      <c r="Y276" s="11" t="str">
        <f>IF(O276&lt;&gt;"",IF($B$16=listy!$K$8,'RZĄDOWY PROGRAM'!$F$3*'RZĄDOWY PROGRAM'!$F$15,T275*$F$15),"")</f>
        <v/>
      </c>
      <c r="Z276" s="11" t="str">
        <f t="shared" ref="Z276:Z339" si="266">IF(O276&lt;&gt;"",X276+Y276,"")</f>
        <v/>
      </c>
      <c r="AB276" s="8" t="str">
        <f t="shared" ref="AB276:AB339" si="267">IFERROR(IF(AG275&gt;0,AB275+1,""),"")</f>
        <v/>
      </c>
      <c r="AC276" s="8"/>
      <c r="AD276" s="11" t="str">
        <f>IF(AB276&lt;&gt;"",ROUND(IF($F$11="raty równe",-PMT(W276/12,$F$4-AB275+SUM($AC$28:AC276),AG275,2),AE276+AF276),2),"")</f>
        <v/>
      </c>
      <c r="AE276" s="11" t="str">
        <f>IF(AB276&lt;&gt;"",IF($F$11="raty malejące",AG275/($F$4-AB275+SUM($AC$28:AC275)),MIN(AD276-AF276,AG275)),"")</f>
        <v/>
      </c>
      <c r="AF276" s="11" t="str">
        <f t="shared" ref="AF276:AF339" si="268">IF(AB276&lt;&gt;"",AG275*W276/12,"")</f>
        <v/>
      </c>
      <c r="AG276" s="9" t="str">
        <f t="shared" ref="AG276:AG339" si="269">IF(AB276&lt;&gt;"",IF(AH276&lt;&gt;"",AG275-AE276-AH276,AG275-AE276),"")</f>
        <v/>
      </c>
      <c r="AH276" s="11"/>
      <c r="AI276" s="33" t="str">
        <f>IF(AB276&lt;&gt;"",ROUND(IF($F$11="raty równe",-PMT(W276/12,($F$4-AB275+SUM($AC$27:AC275)),AG275,2),AG275/($F$4-AB275+SUM($AC$27:AC275))+AG275*W276/12),2),"")</f>
        <v/>
      </c>
      <c r="AJ276" s="33" t="str">
        <f t="shared" ref="AJ276:AJ339" si="270">IF(AB276&lt;&gt;"",IF(B276&lt;&gt;"",C276-AD276-AH276,-(AD276+AH276)),"")</f>
        <v/>
      </c>
      <c r="AK276" s="33" t="str">
        <f t="shared" si="196"/>
        <v/>
      </c>
      <c r="AL276" s="33" t="str">
        <f>IF(AB276&lt;&gt;"",AK276-SUM($AJ$28:AJ276),"")</f>
        <v/>
      </c>
      <c r="AM276" s="11" t="str">
        <f t="shared" ref="AM276:AM339" si="271">IF(AB276&lt;&gt;"",$F$14,"")</f>
        <v/>
      </c>
      <c r="AN276" s="11" t="str">
        <f>IF(AB276&lt;&gt;"",IF($B$16=listy!$K$8,'RZĄDOWY PROGRAM'!$F$3*'RZĄDOWY PROGRAM'!$F$15,AG275*$F$15),"")</f>
        <v/>
      </c>
      <c r="AO276" s="11" t="str">
        <f t="shared" ref="AO276:AO339" si="272">IF(AD276&lt;&gt;"",AM276+AN276,"")</f>
        <v/>
      </c>
      <c r="AQ276" s="8" t="str">
        <f>IFERROR(IF(AV275&lt;&gt;0,AQ275+1,""),"")</f>
        <v/>
      </c>
      <c r="AR276" s="8"/>
      <c r="AS276" s="78" t="str">
        <f>IF(AQ276&lt;&gt;"",ROUND(IF($F$11="raty równe",-PMT(W276/12,$F$4-AQ275+SUM($AR$28:AR276),AV275,2),AT276+AU276),2),"")</f>
        <v/>
      </c>
      <c r="AT276" s="78" t="str">
        <f>IF(AQ276&lt;&gt;"",IF($F$11="raty malejące",AV275/($F$4-AQ275+SUM($AR$28:AR275)),MIN(AS276-AU276,AV275)),"")</f>
        <v/>
      </c>
      <c r="AU276" s="78" t="str">
        <f t="shared" si="216"/>
        <v/>
      </c>
      <c r="AV276" s="79" t="str">
        <f t="shared" si="217"/>
        <v/>
      </c>
      <c r="AW276" s="11"/>
      <c r="AX276" s="33" t="str">
        <f>IF(AQ276&lt;&gt;"",ROUND(IF($F$11="raty równe",-PMT(W276/12,($F$4-AQ275+SUM($AR$27:AR275)),AV275,2),AV275/($F$4-AQ275+SUM($AR$27:AR275))+AV275*W276/12),2),"")</f>
        <v/>
      </c>
      <c r="AY276" s="33" t="str">
        <f t="shared" si="218"/>
        <v/>
      </c>
      <c r="AZ276" s="33" t="str">
        <f t="shared" si="233"/>
        <v/>
      </c>
      <c r="BA276" s="33" t="str">
        <f>IF(AQ276&lt;&gt;"",AZ276-SUM($AY$44:AY276),"")</f>
        <v/>
      </c>
      <c r="BB276" s="11" t="str">
        <f t="shared" si="219"/>
        <v/>
      </c>
      <c r="BC276" s="11" t="str">
        <f>IF(AQ276&lt;&gt;"",IF($B$16=listy!$K$8,'RZĄDOWY PROGRAM'!$F$3*'RZĄDOWY PROGRAM'!$F$15,AV275*$F$15),"")</f>
        <v/>
      </c>
      <c r="BD276" s="11" t="str">
        <f t="shared" si="220"/>
        <v/>
      </c>
      <c r="BF276" s="8" t="str">
        <f t="shared" si="237"/>
        <v/>
      </c>
      <c r="BG276" s="8"/>
      <c r="BH276" s="78" t="str">
        <f>IF(BF276&lt;&gt;"",ROUND(IF($F$11="raty równe",-PMT(W276/12,$F$4-BF275+SUM(BV$28:$BV276)-SUM($BM$29:BM276),BK275,2),BI276+BJ276),2),"")</f>
        <v/>
      </c>
      <c r="BI276" s="78" t="str">
        <f>IF(BF276&lt;&gt;"",IF($F$11="raty malejące",MIN(BK275/($F$4-BF275+SUM($BG$27:BG276)-SUM($BM$27:BM276)),BK275),MIN(BH276-BJ276,BK275)),"")</f>
        <v/>
      </c>
      <c r="BJ276" s="78" t="str">
        <f t="shared" si="238"/>
        <v/>
      </c>
      <c r="BK276" s="79" t="str">
        <f t="shared" si="239"/>
        <v/>
      </c>
      <c r="BL276" s="11"/>
      <c r="BM276" s="33"/>
      <c r="BN276" s="33" t="str">
        <f t="shared" si="234"/>
        <v/>
      </c>
      <c r="BO276" s="33" t="str">
        <f t="shared" si="235"/>
        <v/>
      </c>
      <c r="BP276" s="33" t="str">
        <f>IF(O276&lt;&gt;"",BO276-SUM($BN$44:BN276),"")</f>
        <v/>
      </c>
      <c r="BQ276" s="11" t="str">
        <f t="shared" si="240"/>
        <v/>
      </c>
      <c r="BR276" s="11" t="str">
        <f>IF(BF276&lt;&gt;"",IF($B$16=listy!$K$8,'RZĄDOWY PROGRAM'!$F$3*'RZĄDOWY PROGRAM'!$F$15,BK275*$F$15),"")</f>
        <v/>
      </c>
      <c r="BS276" s="11" t="str">
        <f t="shared" si="241"/>
        <v/>
      </c>
      <c r="BU276" s="8" t="str">
        <f t="shared" si="224"/>
        <v/>
      </c>
      <c r="BV276" s="8"/>
      <c r="BW276" s="78" t="str">
        <f>IF(BU276&lt;&gt;"",ROUND(IF($F$11="raty równe",-PMT(W276/12,$F$4-BU275+SUM($BV$28:BV276)-$CB$43,BZ275,2),BX276+BY276),2),"")</f>
        <v/>
      </c>
      <c r="BX276" s="78" t="str">
        <f>IF(BU276&lt;&gt;"",IF($F$11="raty malejące",MIN(BZ275/($F$4-BU275+SUM($BV$28:BV275)-SUM($CB$28:CB275)),BZ275),MIN(BW276-BY276,BZ275)),"")</f>
        <v/>
      </c>
      <c r="BY276" s="78" t="str">
        <f t="shared" si="245"/>
        <v/>
      </c>
      <c r="BZ276" s="79" t="str">
        <f t="shared" si="231"/>
        <v/>
      </c>
      <c r="CA276" s="11"/>
      <c r="CB276" s="33"/>
      <c r="CC276" s="33" t="str">
        <f t="shared" si="225"/>
        <v/>
      </c>
      <c r="CD276" s="33" t="str">
        <f t="shared" si="236"/>
        <v/>
      </c>
      <c r="CE276" s="33" t="str">
        <f>IF(O276&lt;&gt;"",CD276-SUM($CC$44:CC276),"")</f>
        <v/>
      </c>
      <c r="CF276" s="11" t="str">
        <f t="shared" si="246"/>
        <v/>
      </c>
      <c r="CG276" s="11" t="str">
        <f>IF(BU276&lt;&gt;"",IF($B$16=listy!$K$8,'RZĄDOWY PROGRAM'!$F$3*'RZĄDOWY PROGRAM'!$F$15,BZ275*$F$15),"")</f>
        <v/>
      </c>
      <c r="CH276" s="11" t="str">
        <f t="shared" si="247"/>
        <v/>
      </c>
      <c r="CJ276" s="48" t="str">
        <f t="shared" si="201"/>
        <v/>
      </c>
      <c r="CK276" s="18" t="str">
        <f t="shared" si="202"/>
        <v/>
      </c>
      <c r="CL276" s="11" t="str">
        <f t="shared" si="259"/>
        <v/>
      </c>
      <c r="CM276" s="11" t="str">
        <f t="shared" si="203"/>
        <v/>
      </c>
      <c r="CN276" s="11" t="str">
        <f>IF(AB276&lt;&gt;"",CM276-SUM($CL$28:CL276),"")</f>
        <v/>
      </c>
    </row>
    <row r="277" spans="1:92" x14ac:dyDescent="0.45">
      <c r="A277" s="68" t="str">
        <f t="shared" si="252"/>
        <v/>
      </c>
      <c r="B277" s="8" t="str">
        <f t="shared" si="186"/>
        <v/>
      </c>
      <c r="C277" s="11" t="str">
        <f t="shared" si="187"/>
        <v/>
      </c>
      <c r="D277" s="11" t="str">
        <f t="shared" si="188"/>
        <v/>
      </c>
      <c r="E277" s="11" t="str">
        <f t="shared" si="253"/>
        <v/>
      </c>
      <c r="F277" s="9" t="str">
        <f t="shared" si="254"/>
        <v/>
      </c>
      <c r="G277" s="10" t="str">
        <f t="shared" si="255"/>
        <v/>
      </c>
      <c r="H277" s="10" t="str">
        <f t="shared" si="256"/>
        <v/>
      </c>
      <c r="I277" s="48" t="str">
        <f t="shared" si="205"/>
        <v/>
      </c>
      <c r="J277" s="11" t="str">
        <f t="shared" si="192"/>
        <v/>
      </c>
      <c r="K277" s="11" t="str">
        <f>IF(B277&lt;&gt;"",IF($B$16=listy!$K$8,'RZĄDOWY PROGRAM'!$F$3*'RZĄDOWY PROGRAM'!$F$15,F276*$F$15),"")</f>
        <v/>
      </c>
      <c r="L277" s="11" t="str">
        <f t="shared" si="257"/>
        <v/>
      </c>
      <c r="N277" s="54" t="str">
        <f t="shared" si="260"/>
        <v/>
      </c>
      <c r="O277" s="8" t="str">
        <f t="shared" si="207"/>
        <v/>
      </c>
      <c r="P277" s="8"/>
      <c r="Q277" s="11" t="str">
        <f>IF(O277&lt;&gt;"",ROUND(IF($F$11="raty równe",-PMT(W277/12,$F$4-O276+SUM($P$28:P277),T276,2),R277+S277),2),"")</f>
        <v/>
      </c>
      <c r="R277" s="11" t="str">
        <f>IF(O277&lt;&gt;"",IF($F$11="raty malejące",T276/($F$4-O276+SUM($P$28:P277)),IF(Q277-S277&gt;T276,T276,Q277-S277)),"")</f>
        <v/>
      </c>
      <c r="S277" s="11" t="str">
        <f t="shared" si="261"/>
        <v/>
      </c>
      <c r="T277" s="9" t="str">
        <f t="shared" si="262"/>
        <v/>
      </c>
      <c r="U277" s="10" t="str">
        <f t="shared" si="263"/>
        <v/>
      </c>
      <c r="V277" s="10" t="str">
        <f t="shared" si="264"/>
        <v/>
      </c>
      <c r="W277" s="48" t="str">
        <f t="shared" si="209"/>
        <v/>
      </c>
      <c r="X277" s="11" t="str">
        <f t="shared" si="265"/>
        <v/>
      </c>
      <c r="Y277" s="11" t="str">
        <f>IF(O277&lt;&gt;"",IF($B$16=listy!$K$8,'RZĄDOWY PROGRAM'!$F$3*'RZĄDOWY PROGRAM'!$F$15,T276*$F$15),"")</f>
        <v/>
      </c>
      <c r="Z277" s="11" t="str">
        <f t="shared" si="266"/>
        <v/>
      </c>
      <c r="AB277" s="8" t="str">
        <f t="shared" si="267"/>
        <v/>
      </c>
      <c r="AC277" s="8"/>
      <c r="AD277" s="11" t="str">
        <f>IF(AB277&lt;&gt;"",ROUND(IF($F$11="raty równe",-PMT(W277/12,$F$4-AB276+SUM($AC$28:AC277),AG276,2),AE277+AF277),2),"")</f>
        <v/>
      </c>
      <c r="AE277" s="11" t="str">
        <f>IF(AB277&lt;&gt;"",IF($F$11="raty malejące",AG276/($F$4-AB276+SUM($AC$28:AC276)),MIN(AD277-AF277,AG276)),"")</f>
        <v/>
      </c>
      <c r="AF277" s="11" t="str">
        <f t="shared" si="268"/>
        <v/>
      </c>
      <c r="AG277" s="9" t="str">
        <f t="shared" si="269"/>
        <v/>
      </c>
      <c r="AH277" s="11"/>
      <c r="AI277" s="33" t="str">
        <f>IF(AB277&lt;&gt;"",ROUND(IF($F$11="raty równe",-PMT(W277/12,($F$4-AB276+SUM($AC$27:AC276)),AG276,2),AG276/($F$4-AB276+SUM($AC$27:AC276))+AG276*W277/12),2),"")</f>
        <v/>
      </c>
      <c r="AJ277" s="33" t="str">
        <f t="shared" si="270"/>
        <v/>
      </c>
      <c r="AK277" s="33" t="str">
        <f t="shared" si="196"/>
        <v/>
      </c>
      <c r="AL277" s="33" t="str">
        <f>IF(AB277&lt;&gt;"",AK277-SUM($AJ$28:AJ277),"")</f>
        <v/>
      </c>
      <c r="AM277" s="11" t="str">
        <f t="shared" si="271"/>
        <v/>
      </c>
      <c r="AN277" s="11" t="str">
        <f>IF(AB277&lt;&gt;"",IF($B$16=listy!$K$8,'RZĄDOWY PROGRAM'!$F$3*'RZĄDOWY PROGRAM'!$F$15,AG276*$F$15),"")</f>
        <v/>
      </c>
      <c r="AO277" s="11" t="str">
        <f t="shared" si="272"/>
        <v/>
      </c>
      <c r="AQ277" s="8" t="str">
        <f t="shared" si="215"/>
        <v/>
      </c>
      <c r="AR277" s="8"/>
      <c r="AS277" s="78" t="str">
        <f>IF(AQ277&lt;&gt;"",ROUND(IF($F$11="raty równe",-PMT(W277/12,$F$4-AQ276+SUM($AR$28:AR277),AV276,2),AT277+AU277),2),"")</f>
        <v/>
      </c>
      <c r="AT277" s="78" t="str">
        <f>IF(AQ277&lt;&gt;"",IF($F$11="raty malejące",AV276/($F$4-AQ276+SUM($AR$28:AR276)),MIN(AS277-AU277,AV276)),"")</f>
        <v/>
      </c>
      <c r="AU277" s="78" t="str">
        <f t="shared" si="216"/>
        <v/>
      </c>
      <c r="AV277" s="79" t="str">
        <f t="shared" si="217"/>
        <v/>
      </c>
      <c r="AW277" s="11"/>
      <c r="AX277" s="33" t="str">
        <f>IF(AQ277&lt;&gt;"",ROUND(IF($F$11="raty równe",-PMT(W277/12,($F$4-AQ276+SUM($AR$27:AR276)),AV276,2),AV276/($F$4-AQ276+SUM($AR$27:AR276))+AV276*W277/12),2),"")</f>
        <v/>
      </c>
      <c r="AY277" s="33" t="str">
        <f t="shared" si="218"/>
        <v/>
      </c>
      <c r="AZ277" s="33" t="str">
        <f t="shared" si="233"/>
        <v/>
      </c>
      <c r="BA277" s="33" t="str">
        <f>IF(AQ277&lt;&gt;"",AZ277-SUM($AY$44:AY277),"")</f>
        <v/>
      </c>
      <c r="BB277" s="11" t="str">
        <f t="shared" si="219"/>
        <v/>
      </c>
      <c r="BC277" s="11" t="str">
        <f>IF(AQ277&lt;&gt;"",IF($B$16=listy!$K$8,'RZĄDOWY PROGRAM'!$F$3*'RZĄDOWY PROGRAM'!$F$15,AV276*$F$15),"")</f>
        <v/>
      </c>
      <c r="BD277" s="11" t="str">
        <f t="shared" si="220"/>
        <v/>
      </c>
      <c r="BF277" s="8" t="str">
        <f t="shared" si="237"/>
        <v/>
      </c>
      <c r="BG277" s="8"/>
      <c r="BH277" s="78" t="str">
        <f>IF(BF277&lt;&gt;"",ROUND(IF($F$11="raty równe",-PMT(W277/12,$F$4-BF276+SUM(BV$28:$BV277)-SUM($BM$29:BM277),BK276,2),BI277+BJ277),2),"")</f>
        <v/>
      </c>
      <c r="BI277" s="78" t="str">
        <f>IF(BF277&lt;&gt;"",IF($F$11="raty malejące",MIN(BK276/($F$4-BF276+SUM($BG$27:BG277)-SUM($BM$27:BM277)),BK276),MIN(BH277-BJ277,BK276)),"")</f>
        <v/>
      </c>
      <c r="BJ277" s="78" t="str">
        <f t="shared" si="238"/>
        <v/>
      </c>
      <c r="BK277" s="79" t="str">
        <f t="shared" si="239"/>
        <v/>
      </c>
      <c r="BL277" s="11"/>
      <c r="BM277" s="33"/>
      <c r="BN277" s="33" t="str">
        <f t="shared" si="234"/>
        <v/>
      </c>
      <c r="BO277" s="33" t="str">
        <f t="shared" si="235"/>
        <v/>
      </c>
      <c r="BP277" s="33" t="str">
        <f>IF(O277&lt;&gt;"",BO277-SUM($BN$44:BN277),"")</f>
        <v/>
      </c>
      <c r="BQ277" s="11" t="str">
        <f t="shared" si="240"/>
        <v/>
      </c>
      <c r="BR277" s="11" t="str">
        <f>IF(BF277&lt;&gt;"",IF($B$16=listy!$K$8,'RZĄDOWY PROGRAM'!$F$3*'RZĄDOWY PROGRAM'!$F$15,BK276*$F$15),"")</f>
        <v/>
      </c>
      <c r="BS277" s="11" t="str">
        <f t="shared" si="241"/>
        <v/>
      </c>
      <c r="BU277" s="8" t="str">
        <f t="shared" si="224"/>
        <v/>
      </c>
      <c r="BV277" s="8"/>
      <c r="BW277" s="78" t="str">
        <f>IF(BU277&lt;&gt;"",ROUND(IF($F$11="raty równe",-PMT(W277/12,$F$4-BU276+SUM($BV$28:BV277)-$CB$43,BZ276,2),BX277+BY277),2),"")</f>
        <v/>
      </c>
      <c r="BX277" s="78" t="str">
        <f>IF(BU277&lt;&gt;"",IF($F$11="raty malejące",MIN(BZ276/($F$4-BU276+SUM($BV$28:BV276)-SUM($CB$28:CB276)),BZ276),MIN(BW277-BY277,BZ276)),"")</f>
        <v/>
      </c>
      <c r="BY277" s="78" t="str">
        <f t="shared" si="245"/>
        <v/>
      </c>
      <c r="BZ277" s="79" t="str">
        <f t="shared" si="231"/>
        <v/>
      </c>
      <c r="CA277" s="11"/>
      <c r="CB277" s="33"/>
      <c r="CC277" s="33" t="str">
        <f t="shared" si="225"/>
        <v/>
      </c>
      <c r="CD277" s="33" t="str">
        <f t="shared" si="236"/>
        <v/>
      </c>
      <c r="CE277" s="33" t="str">
        <f>IF(O277&lt;&gt;"",CD277-SUM($CC$44:CC277),"")</f>
        <v/>
      </c>
      <c r="CF277" s="11" t="str">
        <f t="shared" si="246"/>
        <v/>
      </c>
      <c r="CG277" s="11" t="str">
        <f>IF(BU277&lt;&gt;"",IF($B$16=listy!$K$8,'RZĄDOWY PROGRAM'!$F$3*'RZĄDOWY PROGRAM'!$F$15,BZ276*$F$15),"")</f>
        <v/>
      </c>
      <c r="CH277" s="11" t="str">
        <f t="shared" si="247"/>
        <v/>
      </c>
      <c r="CJ277" s="48" t="str">
        <f t="shared" si="201"/>
        <v/>
      </c>
      <c r="CK277" s="18" t="str">
        <f t="shared" si="202"/>
        <v/>
      </c>
      <c r="CL277" s="11" t="str">
        <f t="shared" si="259"/>
        <v/>
      </c>
      <c r="CM277" s="11" t="str">
        <f t="shared" si="203"/>
        <v/>
      </c>
      <c r="CN277" s="11" t="str">
        <f>IF(AB277&lt;&gt;"",CM277-SUM($CL$28:CL277),"")</f>
        <v/>
      </c>
    </row>
    <row r="278" spans="1:92" x14ac:dyDescent="0.45">
      <c r="A278" s="68" t="str">
        <f t="shared" si="252"/>
        <v/>
      </c>
      <c r="B278" s="8" t="str">
        <f t="shared" si="186"/>
        <v/>
      </c>
      <c r="C278" s="11" t="str">
        <f t="shared" si="187"/>
        <v/>
      </c>
      <c r="D278" s="11" t="str">
        <f t="shared" si="188"/>
        <v/>
      </c>
      <c r="E278" s="11" t="str">
        <f t="shared" si="253"/>
        <v/>
      </c>
      <c r="F278" s="9" t="str">
        <f t="shared" si="254"/>
        <v/>
      </c>
      <c r="G278" s="10" t="str">
        <f t="shared" si="255"/>
        <v/>
      </c>
      <c r="H278" s="10" t="str">
        <f t="shared" si="256"/>
        <v/>
      </c>
      <c r="I278" s="48" t="str">
        <f t="shared" si="205"/>
        <v/>
      </c>
      <c r="J278" s="11" t="str">
        <f t="shared" si="192"/>
        <v/>
      </c>
      <c r="K278" s="11" t="str">
        <f>IF(B278&lt;&gt;"",IF($B$16=listy!$K$8,'RZĄDOWY PROGRAM'!$F$3*'RZĄDOWY PROGRAM'!$F$15,F277*$F$15),"")</f>
        <v/>
      </c>
      <c r="L278" s="11" t="str">
        <f t="shared" si="257"/>
        <v/>
      </c>
      <c r="N278" s="54" t="str">
        <f t="shared" si="260"/>
        <v/>
      </c>
      <c r="O278" s="8" t="str">
        <f t="shared" si="207"/>
        <v/>
      </c>
      <c r="P278" s="8"/>
      <c r="Q278" s="11" t="str">
        <f>IF(O278&lt;&gt;"",ROUND(IF($F$11="raty równe",-PMT(W278/12,$F$4-O277+SUM($P$28:P278),T277,2),R278+S278),2),"")</f>
        <v/>
      </c>
      <c r="R278" s="11" t="str">
        <f>IF(O278&lt;&gt;"",IF($F$11="raty malejące",T277/($F$4-O277+SUM($P$28:P278)),IF(Q278-S278&gt;T277,T277,Q278-S278)),"")</f>
        <v/>
      </c>
      <c r="S278" s="11" t="str">
        <f t="shared" si="261"/>
        <v/>
      </c>
      <c r="T278" s="9" t="str">
        <f t="shared" si="262"/>
        <v/>
      </c>
      <c r="U278" s="10" t="str">
        <f t="shared" si="263"/>
        <v/>
      </c>
      <c r="V278" s="10" t="str">
        <f t="shared" si="264"/>
        <v/>
      </c>
      <c r="W278" s="48" t="str">
        <f t="shared" si="209"/>
        <v/>
      </c>
      <c r="X278" s="11" t="str">
        <f t="shared" si="265"/>
        <v/>
      </c>
      <c r="Y278" s="11" t="str">
        <f>IF(O278&lt;&gt;"",IF($B$16=listy!$K$8,'RZĄDOWY PROGRAM'!$F$3*'RZĄDOWY PROGRAM'!$F$15,T277*$F$15),"")</f>
        <v/>
      </c>
      <c r="Z278" s="11" t="str">
        <f t="shared" si="266"/>
        <v/>
      </c>
      <c r="AB278" s="8" t="str">
        <f t="shared" si="267"/>
        <v/>
      </c>
      <c r="AC278" s="8"/>
      <c r="AD278" s="11" t="str">
        <f>IF(AB278&lt;&gt;"",ROUND(IF($F$11="raty równe",-PMT(W278/12,$F$4-AB277+SUM($AC$28:AC278),AG277,2),AE278+AF278),2),"")</f>
        <v/>
      </c>
      <c r="AE278" s="11" t="str">
        <f>IF(AB278&lt;&gt;"",IF($F$11="raty malejące",AG277/($F$4-AB277+SUM($AC$28:AC277)),MIN(AD278-AF278,AG277)),"")</f>
        <v/>
      </c>
      <c r="AF278" s="11" t="str">
        <f t="shared" si="268"/>
        <v/>
      </c>
      <c r="AG278" s="9" t="str">
        <f t="shared" si="269"/>
        <v/>
      </c>
      <c r="AH278" s="11"/>
      <c r="AI278" s="33" t="str">
        <f>IF(AB278&lt;&gt;"",ROUND(IF($F$11="raty równe",-PMT(W278/12,($F$4-AB277+SUM($AC$27:AC277)),AG277,2),AG277/($F$4-AB277+SUM($AC$27:AC277))+AG277*W278/12),2),"")</f>
        <v/>
      </c>
      <c r="AJ278" s="33" t="str">
        <f t="shared" si="270"/>
        <v/>
      </c>
      <c r="AK278" s="33" t="str">
        <f t="shared" si="196"/>
        <v/>
      </c>
      <c r="AL278" s="33" t="str">
        <f>IF(AB278&lt;&gt;"",AK278-SUM($AJ$28:AJ278),"")</f>
        <v/>
      </c>
      <c r="AM278" s="11" t="str">
        <f t="shared" si="271"/>
        <v/>
      </c>
      <c r="AN278" s="11" t="str">
        <f>IF(AB278&lt;&gt;"",IF($B$16=listy!$K$8,'RZĄDOWY PROGRAM'!$F$3*'RZĄDOWY PROGRAM'!$F$15,AG277*$F$15),"")</f>
        <v/>
      </c>
      <c r="AO278" s="11" t="str">
        <f t="shared" si="272"/>
        <v/>
      </c>
      <c r="AQ278" s="8" t="str">
        <f t="shared" si="215"/>
        <v/>
      </c>
      <c r="AR278" s="8"/>
      <c r="AS278" s="78" t="str">
        <f>IF(AQ278&lt;&gt;"",ROUND(IF($F$11="raty równe",-PMT(W278/12,$F$4-AQ277+SUM($AR$28:AR278),AV277,2),AT278+AU278),2),"")</f>
        <v/>
      </c>
      <c r="AT278" s="78" t="str">
        <f>IF(AQ278&lt;&gt;"",IF($F$11="raty malejące",AV277/($F$4-AQ277+SUM($AR$28:AR277)),MIN(AS278-AU278,AV277)),"")</f>
        <v/>
      </c>
      <c r="AU278" s="78" t="str">
        <f t="shared" si="216"/>
        <v/>
      </c>
      <c r="AV278" s="79" t="str">
        <f t="shared" si="217"/>
        <v/>
      </c>
      <c r="AW278" s="11"/>
      <c r="AX278" s="33" t="str">
        <f>IF(AQ278&lt;&gt;"",ROUND(IF($F$11="raty równe",-PMT(W278/12,($F$4-AQ277+SUM($AR$27:AR277)),AV277,2),AV277/($F$4-AQ277+SUM($AR$27:AR277))+AV277*W278/12),2),"")</f>
        <v/>
      </c>
      <c r="AY278" s="33" t="str">
        <f t="shared" si="218"/>
        <v/>
      </c>
      <c r="AZ278" s="33" t="str">
        <f t="shared" si="233"/>
        <v/>
      </c>
      <c r="BA278" s="33" t="str">
        <f>IF(AQ278&lt;&gt;"",AZ278-SUM($AY$44:AY278),"")</f>
        <v/>
      </c>
      <c r="BB278" s="11" t="str">
        <f t="shared" si="219"/>
        <v/>
      </c>
      <c r="BC278" s="11" t="str">
        <f>IF(AQ278&lt;&gt;"",IF($B$16=listy!$K$8,'RZĄDOWY PROGRAM'!$F$3*'RZĄDOWY PROGRAM'!$F$15,AV277*$F$15),"")</f>
        <v/>
      </c>
      <c r="BD278" s="11" t="str">
        <f t="shared" si="220"/>
        <v/>
      </c>
      <c r="BF278" s="8" t="str">
        <f t="shared" si="237"/>
        <v/>
      </c>
      <c r="BG278" s="8"/>
      <c r="BH278" s="78" t="str">
        <f>IF(BF278&lt;&gt;"",ROUND(IF($F$11="raty równe",-PMT(W278/12,$F$4-BF277+SUM(BV$28:$BV278)-SUM($BM$29:BM278),BK277,2),BI278+BJ278),2),"")</f>
        <v/>
      </c>
      <c r="BI278" s="78" t="str">
        <f>IF(BF278&lt;&gt;"",IF($F$11="raty malejące",MIN(BK277/($F$4-BF277+SUM($BG$27:BG278)-SUM($BM$27:BM278)),BK277),MIN(BH278-BJ278,BK277)),"")</f>
        <v/>
      </c>
      <c r="BJ278" s="78" t="str">
        <f t="shared" si="238"/>
        <v/>
      </c>
      <c r="BK278" s="79" t="str">
        <f t="shared" si="239"/>
        <v/>
      </c>
      <c r="BL278" s="11"/>
      <c r="BM278" s="33"/>
      <c r="BN278" s="33" t="str">
        <f t="shared" si="234"/>
        <v/>
      </c>
      <c r="BO278" s="33" t="str">
        <f t="shared" si="235"/>
        <v/>
      </c>
      <c r="BP278" s="33" t="str">
        <f>IF(O278&lt;&gt;"",BO278-SUM($BN$44:BN278),"")</f>
        <v/>
      </c>
      <c r="BQ278" s="11" t="str">
        <f t="shared" si="240"/>
        <v/>
      </c>
      <c r="BR278" s="11" t="str">
        <f>IF(BF278&lt;&gt;"",IF($B$16=listy!$K$8,'RZĄDOWY PROGRAM'!$F$3*'RZĄDOWY PROGRAM'!$F$15,BK277*$F$15),"")</f>
        <v/>
      </c>
      <c r="BS278" s="11" t="str">
        <f t="shared" si="241"/>
        <v/>
      </c>
      <c r="BU278" s="8" t="str">
        <f t="shared" si="224"/>
        <v/>
      </c>
      <c r="BV278" s="8"/>
      <c r="BW278" s="78" t="str">
        <f>IF(BU278&lt;&gt;"",ROUND(IF($F$11="raty równe",-PMT(W278/12,$F$4-BU277+SUM($BV$28:BV278)-$CB$43,BZ277,2),BX278+BY278),2),"")</f>
        <v/>
      </c>
      <c r="BX278" s="78" t="str">
        <f>IF(BU278&lt;&gt;"",IF($F$11="raty malejące",MIN(BZ277/($F$4-BU277+SUM($BV$28:BV277)-SUM($CB$28:CB277)),BZ277),MIN(BW278-BY278,BZ277)),"")</f>
        <v/>
      </c>
      <c r="BY278" s="78" t="str">
        <f t="shared" si="245"/>
        <v/>
      </c>
      <c r="BZ278" s="79" t="str">
        <f t="shared" si="231"/>
        <v/>
      </c>
      <c r="CA278" s="11"/>
      <c r="CB278" s="33"/>
      <c r="CC278" s="33" t="str">
        <f t="shared" si="225"/>
        <v/>
      </c>
      <c r="CD278" s="33" t="str">
        <f t="shared" si="236"/>
        <v/>
      </c>
      <c r="CE278" s="33" t="str">
        <f>IF(O278&lt;&gt;"",CD278-SUM($CC$44:CC278),"")</f>
        <v/>
      </c>
      <c r="CF278" s="11" t="str">
        <f t="shared" si="246"/>
        <v/>
      </c>
      <c r="CG278" s="11" t="str">
        <f>IF(BU278&lt;&gt;"",IF($B$16=listy!$K$8,'RZĄDOWY PROGRAM'!$F$3*'RZĄDOWY PROGRAM'!$F$15,BZ277*$F$15),"")</f>
        <v/>
      </c>
      <c r="CH278" s="11" t="str">
        <f t="shared" si="247"/>
        <v/>
      </c>
      <c r="CJ278" s="48" t="str">
        <f t="shared" si="201"/>
        <v/>
      </c>
      <c r="CK278" s="18" t="str">
        <f t="shared" si="202"/>
        <v/>
      </c>
      <c r="CL278" s="11" t="str">
        <f t="shared" si="259"/>
        <v/>
      </c>
      <c r="CM278" s="11" t="str">
        <f t="shared" si="203"/>
        <v/>
      </c>
      <c r="CN278" s="11" t="str">
        <f>IF(AB278&lt;&gt;"",CM278-SUM($CL$28:CL278),"")</f>
        <v/>
      </c>
    </row>
    <row r="279" spans="1:92" x14ac:dyDescent="0.45">
      <c r="A279" s="68" t="str">
        <f t="shared" si="252"/>
        <v/>
      </c>
      <c r="B279" s="8" t="str">
        <f t="shared" si="186"/>
        <v/>
      </c>
      <c r="C279" s="11" t="str">
        <f t="shared" si="187"/>
        <v/>
      </c>
      <c r="D279" s="11" t="str">
        <f t="shared" si="188"/>
        <v/>
      </c>
      <c r="E279" s="11" t="str">
        <f t="shared" si="253"/>
        <v/>
      </c>
      <c r="F279" s="9" t="str">
        <f t="shared" si="254"/>
        <v/>
      </c>
      <c r="G279" s="10" t="str">
        <f t="shared" si="255"/>
        <v/>
      </c>
      <c r="H279" s="10" t="str">
        <f t="shared" si="256"/>
        <v/>
      </c>
      <c r="I279" s="48" t="str">
        <f t="shared" si="205"/>
        <v/>
      </c>
      <c r="J279" s="11" t="str">
        <f t="shared" si="192"/>
        <v/>
      </c>
      <c r="K279" s="11" t="str">
        <f>IF(B279&lt;&gt;"",IF($B$16=listy!$K$8,'RZĄDOWY PROGRAM'!$F$3*'RZĄDOWY PROGRAM'!$F$15,F278*$F$15),"")</f>
        <v/>
      </c>
      <c r="L279" s="11" t="str">
        <f t="shared" si="257"/>
        <v/>
      </c>
      <c r="N279" s="54" t="str">
        <f t="shared" si="260"/>
        <v/>
      </c>
      <c r="O279" s="8" t="str">
        <f t="shared" si="207"/>
        <v/>
      </c>
      <c r="P279" s="8"/>
      <c r="Q279" s="11" t="str">
        <f>IF(O279&lt;&gt;"",ROUND(IF($F$11="raty równe",-PMT(W279/12,$F$4-O278+SUM($P$28:P279),T278,2),R279+S279),2),"")</f>
        <v/>
      </c>
      <c r="R279" s="11" t="str">
        <f>IF(O279&lt;&gt;"",IF($F$11="raty malejące",T278/($F$4-O278+SUM($P$28:P279)),IF(Q279-S279&gt;T278,T278,Q279-S279)),"")</f>
        <v/>
      </c>
      <c r="S279" s="11" t="str">
        <f t="shared" si="261"/>
        <v/>
      </c>
      <c r="T279" s="9" t="str">
        <f t="shared" si="262"/>
        <v/>
      </c>
      <c r="U279" s="10" t="str">
        <f t="shared" si="263"/>
        <v/>
      </c>
      <c r="V279" s="10" t="str">
        <f t="shared" si="264"/>
        <v/>
      </c>
      <c r="W279" s="48" t="str">
        <f t="shared" si="209"/>
        <v/>
      </c>
      <c r="X279" s="11" t="str">
        <f t="shared" si="265"/>
        <v/>
      </c>
      <c r="Y279" s="11" t="str">
        <f>IF(O279&lt;&gt;"",IF($B$16=listy!$K$8,'RZĄDOWY PROGRAM'!$F$3*'RZĄDOWY PROGRAM'!$F$15,T278*$F$15),"")</f>
        <v/>
      </c>
      <c r="Z279" s="11" t="str">
        <f t="shared" si="266"/>
        <v/>
      </c>
      <c r="AB279" s="8" t="str">
        <f t="shared" si="267"/>
        <v/>
      </c>
      <c r="AC279" s="8"/>
      <c r="AD279" s="11" t="str">
        <f>IF(AB279&lt;&gt;"",ROUND(IF($F$11="raty równe",-PMT(W279/12,$F$4-AB278+SUM($AC$28:AC279),AG278,2),AE279+AF279),2),"")</f>
        <v/>
      </c>
      <c r="AE279" s="11" t="str">
        <f>IF(AB279&lt;&gt;"",IF($F$11="raty malejące",AG278/($F$4-AB278+SUM($AC$28:AC278)),MIN(AD279-AF279,AG278)),"")</f>
        <v/>
      </c>
      <c r="AF279" s="11" t="str">
        <f t="shared" si="268"/>
        <v/>
      </c>
      <c r="AG279" s="9" t="str">
        <f t="shared" si="269"/>
        <v/>
      </c>
      <c r="AH279" s="11"/>
      <c r="AI279" s="33" t="str">
        <f>IF(AB279&lt;&gt;"",ROUND(IF($F$11="raty równe",-PMT(W279/12,($F$4-AB278+SUM($AC$27:AC278)),AG278,2),AG278/($F$4-AB278+SUM($AC$27:AC278))+AG278*W279/12),2),"")</f>
        <v/>
      </c>
      <c r="AJ279" s="33" t="str">
        <f t="shared" si="270"/>
        <v/>
      </c>
      <c r="AK279" s="33" t="str">
        <f t="shared" si="196"/>
        <v/>
      </c>
      <c r="AL279" s="33" t="str">
        <f>IF(AB279&lt;&gt;"",AK279-SUM($AJ$28:AJ279),"")</f>
        <v/>
      </c>
      <c r="AM279" s="11" t="str">
        <f t="shared" si="271"/>
        <v/>
      </c>
      <c r="AN279" s="11" t="str">
        <f>IF(AB279&lt;&gt;"",IF($B$16=listy!$K$8,'RZĄDOWY PROGRAM'!$F$3*'RZĄDOWY PROGRAM'!$F$15,AG278*$F$15),"")</f>
        <v/>
      </c>
      <c r="AO279" s="11" t="str">
        <f t="shared" si="272"/>
        <v/>
      </c>
      <c r="AQ279" s="8" t="str">
        <f t="shared" si="215"/>
        <v/>
      </c>
      <c r="AR279" s="8"/>
      <c r="AS279" s="78" t="str">
        <f>IF(AQ279&lt;&gt;"",ROUND(IF($F$11="raty równe",-PMT(W279/12,$F$4-AQ278+SUM($AR$28:AR279),AV278,2),AT279+AU279),2),"")</f>
        <v/>
      </c>
      <c r="AT279" s="78" t="str">
        <f>IF(AQ279&lt;&gt;"",IF($F$11="raty malejące",AV278/($F$4-AQ278+SUM($AR$28:AR278)),MIN(AS279-AU279,AV278)),"")</f>
        <v/>
      </c>
      <c r="AU279" s="78" t="str">
        <f t="shared" si="216"/>
        <v/>
      </c>
      <c r="AV279" s="79" t="str">
        <f t="shared" si="217"/>
        <v/>
      </c>
      <c r="AW279" s="11"/>
      <c r="AX279" s="33" t="str">
        <f>IF(AQ279&lt;&gt;"",ROUND(IF($F$11="raty równe",-PMT(W279/12,($F$4-AQ278+SUM($AR$27:AR278)),AV278,2),AV278/($F$4-AQ278+SUM($AR$27:AR278))+AV278*W279/12),2),"")</f>
        <v/>
      </c>
      <c r="AY279" s="33" t="str">
        <f t="shared" si="218"/>
        <v/>
      </c>
      <c r="AZ279" s="33" t="str">
        <f t="shared" si="233"/>
        <v/>
      </c>
      <c r="BA279" s="33" t="str">
        <f>IF(AQ279&lt;&gt;"",AZ279-SUM($AY$44:AY279),"")</f>
        <v/>
      </c>
      <c r="BB279" s="11" t="str">
        <f t="shared" si="219"/>
        <v/>
      </c>
      <c r="BC279" s="11" t="str">
        <f>IF(AQ279&lt;&gt;"",IF($B$16=listy!$K$8,'RZĄDOWY PROGRAM'!$F$3*'RZĄDOWY PROGRAM'!$F$15,AV278*$F$15),"")</f>
        <v/>
      </c>
      <c r="BD279" s="11" t="str">
        <f t="shared" si="220"/>
        <v/>
      </c>
      <c r="BF279" s="8" t="str">
        <f t="shared" si="237"/>
        <v/>
      </c>
      <c r="BG279" s="8"/>
      <c r="BH279" s="78" t="str">
        <f>IF(BF279&lt;&gt;"",ROUND(IF($F$11="raty równe",-PMT(W279/12,$F$4-BF278+SUM(BV$28:$BV279)-SUM($BM$29:BM279),BK278,2),BI279+BJ279),2),"")</f>
        <v/>
      </c>
      <c r="BI279" s="78" t="str">
        <f>IF(BF279&lt;&gt;"",IF($F$11="raty malejące",MIN(BK278/($F$4-BF278+SUM($BG$27:BG279)-SUM($BM$27:BM279)),BK278),MIN(BH279-BJ279,BK278)),"")</f>
        <v/>
      </c>
      <c r="BJ279" s="78" t="str">
        <f t="shared" si="238"/>
        <v/>
      </c>
      <c r="BK279" s="79" t="str">
        <f t="shared" si="239"/>
        <v/>
      </c>
      <c r="BL279" s="11"/>
      <c r="BM279" s="33"/>
      <c r="BN279" s="33" t="str">
        <f t="shared" si="234"/>
        <v/>
      </c>
      <c r="BO279" s="33" t="str">
        <f t="shared" si="235"/>
        <v/>
      </c>
      <c r="BP279" s="33" t="str">
        <f>IF(O279&lt;&gt;"",BO279-SUM($BN$44:BN279),"")</f>
        <v/>
      </c>
      <c r="BQ279" s="11" t="str">
        <f t="shared" si="240"/>
        <v/>
      </c>
      <c r="BR279" s="11" t="str">
        <f>IF(BF279&lt;&gt;"",IF($B$16=listy!$K$8,'RZĄDOWY PROGRAM'!$F$3*'RZĄDOWY PROGRAM'!$F$15,BK278*$F$15),"")</f>
        <v/>
      </c>
      <c r="BS279" s="11" t="str">
        <f t="shared" si="241"/>
        <v/>
      </c>
      <c r="BU279" s="8" t="str">
        <f t="shared" si="224"/>
        <v/>
      </c>
      <c r="BV279" s="8"/>
      <c r="BW279" s="78" t="str">
        <f>IF(BU279&lt;&gt;"",ROUND(IF($F$11="raty równe",-PMT(W279/12,$F$4-BU278+SUM($BV$28:BV279)-$CB$43,BZ278,2),BX279+BY279),2),"")</f>
        <v/>
      </c>
      <c r="BX279" s="78" t="str">
        <f>IF(BU279&lt;&gt;"",IF($F$11="raty malejące",MIN(BZ278/($F$4-BU278+SUM($BV$28:BV278)-SUM($CB$28:CB278)),BZ278),MIN(BW279-BY279,BZ278)),"")</f>
        <v/>
      </c>
      <c r="BY279" s="78" t="str">
        <f t="shared" si="245"/>
        <v/>
      </c>
      <c r="BZ279" s="79" t="str">
        <f t="shared" si="231"/>
        <v/>
      </c>
      <c r="CA279" s="11"/>
      <c r="CB279" s="33"/>
      <c r="CC279" s="33" t="str">
        <f t="shared" si="225"/>
        <v/>
      </c>
      <c r="CD279" s="33" t="str">
        <f t="shared" si="236"/>
        <v/>
      </c>
      <c r="CE279" s="33" t="str">
        <f>IF(O279&lt;&gt;"",CD279-SUM($CC$44:CC279),"")</f>
        <v/>
      </c>
      <c r="CF279" s="11" t="str">
        <f t="shared" si="246"/>
        <v/>
      </c>
      <c r="CG279" s="11" t="str">
        <f>IF(BU279&lt;&gt;"",IF($B$16=listy!$K$8,'RZĄDOWY PROGRAM'!$F$3*'RZĄDOWY PROGRAM'!$F$15,BZ278*$F$15),"")</f>
        <v/>
      </c>
      <c r="CH279" s="11" t="str">
        <f t="shared" si="247"/>
        <v/>
      </c>
      <c r="CJ279" s="48" t="str">
        <f t="shared" si="201"/>
        <v/>
      </c>
      <c r="CK279" s="18" t="str">
        <f t="shared" si="202"/>
        <v/>
      </c>
      <c r="CL279" s="11" t="str">
        <f t="shared" si="259"/>
        <v/>
      </c>
      <c r="CM279" s="11" t="str">
        <f t="shared" si="203"/>
        <v/>
      </c>
      <c r="CN279" s="11" t="str">
        <f>IF(AB279&lt;&gt;"",CM279-SUM($CL$28:CL279),"")</f>
        <v/>
      </c>
    </row>
    <row r="280" spans="1:92" x14ac:dyDescent="0.45">
      <c r="A280" s="68" t="str">
        <f t="shared" si="252"/>
        <v/>
      </c>
      <c r="B280" s="8" t="str">
        <f t="shared" si="186"/>
        <v/>
      </c>
      <c r="C280" s="11" t="str">
        <f t="shared" si="187"/>
        <v/>
      </c>
      <c r="D280" s="11" t="str">
        <f t="shared" si="188"/>
        <v/>
      </c>
      <c r="E280" s="11" t="str">
        <f t="shared" si="253"/>
        <v/>
      </c>
      <c r="F280" s="9" t="str">
        <f t="shared" si="254"/>
        <v/>
      </c>
      <c r="G280" s="10" t="str">
        <f t="shared" si="255"/>
        <v/>
      </c>
      <c r="H280" s="10" t="str">
        <f t="shared" si="256"/>
        <v/>
      </c>
      <c r="I280" s="48" t="str">
        <f t="shared" si="205"/>
        <v/>
      </c>
      <c r="J280" s="11" t="str">
        <f t="shared" si="192"/>
        <v/>
      </c>
      <c r="K280" s="11" t="str">
        <f>IF(B280&lt;&gt;"",IF($B$16=listy!$K$8,'RZĄDOWY PROGRAM'!$F$3*'RZĄDOWY PROGRAM'!$F$15,F279*$F$15),"")</f>
        <v/>
      </c>
      <c r="L280" s="11" t="str">
        <f t="shared" si="257"/>
        <v/>
      </c>
      <c r="N280" s="54" t="str">
        <f t="shared" si="260"/>
        <v/>
      </c>
      <c r="O280" s="8" t="str">
        <f t="shared" si="207"/>
        <v/>
      </c>
      <c r="P280" s="8"/>
      <c r="Q280" s="11" t="str">
        <f>IF(O280&lt;&gt;"",ROUND(IF($F$11="raty równe",-PMT(W280/12,$F$4-O279+SUM($P$28:P280),T279,2),R280+S280),2),"")</f>
        <v/>
      </c>
      <c r="R280" s="11" t="str">
        <f>IF(O280&lt;&gt;"",IF($F$11="raty malejące",T279/($F$4-O279+SUM($P$28:P280)),IF(Q280-S280&gt;T279,T279,Q280-S280)),"")</f>
        <v/>
      </c>
      <c r="S280" s="11" t="str">
        <f t="shared" si="261"/>
        <v/>
      </c>
      <c r="T280" s="9" t="str">
        <f t="shared" si="262"/>
        <v/>
      </c>
      <c r="U280" s="10" t="str">
        <f t="shared" si="263"/>
        <v/>
      </c>
      <c r="V280" s="10" t="str">
        <f t="shared" si="264"/>
        <v/>
      </c>
      <c r="W280" s="48" t="str">
        <f t="shared" si="209"/>
        <v/>
      </c>
      <c r="X280" s="11" t="str">
        <f t="shared" si="265"/>
        <v/>
      </c>
      <c r="Y280" s="11" t="str">
        <f>IF(O280&lt;&gt;"",IF($B$16=listy!$K$8,'RZĄDOWY PROGRAM'!$F$3*'RZĄDOWY PROGRAM'!$F$15,T279*$F$15),"")</f>
        <v/>
      </c>
      <c r="Z280" s="11" t="str">
        <f t="shared" si="266"/>
        <v/>
      </c>
      <c r="AB280" s="8" t="str">
        <f t="shared" si="267"/>
        <v/>
      </c>
      <c r="AC280" s="8"/>
      <c r="AD280" s="11" t="str">
        <f>IF(AB280&lt;&gt;"",ROUND(IF($F$11="raty równe",-PMT(W280/12,$F$4-AB279+SUM($AC$28:AC280),AG279,2),AE280+AF280),2),"")</f>
        <v/>
      </c>
      <c r="AE280" s="11" t="str">
        <f>IF(AB280&lt;&gt;"",IF($F$11="raty malejące",AG279/($F$4-AB279+SUM($AC$28:AC279)),MIN(AD280-AF280,AG279)),"")</f>
        <v/>
      </c>
      <c r="AF280" s="11" t="str">
        <f t="shared" si="268"/>
        <v/>
      </c>
      <c r="AG280" s="9" t="str">
        <f t="shared" si="269"/>
        <v/>
      </c>
      <c r="AH280" s="11"/>
      <c r="AI280" s="33" t="str">
        <f>IF(AB280&lt;&gt;"",ROUND(IF($F$11="raty równe",-PMT(W280/12,($F$4-AB279+SUM($AC$27:AC279)),AG279,2),AG279/($F$4-AB279+SUM($AC$27:AC279))+AG279*W280/12),2),"")</f>
        <v/>
      </c>
      <c r="AJ280" s="33" t="str">
        <f t="shared" si="270"/>
        <v/>
      </c>
      <c r="AK280" s="33" t="str">
        <f t="shared" si="196"/>
        <v/>
      </c>
      <c r="AL280" s="33" t="str">
        <f>IF(AB280&lt;&gt;"",AK280-SUM($AJ$28:AJ280),"")</f>
        <v/>
      </c>
      <c r="AM280" s="11" t="str">
        <f t="shared" si="271"/>
        <v/>
      </c>
      <c r="AN280" s="11" t="str">
        <f>IF(AB280&lt;&gt;"",IF($B$16=listy!$K$8,'RZĄDOWY PROGRAM'!$F$3*'RZĄDOWY PROGRAM'!$F$15,AG279*$F$15),"")</f>
        <v/>
      </c>
      <c r="AO280" s="11" t="str">
        <f t="shared" si="272"/>
        <v/>
      </c>
      <c r="AQ280" s="8" t="str">
        <f t="shared" si="215"/>
        <v/>
      </c>
      <c r="AR280" s="8"/>
      <c r="AS280" s="78" t="str">
        <f>IF(AQ280&lt;&gt;"",ROUND(IF($F$11="raty równe",-PMT(W280/12,$F$4-AQ279+SUM($AR$28:AR280),AV279,2),AT280+AU280),2),"")</f>
        <v/>
      </c>
      <c r="AT280" s="78" t="str">
        <f>IF(AQ280&lt;&gt;"",IF($F$11="raty malejące",AV279/($F$4-AQ279+SUM($AR$28:AR279)),MIN(AS280-AU280,AV279)),"")</f>
        <v/>
      </c>
      <c r="AU280" s="78" t="str">
        <f t="shared" si="216"/>
        <v/>
      </c>
      <c r="AV280" s="79" t="str">
        <f t="shared" si="217"/>
        <v/>
      </c>
      <c r="AW280" s="11"/>
      <c r="AX280" s="33" t="str">
        <f>IF(AQ280&lt;&gt;"",ROUND(IF($F$11="raty równe",-PMT(W280/12,($F$4-AQ279+SUM($AR$27:AR279)),AV279,2),AV279/($F$4-AQ279+SUM($AR$27:AR279))+AV279*W280/12),2),"")</f>
        <v/>
      </c>
      <c r="AY280" s="33" t="str">
        <f t="shared" si="218"/>
        <v/>
      </c>
      <c r="AZ280" s="33" t="str">
        <f t="shared" si="233"/>
        <v/>
      </c>
      <c r="BA280" s="33" t="str">
        <f>IF(AQ280&lt;&gt;"",AZ280-SUM($AY$44:AY280),"")</f>
        <v/>
      </c>
      <c r="BB280" s="11" t="str">
        <f t="shared" si="219"/>
        <v/>
      </c>
      <c r="BC280" s="11" t="str">
        <f>IF(AQ280&lt;&gt;"",IF($B$16=listy!$K$8,'RZĄDOWY PROGRAM'!$F$3*'RZĄDOWY PROGRAM'!$F$15,AV279*$F$15),"")</f>
        <v/>
      </c>
      <c r="BD280" s="11" t="str">
        <f t="shared" si="220"/>
        <v/>
      </c>
      <c r="BF280" s="8" t="str">
        <f t="shared" si="237"/>
        <v/>
      </c>
      <c r="BG280" s="8"/>
      <c r="BH280" s="78" t="str">
        <f>IF(BF280&lt;&gt;"",ROUND(IF($F$11="raty równe",-PMT(W280/12,$F$4-BF279+SUM(BV$28:$BV280)-SUM($BM$29:BM280),BK279,2),BI280+BJ280),2),"")</f>
        <v/>
      </c>
      <c r="BI280" s="78" t="str">
        <f>IF(BF280&lt;&gt;"",IF($F$11="raty malejące",MIN(BK279/($F$4-BF279+SUM($BG$27:BG280)-SUM($BM$27:BM280)),BK279),MIN(BH280-BJ280,BK279)),"")</f>
        <v/>
      </c>
      <c r="BJ280" s="78" t="str">
        <f t="shared" si="238"/>
        <v/>
      </c>
      <c r="BK280" s="79" t="str">
        <f t="shared" si="239"/>
        <v/>
      </c>
      <c r="BL280" s="11"/>
      <c r="BM280" s="33"/>
      <c r="BN280" s="33" t="str">
        <f t="shared" si="234"/>
        <v/>
      </c>
      <c r="BO280" s="33" t="str">
        <f t="shared" si="235"/>
        <v/>
      </c>
      <c r="BP280" s="33" t="str">
        <f>IF(O280&lt;&gt;"",BO280-SUM($BN$44:BN280),"")</f>
        <v/>
      </c>
      <c r="BQ280" s="11" t="str">
        <f t="shared" si="240"/>
        <v/>
      </c>
      <c r="BR280" s="11" t="str">
        <f>IF(BF280&lt;&gt;"",IF($B$16=listy!$K$8,'RZĄDOWY PROGRAM'!$F$3*'RZĄDOWY PROGRAM'!$F$15,BK279*$F$15),"")</f>
        <v/>
      </c>
      <c r="BS280" s="11" t="str">
        <f t="shared" si="241"/>
        <v/>
      </c>
      <c r="BU280" s="8" t="str">
        <f t="shared" si="224"/>
        <v/>
      </c>
      <c r="BV280" s="8"/>
      <c r="BW280" s="78" t="str">
        <f>IF(BU280&lt;&gt;"",ROUND(IF($F$11="raty równe",-PMT(W280/12,$F$4-BU279+SUM($BV$28:BV280)-$CB$43,BZ279,2),BX280+BY280),2),"")</f>
        <v/>
      </c>
      <c r="BX280" s="78" t="str">
        <f>IF(BU280&lt;&gt;"",IF($F$11="raty malejące",MIN(BZ279/($F$4-BU279+SUM($BV$28:BV279)-SUM($CB$28:CB279)),BZ279),MIN(BW280-BY280,BZ279)),"")</f>
        <v/>
      </c>
      <c r="BY280" s="78" t="str">
        <f t="shared" si="245"/>
        <v/>
      </c>
      <c r="BZ280" s="79" t="str">
        <f t="shared" si="231"/>
        <v/>
      </c>
      <c r="CA280" s="11"/>
      <c r="CB280" s="33"/>
      <c r="CC280" s="33" t="str">
        <f t="shared" si="225"/>
        <v/>
      </c>
      <c r="CD280" s="33" t="str">
        <f t="shared" si="236"/>
        <v/>
      </c>
      <c r="CE280" s="33" t="str">
        <f>IF(O280&lt;&gt;"",CD280-SUM($CC$44:CC280),"")</f>
        <v/>
      </c>
      <c r="CF280" s="11" t="str">
        <f t="shared" si="246"/>
        <v/>
      </c>
      <c r="CG280" s="11" t="str">
        <f>IF(BU280&lt;&gt;"",IF($B$16=listy!$K$8,'RZĄDOWY PROGRAM'!$F$3*'RZĄDOWY PROGRAM'!$F$15,BZ279*$F$15),"")</f>
        <v/>
      </c>
      <c r="CH280" s="11" t="str">
        <f t="shared" si="247"/>
        <v/>
      </c>
      <c r="CJ280" s="48" t="str">
        <f t="shared" si="201"/>
        <v/>
      </c>
      <c r="CK280" s="18" t="str">
        <f t="shared" si="202"/>
        <v/>
      </c>
      <c r="CL280" s="11" t="str">
        <f t="shared" si="259"/>
        <v/>
      </c>
      <c r="CM280" s="11" t="str">
        <f t="shared" si="203"/>
        <v/>
      </c>
      <c r="CN280" s="11" t="str">
        <f>IF(AB280&lt;&gt;"",CM280-SUM($CL$28:CL280),"")</f>
        <v/>
      </c>
    </row>
    <row r="281" spans="1:92" x14ac:dyDescent="0.45">
      <c r="A281" s="68" t="str">
        <f t="shared" si="252"/>
        <v/>
      </c>
      <c r="B281" s="8" t="str">
        <f t="shared" si="186"/>
        <v/>
      </c>
      <c r="C281" s="11" t="str">
        <f t="shared" si="187"/>
        <v/>
      </c>
      <c r="D281" s="11" t="str">
        <f t="shared" si="188"/>
        <v/>
      </c>
      <c r="E281" s="11" t="str">
        <f t="shared" si="253"/>
        <v/>
      </c>
      <c r="F281" s="9" t="str">
        <f t="shared" si="254"/>
        <v/>
      </c>
      <c r="G281" s="10" t="str">
        <f t="shared" si="255"/>
        <v/>
      </c>
      <c r="H281" s="10" t="str">
        <f t="shared" si="256"/>
        <v/>
      </c>
      <c r="I281" s="48" t="str">
        <f t="shared" si="205"/>
        <v/>
      </c>
      <c r="J281" s="11" t="str">
        <f t="shared" si="192"/>
        <v/>
      </c>
      <c r="K281" s="11" t="str">
        <f>IF(B281&lt;&gt;"",IF($B$16=listy!$K$8,'RZĄDOWY PROGRAM'!$F$3*'RZĄDOWY PROGRAM'!$F$15,F280*$F$15),"")</f>
        <v/>
      </c>
      <c r="L281" s="11" t="str">
        <f t="shared" si="257"/>
        <v/>
      </c>
      <c r="N281" s="54" t="str">
        <f t="shared" si="260"/>
        <v/>
      </c>
      <c r="O281" s="8" t="str">
        <f t="shared" si="207"/>
        <v/>
      </c>
      <c r="P281" s="8"/>
      <c r="Q281" s="11" t="str">
        <f>IF(O281&lt;&gt;"",ROUND(IF($F$11="raty równe",-PMT(W281/12,$F$4-O280+SUM($P$28:P281),T280,2),R281+S281),2),"")</f>
        <v/>
      </c>
      <c r="R281" s="11" t="str">
        <f>IF(O281&lt;&gt;"",IF($F$11="raty malejące",T280/($F$4-O280+SUM($P$28:P281)),IF(Q281-S281&gt;T280,T280,Q281-S281)),"")</f>
        <v/>
      </c>
      <c r="S281" s="11" t="str">
        <f t="shared" si="261"/>
        <v/>
      </c>
      <c r="T281" s="9" t="str">
        <f t="shared" si="262"/>
        <v/>
      </c>
      <c r="U281" s="10" t="str">
        <f t="shared" si="263"/>
        <v/>
      </c>
      <c r="V281" s="10" t="str">
        <f t="shared" si="264"/>
        <v/>
      </c>
      <c r="W281" s="48" t="str">
        <f t="shared" si="209"/>
        <v/>
      </c>
      <c r="X281" s="11" t="str">
        <f t="shared" si="265"/>
        <v/>
      </c>
      <c r="Y281" s="11" t="str">
        <f>IF(O281&lt;&gt;"",IF($B$16=listy!$K$8,'RZĄDOWY PROGRAM'!$F$3*'RZĄDOWY PROGRAM'!$F$15,T280*$F$15),"")</f>
        <v/>
      </c>
      <c r="Z281" s="11" t="str">
        <f t="shared" si="266"/>
        <v/>
      </c>
      <c r="AB281" s="8" t="str">
        <f t="shared" si="267"/>
        <v/>
      </c>
      <c r="AC281" s="8"/>
      <c r="AD281" s="11" t="str">
        <f>IF(AB281&lt;&gt;"",ROUND(IF($F$11="raty równe",-PMT(W281/12,$F$4-AB280+SUM($AC$28:AC281),AG280,2),AE281+AF281),2),"")</f>
        <v/>
      </c>
      <c r="AE281" s="11" t="str">
        <f>IF(AB281&lt;&gt;"",IF($F$11="raty malejące",AG280/($F$4-AB280+SUM($AC$28:AC280)),MIN(AD281-AF281,AG280)),"")</f>
        <v/>
      </c>
      <c r="AF281" s="11" t="str">
        <f t="shared" si="268"/>
        <v/>
      </c>
      <c r="AG281" s="9" t="str">
        <f t="shared" si="269"/>
        <v/>
      </c>
      <c r="AH281" s="11"/>
      <c r="AI281" s="33" t="str">
        <f>IF(AB281&lt;&gt;"",ROUND(IF($F$11="raty równe",-PMT(W281/12,($F$4-AB280+SUM($AC$27:AC280)),AG280,2),AG280/($F$4-AB280+SUM($AC$27:AC280))+AG280*W281/12),2),"")</f>
        <v/>
      </c>
      <c r="AJ281" s="33" t="str">
        <f t="shared" si="270"/>
        <v/>
      </c>
      <c r="AK281" s="33" t="str">
        <f t="shared" si="196"/>
        <v/>
      </c>
      <c r="AL281" s="33" t="str">
        <f>IF(AB281&lt;&gt;"",AK281-SUM($AJ$28:AJ281),"")</f>
        <v/>
      </c>
      <c r="AM281" s="11" t="str">
        <f t="shared" si="271"/>
        <v/>
      </c>
      <c r="AN281" s="11" t="str">
        <f>IF(AB281&lt;&gt;"",IF($B$16=listy!$K$8,'RZĄDOWY PROGRAM'!$F$3*'RZĄDOWY PROGRAM'!$F$15,AG280*$F$15),"")</f>
        <v/>
      </c>
      <c r="AO281" s="11" t="str">
        <f t="shared" si="272"/>
        <v/>
      </c>
      <c r="AQ281" s="8" t="str">
        <f t="shared" si="215"/>
        <v/>
      </c>
      <c r="AR281" s="8"/>
      <c r="AS281" s="78" t="str">
        <f>IF(AQ281&lt;&gt;"",ROUND(IF($F$11="raty równe",-PMT(W281/12,$F$4-AQ280+SUM($AR$28:AR281),AV280,2),AT281+AU281),2),"")</f>
        <v/>
      </c>
      <c r="AT281" s="78" t="str">
        <f>IF(AQ281&lt;&gt;"",IF($F$11="raty malejące",AV280/($F$4-AQ280+SUM($AR$28:AR280)),MIN(AS281-AU281,AV280)),"")</f>
        <v/>
      </c>
      <c r="AU281" s="78" t="str">
        <f t="shared" si="216"/>
        <v/>
      </c>
      <c r="AV281" s="79" t="str">
        <f t="shared" si="217"/>
        <v/>
      </c>
      <c r="AW281" s="11"/>
      <c r="AX281" s="33" t="str">
        <f>IF(AQ281&lt;&gt;"",ROUND(IF($F$11="raty równe",-PMT(W281/12,($F$4-AQ280+SUM($AR$27:AR280)),AV280,2),AV280/($F$4-AQ280+SUM($AR$27:AR280))+AV280*W281/12),2),"")</f>
        <v/>
      </c>
      <c r="AY281" s="33" t="str">
        <f t="shared" si="218"/>
        <v/>
      </c>
      <c r="AZ281" s="33" t="str">
        <f t="shared" si="233"/>
        <v/>
      </c>
      <c r="BA281" s="33" t="str">
        <f>IF(AQ281&lt;&gt;"",AZ281-SUM($AY$44:AY281),"")</f>
        <v/>
      </c>
      <c r="BB281" s="11" t="str">
        <f t="shared" si="219"/>
        <v/>
      </c>
      <c r="BC281" s="11" t="str">
        <f>IF(AQ281&lt;&gt;"",IF($B$16=listy!$K$8,'RZĄDOWY PROGRAM'!$F$3*'RZĄDOWY PROGRAM'!$F$15,AV280*$F$15),"")</f>
        <v/>
      </c>
      <c r="BD281" s="11" t="str">
        <f t="shared" si="220"/>
        <v/>
      </c>
      <c r="BF281" s="8" t="str">
        <f t="shared" si="237"/>
        <v/>
      </c>
      <c r="BG281" s="8"/>
      <c r="BH281" s="78" t="str">
        <f>IF(BF281&lt;&gt;"",ROUND(IF($F$11="raty równe",-PMT(W281/12,$F$4-BF280+SUM(BV$28:$BV281)-SUM($BM$29:BM281),BK280,2),BI281+BJ281),2),"")</f>
        <v/>
      </c>
      <c r="BI281" s="78" t="str">
        <f>IF(BF281&lt;&gt;"",IF($F$11="raty malejące",MIN(BK280/($F$4-BF280+SUM($BG$27:BG281)-SUM($BM$27:BM281)),BK280),MIN(BH281-BJ281,BK280)),"")</f>
        <v/>
      </c>
      <c r="BJ281" s="78" t="str">
        <f t="shared" si="238"/>
        <v/>
      </c>
      <c r="BK281" s="79" t="str">
        <f t="shared" si="239"/>
        <v/>
      </c>
      <c r="BL281" s="11"/>
      <c r="BM281" s="33"/>
      <c r="BN281" s="33" t="str">
        <f t="shared" si="234"/>
        <v/>
      </c>
      <c r="BO281" s="33" t="str">
        <f t="shared" si="235"/>
        <v/>
      </c>
      <c r="BP281" s="33" t="str">
        <f>IF(O281&lt;&gt;"",BO281-SUM($BN$44:BN281),"")</f>
        <v/>
      </c>
      <c r="BQ281" s="11" t="str">
        <f t="shared" si="240"/>
        <v/>
      </c>
      <c r="BR281" s="11" t="str">
        <f>IF(BF281&lt;&gt;"",IF($B$16=listy!$K$8,'RZĄDOWY PROGRAM'!$F$3*'RZĄDOWY PROGRAM'!$F$15,BK280*$F$15),"")</f>
        <v/>
      </c>
      <c r="BS281" s="11" t="str">
        <f t="shared" si="241"/>
        <v/>
      </c>
      <c r="BU281" s="8" t="str">
        <f t="shared" si="224"/>
        <v/>
      </c>
      <c r="BV281" s="8"/>
      <c r="BW281" s="78" t="str">
        <f>IF(BU281&lt;&gt;"",ROUND(IF($F$11="raty równe",-PMT(W281/12,$F$4-BU280+SUM($BV$28:BV281)-$CB$43,BZ280,2),BX281+BY281),2),"")</f>
        <v/>
      </c>
      <c r="BX281" s="78" t="str">
        <f>IF(BU281&lt;&gt;"",IF($F$11="raty malejące",MIN(BZ280/($F$4-BU280+SUM($BV$28:BV280)-SUM($CB$28:CB280)),BZ280),MIN(BW281-BY281,BZ280)),"")</f>
        <v/>
      </c>
      <c r="BY281" s="78" t="str">
        <f t="shared" si="245"/>
        <v/>
      </c>
      <c r="BZ281" s="79" t="str">
        <f t="shared" si="231"/>
        <v/>
      </c>
      <c r="CA281" s="11"/>
      <c r="CB281" s="33"/>
      <c r="CC281" s="33" t="str">
        <f t="shared" si="225"/>
        <v/>
      </c>
      <c r="CD281" s="33" t="str">
        <f t="shared" si="236"/>
        <v/>
      </c>
      <c r="CE281" s="33" t="str">
        <f>IF(O281&lt;&gt;"",CD281-SUM($CC$44:CC281),"")</f>
        <v/>
      </c>
      <c r="CF281" s="11" t="str">
        <f t="shared" si="246"/>
        <v/>
      </c>
      <c r="CG281" s="11" t="str">
        <f>IF(BU281&lt;&gt;"",IF($B$16=listy!$K$8,'RZĄDOWY PROGRAM'!$F$3*'RZĄDOWY PROGRAM'!$F$15,BZ280*$F$15),"")</f>
        <v/>
      </c>
      <c r="CH281" s="11" t="str">
        <f t="shared" si="247"/>
        <v/>
      </c>
      <c r="CJ281" s="48" t="str">
        <f t="shared" si="201"/>
        <v/>
      </c>
      <c r="CK281" s="18" t="str">
        <f t="shared" si="202"/>
        <v/>
      </c>
      <c r="CL281" s="11" t="str">
        <f t="shared" si="259"/>
        <v/>
      </c>
      <c r="CM281" s="11" t="str">
        <f t="shared" si="203"/>
        <v/>
      </c>
      <c r="CN281" s="11" t="str">
        <f>IF(AB281&lt;&gt;"",CM281-SUM($CL$28:CL281),"")</f>
        <v/>
      </c>
    </row>
    <row r="282" spans="1:92" x14ac:dyDescent="0.45">
      <c r="A282" s="68" t="str">
        <f t="shared" si="252"/>
        <v/>
      </c>
      <c r="B282" s="8" t="str">
        <f t="shared" si="186"/>
        <v/>
      </c>
      <c r="C282" s="11" t="str">
        <f t="shared" si="187"/>
        <v/>
      </c>
      <c r="D282" s="11" t="str">
        <f t="shared" si="188"/>
        <v/>
      </c>
      <c r="E282" s="11" t="str">
        <f t="shared" si="253"/>
        <v/>
      </c>
      <c r="F282" s="9" t="str">
        <f t="shared" si="254"/>
        <v/>
      </c>
      <c r="G282" s="10" t="str">
        <f t="shared" si="255"/>
        <v/>
      </c>
      <c r="H282" s="10" t="str">
        <f t="shared" si="256"/>
        <v/>
      </c>
      <c r="I282" s="48" t="str">
        <f t="shared" si="205"/>
        <v/>
      </c>
      <c r="J282" s="11" t="str">
        <f t="shared" si="192"/>
        <v/>
      </c>
      <c r="K282" s="11" t="str">
        <f>IF(B282&lt;&gt;"",IF($B$16=listy!$K$8,'RZĄDOWY PROGRAM'!$F$3*'RZĄDOWY PROGRAM'!$F$15,F281*$F$15),"")</f>
        <v/>
      </c>
      <c r="L282" s="11" t="str">
        <f t="shared" si="257"/>
        <v/>
      </c>
      <c r="N282" s="54" t="str">
        <f t="shared" si="260"/>
        <v/>
      </c>
      <c r="O282" s="8" t="str">
        <f t="shared" si="207"/>
        <v/>
      </c>
      <c r="P282" s="8"/>
      <c r="Q282" s="11" t="str">
        <f>IF(O282&lt;&gt;"",ROUND(IF($F$11="raty równe",-PMT(W282/12,$F$4-O281+SUM($P$28:P282),T281,2),R282+S282),2),"")</f>
        <v/>
      </c>
      <c r="R282" s="11" t="str">
        <f>IF(O282&lt;&gt;"",IF($F$11="raty malejące",T281/($F$4-O281+SUM($P$28:P282)),IF(Q282-S282&gt;T281,T281,Q282-S282)),"")</f>
        <v/>
      </c>
      <c r="S282" s="11" t="str">
        <f t="shared" si="261"/>
        <v/>
      </c>
      <c r="T282" s="9" t="str">
        <f t="shared" si="262"/>
        <v/>
      </c>
      <c r="U282" s="10" t="str">
        <f t="shared" si="263"/>
        <v/>
      </c>
      <c r="V282" s="10" t="str">
        <f t="shared" si="264"/>
        <v/>
      </c>
      <c r="W282" s="48" t="str">
        <f t="shared" si="209"/>
        <v/>
      </c>
      <c r="X282" s="11" t="str">
        <f t="shared" si="265"/>
        <v/>
      </c>
      <c r="Y282" s="11" t="str">
        <f>IF(O282&lt;&gt;"",IF($B$16=listy!$K$8,'RZĄDOWY PROGRAM'!$F$3*'RZĄDOWY PROGRAM'!$F$15,T281*$F$15),"")</f>
        <v/>
      </c>
      <c r="Z282" s="11" t="str">
        <f t="shared" si="266"/>
        <v/>
      </c>
      <c r="AB282" s="8" t="str">
        <f t="shared" si="267"/>
        <v/>
      </c>
      <c r="AC282" s="8"/>
      <c r="AD282" s="11" t="str">
        <f>IF(AB282&lt;&gt;"",ROUND(IF($F$11="raty równe",-PMT(W282/12,$F$4-AB281+SUM($AC$28:AC282),AG281,2),AE282+AF282),2),"")</f>
        <v/>
      </c>
      <c r="AE282" s="11" t="str">
        <f>IF(AB282&lt;&gt;"",IF($F$11="raty malejące",AG281/($F$4-AB281+SUM($AC$28:AC281)),MIN(AD282-AF282,AG281)),"")</f>
        <v/>
      </c>
      <c r="AF282" s="11" t="str">
        <f t="shared" si="268"/>
        <v/>
      </c>
      <c r="AG282" s="9" t="str">
        <f t="shared" si="269"/>
        <v/>
      </c>
      <c r="AH282" s="11"/>
      <c r="AI282" s="33" t="str">
        <f>IF(AB282&lt;&gt;"",ROUND(IF($F$11="raty równe",-PMT(W282/12,($F$4-AB281+SUM($AC$27:AC281)),AG281,2),AG281/($F$4-AB281+SUM($AC$27:AC281))+AG281*W282/12),2),"")</f>
        <v/>
      </c>
      <c r="AJ282" s="33" t="str">
        <f t="shared" si="270"/>
        <v/>
      </c>
      <c r="AK282" s="33" t="str">
        <f t="shared" si="196"/>
        <v/>
      </c>
      <c r="AL282" s="33" t="str">
        <f>IF(AB282&lt;&gt;"",AK282-SUM($AJ$28:AJ282),"")</f>
        <v/>
      </c>
      <c r="AM282" s="11" t="str">
        <f t="shared" si="271"/>
        <v/>
      </c>
      <c r="AN282" s="11" t="str">
        <f>IF(AB282&lt;&gt;"",IF($B$16=listy!$K$8,'RZĄDOWY PROGRAM'!$F$3*'RZĄDOWY PROGRAM'!$F$15,AG281*$F$15),"")</f>
        <v/>
      </c>
      <c r="AO282" s="11" t="str">
        <f t="shared" si="272"/>
        <v/>
      </c>
      <c r="AQ282" s="8" t="str">
        <f t="shared" si="215"/>
        <v/>
      </c>
      <c r="AR282" s="8"/>
      <c r="AS282" s="78" t="str">
        <f>IF(AQ282&lt;&gt;"",ROUND(IF($F$11="raty równe",-PMT(W282/12,$F$4-AQ281+SUM($AR$28:AR282),AV281,2),AT282+AU282),2),"")</f>
        <v/>
      </c>
      <c r="AT282" s="78" t="str">
        <f>IF(AQ282&lt;&gt;"",IF($F$11="raty malejące",AV281/($F$4-AQ281+SUM($AR$28:AR281)),MIN(AS282-AU282,AV281)),"")</f>
        <v/>
      </c>
      <c r="AU282" s="78" t="str">
        <f t="shared" si="216"/>
        <v/>
      </c>
      <c r="AV282" s="79" t="str">
        <f t="shared" si="217"/>
        <v/>
      </c>
      <c r="AW282" s="11"/>
      <c r="AX282" s="33" t="str">
        <f>IF(AQ282&lt;&gt;"",ROUND(IF($F$11="raty równe",-PMT(W282/12,($F$4-AQ281+SUM($AR$27:AR281)),AV281,2),AV281/($F$4-AQ281+SUM($AR$27:AR281))+AV281*W282/12),2),"")</f>
        <v/>
      </c>
      <c r="AY282" s="33" t="str">
        <f t="shared" si="218"/>
        <v/>
      </c>
      <c r="AZ282" s="33" t="str">
        <f t="shared" si="233"/>
        <v/>
      </c>
      <c r="BA282" s="33" t="str">
        <f>IF(AQ282&lt;&gt;"",AZ282-SUM($AY$44:AY282),"")</f>
        <v/>
      </c>
      <c r="BB282" s="11" t="str">
        <f t="shared" si="219"/>
        <v/>
      </c>
      <c r="BC282" s="11" t="str">
        <f>IF(AQ282&lt;&gt;"",IF($B$16=listy!$K$8,'RZĄDOWY PROGRAM'!$F$3*'RZĄDOWY PROGRAM'!$F$15,AV281*$F$15),"")</f>
        <v/>
      </c>
      <c r="BD282" s="11" t="str">
        <f t="shared" si="220"/>
        <v/>
      </c>
      <c r="BF282" s="8" t="str">
        <f t="shared" si="237"/>
        <v/>
      </c>
      <c r="BG282" s="8"/>
      <c r="BH282" s="78" t="str">
        <f>IF(BF282&lt;&gt;"",ROUND(IF($F$11="raty równe",-PMT(W282/12,$F$4-BF281+SUM(BV$28:$BV282)-SUM($BM$29:BM282),BK281,2),BI282+BJ282),2),"")</f>
        <v/>
      </c>
      <c r="BI282" s="78" t="str">
        <f>IF(BF282&lt;&gt;"",IF($F$11="raty malejące",MIN(BK281/($F$4-BF281+SUM($BG$27:BG282)-SUM($BM$27:BM282)),BK281),MIN(BH282-BJ282,BK281)),"")</f>
        <v/>
      </c>
      <c r="BJ282" s="78" t="str">
        <f t="shared" si="238"/>
        <v/>
      </c>
      <c r="BK282" s="79" t="str">
        <f t="shared" si="239"/>
        <v/>
      </c>
      <c r="BL282" s="11"/>
      <c r="BM282" s="33"/>
      <c r="BN282" s="33" t="str">
        <f t="shared" si="234"/>
        <v/>
      </c>
      <c r="BO282" s="33" t="str">
        <f t="shared" si="235"/>
        <v/>
      </c>
      <c r="BP282" s="33" t="str">
        <f>IF(O282&lt;&gt;"",BO282-SUM($BN$44:BN282),"")</f>
        <v/>
      </c>
      <c r="BQ282" s="11" t="str">
        <f t="shared" si="240"/>
        <v/>
      </c>
      <c r="BR282" s="11" t="str">
        <f>IF(BF282&lt;&gt;"",IF($B$16=listy!$K$8,'RZĄDOWY PROGRAM'!$F$3*'RZĄDOWY PROGRAM'!$F$15,BK281*$F$15),"")</f>
        <v/>
      </c>
      <c r="BS282" s="11" t="str">
        <f t="shared" si="241"/>
        <v/>
      </c>
      <c r="BU282" s="8" t="str">
        <f t="shared" si="224"/>
        <v/>
      </c>
      <c r="BV282" s="8"/>
      <c r="BW282" s="78" t="str">
        <f>IF(BU282&lt;&gt;"",ROUND(IF($F$11="raty równe",-PMT(W282/12,$F$4-BU281+SUM($BV$28:BV282)-$CB$43,BZ281,2),BX282+BY282),2),"")</f>
        <v/>
      </c>
      <c r="BX282" s="78" t="str">
        <f>IF(BU282&lt;&gt;"",IF($F$11="raty malejące",MIN(BZ281/($F$4-BU281+SUM($BV$28:BV281)-SUM($CB$28:CB281)),BZ281),MIN(BW282-BY282,BZ281)),"")</f>
        <v/>
      </c>
      <c r="BY282" s="78" t="str">
        <f t="shared" si="245"/>
        <v/>
      </c>
      <c r="BZ282" s="79" t="str">
        <f t="shared" si="231"/>
        <v/>
      </c>
      <c r="CA282" s="11"/>
      <c r="CB282" s="33"/>
      <c r="CC282" s="33" t="str">
        <f t="shared" si="225"/>
        <v/>
      </c>
      <c r="CD282" s="33" t="str">
        <f t="shared" si="236"/>
        <v/>
      </c>
      <c r="CE282" s="33" t="str">
        <f>IF(O282&lt;&gt;"",CD282-SUM($CC$44:CC282),"")</f>
        <v/>
      </c>
      <c r="CF282" s="11" t="str">
        <f t="shared" si="246"/>
        <v/>
      </c>
      <c r="CG282" s="11" t="str">
        <f>IF(BU282&lt;&gt;"",IF($B$16=listy!$K$8,'RZĄDOWY PROGRAM'!$F$3*'RZĄDOWY PROGRAM'!$F$15,BZ281*$F$15),"")</f>
        <v/>
      </c>
      <c r="CH282" s="11" t="str">
        <f t="shared" si="247"/>
        <v/>
      </c>
      <c r="CJ282" s="48" t="str">
        <f t="shared" si="201"/>
        <v/>
      </c>
      <c r="CK282" s="18" t="str">
        <f t="shared" si="202"/>
        <v/>
      </c>
      <c r="CL282" s="11" t="str">
        <f t="shared" si="259"/>
        <v/>
      </c>
      <c r="CM282" s="11" t="str">
        <f t="shared" si="203"/>
        <v/>
      </c>
      <c r="CN282" s="11" t="str">
        <f>IF(AB282&lt;&gt;"",CM282-SUM($CL$28:CL282),"")</f>
        <v/>
      </c>
    </row>
    <row r="283" spans="1:92" x14ac:dyDescent="0.45">
      <c r="A283" s="68" t="str">
        <f t="shared" si="252"/>
        <v/>
      </c>
      <c r="B283" s="8" t="str">
        <f t="shared" si="186"/>
        <v/>
      </c>
      <c r="C283" s="11" t="str">
        <f t="shared" si="187"/>
        <v/>
      </c>
      <c r="D283" s="11" t="str">
        <f t="shared" si="188"/>
        <v/>
      </c>
      <c r="E283" s="11" t="str">
        <f t="shared" si="253"/>
        <v/>
      </c>
      <c r="F283" s="9" t="str">
        <f t="shared" si="254"/>
        <v/>
      </c>
      <c r="G283" s="10" t="str">
        <f t="shared" si="255"/>
        <v/>
      </c>
      <c r="H283" s="10" t="str">
        <f t="shared" si="256"/>
        <v/>
      </c>
      <c r="I283" s="48" t="str">
        <f t="shared" si="205"/>
        <v/>
      </c>
      <c r="J283" s="11" t="str">
        <f t="shared" si="192"/>
        <v/>
      </c>
      <c r="K283" s="11" t="str">
        <f>IF(B283&lt;&gt;"",IF($B$16=listy!$K$8,'RZĄDOWY PROGRAM'!$F$3*'RZĄDOWY PROGRAM'!$F$15,F282*$F$15),"")</f>
        <v/>
      </c>
      <c r="L283" s="11" t="str">
        <f t="shared" si="257"/>
        <v/>
      </c>
      <c r="N283" s="54" t="str">
        <f t="shared" si="260"/>
        <v/>
      </c>
      <c r="O283" s="8" t="str">
        <f t="shared" si="207"/>
        <v/>
      </c>
      <c r="P283" s="8"/>
      <c r="Q283" s="11" t="str">
        <f>IF(O283&lt;&gt;"",ROUND(IF($F$11="raty równe",-PMT(W283/12,$F$4-O282+SUM($P$28:P283),T282,2),R283+S283),2),"")</f>
        <v/>
      </c>
      <c r="R283" s="11" t="str">
        <f>IF(O283&lt;&gt;"",IF($F$11="raty malejące",T282/($F$4-O282+SUM($P$28:P283)),IF(Q283-S283&gt;T282,T282,Q283-S283)),"")</f>
        <v/>
      </c>
      <c r="S283" s="11" t="str">
        <f t="shared" si="261"/>
        <v/>
      </c>
      <c r="T283" s="9" t="str">
        <f t="shared" si="262"/>
        <v/>
      </c>
      <c r="U283" s="10" t="str">
        <f t="shared" si="263"/>
        <v/>
      </c>
      <c r="V283" s="10" t="str">
        <f t="shared" si="264"/>
        <v/>
      </c>
      <c r="W283" s="48" t="str">
        <f t="shared" si="209"/>
        <v/>
      </c>
      <c r="X283" s="11" t="str">
        <f t="shared" si="265"/>
        <v/>
      </c>
      <c r="Y283" s="11" t="str">
        <f>IF(O283&lt;&gt;"",IF($B$16=listy!$K$8,'RZĄDOWY PROGRAM'!$F$3*'RZĄDOWY PROGRAM'!$F$15,T282*$F$15),"")</f>
        <v/>
      </c>
      <c r="Z283" s="11" t="str">
        <f t="shared" si="266"/>
        <v/>
      </c>
      <c r="AB283" s="8" t="str">
        <f t="shared" si="267"/>
        <v/>
      </c>
      <c r="AC283" s="8"/>
      <c r="AD283" s="11" t="str">
        <f>IF(AB283&lt;&gt;"",ROUND(IF($F$11="raty równe",-PMT(W283/12,$F$4-AB282+SUM($AC$28:AC283),AG282,2),AE283+AF283),2),"")</f>
        <v/>
      </c>
      <c r="AE283" s="11" t="str">
        <f>IF(AB283&lt;&gt;"",IF($F$11="raty malejące",AG282/($F$4-AB282+SUM($AC$28:AC282)),MIN(AD283-AF283,AG282)),"")</f>
        <v/>
      </c>
      <c r="AF283" s="11" t="str">
        <f t="shared" si="268"/>
        <v/>
      </c>
      <c r="AG283" s="9" t="str">
        <f t="shared" si="269"/>
        <v/>
      </c>
      <c r="AH283" s="11"/>
      <c r="AI283" s="33" t="str">
        <f>IF(AB283&lt;&gt;"",ROUND(IF($F$11="raty równe",-PMT(W283/12,($F$4-AB282+SUM($AC$27:AC282)),AG282,2),AG282/($F$4-AB282+SUM($AC$27:AC282))+AG282*W283/12),2),"")</f>
        <v/>
      </c>
      <c r="AJ283" s="33" t="str">
        <f t="shared" si="270"/>
        <v/>
      </c>
      <c r="AK283" s="33" t="str">
        <f t="shared" si="196"/>
        <v/>
      </c>
      <c r="AL283" s="33" t="str">
        <f>IF(AB283&lt;&gt;"",AK283-SUM($AJ$28:AJ283),"")</f>
        <v/>
      </c>
      <c r="AM283" s="11" t="str">
        <f t="shared" si="271"/>
        <v/>
      </c>
      <c r="AN283" s="11" t="str">
        <f>IF(AB283&lt;&gt;"",IF($B$16=listy!$K$8,'RZĄDOWY PROGRAM'!$F$3*'RZĄDOWY PROGRAM'!$F$15,AG282*$F$15),"")</f>
        <v/>
      </c>
      <c r="AO283" s="11" t="str">
        <f t="shared" si="272"/>
        <v/>
      </c>
      <c r="AQ283" s="8" t="str">
        <f t="shared" si="215"/>
        <v/>
      </c>
      <c r="AR283" s="8"/>
      <c r="AS283" s="78" t="str">
        <f>IF(AQ283&lt;&gt;"",ROUND(IF($F$11="raty równe",-PMT(W283/12,$F$4-AQ282+SUM($AR$28:AR283),AV282,2),AT283+AU283),2),"")</f>
        <v/>
      </c>
      <c r="AT283" s="78" t="str">
        <f>IF(AQ283&lt;&gt;"",IF($F$11="raty malejące",AV282/($F$4-AQ282+SUM($AR$28:AR282)),MIN(AS283-AU283,AV282)),"")</f>
        <v/>
      </c>
      <c r="AU283" s="78" t="str">
        <f t="shared" si="216"/>
        <v/>
      </c>
      <c r="AV283" s="79" t="str">
        <f t="shared" si="217"/>
        <v/>
      </c>
      <c r="AW283" s="11"/>
      <c r="AX283" s="33" t="str">
        <f>IF(AQ283&lt;&gt;"",ROUND(IF($F$11="raty równe",-PMT(W283/12,($F$4-AQ282+SUM($AR$27:AR282)),AV282,2),AV282/($F$4-AQ282+SUM($AR$27:AR282))+AV282*W283/12),2),"")</f>
        <v/>
      </c>
      <c r="AY283" s="33" t="str">
        <f t="shared" si="218"/>
        <v/>
      </c>
      <c r="AZ283" s="33" t="str">
        <f t="shared" si="233"/>
        <v/>
      </c>
      <c r="BA283" s="33" t="str">
        <f>IF(AQ283&lt;&gt;"",AZ283-SUM($AY$44:AY283),"")</f>
        <v/>
      </c>
      <c r="BB283" s="11" t="str">
        <f t="shared" si="219"/>
        <v/>
      </c>
      <c r="BC283" s="11" t="str">
        <f>IF(AQ283&lt;&gt;"",IF($B$16=listy!$K$8,'RZĄDOWY PROGRAM'!$F$3*'RZĄDOWY PROGRAM'!$F$15,AV282*$F$15),"")</f>
        <v/>
      </c>
      <c r="BD283" s="11" t="str">
        <f t="shared" si="220"/>
        <v/>
      </c>
      <c r="BF283" s="8" t="str">
        <f t="shared" si="237"/>
        <v/>
      </c>
      <c r="BG283" s="8"/>
      <c r="BH283" s="78" t="str">
        <f>IF(BF283&lt;&gt;"",ROUND(IF($F$11="raty równe",-PMT(W283/12,$F$4-BF282+SUM(BV$28:$BV283)-SUM($BM$29:BM283),BK282,2),BI283+BJ283),2),"")</f>
        <v/>
      </c>
      <c r="BI283" s="78" t="str">
        <f>IF(BF283&lt;&gt;"",IF($F$11="raty malejące",MIN(BK282/($F$4-BF282+SUM($BG$27:BG283)-SUM($BM$27:BM283)),BK282),MIN(BH283-BJ283,BK282)),"")</f>
        <v/>
      </c>
      <c r="BJ283" s="78" t="str">
        <f t="shared" si="238"/>
        <v/>
      </c>
      <c r="BK283" s="79" t="str">
        <f t="shared" si="239"/>
        <v/>
      </c>
      <c r="BL283" s="11"/>
      <c r="BM283" s="33"/>
      <c r="BN283" s="33" t="str">
        <f t="shared" si="234"/>
        <v/>
      </c>
      <c r="BO283" s="33" t="str">
        <f t="shared" si="235"/>
        <v/>
      </c>
      <c r="BP283" s="33" t="str">
        <f>IF(O283&lt;&gt;"",BO283-SUM($BN$44:BN283),"")</f>
        <v/>
      </c>
      <c r="BQ283" s="11" t="str">
        <f t="shared" si="240"/>
        <v/>
      </c>
      <c r="BR283" s="11" t="str">
        <f>IF(BF283&lt;&gt;"",IF($B$16=listy!$K$8,'RZĄDOWY PROGRAM'!$F$3*'RZĄDOWY PROGRAM'!$F$15,BK282*$F$15),"")</f>
        <v/>
      </c>
      <c r="BS283" s="11" t="str">
        <f t="shared" si="241"/>
        <v/>
      </c>
      <c r="BU283" s="8" t="str">
        <f t="shared" si="224"/>
        <v/>
      </c>
      <c r="BV283" s="8"/>
      <c r="BW283" s="78" t="str">
        <f>IF(BU283&lt;&gt;"",ROUND(IF($F$11="raty równe",-PMT(W283/12,$F$4-BU282+SUM($BV$28:BV283)-$CB$43,BZ282,2),BX283+BY283),2),"")</f>
        <v/>
      </c>
      <c r="BX283" s="78" t="str">
        <f>IF(BU283&lt;&gt;"",IF($F$11="raty malejące",MIN(BZ282/($F$4-BU282+SUM($BV$28:BV282)-SUM($CB$28:CB282)),BZ282),MIN(BW283-BY283,BZ282)),"")</f>
        <v/>
      </c>
      <c r="BY283" s="78" t="str">
        <f t="shared" si="245"/>
        <v/>
      </c>
      <c r="BZ283" s="79" t="str">
        <f t="shared" si="231"/>
        <v/>
      </c>
      <c r="CA283" s="11"/>
      <c r="CB283" s="33"/>
      <c r="CC283" s="33" t="str">
        <f t="shared" si="225"/>
        <v/>
      </c>
      <c r="CD283" s="33" t="str">
        <f t="shared" si="236"/>
        <v/>
      </c>
      <c r="CE283" s="33" t="str">
        <f>IF(O283&lt;&gt;"",CD283-SUM($CC$44:CC283),"")</f>
        <v/>
      </c>
      <c r="CF283" s="11" t="str">
        <f t="shared" si="246"/>
        <v/>
      </c>
      <c r="CG283" s="11" t="str">
        <f>IF(BU283&lt;&gt;"",IF($B$16=listy!$K$8,'RZĄDOWY PROGRAM'!$F$3*'RZĄDOWY PROGRAM'!$F$15,BZ282*$F$15),"")</f>
        <v/>
      </c>
      <c r="CH283" s="11" t="str">
        <f t="shared" si="247"/>
        <v/>
      </c>
      <c r="CJ283" s="48" t="str">
        <f t="shared" si="201"/>
        <v/>
      </c>
      <c r="CK283" s="18" t="str">
        <f t="shared" si="202"/>
        <v/>
      </c>
      <c r="CL283" s="11" t="str">
        <f t="shared" si="259"/>
        <v/>
      </c>
      <c r="CM283" s="11" t="str">
        <f t="shared" si="203"/>
        <v/>
      </c>
      <c r="CN283" s="11" t="str">
        <f>IF(AB283&lt;&gt;"",CM283-SUM($CL$28:CL283),"")</f>
        <v/>
      </c>
    </row>
    <row r="284" spans="1:92" x14ac:dyDescent="0.45">
      <c r="A284" s="68" t="str">
        <f t="shared" si="252"/>
        <v/>
      </c>
      <c r="B284" s="8" t="str">
        <f t="shared" ref="B284:B347" si="273">IFERROR(IF(B283+1&lt;=$F$4,B283+1,""),"")</f>
        <v/>
      </c>
      <c r="C284" s="11" t="str">
        <f t="shared" ref="C284:C347" si="274">IF(B284&lt;&gt;"",ROUND(IF($F$11="raty równe",-PMT(I284/12,$F$4-B283,F283,2),D284+E284),2),"")</f>
        <v/>
      </c>
      <c r="D284" s="11" t="str">
        <f t="shared" ref="D284:D347" si="275">IF(B284&lt;&gt;"",IF($F$11="raty malejące",F283/($F$4-B283),IF(C284-E284&gt;F283,F283,C284-E284)),"")</f>
        <v/>
      </c>
      <c r="E284" s="11" t="str">
        <f t="shared" si="253"/>
        <v/>
      </c>
      <c r="F284" s="9" t="str">
        <f t="shared" si="254"/>
        <v/>
      </c>
      <c r="G284" s="10" t="str">
        <f t="shared" si="255"/>
        <v/>
      </c>
      <c r="H284" s="10" t="str">
        <f t="shared" si="256"/>
        <v/>
      </c>
      <c r="I284" s="48" t="str">
        <f t="shared" si="205"/>
        <v/>
      </c>
      <c r="J284" s="11" t="str">
        <f t="shared" ref="J284:J347" si="276">IF(B284&lt;=$F$4,$F$14,"")</f>
        <v/>
      </c>
      <c r="K284" s="11" t="str">
        <f>IF(B284&lt;&gt;"",IF($B$16=listy!$K$8,'RZĄDOWY PROGRAM'!$F$3*'RZĄDOWY PROGRAM'!$F$15,F283*$F$15),"")</f>
        <v/>
      </c>
      <c r="L284" s="11" t="str">
        <f t="shared" si="257"/>
        <v/>
      </c>
      <c r="N284" s="54" t="str">
        <f t="shared" si="260"/>
        <v/>
      </c>
      <c r="O284" s="8" t="str">
        <f t="shared" si="207"/>
        <v/>
      </c>
      <c r="P284" s="8"/>
      <c r="Q284" s="11" t="str">
        <f>IF(O284&lt;&gt;"",ROUND(IF($F$11="raty równe",-PMT(W284/12,$F$4-O283+SUM($P$28:P284),T283,2),R284+S284),2),"")</f>
        <v/>
      </c>
      <c r="R284" s="11" t="str">
        <f>IF(O284&lt;&gt;"",IF($F$11="raty malejące",T283/($F$4-O283+SUM($P$28:P284)),IF(Q284-S284&gt;T283,T283,Q284-S284)),"")</f>
        <v/>
      </c>
      <c r="S284" s="11" t="str">
        <f t="shared" si="261"/>
        <v/>
      </c>
      <c r="T284" s="9" t="str">
        <f t="shared" si="262"/>
        <v/>
      </c>
      <c r="U284" s="10" t="str">
        <f t="shared" si="263"/>
        <v/>
      </c>
      <c r="V284" s="10" t="str">
        <f t="shared" si="264"/>
        <v/>
      </c>
      <c r="W284" s="48" t="str">
        <f t="shared" si="209"/>
        <v/>
      </c>
      <c r="X284" s="11" t="str">
        <f t="shared" si="265"/>
        <v/>
      </c>
      <c r="Y284" s="11" t="str">
        <f>IF(O284&lt;&gt;"",IF($B$16=listy!$K$8,'RZĄDOWY PROGRAM'!$F$3*'RZĄDOWY PROGRAM'!$F$15,T283*$F$15),"")</f>
        <v/>
      </c>
      <c r="Z284" s="11" t="str">
        <f t="shared" si="266"/>
        <v/>
      </c>
      <c r="AB284" s="8" t="str">
        <f t="shared" si="267"/>
        <v/>
      </c>
      <c r="AC284" s="8"/>
      <c r="AD284" s="11" t="str">
        <f>IF(AB284&lt;&gt;"",ROUND(IF($F$11="raty równe",-PMT(W284/12,$F$4-AB283+SUM($AC$28:AC284),AG283,2),AE284+AF284),2),"")</f>
        <v/>
      </c>
      <c r="AE284" s="11" t="str">
        <f>IF(AB284&lt;&gt;"",IF($F$11="raty malejące",AG283/($F$4-AB283+SUM($AC$28:AC283)),MIN(AD284-AF284,AG283)),"")</f>
        <v/>
      </c>
      <c r="AF284" s="11" t="str">
        <f t="shared" si="268"/>
        <v/>
      </c>
      <c r="AG284" s="9" t="str">
        <f t="shared" si="269"/>
        <v/>
      </c>
      <c r="AH284" s="11"/>
      <c r="AI284" s="33" t="str">
        <f>IF(AB284&lt;&gt;"",ROUND(IF($F$11="raty równe",-PMT(W284/12,($F$4-AB283+SUM($AC$27:AC283)),AG283,2),AG283/($F$4-AB283+SUM($AC$27:AC283))+AG283*W284/12),2),"")</f>
        <v/>
      </c>
      <c r="AJ284" s="33" t="str">
        <f t="shared" si="270"/>
        <v/>
      </c>
      <c r="AK284" s="33" t="str">
        <f t="shared" ref="AK284:AK347" si="277">IF(AB284&lt;&gt;"",IF($F$21="co miesiąc",AK283*(1+(1-$F$20)*CK284)+AJ284,(AK283*(1+CK284)+AJ284)),"")</f>
        <v/>
      </c>
      <c r="AL284" s="33" t="str">
        <f>IF(AB284&lt;&gt;"",AK284-SUM($AJ$28:AJ284),"")</f>
        <v/>
      </c>
      <c r="AM284" s="11" t="str">
        <f t="shared" si="271"/>
        <v/>
      </c>
      <c r="AN284" s="11" t="str">
        <f>IF(AB284&lt;&gt;"",IF($B$16=listy!$K$8,'RZĄDOWY PROGRAM'!$F$3*'RZĄDOWY PROGRAM'!$F$15,AG283*$F$15),"")</f>
        <v/>
      </c>
      <c r="AO284" s="11" t="str">
        <f t="shared" si="272"/>
        <v/>
      </c>
      <c r="AQ284" s="8" t="str">
        <f t="shared" si="215"/>
        <v/>
      </c>
      <c r="AR284" s="8"/>
      <c r="AS284" s="78" t="str">
        <f>IF(AQ284&lt;&gt;"",ROUND(IF($F$11="raty równe",-PMT(W284/12,$F$4-AQ283+SUM($AR$28:AR284),AV283,2),AT284+AU284),2),"")</f>
        <v/>
      </c>
      <c r="AT284" s="78" t="str">
        <f>IF(AQ284&lt;&gt;"",IF($F$11="raty malejące",AV283/($F$4-AQ283+SUM($AR$28:AR283)),MIN(AS284-AU284,AV283)),"")</f>
        <v/>
      </c>
      <c r="AU284" s="78" t="str">
        <f t="shared" si="216"/>
        <v/>
      </c>
      <c r="AV284" s="79" t="str">
        <f t="shared" si="217"/>
        <v/>
      </c>
      <c r="AW284" s="11"/>
      <c r="AX284" s="33" t="str">
        <f>IF(AQ284&lt;&gt;"",ROUND(IF($F$11="raty równe",-PMT(W284/12,($F$4-AQ283+SUM($AR$27:AR283)),AV283,2),AV283/($F$4-AQ283+SUM($AR$27:AR283))+AV283*W284/12),2),"")</f>
        <v/>
      </c>
      <c r="AY284" s="33" t="str">
        <f t="shared" si="218"/>
        <v/>
      </c>
      <c r="AZ284" s="33" t="str">
        <f t="shared" si="233"/>
        <v/>
      </c>
      <c r="BA284" s="33" t="str">
        <f>IF(AQ284&lt;&gt;"",AZ284-SUM($AY$44:AY284),"")</f>
        <v/>
      </c>
      <c r="BB284" s="11" t="str">
        <f t="shared" si="219"/>
        <v/>
      </c>
      <c r="BC284" s="11" t="str">
        <f>IF(AQ284&lt;&gt;"",IF($B$16=listy!$K$8,'RZĄDOWY PROGRAM'!$F$3*'RZĄDOWY PROGRAM'!$F$15,AV283*$F$15),"")</f>
        <v/>
      </c>
      <c r="BD284" s="11" t="str">
        <f t="shared" si="220"/>
        <v/>
      </c>
      <c r="BF284" s="8" t="str">
        <f t="shared" si="237"/>
        <v/>
      </c>
      <c r="BG284" s="8"/>
      <c r="BH284" s="78" t="str">
        <f>IF(BF284&lt;&gt;"",ROUND(IF($F$11="raty równe",-PMT(W284/12,$F$4-BF283+SUM(BV$28:$BV284)-SUM($BM$29:BM284),BK283,2),BI284+BJ284),2),"")</f>
        <v/>
      </c>
      <c r="BI284" s="78" t="str">
        <f>IF(BF284&lt;&gt;"",IF($F$11="raty malejące",MIN(BK283/($F$4-BF283+SUM($BG$27:BG284)-SUM($BM$27:BM284)),BK283),MIN(BH284-BJ284,BK283)),"")</f>
        <v/>
      </c>
      <c r="BJ284" s="78" t="str">
        <f t="shared" si="238"/>
        <v/>
      </c>
      <c r="BK284" s="79" t="str">
        <f t="shared" si="239"/>
        <v/>
      </c>
      <c r="BL284" s="11"/>
      <c r="BM284" s="33"/>
      <c r="BN284" s="33" t="str">
        <f t="shared" si="234"/>
        <v/>
      </c>
      <c r="BO284" s="33" t="str">
        <f t="shared" si="235"/>
        <v/>
      </c>
      <c r="BP284" s="33" t="str">
        <f>IF(O284&lt;&gt;"",BO284-SUM($BN$44:BN284),"")</f>
        <v/>
      </c>
      <c r="BQ284" s="11" t="str">
        <f t="shared" si="240"/>
        <v/>
      </c>
      <c r="BR284" s="11" t="str">
        <f>IF(BF284&lt;&gt;"",IF($B$16=listy!$K$8,'RZĄDOWY PROGRAM'!$F$3*'RZĄDOWY PROGRAM'!$F$15,BK283*$F$15),"")</f>
        <v/>
      </c>
      <c r="BS284" s="11" t="str">
        <f t="shared" si="241"/>
        <v/>
      </c>
      <c r="BU284" s="8" t="str">
        <f t="shared" si="224"/>
        <v/>
      </c>
      <c r="BV284" s="8"/>
      <c r="BW284" s="78" t="str">
        <f>IF(BU284&lt;&gt;"",ROUND(IF($F$11="raty równe",-PMT(W284/12,$F$4-BU283+SUM($BV$28:BV284)-$CB$43,BZ283,2),BX284+BY284),2),"")</f>
        <v/>
      </c>
      <c r="BX284" s="78" t="str">
        <f>IF(BU284&lt;&gt;"",IF($F$11="raty malejące",MIN(BZ283/($F$4-BU283+SUM($BV$28:BV283)-SUM($CB$28:CB283)),BZ283),MIN(BW284-BY284,BZ283)),"")</f>
        <v/>
      </c>
      <c r="BY284" s="78" t="str">
        <f t="shared" si="245"/>
        <v/>
      </c>
      <c r="BZ284" s="79" t="str">
        <f t="shared" si="231"/>
        <v/>
      </c>
      <c r="CA284" s="11"/>
      <c r="CB284" s="33"/>
      <c r="CC284" s="33" t="str">
        <f t="shared" si="225"/>
        <v/>
      </c>
      <c r="CD284" s="33" t="str">
        <f t="shared" si="236"/>
        <v/>
      </c>
      <c r="CE284" s="33" t="str">
        <f>IF(O284&lt;&gt;"",CD284-SUM($CC$44:CC284),"")</f>
        <v/>
      </c>
      <c r="CF284" s="11" t="str">
        <f t="shared" si="246"/>
        <v/>
      </c>
      <c r="CG284" s="11" t="str">
        <f>IF(BU284&lt;&gt;"",IF($B$16=listy!$K$8,'RZĄDOWY PROGRAM'!$F$3*'RZĄDOWY PROGRAM'!$F$15,BZ283*$F$15),"")</f>
        <v/>
      </c>
      <c r="CH284" s="11" t="str">
        <f t="shared" si="247"/>
        <v/>
      </c>
      <c r="CJ284" s="48" t="str">
        <f t="shared" ref="CJ284:CJ347" si="278">IF(AB284&lt;&gt;"",$F$19,"")</f>
        <v/>
      </c>
      <c r="CK284" s="18" t="str">
        <f t="shared" ref="CK284:CK347" si="279">IF(AB284&lt;&gt;"",(1+CJ284)^(1/12)-1,"")</f>
        <v/>
      </c>
      <c r="CL284" s="11" t="str">
        <f t="shared" si="259"/>
        <v/>
      </c>
      <c r="CM284" s="11" t="str">
        <f t="shared" ref="CM284:CM347" si="280">IF(AB284&lt;&gt;"",IF($F$21="co miesiąc",CM283*(1+(1-$F$20)*CK284)+CL284,(CM283*(1+CK284)+CL284)),"")</f>
        <v/>
      </c>
      <c r="CN284" s="11" t="str">
        <f>IF(AB284&lt;&gt;"",CM284-SUM($CL$28:CL284),"")</f>
        <v/>
      </c>
    </row>
    <row r="285" spans="1:92" x14ac:dyDescent="0.45">
      <c r="A285" s="68" t="str">
        <f t="shared" si="252"/>
        <v/>
      </c>
      <c r="B285" s="8" t="str">
        <f t="shared" si="273"/>
        <v/>
      </c>
      <c r="C285" s="11" t="str">
        <f t="shared" si="274"/>
        <v/>
      </c>
      <c r="D285" s="11" t="str">
        <f t="shared" si="275"/>
        <v/>
      </c>
      <c r="E285" s="11" t="str">
        <f t="shared" si="253"/>
        <v/>
      </c>
      <c r="F285" s="9" t="str">
        <f t="shared" si="254"/>
        <v/>
      </c>
      <c r="G285" s="10" t="str">
        <f t="shared" si="255"/>
        <v/>
      </c>
      <c r="H285" s="10" t="str">
        <f t="shared" si="256"/>
        <v/>
      </c>
      <c r="I285" s="48" t="str">
        <f t="shared" ref="I285:I348" si="281">IF($B285&lt;&gt;"",IF(AND($F$8="TAK",$B285&lt;=$F$10),$F$9,G285+H285),"")</f>
        <v/>
      </c>
      <c r="J285" s="11" t="str">
        <f t="shared" si="276"/>
        <v/>
      </c>
      <c r="K285" s="11" t="str">
        <f>IF(B285&lt;&gt;"",IF($B$16=listy!$K$8,'RZĄDOWY PROGRAM'!$F$3*'RZĄDOWY PROGRAM'!$F$15,F284*$F$15),"")</f>
        <v/>
      </c>
      <c r="L285" s="11" t="str">
        <f t="shared" si="257"/>
        <v/>
      </c>
      <c r="N285" s="54" t="str">
        <f t="shared" si="260"/>
        <v/>
      </c>
      <c r="O285" s="8" t="str">
        <f t="shared" ref="O285:O348" si="282">IFERROR(IF(O284+1&lt;=$F$4+8,O284+1,""),"")</f>
        <v/>
      </c>
      <c r="P285" s="8"/>
      <c r="Q285" s="11" t="str">
        <f>IF(O285&lt;&gt;"",ROUND(IF($F$11="raty równe",-PMT(W285/12,$F$4-O284+SUM($P$28:P285),T284,2),R285+S285),2),"")</f>
        <v/>
      </c>
      <c r="R285" s="11" t="str">
        <f>IF(O285&lt;&gt;"",IF($F$11="raty malejące",T284/($F$4-O284+SUM($P$28:P285)),IF(Q285-S285&gt;T284,T284,Q285-S285)),"")</f>
        <v/>
      </c>
      <c r="S285" s="11" t="str">
        <f t="shared" si="261"/>
        <v/>
      </c>
      <c r="T285" s="9" t="str">
        <f t="shared" si="262"/>
        <v/>
      </c>
      <c r="U285" s="10" t="str">
        <f t="shared" si="263"/>
        <v/>
      </c>
      <c r="V285" s="10" t="str">
        <f t="shared" si="264"/>
        <v/>
      </c>
      <c r="W285" s="48" t="str">
        <f t="shared" ref="W285:W348" si="283">IF(O285&lt;&gt;"",IF(AND($F$8="TAK",$B285&lt;=$F$10),$F$9,U285+V285),"")</f>
        <v/>
      </c>
      <c r="X285" s="11" t="str">
        <f t="shared" si="265"/>
        <v/>
      </c>
      <c r="Y285" s="11" t="str">
        <f>IF(O285&lt;&gt;"",IF($B$16=listy!$K$8,'RZĄDOWY PROGRAM'!$F$3*'RZĄDOWY PROGRAM'!$F$15,T284*$F$15),"")</f>
        <v/>
      </c>
      <c r="Z285" s="11" t="str">
        <f t="shared" si="266"/>
        <v/>
      </c>
      <c r="AB285" s="8" t="str">
        <f t="shared" si="267"/>
        <v/>
      </c>
      <c r="AC285" s="8"/>
      <c r="AD285" s="11" t="str">
        <f>IF(AB285&lt;&gt;"",ROUND(IF($F$11="raty równe",-PMT(W285/12,$F$4-AB284+SUM($AC$28:AC285),AG284,2),AE285+AF285),2),"")</f>
        <v/>
      </c>
      <c r="AE285" s="11" t="str">
        <f>IF(AB285&lt;&gt;"",IF($F$11="raty malejące",AG284/($F$4-AB284+SUM($AC$28:AC284)),MIN(AD285-AF285,AG284)),"")</f>
        <v/>
      </c>
      <c r="AF285" s="11" t="str">
        <f t="shared" si="268"/>
        <v/>
      </c>
      <c r="AG285" s="9" t="str">
        <f t="shared" si="269"/>
        <v/>
      </c>
      <c r="AH285" s="11"/>
      <c r="AI285" s="33" t="str">
        <f>IF(AB285&lt;&gt;"",ROUND(IF($F$11="raty równe",-PMT(W285/12,($F$4-AB284+SUM($AC$27:AC284)),AG284,2),AG284/($F$4-AB284+SUM($AC$27:AC284))+AG284*W285/12),2),"")</f>
        <v/>
      </c>
      <c r="AJ285" s="33" t="str">
        <f t="shared" si="270"/>
        <v/>
      </c>
      <c r="AK285" s="33" t="str">
        <f t="shared" si="277"/>
        <v/>
      </c>
      <c r="AL285" s="33" t="str">
        <f>IF(AB285&lt;&gt;"",AK285-SUM($AJ$28:AJ285),"")</f>
        <v/>
      </c>
      <c r="AM285" s="11" t="str">
        <f t="shared" si="271"/>
        <v/>
      </c>
      <c r="AN285" s="11" t="str">
        <f>IF(AB285&lt;&gt;"",IF($B$16=listy!$K$8,'RZĄDOWY PROGRAM'!$F$3*'RZĄDOWY PROGRAM'!$F$15,AG284*$F$15),"")</f>
        <v/>
      </c>
      <c r="AO285" s="11" t="str">
        <f t="shared" si="272"/>
        <v/>
      </c>
      <c r="AQ285" s="8" t="str">
        <f t="shared" ref="AQ285:AQ348" si="284">IFERROR(IF(AV284&lt;&gt;0,AQ284+1,""),"")</f>
        <v/>
      </c>
      <c r="AR285" s="8"/>
      <c r="AS285" s="78" t="str">
        <f>IF(AQ285&lt;&gt;"",ROUND(IF($F$11="raty równe",-PMT(W285/12,$F$4-AQ284+SUM($AR$28:AR285),AV284,2),AT285+AU285),2),"")</f>
        <v/>
      </c>
      <c r="AT285" s="78" t="str">
        <f>IF(AQ285&lt;&gt;"",IF($F$11="raty malejące",AV284/($F$4-AQ284+SUM($AR$28:AR284)),MIN(AS285-AU285,AV284)),"")</f>
        <v/>
      </c>
      <c r="AU285" s="78" t="str">
        <f t="shared" ref="AU285:AU348" si="285">IF(AQ285&lt;&gt;"",AV284*W285/12,"")</f>
        <v/>
      </c>
      <c r="AV285" s="79" t="str">
        <f t="shared" ref="AV285:AV348" si="286">IF(AQ285&lt;&gt;"",IF(AW285&lt;&gt;"",AV284-AT285-AW285,AV284-AT285),"")</f>
        <v/>
      </c>
      <c r="AW285" s="11"/>
      <c r="AX285" s="33" t="str">
        <f>IF(AQ285&lt;&gt;"",ROUND(IF($F$11="raty równe",-PMT(W285/12,($F$4-AQ284+SUM($AR$27:AR284)),AV284,2),AV284/($F$4-AQ284+SUM($AR$27:AR284))+AV284*W285/12),2),"")</f>
        <v/>
      </c>
      <c r="AY285" s="33" t="str">
        <f t="shared" ref="AY285:AY348" si="287">IF(AQ285&lt;&gt;"",IF(B285&lt;&gt;"",C285-AS285,-AS285),"")</f>
        <v/>
      </c>
      <c r="AZ285" s="33" t="str">
        <f t="shared" si="233"/>
        <v/>
      </c>
      <c r="BA285" s="33" t="str">
        <f>IF(AQ285&lt;&gt;"",AZ285-SUM($AY$44:AY285),"")</f>
        <v/>
      </c>
      <c r="BB285" s="11" t="str">
        <f t="shared" ref="BB285:BB348" si="288">IF(AQ285&lt;&gt;"",$F$14,"")</f>
        <v/>
      </c>
      <c r="BC285" s="11" t="str">
        <f>IF(AQ285&lt;&gt;"",IF($B$16=listy!$K$8,'RZĄDOWY PROGRAM'!$F$3*'RZĄDOWY PROGRAM'!$F$15,AV284*$F$15),"")</f>
        <v/>
      </c>
      <c r="BD285" s="11" t="str">
        <f t="shared" ref="BD285:BD348" si="289">IF(AS285&lt;&gt;"",BB285+BC285,"")</f>
        <v/>
      </c>
      <c r="BF285" s="8" t="str">
        <f t="shared" si="237"/>
        <v/>
      </c>
      <c r="BG285" s="8"/>
      <c r="BH285" s="78" t="str">
        <f>IF(BF285&lt;&gt;"",ROUND(IF($F$11="raty równe",-PMT(W285/12,$F$4-BF284+SUM(BV$28:$BV285)-SUM($BM$29:BM285),BK284,2),BI285+BJ285),2),"")</f>
        <v/>
      </c>
      <c r="BI285" s="78" t="str">
        <f>IF(BF285&lt;&gt;"",IF($F$11="raty malejące",MIN(BK284/($F$4-BF284+SUM($BG$27:BG285)-SUM($BM$27:BM285)),BK284),MIN(BH285-BJ285,BK284)),"")</f>
        <v/>
      </c>
      <c r="BJ285" s="78" t="str">
        <f t="shared" si="238"/>
        <v/>
      </c>
      <c r="BK285" s="79" t="str">
        <f t="shared" si="239"/>
        <v/>
      </c>
      <c r="BL285" s="11"/>
      <c r="BM285" s="33"/>
      <c r="BN285" s="33" t="str">
        <f t="shared" si="234"/>
        <v/>
      </c>
      <c r="BO285" s="33" t="str">
        <f t="shared" si="235"/>
        <v/>
      </c>
      <c r="BP285" s="33" t="str">
        <f>IF(O285&lt;&gt;"",BO285-SUM($BN$44:BN285),"")</f>
        <v/>
      </c>
      <c r="BQ285" s="11" t="str">
        <f t="shared" si="240"/>
        <v/>
      </c>
      <c r="BR285" s="11" t="str">
        <f>IF(BF285&lt;&gt;"",IF($B$16=listy!$K$8,'RZĄDOWY PROGRAM'!$F$3*'RZĄDOWY PROGRAM'!$F$15,BK284*$F$15),"")</f>
        <v/>
      </c>
      <c r="BS285" s="11" t="str">
        <f t="shared" si="241"/>
        <v/>
      </c>
      <c r="BU285" s="8" t="str">
        <f t="shared" ref="BU285:BU348" si="290">IFERROR(IF(BZ284&lt;&gt;0,BU284+1,""),"")</f>
        <v/>
      </c>
      <c r="BV285" s="8"/>
      <c r="BW285" s="78" t="str">
        <f>IF(BU285&lt;&gt;"",ROUND(IF($F$11="raty równe",-PMT(W285/12,$F$4-BU284+SUM($BV$28:BV285)-$CB$43,BZ284,2),BX285+BY285),2),"")</f>
        <v/>
      </c>
      <c r="BX285" s="78" t="str">
        <f>IF(BU285&lt;&gt;"",IF($F$11="raty malejące",MIN(BZ284/($F$4-BU284+SUM($BV$28:BV284)-SUM($CB$28:CB284)),BZ284),MIN(BW285-BY285,BZ284)),"")</f>
        <v/>
      </c>
      <c r="BY285" s="78" t="str">
        <f t="shared" si="245"/>
        <v/>
      </c>
      <c r="BZ285" s="79" t="str">
        <f t="shared" si="231"/>
        <v/>
      </c>
      <c r="CA285" s="11"/>
      <c r="CB285" s="33"/>
      <c r="CC285" s="33" t="str">
        <f t="shared" ref="CC285:CC348" si="291">IF(O285&lt;&gt;"",IF(ISNUMBER(C285),C285,0)-IF(ISNUMBER(BW285),BW285,0),"")</f>
        <v/>
      </c>
      <c r="CD285" s="33" t="str">
        <f t="shared" si="236"/>
        <v/>
      </c>
      <c r="CE285" s="33" t="str">
        <f>IF(O285&lt;&gt;"",CD285-SUM($CC$44:CC285),"")</f>
        <v/>
      </c>
      <c r="CF285" s="11" t="str">
        <f t="shared" si="246"/>
        <v/>
      </c>
      <c r="CG285" s="11" t="str">
        <f>IF(BU285&lt;&gt;"",IF($B$16=listy!$K$8,'RZĄDOWY PROGRAM'!$F$3*'RZĄDOWY PROGRAM'!$F$15,BZ284*$F$15),"")</f>
        <v/>
      </c>
      <c r="CH285" s="11" t="str">
        <f t="shared" si="247"/>
        <v/>
      </c>
      <c r="CJ285" s="48" t="str">
        <f t="shared" si="278"/>
        <v/>
      </c>
      <c r="CK285" s="18" t="str">
        <f t="shared" si="279"/>
        <v/>
      </c>
      <c r="CL285" s="11" t="str">
        <f t="shared" si="259"/>
        <v/>
      </c>
      <c r="CM285" s="11" t="str">
        <f t="shared" si="280"/>
        <v/>
      </c>
      <c r="CN285" s="11" t="str">
        <f>IF(AB285&lt;&gt;"",CM285-SUM($CL$28:CL285),"")</f>
        <v/>
      </c>
    </row>
    <row r="286" spans="1:92" x14ac:dyDescent="0.45">
      <c r="A286" s="68" t="str">
        <f t="shared" si="252"/>
        <v/>
      </c>
      <c r="B286" s="8" t="str">
        <f t="shared" si="273"/>
        <v/>
      </c>
      <c r="C286" s="11" t="str">
        <f t="shared" si="274"/>
        <v/>
      </c>
      <c r="D286" s="11" t="str">
        <f t="shared" si="275"/>
        <v/>
      </c>
      <c r="E286" s="11" t="str">
        <f t="shared" si="253"/>
        <v/>
      </c>
      <c r="F286" s="9" t="str">
        <f t="shared" si="254"/>
        <v/>
      </c>
      <c r="G286" s="10" t="str">
        <f t="shared" si="255"/>
        <v/>
      </c>
      <c r="H286" s="10" t="str">
        <f t="shared" si="256"/>
        <v/>
      </c>
      <c r="I286" s="48" t="str">
        <f t="shared" si="281"/>
        <v/>
      </c>
      <c r="J286" s="11" t="str">
        <f t="shared" si="276"/>
        <v/>
      </c>
      <c r="K286" s="11" t="str">
        <f>IF(B286&lt;&gt;"",IF($B$16=listy!$K$8,'RZĄDOWY PROGRAM'!$F$3*'RZĄDOWY PROGRAM'!$F$15,F285*$F$15),"")</f>
        <v/>
      </c>
      <c r="L286" s="11" t="str">
        <f t="shared" si="257"/>
        <v/>
      </c>
      <c r="N286" s="54" t="str">
        <f t="shared" si="260"/>
        <v/>
      </c>
      <c r="O286" s="8" t="str">
        <f t="shared" si="282"/>
        <v/>
      </c>
      <c r="P286" s="8"/>
      <c r="Q286" s="11" t="str">
        <f>IF(O286&lt;&gt;"",ROUND(IF($F$11="raty równe",-PMT(W286/12,$F$4-O285+SUM($P$28:P286),T285,2),R286+S286),2),"")</f>
        <v/>
      </c>
      <c r="R286" s="11" t="str">
        <f>IF(O286&lt;&gt;"",IF($F$11="raty malejące",T285/($F$4-O285+SUM($P$28:P286)),IF(Q286-S286&gt;T285,T285,Q286-S286)),"")</f>
        <v/>
      </c>
      <c r="S286" s="11" t="str">
        <f t="shared" si="261"/>
        <v/>
      </c>
      <c r="T286" s="9" t="str">
        <f t="shared" si="262"/>
        <v/>
      </c>
      <c r="U286" s="10" t="str">
        <f t="shared" si="263"/>
        <v/>
      </c>
      <c r="V286" s="10" t="str">
        <f t="shared" si="264"/>
        <v/>
      </c>
      <c r="W286" s="48" t="str">
        <f t="shared" si="283"/>
        <v/>
      </c>
      <c r="X286" s="11" t="str">
        <f t="shared" si="265"/>
        <v/>
      </c>
      <c r="Y286" s="11" t="str">
        <f>IF(O286&lt;&gt;"",IF($B$16=listy!$K$8,'RZĄDOWY PROGRAM'!$F$3*'RZĄDOWY PROGRAM'!$F$15,T285*$F$15),"")</f>
        <v/>
      </c>
      <c r="Z286" s="11" t="str">
        <f t="shared" si="266"/>
        <v/>
      </c>
      <c r="AB286" s="8" t="str">
        <f t="shared" si="267"/>
        <v/>
      </c>
      <c r="AC286" s="8"/>
      <c r="AD286" s="11" t="str">
        <f>IF(AB286&lt;&gt;"",ROUND(IF($F$11="raty równe",-PMT(W286/12,$F$4-AB285+SUM($AC$28:AC286),AG285,2),AE286+AF286),2),"")</f>
        <v/>
      </c>
      <c r="AE286" s="11" t="str">
        <f>IF(AB286&lt;&gt;"",IF($F$11="raty malejące",AG285/($F$4-AB285+SUM($AC$28:AC285)),MIN(AD286-AF286,AG285)),"")</f>
        <v/>
      </c>
      <c r="AF286" s="11" t="str">
        <f t="shared" si="268"/>
        <v/>
      </c>
      <c r="AG286" s="9" t="str">
        <f t="shared" si="269"/>
        <v/>
      </c>
      <c r="AH286" s="11"/>
      <c r="AI286" s="33" t="str">
        <f>IF(AB286&lt;&gt;"",ROUND(IF($F$11="raty równe",-PMT(W286/12,($F$4-AB285+SUM($AC$27:AC285)),AG285,2),AG285/($F$4-AB285+SUM($AC$27:AC285))+AG285*W286/12),2),"")</f>
        <v/>
      </c>
      <c r="AJ286" s="33" t="str">
        <f t="shared" si="270"/>
        <v/>
      </c>
      <c r="AK286" s="33" t="str">
        <f t="shared" si="277"/>
        <v/>
      </c>
      <c r="AL286" s="33" t="str">
        <f>IF(AB286&lt;&gt;"",AK286-SUM($AJ$28:AJ286),"")</f>
        <v/>
      </c>
      <c r="AM286" s="11" t="str">
        <f t="shared" si="271"/>
        <v/>
      </c>
      <c r="AN286" s="11" t="str">
        <f>IF(AB286&lt;&gt;"",IF($B$16=listy!$K$8,'RZĄDOWY PROGRAM'!$F$3*'RZĄDOWY PROGRAM'!$F$15,AG285*$F$15),"")</f>
        <v/>
      </c>
      <c r="AO286" s="11" t="str">
        <f t="shared" si="272"/>
        <v/>
      </c>
      <c r="AQ286" s="8" t="str">
        <f t="shared" si="284"/>
        <v/>
      </c>
      <c r="AR286" s="8"/>
      <c r="AS286" s="78" t="str">
        <f>IF(AQ286&lt;&gt;"",ROUND(IF($F$11="raty równe",-PMT(W286/12,$F$4-AQ285+SUM($AR$28:AR286),AV285,2),AT286+AU286),2),"")</f>
        <v/>
      </c>
      <c r="AT286" s="78" t="str">
        <f>IF(AQ286&lt;&gt;"",IF($F$11="raty malejące",AV285/($F$4-AQ285+SUM($AR$28:AR285)),MIN(AS286-AU286,AV285)),"")</f>
        <v/>
      </c>
      <c r="AU286" s="78" t="str">
        <f t="shared" si="285"/>
        <v/>
      </c>
      <c r="AV286" s="79" t="str">
        <f t="shared" si="286"/>
        <v/>
      </c>
      <c r="AW286" s="11"/>
      <c r="AX286" s="33" t="str">
        <f>IF(AQ286&lt;&gt;"",ROUND(IF($F$11="raty równe",-PMT(W286/12,($F$4-AQ285+SUM($AR$27:AR285)),AV285,2),AV285/($F$4-AQ285+SUM($AR$27:AR285))+AV285*W286/12),2),"")</f>
        <v/>
      </c>
      <c r="AY286" s="33" t="str">
        <f t="shared" si="287"/>
        <v/>
      </c>
      <c r="AZ286" s="33" t="str">
        <f t="shared" si="233"/>
        <v/>
      </c>
      <c r="BA286" s="33" t="str">
        <f>IF(AQ286&lt;&gt;"",AZ286-SUM($AY$44:AY286),"")</f>
        <v/>
      </c>
      <c r="BB286" s="11" t="str">
        <f t="shared" si="288"/>
        <v/>
      </c>
      <c r="BC286" s="11" t="str">
        <f>IF(AQ286&lt;&gt;"",IF($B$16=listy!$K$8,'RZĄDOWY PROGRAM'!$F$3*'RZĄDOWY PROGRAM'!$F$15,AV285*$F$15),"")</f>
        <v/>
      </c>
      <c r="BD286" s="11" t="str">
        <f t="shared" si="289"/>
        <v/>
      </c>
      <c r="BF286" s="8" t="str">
        <f t="shared" si="237"/>
        <v/>
      </c>
      <c r="BG286" s="8"/>
      <c r="BH286" s="78" t="str">
        <f>IF(BF286&lt;&gt;"",ROUND(IF($F$11="raty równe",-PMT(W286/12,$F$4-BF285+SUM(BV$28:$BV286)-SUM($BM$29:BM286),BK285,2),BI286+BJ286),2),"")</f>
        <v/>
      </c>
      <c r="BI286" s="78" t="str">
        <f>IF(BF286&lt;&gt;"",IF($F$11="raty malejące",MIN(BK285/($F$4-BF285+SUM($BG$27:BG286)-SUM($BM$27:BM286)),BK285),MIN(BH286-BJ286,BK285)),"")</f>
        <v/>
      </c>
      <c r="BJ286" s="78" t="str">
        <f t="shared" si="238"/>
        <v/>
      </c>
      <c r="BK286" s="79" t="str">
        <f t="shared" si="239"/>
        <v/>
      </c>
      <c r="BL286" s="11"/>
      <c r="BM286" s="33"/>
      <c r="BN286" s="33" t="str">
        <f t="shared" si="234"/>
        <v/>
      </c>
      <c r="BO286" s="33" t="str">
        <f t="shared" si="235"/>
        <v/>
      </c>
      <c r="BP286" s="33" t="str">
        <f>IF(O286&lt;&gt;"",BO286-SUM($BN$44:BN286),"")</f>
        <v/>
      </c>
      <c r="BQ286" s="11" t="str">
        <f t="shared" si="240"/>
        <v/>
      </c>
      <c r="BR286" s="11" t="str">
        <f>IF(BF286&lt;&gt;"",IF($B$16=listy!$K$8,'RZĄDOWY PROGRAM'!$F$3*'RZĄDOWY PROGRAM'!$F$15,BK285*$F$15),"")</f>
        <v/>
      </c>
      <c r="BS286" s="11" t="str">
        <f t="shared" si="241"/>
        <v/>
      </c>
      <c r="BU286" s="8" t="str">
        <f t="shared" si="290"/>
        <v/>
      </c>
      <c r="BV286" s="8"/>
      <c r="BW286" s="78" t="str">
        <f>IF(BU286&lt;&gt;"",ROUND(IF($F$11="raty równe",-PMT(W286/12,$F$4-BU285+SUM($BV$28:BV286)-$CB$43,BZ285,2),BX286+BY286),2),"")</f>
        <v/>
      </c>
      <c r="BX286" s="78" t="str">
        <f>IF(BU286&lt;&gt;"",IF($F$11="raty malejące",MIN(BZ285/($F$4-BU285+SUM($BV$28:BV285)-SUM($CB$28:CB285)),BZ285),MIN(BW286-BY286,BZ285)),"")</f>
        <v/>
      </c>
      <c r="BY286" s="78" t="str">
        <f t="shared" si="245"/>
        <v/>
      </c>
      <c r="BZ286" s="79" t="str">
        <f t="shared" si="231"/>
        <v/>
      </c>
      <c r="CA286" s="11"/>
      <c r="CB286" s="33"/>
      <c r="CC286" s="33" t="str">
        <f t="shared" si="291"/>
        <v/>
      </c>
      <c r="CD286" s="33" t="str">
        <f t="shared" si="236"/>
        <v/>
      </c>
      <c r="CE286" s="33" t="str">
        <f>IF(O286&lt;&gt;"",CD286-SUM($CC$44:CC286),"")</f>
        <v/>
      </c>
      <c r="CF286" s="11" t="str">
        <f t="shared" si="246"/>
        <v/>
      </c>
      <c r="CG286" s="11" t="str">
        <f>IF(BU286&lt;&gt;"",IF($B$16=listy!$K$8,'RZĄDOWY PROGRAM'!$F$3*'RZĄDOWY PROGRAM'!$F$15,BZ285*$F$15),"")</f>
        <v/>
      </c>
      <c r="CH286" s="11" t="str">
        <f t="shared" si="247"/>
        <v/>
      </c>
      <c r="CJ286" s="48" t="str">
        <f t="shared" si="278"/>
        <v/>
      </c>
      <c r="CK286" s="18" t="str">
        <f t="shared" si="279"/>
        <v/>
      </c>
      <c r="CL286" s="11" t="str">
        <f t="shared" si="259"/>
        <v/>
      </c>
      <c r="CM286" s="11" t="str">
        <f t="shared" si="280"/>
        <v/>
      </c>
      <c r="CN286" s="11" t="str">
        <f>IF(AB286&lt;&gt;"",CM286-SUM($CL$28:CL286),"")</f>
        <v/>
      </c>
    </row>
    <row r="287" spans="1:92" x14ac:dyDescent="0.45">
      <c r="A287" s="68" t="str">
        <f t="shared" si="252"/>
        <v/>
      </c>
      <c r="B287" s="8" t="str">
        <f t="shared" si="273"/>
        <v/>
      </c>
      <c r="C287" s="11" t="str">
        <f t="shared" si="274"/>
        <v/>
      </c>
      <c r="D287" s="11" t="str">
        <f t="shared" si="275"/>
        <v/>
      </c>
      <c r="E287" s="11" t="str">
        <f t="shared" si="253"/>
        <v/>
      </c>
      <c r="F287" s="9" t="str">
        <f t="shared" si="254"/>
        <v/>
      </c>
      <c r="G287" s="10" t="str">
        <f t="shared" si="255"/>
        <v/>
      </c>
      <c r="H287" s="10" t="str">
        <f t="shared" si="256"/>
        <v/>
      </c>
      <c r="I287" s="48" t="str">
        <f t="shared" si="281"/>
        <v/>
      </c>
      <c r="J287" s="11" t="str">
        <f t="shared" si="276"/>
        <v/>
      </c>
      <c r="K287" s="11" t="str">
        <f>IF(B287&lt;&gt;"",IF($B$16=listy!$K$8,'RZĄDOWY PROGRAM'!$F$3*'RZĄDOWY PROGRAM'!$F$15,F286*$F$15),"")</f>
        <v/>
      </c>
      <c r="L287" s="11" t="str">
        <f t="shared" si="257"/>
        <v/>
      </c>
      <c r="N287" s="54" t="str">
        <f t="shared" si="260"/>
        <v/>
      </c>
      <c r="O287" s="8" t="str">
        <f t="shared" si="282"/>
        <v/>
      </c>
      <c r="P287" s="8"/>
      <c r="Q287" s="11" t="str">
        <f>IF(O287&lt;&gt;"",ROUND(IF($F$11="raty równe",-PMT(W287/12,$F$4-O286+SUM($P$28:P287),T286,2),R287+S287),2),"")</f>
        <v/>
      </c>
      <c r="R287" s="11" t="str">
        <f>IF(O287&lt;&gt;"",IF($F$11="raty malejące",T286/($F$4-O286+SUM($P$28:P287)),IF(Q287-S287&gt;T286,T286,Q287-S287)),"")</f>
        <v/>
      </c>
      <c r="S287" s="11" t="str">
        <f t="shared" si="261"/>
        <v/>
      </c>
      <c r="T287" s="9" t="str">
        <f t="shared" si="262"/>
        <v/>
      </c>
      <c r="U287" s="10" t="str">
        <f t="shared" si="263"/>
        <v/>
      </c>
      <c r="V287" s="10" t="str">
        <f t="shared" si="264"/>
        <v/>
      </c>
      <c r="W287" s="48" t="str">
        <f t="shared" si="283"/>
        <v/>
      </c>
      <c r="X287" s="11" t="str">
        <f t="shared" si="265"/>
        <v/>
      </c>
      <c r="Y287" s="11" t="str">
        <f>IF(O287&lt;&gt;"",IF($B$16=listy!$K$8,'RZĄDOWY PROGRAM'!$F$3*'RZĄDOWY PROGRAM'!$F$15,T286*$F$15),"")</f>
        <v/>
      </c>
      <c r="Z287" s="11" t="str">
        <f t="shared" si="266"/>
        <v/>
      </c>
      <c r="AB287" s="8" t="str">
        <f t="shared" si="267"/>
        <v/>
      </c>
      <c r="AC287" s="8"/>
      <c r="AD287" s="11" t="str">
        <f>IF(AB287&lt;&gt;"",ROUND(IF($F$11="raty równe",-PMT(W287/12,$F$4-AB286+SUM($AC$28:AC287),AG286,2),AE287+AF287),2),"")</f>
        <v/>
      </c>
      <c r="AE287" s="11" t="str">
        <f>IF(AB287&lt;&gt;"",IF($F$11="raty malejące",AG286/($F$4-AB286+SUM($AC$28:AC286)),MIN(AD287-AF287,AG286)),"")</f>
        <v/>
      </c>
      <c r="AF287" s="11" t="str">
        <f t="shared" si="268"/>
        <v/>
      </c>
      <c r="AG287" s="9" t="str">
        <f t="shared" si="269"/>
        <v/>
      </c>
      <c r="AH287" s="11"/>
      <c r="AI287" s="33" t="str">
        <f>IF(AB287&lt;&gt;"",ROUND(IF($F$11="raty równe",-PMT(W287/12,($F$4-AB286+SUM($AC$27:AC286)),AG286,2),AG286/($F$4-AB286+SUM($AC$27:AC286))+AG286*W287/12),2),"")</f>
        <v/>
      </c>
      <c r="AJ287" s="33" t="str">
        <f t="shared" si="270"/>
        <v/>
      </c>
      <c r="AK287" s="33" t="str">
        <f t="shared" si="277"/>
        <v/>
      </c>
      <c r="AL287" s="33" t="str">
        <f>IF(AB287&lt;&gt;"",AK287-SUM($AJ$28:AJ287),"")</f>
        <v/>
      </c>
      <c r="AM287" s="11" t="str">
        <f t="shared" si="271"/>
        <v/>
      </c>
      <c r="AN287" s="11" t="str">
        <f>IF(AB287&lt;&gt;"",IF($B$16=listy!$K$8,'RZĄDOWY PROGRAM'!$F$3*'RZĄDOWY PROGRAM'!$F$15,AG286*$F$15),"")</f>
        <v/>
      </c>
      <c r="AO287" s="11" t="str">
        <f t="shared" si="272"/>
        <v/>
      </c>
      <c r="AQ287" s="8" t="str">
        <f t="shared" si="284"/>
        <v/>
      </c>
      <c r="AR287" s="8"/>
      <c r="AS287" s="78" t="str">
        <f>IF(AQ287&lt;&gt;"",ROUND(IF($F$11="raty równe",-PMT(W287/12,$F$4-AQ286+SUM($AR$28:AR287),AV286,2),AT287+AU287),2),"")</f>
        <v/>
      </c>
      <c r="AT287" s="78" t="str">
        <f>IF(AQ287&lt;&gt;"",IF($F$11="raty malejące",AV286/($F$4-AQ286+SUM($AR$28:AR286)),MIN(AS287-AU287,AV286)),"")</f>
        <v/>
      </c>
      <c r="AU287" s="78" t="str">
        <f t="shared" si="285"/>
        <v/>
      </c>
      <c r="AV287" s="79" t="str">
        <f t="shared" si="286"/>
        <v/>
      </c>
      <c r="AW287" s="11"/>
      <c r="AX287" s="33" t="str">
        <f>IF(AQ287&lt;&gt;"",ROUND(IF($F$11="raty równe",-PMT(W287/12,($F$4-AQ286+SUM($AR$27:AR286)),AV286,2),AV286/($F$4-AQ286+SUM($AR$27:AR286))+AV286*W287/12),2),"")</f>
        <v/>
      </c>
      <c r="AY287" s="33" t="str">
        <f t="shared" si="287"/>
        <v/>
      </c>
      <c r="AZ287" s="33" t="str">
        <f t="shared" si="233"/>
        <v/>
      </c>
      <c r="BA287" s="33" t="str">
        <f>IF(AQ287&lt;&gt;"",AZ287-SUM($AY$44:AY287),"")</f>
        <v/>
      </c>
      <c r="BB287" s="11" t="str">
        <f t="shared" si="288"/>
        <v/>
      </c>
      <c r="BC287" s="11" t="str">
        <f>IF(AQ287&lt;&gt;"",IF($B$16=listy!$K$8,'RZĄDOWY PROGRAM'!$F$3*'RZĄDOWY PROGRAM'!$F$15,AV286*$F$15),"")</f>
        <v/>
      </c>
      <c r="BD287" s="11" t="str">
        <f t="shared" si="289"/>
        <v/>
      </c>
      <c r="BF287" s="8" t="str">
        <f t="shared" si="237"/>
        <v/>
      </c>
      <c r="BG287" s="8"/>
      <c r="BH287" s="78" t="str">
        <f>IF(BF287&lt;&gt;"",ROUND(IF($F$11="raty równe",-PMT(W287/12,$F$4-BF286+SUM(BV$28:$BV287)-SUM($BM$29:BM287),BK286,2),BI287+BJ287),2),"")</f>
        <v/>
      </c>
      <c r="BI287" s="78" t="str">
        <f>IF(BF287&lt;&gt;"",IF($F$11="raty malejące",MIN(BK286/($F$4-BF286+SUM($BG$27:BG287)-SUM($BM$27:BM287)),BK286),MIN(BH287-BJ287,BK286)),"")</f>
        <v/>
      </c>
      <c r="BJ287" s="78" t="str">
        <f t="shared" si="238"/>
        <v/>
      </c>
      <c r="BK287" s="79" t="str">
        <f t="shared" si="239"/>
        <v/>
      </c>
      <c r="BL287" s="11"/>
      <c r="BM287" s="33"/>
      <c r="BN287" s="33" t="str">
        <f t="shared" si="234"/>
        <v/>
      </c>
      <c r="BO287" s="33" t="str">
        <f t="shared" si="235"/>
        <v/>
      </c>
      <c r="BP287" s="33" t="str">
        <f>IF(O287&lt;&gt;"",BO287-SUM($BN$44:BN287),"")</f>
        <v/>
      </c>
      <c r="BQ287" s="11" t="str">
        <f t="shared" si="240"/>
        <v/>
      </c>
      <c r="BR287" s="11" t="str">
        <f>IF(BF287&lt;&gt;"",IF($B$16=listy!$K$8,'RZĄDOWY PROGRAM'!$F$3*'RZĄDOWY PROGRAM'!$F$15,BK286*$F$15),"")</f>
        <v/>
      </c>
      <c r="BS287" s="11" t="str">
        <f t="shared" si="241"/>
        <v/>
      </c>
      <c r="BU287" s="8" t="str">
        <f t="shared" si="290"/>
        <v/>
      </c>
      <c r="BV287" s="8"/>
      <c r="BW287" s="78" t="str">
        <f>IF(BU287&lt;&gt;"",ROUND(IF($F$11="raty równe",-PMT(W287/12,$F$4-BU286+SUM($BV$28:BV287)-$CB$43,BZ286,2),BX287+BY287),2),"")</f>
        <v/>
      </c>
      <c r="BX287" s="78" t="str">
        <f>IF(BU287&lt;&gt;"",IF($F$11="raty malejące",MIN(BZ286/($F$4-BU286+SUM($BV$28:BV286)-SUM($CB$28:CB286)),BZ286),MIN(BW287-BY287,BZ286)),"")</f>
        <v/>
      </c>
      <c r="BY287" s="78" t="str">
        <f t="shared" si="245"/>
        <v/>
      </c>
      <c r="BZ287" s="79" t="str">
        <f t="shared" si="231"/>
        <v/>
      </c>
      <c r="CA287" s="11"/>
      <c r="CB287" s="33"/>
      <c r="CC287" s="33" t="str">
        <f t="shared" si="291"/>
        <v/>
      </c>
      <c r="CD287" s="33" t="str">
        <f t="shared" si="236"/>
        <v/>
      </c>
      <c r="CE287" s="33" t="str">
        <f>IF(O287&lt;&gt;"",CD287-SUM($CC$44:CC287),"")</f>
        <v/>
      </c>
      <c r="CF287" s="11" t="str">
        <f t="shared" si="246"/>
        <v/>
      </c>
      <c r="CG287" s="11" t="str">
        <f>IF(BU287&lt;&gt;"",IF($B$16=listy!$K$8,'RZĄDOWY PROGRAM'!$F$3*'RZĄDOWY PROGRAM'!$F$15,BZ286*$F$15),"")</f>
        <v/>
      </c>
      <c r="CH287" s="11" t="str">
        <f t="shared" si="247"/>
        <v/>
      </c>
      <c r="CJ287" s="48" t="str">
        <f t="shared" si="278"/>
        <v/>
      </c>
      <c r="CK287" s="18" t="str">
        <f t="shared" si="279"/>
        <v/>
      </c>
      <c r="CL287" s="11" t="str">
        <f t="shared" si="259"/>
        <v/>
      </c>
      <c r="CM287" s="11" t="str">
        <f t="shared" si="280"/>
        <v/>
      </c>
      <c r="CN287" s="11" t="str">
        <f>IF(AB287&lt;&gt;"",CM287-SUM($CL$28:CL287),"")</f>
        <v/>
      </c>
    </row>
    <row r="288" spans="1:92" x14ac:dyDescent="0.45">
      <c r="A288" s="68" t="str">
        <f t="shared" si="252"/>
        <v/>
      </c>
      <c r="B288" s="8" t="str">
        <f t="shared" si="273"/>
        <v/>
      </c>
      <c r="C288" s="11" t="str">
        <f t="shared" si="274"/>
        <v/>
      </c>
      <c r="D288" s="11" t="str">
        <f t="shared" si="275"/>
        <v/>
      </c>
      <c r="E288" s="11" t="str">
        <f t="shared" si="253"/>
        <v/>
      </c>
      <c r="F288" s="9" t="str">
        <f t="shared" si="254"/>
        <v/>
      </c>
      <c r="G288" s="10" t="str">
        <f t="shared" si="255"/>
        <v/>
      </c>
      <c r="H288" s="10" t="str">
        <f t="shared" si="256"/>
        <v/>
      </c>
      <c r="I288" s="48" t="str">
        <f t="shared" si="281"/>
        <v/>
      </c>
      <c r="J288" s="11" t="str">
        <f t="shared" si="276"/>
        <v/>
      </c>
      <c r="K288" s="11" t="str">
        <f>IF(B288&lt;&gt;"",IF($B$16=listy!$K$8,'RZĄDOWY PROGRAM'!$F$3*'RZĄDOWY PROGRAM'!$F$15,F287*$F$15),"")</f>
        <v/>
      </c>
      <c r="L288" s="11" t="str">
        <f t="shared" si="257"/>
        <v/>
      </c>
      <c r="N288" s="54" t="str">
        <f t="shared" si="260"/>
        <v/>
      </c>
      <c r="O288" s="8" t="str">
        <f t="shared" si="282"/>
        <v/>
      </c>
      <c r="P288" s="8"/>
      <c r="Q288" s="11" t="str">
        <f>IF(O288&lt;&gt;"",ROUND(IF($F$11="raty równe",-PMT(W288/12,$F$4-O287+SUM($P$28:P288),T287,2),R288+S288),2),"")</f>
        <v/>
      </c>
      <c r="R288" s="11" t="str">
        <f>IF(O288&lt;&gt;"",IF($F$11="raty malejące",T287/($F$4-O287+SUM($P$28:P288)),IF(Q288-S288&gt;T287,T287,Q288-S288)),"")</f>
        <v/>
      </c>
      <c r="S288" s="11" t="str">
        <f t="shared" si="261"/>
        <v/>
      </c>
      <c r="T288" s="9" t="str">
        <f t="shared" si="262"/>
        <v/>
      </c>
      <c r="U288" s="10" t="str">
        <f t="shared" si="263"/>
        <v/>
      </c>
      <c r="V288" s="10" t="str">
        <f t="shared" si="264"/>
        <v/>
      </c>
      <c r="W288" s="48" t="str">
        <f t="shared" si="283"/>
        <v/>
      </c>
      <c r="X288" s="11" t="str">
        <f t="shared" si="265"/>
        <v/>
      </c>
      <c r="Y288" s="11" t="str">
        <f>IF(O288&lt;&gt;"",IF($B$16=listy!$K$8,'RZĄDOWY PROGRAM'!$F$3*'RZĄDOWY PROGRAM'!$F$15,T287*$F$15),"")</f>
        <v/>
      </c>
      <c r="Z288" s="11" t="str">
        <f t="shared" si="266"/>
        <v/>
      </c>
      <c r="AB288" s="8" t="str">
        <f t="shared" si="267"/>
        <v/>
      </c>
      <c r="AC288" s="8"/>
      <c r="AD288" s="11" t="str">
        <f>IF(AB288&lt;&gt;"",ROUND(IF($F$11="raty równe",-PMT(W288/12,$F$4-AB287+SUM($AC$28:AC288),AG287,2),AE288+AF288),2),"")</f>
        <v/>
      </c>
      <c r="AE288" s="11" t="str">
        <f>IF(AB288&lt;&gt;"",IF($F$11="raty malejące",AG287/($F$4-AB287+SUM($AC$28:AC287)),MIN(AD288-AF288,AG287)),"")</f>
        <v/>
      </c>
      <c r="AF288" s="11" t="str">
        <f t="shared" si="268"/>
        <v/>
      </c>
      <c r="AG288" s="9" t="str">
        <f t="shared" si="269"/>
        <v/>
      </c>
      <c r="AH288" s="11"/>
      <c r="AI288" s="33" t="str">
        <f>IF(AB288&lt;&gt;"",ROUND(IF($F$11="raty równe",-PMT(W288/12,($F$4-AB287+SUM($AC$27:AC287)),AG287,2),AG287/($F$4-AB287+SUM($AC$27:AC287))+AG287*W288/12),2),"")</f>
        <v/>
      </c>
      <c r="AJ288" s="33" t="str">
        <f t="shared" si="270"/>
        <v/>
      </c>
      <c r="AK288" s="33" t="str">
        <f t="shared" si="277"/>
        <v/>
      </c>
      <c r="AL288" s="33" t="str">
        <f>IF(AB288&lt;&gt;"",AK288-SUM($AJ$28:AJ288),"")</f>
        <v/>
      </c>
      <c r="AM288" s="11" t="str">
        <f t="shared" si="271"/>
        <v/>
      </c>
      <c r="AN288" s="11" t="str">
        <f>IF(AB288&lt;&gt;"",IF($B$16=listy!$K$8,'RZĄDOWY PROGRAM'!$F$3*'RZĄDOWY PROGRAM'!$F$15,AG287*$F$15),"")</f>
        <v/>
      </c>
      <c r="AO288" s="11" t="str">
        <f t="shared" si="272"/>
        <v/>
      </c>
      <c r="AQ288" s="8" t="str">
        <f t="shared" si="284"/>
        <v/>
      </c>
      <c r="AR288" s="8"/>
      <c r="AS288" s="78" t="str">
        <f>IF(AQ288&lt;&gt;"",ROUND(IF($F$11="raty równe",-PMT(W288/12,$F$4-AQ287+SUM($AR$28:AR288),AV287,2),AT288+AU288),2),"")</f>
        <v/>
      </c>
      <c r="AT288" s="78" t="str">
        <f>IF(AQ288&lt;&gt;"",IF($F$11="raty malejące",AV287/($F$4-AQ287+SUM($AR$28:AR287)),MIN(AS288-AU288,AV287)),"")</f>
        <v/>
      </c>
      <c r="AU288" s="78" t="str">
        <f t="shared" si="285"/>
        <v/>
      </c>
      <c r="AV288" s="79" t="str">
        <f t="shared" si="286"/>
        <v/>
      </c>
      <c r="AW288" s="11"/>
      <c r="AX288" s="33" t="str">
        <f>IF(AQ288&lt;&gt;"",ROUND(IF($F$11="raty równe",-PMT(W288/12,($F$4-AQ287+SUM($AR$27:AR287)),AV287,2),AV287/($F$4-AQ287+SUM($AR$27:AR287))+AV287*W288/12),2),"")</f>
        <v/>
      </c>
      <c r="AY288" s="33" t="str">
        <f t="shared" si="287"/>
        <v/>
      </c>
      <c r="AZ288" s="33" t="str">
        <f t="shared" si="233"/>
        <v/>
      </c>
      <c r="BA288" s="33" t="str">
        <f>IF(AQ288&lt;&gt;"",AZ288-SUM($AY$44:AY288),"")</f>
        <v/>
      </c>
      <c r="BB288" s="11" t="str">
        <f t="shared" si="288"/>
        <v/>
      </c>
      <c r="BC288" s="11" t="str">
        <f>IF(AQ288&lt;&gt;"",IF($B$16=listy!$K$8,'RZĄDOWY PROGRAM'!$F$3*'RZĄDOWY PROGRAM'!$F$15,AV287*$F$15),"")</f>
        <v/>
      </c>
      <c r="BD288" s="11" t="str">
        <f t="shared" si="289"/>
        <v/>
      </c>
      <c r="BF288" s="8" t="str">
        <f t="shared" si="237"/>
        <v/>
      </c>
      <c r="BG288" s="8"/>
      <c r="BH288" s="78" t="str">
        <f>IF(BF288&lt;&gt;"",ROUND(IF($F$11="raty równe",-PMT(W288/12,$F$4-BF287+SUM(BV$28:$BV288)-SUM($BM$29:BM288),BK287,2),BI288+BJ288),2),"")</f>
        <v/>
      </c>
      <c r="BI288" s="78" t="str">
        <f>IF(BF288&lt;&gt;"",IF($F$11="raty malejące",MIN(BK287/($F$4-BF287+SUM($BG$27:BG288)-SUM($BM$27:BM288)),BK287),MIN(BH288-BJ288,BK287)),"")</f>
        <v/>
      </c>
      <c r="BJ288" s="78" t="str">
        <f t="shared" si="238"/>
        <v/>
      </c>
      <c r="BK288" s="79" t="str">
        <f t="shared" si="239"/>
        <v/>
      </c>
      <c r="BL288" s="11"/>
      <c r="BM288" s="33"/>
      <c r="BN288" s="33" t="str">
        <f t="shared" si="234"/>
        <v/>
      </c>
      <c r="BO288" s="33" t="str">
        <f t="shared" si="235"/>
        <v/>
      </c>
      <c r="BP288" s="33" t="str">
        <f>IF(O288&lt;&gt;"",BO288-SUM($BN$44:BN288),"")</f>
        <v/>
      </c>
      <c r="BQ288" s="11" t="str">
        <f t="shared" si="240"/>
        <v/>
      </c>
      <c r="BR288" s="11" t="str">
        <f>IF(BF288&lt;&gt;"",IF($B$16=listy!$K$8,'RZĄDOWY PROGRAM'!$F$3*'RZĄDOWY PROGRAM'!$F$15,BK287*$F$15),"")</f>
        <v/>
      </c>
      <c r="BS288" s="11" t="str">
        <f t="shared" si="241"/>
        <v/>
      </c>
      <c r="BU288" s="8" t="str">
        <f t="shared" si="290"/>
        <v/>
      </c>
      <c r="BV288" s="8"/>
      <c r="BW288" s="78" t="str">
        <f>IF(BU288&lt;&gt;"",ROUND(IF($F$11="raty równe",-PMT(W288/12,$F$4-BU287+SUM($BV$28:BV288)-$CB$43,BZ287,2),BX288+BY288),2),"")</f>
        <v/>
      </c>
      <c r="BX288" s="78" t="str">
        <f>IF(BU288&lt;&gt;"",IF($F$11="raty malejące",MIN(BZ287/($F$4-BU287+SUM($BV$28:BV287)-SUM($CB$28:CB287)),BZ287),MIN(BW288-BY288,BZ287)),"")</f>
        <v/>
      </c>
      <c r="BY288" s="78" t="str">
        <f t="shared" si="245"/>
        <v/>
      </c>
      <c r="BZ288" s="79" t="str">
        <f t="shared" si="231"/>
        <v/>
      </c>
      <c r="CA288" s="11"/>
      <c r="CB288" s="33"/>
      <c r="CC288" s="33" t="str">
        <f t="shared" si="291"/>
        <v/>
      </c>
      <c r="CD288" s="33" t="str">
        <f t="shared" si="236"/>
        <v/>
      </c>
      <c r="CE288" s="33" t="str">
        <f>IF(O288&lt;&gt;"",CD288-SUM($CC$44:CC288),"")</f>
        <v/>
      </c>
      <c r="CF288" s="11" t="str">
        <f t="shared" si="246"/>
        <v/>
      </c>
      <c r="CG288" s="11" t="str">
        <f>IF(BU288&lt;&gt;"",IF($B$16=listy!$K$8,'RZĄDOWY PROGRAM'!$F$3*'RZĄDOWY PROGRAM'!$F$15,BZ287*$F$15),"")</f>
        <v/>
      </c>
      <c r="CH288" s="11" t="str">
        <f t="shared" si="247"/>
        <v/>
      </c>
      <c r="CJ288" s="48" t="str">
        <f t="shared" si="278"/>
        <v/>
      </c>
      <c r="CK288" s="18" t="str">
        <f t="shared" si="279"/>
        <v/>
      </c>
      <c r="CL288" s="11" t="str">
        <f t="shared" si="259"/>
        <v/>
      </c>
      <c r="CM288" s="11" t="str">
        <f t="shared" si="280"/>
        <v/>
      </c>
      <c r="CN288" s="11" t="str">
        <f>IF(AB288&lt;&gt;"",CM288-SUM($CL$28:CL288),"")</f>
        <v/>
      </c>
    </row>
    <row r="289" spans="1:92" x14ac:dyDescent="0.45">
      <c r="A289" s="68" t="str">
        <f t="shared" si="252"/>
        <v/>
      </c>
      <c r="B289" s="8" t="str">
        <f t="shared" si="273"/>
        <v/>
      </c>
      <c r="C289" s="11" t="str">
        <f t="shared" si="274"/>
        <v/>
      </c>
      <c r="D289" s="11" t="str">
        <f t="shared" si="275"/>
        <v/>
      </c>
      <c r="E289" s="11" t="str">
        <f t="shared" si="253"/>
        <v/>
      </c>
      <c r="F289" s="9" t="str">
        <f t="shared" si="254"/>
        <v/>
      </c>
      <c r="G289" s="10" t="str">
        <f t="shared" si="255"/>
        <v/>
      </c>
      <c r="H289" s="10" t="str">
        <f t="shared" si="256"/>
        <v/>
      </c>
      <c r="I289" s="48" t="str">
        <f t="shared" si="281"/>
        <v/>
      </c>
      <c r="J289" s="11" t="str">
        <f t="shared" si="276"/>
        <v/>
      </c>
      <c r="K289" s="11" t="str">
        <f>IF(B289&lt;&gt;"",IF($B$16=listy!$K$8,'RZĄDOWY PROGRAM'!$F$3*'RZĄDOWY PROGRAM'!$F$15,F288*$F$15),"")</f>
        <v/>
      </c>
      <c r="L289" s="11" t="str">
        <f t="shared" si="257"/>
        <v/>
      </c>
      <c r="N289" s="54" t="str">
        <f t="shared" si="260"/>
        <v/>
      </c>
      <c r="O289" s="8" t="str">
        <f t="shared" si="282"/>
        <v/>
      </c>
      <c r="P289" s="8"/>
      <c r="Q289" s="11" t="str">
        <f>IF(O289&lt;&gt;"",ROUND(IF($F$11="raty równe",-PMT(W289/12,$F$4-O288+SUM($P$28:P289),T288,2),R289+S289),2),"")</f>
        <v/>
      </c>
      <c r="R289" s="11" t="str">
        <f>IF(O289&lt;&gt;"",IF($F$11="raty malejące",T288/($F$4-O288+SUM($P$28:P289)),IF(Q289-S289&gt;T288,T288,Q289-S289)),"")</f>
        <v/>
      </c>
      <c r="S289" s="11" t="str">
        <f t="shared" si="261"/>
        <v/>
      </c>
      <c r="T289" s="9" t="str">
        <f t="shared" si="262"/>
        <v/>
      </c>
      <c r="U289" s="10" t="str">
        <f t="shared" si="263"/>
        <v/>
      </c>
      <c r="V289" s="10" t="str">
        <f t="shared" si="264"/>
        <v/>
      </c>
      <c r="W289" s="48" t="str">
        <f t="shared" si="283"/>
        <v/>
      </c>
      <c r="X289" s="11" t="str">
        <f t="shared" si="265"/>
        <v/>
      </c>
      <c r="Y289" s="11" t="str">
        <f>IF(O289&lt;&gt;"",IF($B$16=listy!$K$8,'RZĄDOWY PROGRAM'!$F$3*'RZĄDOWY PROGRAM'!$F$15,T288*$F$15),"")</f>
        <v/>
      </c>
      <c r="Z289" s="11" t="str">
        <f t="shared" si="266"/>
        <v/>
      </c>
      <c r="AB289" s="8" t="str">
        <f t="shared" si="267"/>
        <v/>
      </c>
      <c r="AC289" s="8"/>
      <c r="AD289" s="11" t="str">
        <f>IF(AB289&lt;&gt;"",ROUND(IF($F$11="raty równe",-PMT(W289/12,$F$4-AB288+SUM($AC$28:AC289),AG288,2),AE289+AF289),2),"")</f>
        <v/>
      </c>
      <c r="AE289" s="11" t="str">
        <f>IF(AB289&lt;&gt;"",IF($F$11="raty malejące",AG288/($F$4-AB288+SUM($AC$28:AC288)),MIN(AD289-AF289,AG288)),"")</f>
        <v/>
      </c>
      <c r="AF289" s="11" t="str">
        <f t="shared" si="268"/>
        <v/>
      </c>
      <c r="AG289" s="9" t="str">
        <f t="shared" si="269"/>
        <v/>
      </c>
      <c r="AH289" s="11"/>
      <c r="AI289" s="33" t="str">
        <f>IF(AB289&lt;&gt;"",ROUND(IF($F$11="raty równe",-PMT(W289/12,($F$4-AB288+SUM($AC$27:AC288)),AG288,2),AG288/($F$4-AB288+SUM($AC$27:AC288))+AG288*W289/12),2),"")</f>
        <v/>
      </c>
      <c r="AJ289" s="33" t="str">
        <f t="shared" si="270"/>
        <v/>
      </c>
      <c r="AK289" s="33" t="str">
        <f t="shared" si="277"/>
        <v/>
      </c>
      <c r="AL289" s="33" t="str">
        <f>IF(AB289&lt;&gt;"",AK289-SUM($AJ$28:AJ289),"")</f>
        <v/>
      </c>
      <c r="AM289" s="11" t="str">
        <f t="shared" si="271"/>
        <v/>
      </c>
      <c r="AN289" s="11" t="str">
        <f>IF(AB289&lt;&gt;"",IF($B$16=listy!$K$8,'RZĄDOWY PROGRAM'!$F$3*'RZĄDOWY PROGRAM'!$F$15,AG288*$F$15),"")</f>
        <v/>
      </c>
      <c r="AO289" s="11" t="str">
        <f t="shared" si="272"/>
        <v/>
      </c>
      <c r="AQ289" s="8" t="str">
        <f t="shared" si="284"/>
        <v/>
      </c>
      <c r="AR289" s="8"/>
      <c r="AS289" s="78" t="str">
        <f>IF(AQ289&lt;&gt;"",ROUND(IF($F$11="raty równe",-PMT(W289/12,$F$4-AQ288+SUM($AR$28:AR289),AV288,2),AT289+AU289),2),"")</f>
        <v/>
      </c>
      <c r="AT289" s="78" t="str">
        <f>IF(AQ289&lt;&gt;"",IF($F$11="raty malejące",AV288/($F$4-AQ288+SUM($AR$28:AR288)),MIN(AS289-AU289,AV288)),"")</f>
        <v/>
      </c>
      <c r="AU289" s="78" t="str">
        <f t="shared" si="285"/>
        <v/>
      </c>
      <c r="AV289" s="79" t="str">
        <f t="shared" si="286"/>
        <v/>
      </c>
      <c r="AW289" s="11"/>
      <c r="AX289" s="33" t="str">
        <f>IF(AQ289&lt;&gt;"",ROUND(IF($F$11="raty równe",-PMT(W289/12,($F$4-AQ288+SUM($AR$27:AR288)),AV288,2),AV288/($F$4-AQ288+SUM($AR$27:AR288))+AV288*W289/12),2),"")</f>
        <v/>
      </c>
      <c r="AY289" s="33" t="str">
        <f t="shared" si="287"/>
        <v/>
      </c>
      <c r="AZ289" s="33" t="str">
        <f t="shared" si="233"/>
        <v/>
      </c>
      <c r="BA289" s="33" t="str">
        <f>IF(AQ289&lt;&gt;"",AZ289-SUM($AY$44:AY289),"")</f>
        <v/>
      </c>
      <c r="BB289" s="11" t="str">
        <f t="shared" si="288"/>
        <v/>
      </c>
      <c r="BC289" s="11" t="str">
        <f>IF(AQ289&lt;&gt;"",IF($B$16=listy!$K$8,'RZĄDOWY PROGRAM'!$F$3*'RZĄDOWY PROGRAM'!$F$15,AV288*$F$15),"")</f>
        <v/>
      </c>
      <c r="BD289" s="11" t="str">
        <f t="shared" si="289"/>
        <v/>
      </c>
      <c r="BF289" s="8" t="str">
        <f t="shared" si="237"/>
        <v/>
      </c>
      <c r="BG289" s="8"/>
      <c r="BH289" s="78" t="str">
        <f>IF(BF289&lt;&gt;"",ROUND(IF($F$11="raty równe",-PMT(W289/12,$F$4-BF288+SUM(BV$28:$BV289)-SUM($BM$29:BM289),BK288,2),BI289+BJ289),2),"")</f>
        <v/>
      </c>
      <c r="BI289" s="78" t="str">
        <f>IF(BF289&lt;&gt;"",IF($F$11="raty malejące",MIN(BK288/($F$4-BF288+SUM($BG$27:BG289)-SUM($BM$27:BM289)),BK288),MIN(BH289-BJ289,BK288)),"")</f>
        <v/>
      </c>
      <c r="BJ289" s="78" t="str">
        <f t="shared" si="238"/>
        <v/>
      </c>
      <c r="BK289" s="79" t="str">
        <f t="shared" si="239"/>
        <v/>
      </c>
      <c r="BL289" s="11"/>
      <c r="BM289" s="33"/>
      <c r="BN289" s="33" t="str">
        <f t="shared" si="234"/>
        <v/>
      </c>
      <c r="BO289" s="33" t="str">
        <f t="shared" si="235"/>
        <v/>
      </c>
      <c r="BP289" s="33" t="str">
        <f>IF(O289&lt;&gt;"",BO289-SUM($BN$44:BN289),"")</f>
        <v/>
      </c>
      <c r="BQ289" s="11" t="str">
        <f t="shared" si="240"/>
        <v/>
      </c>
      <c r="BR289" s="11" t="str">
        <f>IF(BF289&lt;&gt;"",IF($B$16=listy!$K$8,'RZĄDOWY PROGRAM'!$F$3*'RZĄDOWY PROGRAM'!$F$15,BK288*$F$15),"")</f>
        <v/>
      </c>
      <c r="BS289" s="11" t="str">
        <f t="shared" si="241"/>
        <v/>
      </c>
      <c r="BU289" s="8" t="str">
        <f t="shared" si="290"/>
        <v/>
      </c>
      <c r="BV289" s="8"/>
      <c r="BW289" s="78" t="str">
        <f>IF(BU289&lt;&gt;"",ROUND(IF($F$11="raty równe",-PMT(W289/12,$F$4-BU288+SUM($BV$28:BV289)-$CB$43,BZ288,2),BX289+BY289),2),"")</f>
        <v/>
      </c>
      <c r="BX289" s="78" t="str">
        <f>IF(BU289&lt;&gt;"",IF($F$11="raty malejące",MIN(BZ288/($F$4-BU288+SUM($BV$28:BV288)-SUM($CB$28:CB288)),BZ288),MIN(BW289-BY289,BZ288)),"")</f>
        <v/>
      </c>
      <c r="BY289" s="78" t="str">
        <f t="shared" si="245"/>
        <v/>
      </c>
      <c r="BZ289" s="79" t="str">
        <f t="shared" si="231"/>
        <v/>
      </c>
      <c r="CA289" s="11"/>
      <c r="CB289" s="33"/>
      <c r="CC289" s="33" t="str">
        <f t="shared" si="291"/>
        <v/>
      </c>
      <c r="CD289" s="33" t="str">
        <f t="shared" si="236"/>
        <v/>
      </c>
      <c r="CE289" s="33" t="str">
        <f>IF(O289&lt;&gt;"",CD289-SUM($CC$44:CC289),"")</f>
        <v/>
      </c>
      <c r="CF289" s="11" t="str">
        <f t="shared" si="246"/>
        <v/>
      </c>
      <c r="CG289" s="11" t="str">
        <f>IF(BU289&lt;&gt;"",IF($B$16=listy!$K$8,'RZĄDOWY PROGRAM'!$F$3*'RZĄDOWY PROGRAM'!$F$15,BZ288*$F$15),"")</f>
        <v/>
      </c>
      <c r="CH289" s="11" t="str">
        <f t="shared" si="247"/>
        <v/>
      </c>
      <c r="CJ289" s="48" t="str">
        <f t="shared" si="278"/>
        <v/>
      </c>
      <c r="CK289" s="18" t="str">
        <f t="shared" si="279"/>
        <v/>
      </c>
      <c r="CL289" s="11" t="str">
        <f t="shared" si="259"/>
        <v/>
      </c>
      <c r="CM289" s="11" t="str">
        <f t="shared" si="280"/>
        <v/>
      </c>
      <c r="CN289" s="11" t="str">
        <f>IF(AB289&lt;&gt;"",CM289-SUM($CL$28:CL289),"")</f>
        <v/>
      </c>
    </row>
    <row r="290" spans="1:92" x14ac:dyDescent="0.45">
      <c r="A290" s="68" t="str">
        <f t="shared" si="252"/>
        <v/>
      </c>
      <c r="B290" s="8" t="str">
        <f t="shared" si="273"/>
        <v/>
      </c>
      <c r="C290" s="11" t="str">
        <f t="shared" si="274"/>
        <v/>
      </c>
      <c r="D290" s="11" t="str">
        <f t="shared" si="275"/>
        <v/>
      </c>
      <c r="E290" s="11" t="str">
        <f t="shared" si="253"/>
        <v/>
      </c>
      <c r="F290" s="9" t="str">
        <f t="shared" si="254"/>
        <v/>
      </c>
      <c r="G290" s="10" t="str">
        <f t="shared" si="255"/>
        <v/>
      </c>
      <c r="H290" s="10" t="str">
        <f t="shared" si="256"/>
        <v/>
      </c>
      <c r="I290" s="48" t="str">
        <f t="shared" si="281"/>
        <v/>
      </c>
      <c r="J290" s="11" t="str">
        <f t="shared" si="276"/>
        <v/>
      </c>
      <c r="K290" s="11" t="str">
        <f>IF(B290&lt;&gt;"",IF($B$16=listy!$K$8,'RZĄDOWY PROGRAM'!$F$3*'RZĄDOWY PROGRAM'!$F$15,F289*$F$15),"")</f>
        <v/>
      </c>
      <c r="L290" s="11" t="str">
        <f t="shared" si="257"/>
        <v/>
      </c>
      <c r="N290" s="54" t="str">
        <f t="shared" si="260"/>
        <v/>
      </c>
      <c r="O290" s="8" t="str">
        <f t="shared" si="282"/>
        <v/>
      </c>
      <c r="P290" s="8"/>
      <c r="Q290" s="11" t="str">
        <f>IF(O290&lt;&gt;"",ROUND(IF($F$11="raty równe",-PMT(W290/12,$F$4-O289+SUM($P$28:P290),T289,2),R290+S290),2),"")</f>
        <v/>
      </c>
      <c r="R290" s="11" t="str">
        <f>IF(O290&lt;&gt;"",IF($F$11="raty malejące",T289/($F$4-O289+SUM($P$28:P290)),IF(Q290-S290&gt;T289,T289,Q290-S290)),"")</f>
        <v/>
      </c>
      <c r="S290" s="11" t="str">
        <f t="shared" si="261"/>
        <v/>
      </c>
      <c r="T290" s="9" t="str">
        <f t="shared" si="262"/>
        <v/>
      </c>
      <c r="U290" s="10" t="str">
        <f t="shared" si="263"/>
        <v/>
      </c>
      <c r="V290" s="10" t="str">
        <f t="shared" si="264"/>
        <v/>
      </c>
      <c r="W290" s="48" t="str">
        <f t="shared" si="283"/>
        <v/>
      </c>
      <c r="X290" s="11" t="str">
        <f t="shared" si="265"/>
        <v/>
      </c>
      <c r="Y290" s="11" t="str">
        <f>IF(O290&lt;&gt;"",IF($B$16=listy!$K$8,'RZĄDOWY PROGRAM'!$F$3*'RZĄDOWY PROGRAM'!$F$15,T289*$F$15),"")</f>
        <v/>
      </c>
      <c r="Z290" s="11" t="str">
        <f t="shared" si="266"/>
        <v/>
      </c>
      <c r="AB290" s="8" t="str">
        <f t="shared" si="267"/>
        <v/>
      </c>
      <c r="AC290" s="8"/>
      <c r="AD290" s="11" t="str">
        <f>IF(AB290&lt;&gt;"",ROUND(IF($F$11="raty równe",-PMT(W290/12,$F$4-AB289+SUM($AC$28:AC290),AG289,2),AE290+AF290),2),"")</f>
        <v/>
      </c>
      <c r="AE290" s="11" t="str">
        <f>IF(AB290&lt;&gt;"",IF($F$11="raty malejące",AG289/($F$4-AB289+SUM($AC$28:AC289)),MIN(AD290-AF290,AG289)),"")</f>
        <v/>
      </c>
      <c r="AF290" s="11" t="str">
        <f t="shared" si="268"/>
        <v/>
      </c>
      <c r="AG290" s="9" t="str">
        <f t="shared" si="269"/>
        <v/>
      </c>
      <c r="AH290" s="11"/>
      <c r="AI290" s="33" t="str">
        <f>IF(AB290&lt;&gt;"",ROUND(IF($F$11="raty równe",-PMT(W290/12,($F$4-AB289+SUM($AC$27:AC289)),AG289,2),AG289/($F$4-AB289+SUM($AC$27:AC289))+AG289*W290/12),2),"")</f>
        <v/>
      </c>
      <c r="AJ290" s="33" t="str">
        <f t="shared" si="270"/>
        <v/>
      </c>
      <c r="AK290" s="33" t="str">
        <f t="shared" si="277"/>
        <v/>
      </c>
      <c r="AL290" s="33" t="str">
        <f>IF(AB290&lt;&gt;"",AK290-SUM($AJ$28:AJ290),"")</f>
        <v/>
      </c>
      <c r="AM290" s="11" t="str">
        <f t="shared" si="271"/>
        <v/>
      </c>
      <c r="AN290" s="11" t="str">
        <f>IF(AB290&lt;&gt;"",IF($B$16=listy!$K$8,'RZĄDOWY PROGRAM'!$F$3*'RZĄDOWY PROGRAM'!$F$15,AG289*$F$15),"")</f>
        <v/>
      </c>
      <c r="AO290" s="11" t="str">
        <f t="shared" si="272"/>
        <v/>
      </c>
      <c r="AQ290" s="8" t="str">
        <f t="shared" si="284"/>
        <v/>
      </c>
      <c r="AR290" s="8"/>
      <c r="AS290" s="78" t="str">
        <f>IF(AQ290&lt;&gt;"",ROUND(IF($F$11="raty równe",-PMT(W290/12,$F$4-AQ289+SUM($AR$28:AR290),AV289,2),AT290+AU290),2),"")</f>
        <v/>
      </c>
      <c r="AT290" s="78" t="str">
        <f>IF(AQ290&lt;&gt;"",IF($F$11="raty malejące",AV289/($F$4-AQ289+SUM($AR$28:AR289)),MIN(AS290-AU290,AV289)),"")</f>
        <v/>
      </c>
      <c r="AU290" s="78" t="str">
        <f t="shared" si="285"/>
        <v/>
      </c>
      <c r="AV290" s="79" t="str">
        <f t="shared" si="286"/>
        <v/>
      </c>
      <c r="AW290" s="11"/>
      <c r="AX290" s="33" t="str">
        <f>IF(AQ290&lt;&gt;"",ROUND(IF($F$11="raty równe",-PMT(W290/12,($F$4-AQ289+SUM($AR$27:AR289)),AV289,2),AV289/($F$4-AQ289+SUM($AR$27:AR289))+AV289*W290/12),2),"")</f>
        <v/>
      </c>
      <c r="AY290" s="33" t="str">
        <f t="shared" si="287"/>
        <v/>
      </c>
      <c r="AZ290" s="33" t="str">
        <f t="shared" si="233"/>
        <v/>
      </c>
      <c r="BA290" s="33" t="str">
        <f>IF(AQ290&lt;&gt;"",AZ290-SUM($AY$44:AY290),"")</f>
        <v/>
      </c>
      <c r="BB290" s="11" t="str">
        <f t="shared" si="288"/>
        <v/>
      </c>
      <c r="BC290" s="11" t="str">
        <f>IF(AQ290&lt;&gt;"",IF($B$16=listy!$K$8,'RZĄDOWY PROGRAM'!$F$3*'RZĄDOWY PROGRAM'!$F$15,AV289*$F$15),"")</f>
        <v/>
      </c>
      <c r="BD290" s="11" t="str">
        <f t="shared" si="289"/>
        <v/>
      </c>
      <c r="BF290" s="8" t="str">
        <f t="shared" si="237"/>
        <v/>
      </c>
      <c r="BG290" s="8"/>
      <c r="BH290" s="78" t="str">
        <f>IF(BF290&lt;&gt;"",ROUND(IF($F$11="raty równe",-PMT(W290/12,$F$4-BF289+SUM(BV$28:$BV290)-SUM($BM$29:BM290),BK289,2),BI290+BJ290),2),"")</f>
        <v/>
      </c>
      <c r="BI290" s="78" t="str">
        <f>IF(BF290&lt;&gt;"",IF($F$11="raty malejące",MIN(BK289/($F$4-BF289+SUM($BG$27:BG290)-SUM($BM$27:BM290)),BK289),MIN(BH290-BJ290,BK289)),"")</f>
        <v/>
      </c>
      <c r="BJ290" s="78" t="str">
        <f t="shared" si="238"/>
        <v/>
      </c>
      <c r="BK290" s="79" t="str">
        <f t="shared" si="239"/>
        <v/>
      </c>
      <c r="BL290" s="11"/>
      <c r="BM290" s="33"/>
      <c r="BN290" s="33" t="str">
        <f t="shared" si="234"/>
        <v/>
      </c>
      <c r="BO290" s="33" t="str">
        <f t="shared" si="235"/>
        <v/>
      </c>
      <c r="BP290" s="33" t="str">
        <f>IF(O290&lt;&gt;"",BO290-SUM($BN$44:BN290),"")</f>
        <v/>
      </c>
      <c r="BQ290" s="11" t="str">
        <f t="shared" si="240"/>
        <v/>
      </c>
      <c r="BR290" s="11" t="str">
        <f>IF(BF290&lt;&gt;"",IF($B$16=listy!$K$8,'RZĄDOWY PROGRAM'!$F$3*'RZĄDOWY PROGRAM'!$F$15,BK289*$F$15),"")</f>
        <v/>
      </c>
      <c r="BS290" s="11" t="str">
        <f t="shared" si="241"/>
        <v/>
      </c>
      <c r="BU290" s="8" t="str">
        <f t="shared" si="290"/>
        <v/>
      </c>
      <c r="BV290" s="8"/>
      <c r="BW290" s="78" t="str">
        <f>IF(BU290&lt;&gt;"",ROUND(IF($F$11="raty równe",-PMT(W290/12,$F$4-BU289+SUM($BV$28:BV290)-$CB$43,BZ289,2),BX290+BY290),2),"")</f>
        <v/>
      </c>
      <c r="BX290" s="78" t="str">
        <f>IF(BU290&lt;&gt;"",IF($F$11="raty malejące",MIN(BZ289/($F$4-BU289+SUM($BV$28:BV289)-SUM($CB$28:CB289)),BZ289),MIN(BW290-BY290,BZ289)),"")</f>
        <v/>
      </c>
      <c r="BY290" s="78" t="str">
        <f t="shared" si="245"/>
        <v/>
      </c>
      <c r="BZ290" s="79" t="str">
        <f t="shared" si="231"/>
        <v/>
      </c>
      <c r="CA290" s="11"/>
      <c r="CB290" s="33"/>
      <c r="CC290" s="33" t="str">
        <f t="shared" si="291"/>
        <v/>
      </c>
      <c r="CD290" s="33" t="str">
        <f t="shared" si="236"/>
        <v/>
      </c>
      <c r="CE290" s="33" t="str">
        <f>IF(O290&lt;&gt;"",CD290-SUM($CC$44:CC290),"")</f>
        <v/>
      </c>
      <c r="CF290" s="11" t="str">
        <f t="shared" si="246"/>
        <v/>
      </c>
      <c r="CG290" s="11" t="str">
        <f>IF(BU290&lt;&gt;"",IF($B$16=listy!$K$8,'RZĄDOWY PROGRAM'!$F$3*'RZĄDOWY PROGRAM'!$F$15,BZ289*$F$15),"")</f>
        <v/>
      </c>
      <c r="CH290" s="11" t="str">
        <f t="shared" si="247"/>
        <v/>
      </c>
      <c r="CJ290" s="48" t="str">
        <f t="shared" si="278"/>
        <v/>
      </c>
      <c r="CK290" s="18" t="str">
        <f t="shared" si="279"/>
        <v/>
      </c>
      <c r="CL290" s="11" t="str">
        <f t="shared" si="259"/>
        <v/>
      </c>
      <c r="CM290" s="11" t="str">
        <f t="shared" si="280"/>
        <v/>
      </c>
      <c r="CN290" s="11" t="str">
        <f>IF(AB290&lt;&gt;"",CM290-SUM($CL$28:CL290),"")</f>
        <v/>
      </c>
    </row>
    <row r="291" spans="1:92" x14ac:dyDescent="0.45">
      <c r="A291" s="68" t="str">
        <f t="shared" si="252"/>
        <v/>
      </c>
      <c r="B291" s="8" t="str">
        <f t="shared" si="273"/>
        <v/>
      </c>
      <c r="C291" s="11" t="str">
        <f t="shared" si="274"/>
        <v/>
      </c>
      <c r="D291" s="11" t="str">
        <f t="shared" si="275"/>
        <v/>
      </c>
      <c r="E291" s="11" t="str">
        <f t="shared" si="253"/>
        <v/>
      </c>
      <c r="F291" s="9" t="str">
        <f t="shared" si="254"/>
        <v/>
      </c>
      <c r="G291" s="10" t="str">
        <f t="shared" si="255"/>
        <v/>
      </c>
      <c r="H291" s="10" t="str">
        <f t="shared" si="256"/>
        <v/>
      </c>
      <c r="I291" s="48" t="str">
        <f t="shared" si="281"/>
        <v/>
      </c>
      <c r="J291" s="11" t="str">
        <f t="shared" si="276"/>
        <v/>
      </c>
      <c r="K291" s="11" t="str">
        <f>IF(B291&lt;&gt;"",IF($B$16=listy!$K$8,'RZĄDOWY PROGRAM'!$F$3*'RZĄDOWY PROGRAM'!$F$15,F290*$F$15),"")</f>
        <v/>
      </c>
      <c r="L291" s="11" t="str">
        <f t="shared" si="257"/>
        <v/>
      </c>
      <c r="N291" s="54" t="str">
        <f t="shared" si="260"/>
        <v/>
      </c>
      <c r="O291" s="8" t="str">
        <f t="shared" si="282"/>
        <v/>
      </c>
      <c r="P291" s="8"/>
      <c r="Q291" s="11" t="str">
        <f>IF(O291&lt;&gt;"",ROUND(IF($F$11="raty równe",-PMT(W291/12,$F$4-O290+SUM($P$28:P291),T290,2),R291+S291),2),"")</f>
        <v/>
      </c>
      <c r="R291" s="11" t="str">
        <f>IF(O291&lt;&gt;"",IF($F$11="raty malejące",T290/($F$4-O290+SUM($P$28:P291)),IF(Q291-S291&gt;T290,T290,Q291-S291)),"")</f>
        <v/>
      </c>
      <c r="S291" s="11" t="str">
        <f t="shared" si="261"/>
        <v/>
      </c>
      <c r="T291" s="9" t="str">
        <f t="shared" si="262"/>
        <v/>
      </c>
      <c r="U291" s="10" t="str">
        <f t="shared" si="263"/>
        <v/>
      </c>
      <c r="V291" s="10" t="str">
        <f t="shared" si="264"/>
        <v/>
      </c>
      <c r="W291" s="48" t="str">
        <f t="shared" si="283"/>
        <v/>
      </c>
      <c r="X291" s="11" t="str">
        <f t="shared" si="265"/>
        <v/>
      </c>
      <c r="Y291" s="11" t="str">
        <f>IF(O291&lt;&gt;"",IF($B$16=listy!$K$8,'RZĄDOWY PROGRAM'!$F$3*'RZĄDOWY PROGRAM'!$F$15,T290*$F$15),"")</f>
        <v/>
      </c>
      <c r="Z291" s="11" t="str">
        <f t="shared" si="266"/>
        <v/>
      </c>
      <c r="AB291" s="8" t="str">
        <f t="shared" si="267"/>
        <v/>
      </c>
      <c r="AC291" s="8"/>
      <c r="AD291" s="11" t="str">
        <f>IF(AB291&lt;&gt;"",ROUND(IF($F$11="raty równe",-PMT(W291/12,$F$4-AB290+SUM($AC$28:AC291),AG290,2),AE291+AF291),2),"")</f>
        <v/>
      </c>
      <c r="AE291" s="11" t="str">
        <f>IF(AB291&lt;&gt;"",IF($F$11="raty malejące",AG290/($F$4-AB290+SUM($AC$28:AC290)),MIN(AD291-AF291,AG290)),"")</f>
        <v/>
      </c>
      <c r="AF291" s="11" t="str">
        <f t="shared" si="268"/>
        <v/>
      </c>
      <c r="AG291" s="9" t="str">
        <f t="shared" si="269"/>
        <v/>
      </c>
      <c r="AH291" s="11"/>
      <c r="AI291" s="33" t="str">
        <f>IF(AB291&lt;&gt;"",ROUND(IF($F$11="raty równe",-PMT(W291/12,($F$4-AB290+SUM($AC$27:AC290)),AG290,2),AG290/($F$4-AB290+SUM($AC$27:AC290))+AG290*W291/12),2),"")</f>
        <v/>
      </c>
      <c r="AJ291" s="33" t="str">
        <f t="shared" si="270"/>
        <v/>
      </c>
      <c r="AK291" s="33" t="str">
        <f t="shared" si="277"/>
        <v/>
      </c>
      <c r="AL291" s="33" t="str">
        <f>IF(AB291&lt;&gt;"",AK291-SUM($AJ$28:AJ291),"")</f>
        <v/>
      </c>
      <c r="AM291" s="11" t="str">
        <f t="shared" si="271"/>
        <v/>
      </c>
      <c r="AN291" s="11" t="str">
        <f>IF(AB291&lt;&gt;"",IF($B$16=listy!$K$8,'RZĄDOWY PROGRAM'!$F$3*'RZĄDOWY PROGRAM'!$F$15,AG290*$F$15),"")</f>
        <v/>
      </c>
      <c r="AO291" s="11" t="str">
        <f t="shared" si="272"/>
        <v/>
      </c>
      <c r="AQ291" s="8" t="str">
        <f t="shared" si="284"/>
        <v/>
      </c>
      <c r="AR291" s="8"/>
      <c r="AS291" s="78" t="str">
        <f>IF(AQ291&lt;&gt;"",ROUND(IF($F$11="raty równe",-PMT(W291/12,$F$4-AQ290+SUM($AR$28:AR291),AV290,2),AT291+AU291),2),"")</f>
        <v/>
      </c>
      <c r="AT291" s="78" t="str">
        <f>IF(AQ291&lt;&gt;"",IF($F$11="raty malejące",AV290/($F$4-AQ290+SUM($AR$28:AR290)),MIN(AS291-AU291,AV290)),"")</f>
        <v/>
      </c>
      <c r="AU291" s="78" t="str">
        <f t="shared" si="285"/>
        <v/>
      </c>
      <c r="AV291" s="79" t="str">
        <f t="shared" si="286"/>
        <v/>
      </c>
      <c r="AW291" s="11"/>
      <c r="AX291" s="33" t="str">
        <f>IF(AQ291&lt;&gt;"",ROUND(IF($F$11="raty równe",-PMT(W291/12,($F$4-AQ290+SUM($AR$27:AR290)),AV290,2),AV290/($F$4-AQ290+SUM($AR$27:AR290))+AV290*W291/12),2),"")</f>
        <v/>
      </c>
      <c r="AY291" s="33" t="str">
        <f t="shared" si="287"/>
        <v/>
      </c>
      <c r="AZ291" s="33" t="str">
        <f t="shared" si="233"/>
        <v/>
      </c>
      <c r="BA291" s="33" t="str">
        <f>IF(AQ291&lt;&gt;"",AZ291-SUM($AY$44:AY291),"")</f>
        <v/>
      </c>
      <c r="BB291" s="11" t="str">
        <f t="shared" si="288"/>
        <v/>
      </c>
      <c r="BC291" s="11" t="str">
        <f>IF(AQ291&lt;&gt;"",IF($B$16=listy!$K$8,'RZĄDOWY PROGRAM'!$F$3*'RZĄDOWY PROGRAM'!$F$15,AV290*$F$15),"")</f>
        <v/>
      </c>
      <c r="BD291" s="11" t="str">
        <f t="shared" si="289"/>
        <v/>
      </c>
      <c r="BF291" s="8" t="str">
        <f t="shared" si="237"/>
        <v/>
      </c>
      <c r="BG291" s="8"/>
      <c r="BH291" s="78" t="str">
        <f>IF(BF291&lt;&gt;"",ROUND(IF($F$11="raty równe",-PMT(W291/12,$F$4-BF290+SUM(BV$28:$BV291)-SUM($BM$29:BM291),BK290,2),BI291+BJ291),2),"")</f>
        <v/>
      </c>
      <c r="BI291" s="78" t="str">
        <f>IF(BF291&lt;&gt;"",IF($F$11="raty malejące",MIN(BK290/($F$4-BF290+SUM($BG$27:BG291)-SUM($BM$27:BM291)),BK290),MIN(BH291-BJ291,BK290)),"")</f>
        <v/>
      </c>
      <c r="BJ291" s="78" t="str">
        <f t="shared" si="238"/>
        <v/>
      </c>
      <c r="BK291" s="79" t="str">
        <f t="shared" si="239"/>
        <v/>
      </c>
      <c r="BL291" s="11"/>
      <c r="BM291" s="33"/>
      <c r="BN291" s="33" t="str">
        <f t="shared" si="234"/>
        <v/>
      </c>
      <c r="BO291" s="33" t="str">
        <f t="shared" si="235"/>
        <v/>
      </c>
      <c r="BP291" s="33" t="str">
        <f>IF(O291&lt;&gt;"",BO291-SUM($BN$44:BN291),"")</f>
        <v/>
      </c>
      <c r="BQ291" s="11" t="str">
        <f t="shared" si="240"/>
        <v/>
      </c>
      <c r="BR291" s="11" t="str">
        <f>IF(BF291&lt;&gt;"",IF($B$16=listy!$K$8,'RZĄDOWY PROGRAM'!$F$3*'RZĄDOWY PROGRAM'!$F$15,BK290*$F$15),"")</f>
        <v/>
      </c>
      <c r="BS291" s="11" t="str">
        <f t="shared" si="241"/>
        <v/>
      </c>
      <c r="BU291" s="8" t="str">
        <f t="shared" si="290"/>
        <v/>
      </c>
      <c r="BV291" s="8"/>
      <c r="BW291" s="78" t="str">
        <f>IF(BU291&lt;&gt;"",ROUND(IF($F$11="raty równe",-PMT(W291/12,$F$4-BU290+SUM($BV$28:BV291)-$CB$43,BZ290,2),BX291+BY291),2),"")</f>
        <v/>
      </c>
      <c r="BX291" s="78" t="str">
        <f>IF(BU291&lt;&gt;"",IF($F$11="raty malejące",MIN(BZ290/($F$4-BU290+SUM($BV$28:BV290)-SUM($CB$28:CB290)),BZ290),MIN(BW291-BY291,BZ290)),"")</f>
        <v/>
      </c>
      <c r="BY291" s="78" t="str">
        <f t="shared" si="245"/>
        <v/>
      </c>
      <c r="BZ291" s="79" t="str">
        <f t="shared" si="231"/>
        <v/>
      </c>
      <c r="CA291" s="11"/>
      <c r="CB291" s="33"/>
      <c r="CC291" s="33" t="str">
        <f t="shared" si="291"/>
        <v/>
      </c>
      <c r="CD291" s="33" t="str">
        <f t="shared" si="236"/>
        <v/>
      </c>
      <c r="CE291" s="33" t="str">
        <f>IF(O291&lt;&gt;"",CD291-SUM($CC$44:CC291),"")</f>
        <v/>
      </c>
      <c r="CF291" s="11" t="str">
        <f t="shared" si="246"/>
        <v/>
      </c>
      <c r="CG291" s="11" t="str">
        <f>IF(BU291&lt;&gt;"",IF($B$16=listy!$K$8,'RZĄDOWY PROGRAM'!$F$3*'RZĄDOWY PROGRAM'!$F$15,BZ290*$F$15),"")</f>
        <v/>
      </c>
      <c r="CH291" s="11" t="str">
        <f t="shared" si="247"/>
        <v/>
      </c>
      <c r="CJ291" s="48" t="str">
        <f t="shared" si="278"/>
        <v/>
      </c>
      <c r="CK291" s="18" t="str">
        <f t="shared" si="279"/>
        <v/>
      </c>
      <c r="CL291" s="11" t="str">
        <f t="shared" si="259"/>
        <v/>
      </c>
      <c r="CM291" s="11" t="str">
        <f t="shared" si="280"/>
        <v/>
      </c>
      <c r="CN291" s="11" t="str">
        <f>IF(AB291&lt;&gt;"",CM291-SUM($CL$28:CL291),"")</f>
        <v/>
      </c>
    </row>
    <row r="292" spans="1:92" x14ac:dyDescent="0.45">
      <c r="A292" s="68" t="str">
        <f t="shared" si="252"/>
        <v/>
      </c>
      <c r="B292" s="8" t="str">
        <f t="shared" si="273"/>
        <v/>
      </c>
      <c r="C292" s="11" t="str">
        <f t="shared" si="274"/>
        <v/>
      </c>
      <c r="D292" s="11" t="str">
        <f t="shared" si="275"/>
        <v/>
      </c>
      <c r="E292" s="11" t="str">
        <f t="shared" si="253"/>
        <v/>
      </c>
      <c r="F292" s="9" t="str">
        <f t="shared" si="254"/>
        <v/>
      </c>
      <c r="G292" s="10" t="str">
        <f t="shared" si="255"/>
        <v/>
      </c>
      <c r="H292" s="10" t="str">
        <f t="shared" si="256"/>
        <v/>
      </c>
      <c r="I292" s="48" t="str">
        <f t="shared" si="281"/>
        <v/>
      </c>
      <c r="J292" s="11" t="str">
        <f t="shared" si="276"/>
        <v/>
      </c>
      <c r="K292" s="11" t="str">
        <f>IF(B292&lt;&gt;"",IF($B$16=listy!$K$8,'RZĄDOWY PROGRAM'!$F$3*'RZĄDOWY PROGRAM'!$F$15,F291*$F$15),"")</f>
        <v/>
      </c>
      <c r="L292" s="11" t="str">
        <f t="shared" si="257"/>
        <v/>
      </c>
      <c r="N292" s="54" t="str">
        <f t="shared" si="260"/>
        <v/>
      </c>
      <c r="O292" s="8" t="str">
        <f t="shared" si="282"/>
        <v/>
      </c>
      <c r="P292" s="8"/>
      <c r="Q292" s="11" t="str">
        <f>IF(O292&lt;&gt;"",ROUND(IF($F$11="raty równe",-PMT(W292/12,$F$4-O291+SUM($P$28:P292),T291,2),R292+S292),2),"")</f>
        <v/>
      </c>
      <c r="R292" s="11" t="str">
        <f>IF(O292&lt;&gt;"",IF($F$11="raty malejące",T291/($F$4-O291+SUM($P$28:P292)),IF(Q292-S292&gt;T291,T291,Q292-S292)),"")</f>
        <v/>
      </c>
      <c r="S292" s="11" t="str">
        <f t="shared" si="261"/>
        <v/>
      </c>
      <c r="T292" s="9" t="str">
        <f t="shared" si="262"/>
        <v/>
      </c>
      <c r="U292" s="10" t="str">
        <f t="shared" si="263"/>
        <v/>
      </c>
      <c r="V292" s="10" t="str">
        <f t="shared" si="264"/>
        <v/>
      </c>
      <c r="W292" s="48" t="str">
        <f t="shared" si="283"/>
        <v/>
      </c>
      <c r="X292" s="11" t="str">
        <f t="shared" si="265"/>
        <v/>
      </c>
      <c r="Y292" s="11" t="str">
        <f>IF(O292&lt;&gt;"",IF($B$16=listy!$K$8,'RZĄDOWY PROGRAM'!$F$3*'RZĄDOWY PROGRAM'!$F$15,T291*$F$15),"")</f>
        <v/>
      </c>
      <c r="Z292" s="11" t="str">
        <f t="shared" si="266"/>
        <v/>
      </c>
      <c r="AB292" s="8" t="str">
        <f t="shared" si="267"/>
        <v/>
      </c>
      <c r="AC292" s="8"/>
      <c r="AD292" s="11" t="str">
        <f>IF(AB292&lt;&gt;"",ROUND(IF($F$11="raty równe",-PMT(W292/12,$F$4-AB291+SUM($AC$28:AC292),AG291,2),AE292+AF292),2),"")</f>
        <v/>
      </c>
      <c r="AE292" s="11" t="str">
        <f>IF(AB292&lt;&gt;"",IF($F$11="raty malejące",AG291/($F$4-AB291+SUM($AC$28:AC291)),MIN(AD292-AF292,AG291)),"")</f>
        <v/>
      </c>
      <c r="AF292" s="11" t="str">
        <f t="shared" si="268"/>
        <v/>
      </c>
      <c r="AG292" s="9" t="str">
        <f t="shared" si="269"/>
        <v/>
      </c>
      <c r="AH292" s="11"/>
      <c r="AI292" s="33" t="str">
        <f>IF(AB292&lt;&gt;"",ROUND(IF($F$11="raty równe",-PMT(W292/12,($F$4-AB291+SUM($AC$27:AC291)),AG291,2),AG291/($F$4-AB291+SUM($AC$27:AC291))+AG291*W292/12),2),"")</f>
        <v/>
      </c>
      <c r="AJ292" s="33" t="str">
        <f t="shared" si="270"/>
        <v/>
      </c>
      <c r="AK292" s="33" t="str">
        <f t="shared" si="277"/>
        <v/>
      </c>
      <c r="AL292" s="33" t="str">
        <f>IF(AB292&lt;&gt;"",AK292-SUM($AJ$28:AJ292),"")</f>
        <v/>
      </c>
      <c r="AM292" s="11" t="str">
        <f t="shared" si="271"/>
        <v/>
      </c>
      <c r="AN292" s="11" t="str">
        <f>IF(AB292&lt;&gt;"",IF($B$16=listy!$K$8,'RZĄDOWY PROGRAM'!$F$3*'RZĄDOWY PROGRAM'!$F$15,AG291*$F$15),"")</f>
        <v/>
      </c>
      <c r="AO292" s="11" t="str">
        <f t="shared" si="272"/>
        <v/>
      </c>
      <c r="AQ292" s="8" t="str">
        <f t="shared" si="284"/>
        <v/>
      </c>
      <c r="AR292" s="8"/>
      <c r="AS292" s="78" t="str">
        <f>IF(AQ292&lt;&gt;"",ROUND(IF($F$11="raty równe",-PMT(W292/12,$F$4-AQ291+SUM($AR$28:AR292),AV291,2),AT292+AU292),2),"")</f>
        <v/>
      </c>
      <c r="AT292" s="78" t="str">
        <f>IF(AQ292&lt;&gt;"",IF($F$11="raty malejące",AV291/($F$4-AQ291+SUM($AR$28:AR291)),MIN(AS292-AU292,AV291)),"")</f>
        <v/>
      </c>
      <c r="AU292" s="78" t="str">
        <f t="shared" si="285"/>
        <v/>
      </c>
      <c r="AV292" s="79" t="str">
        <f t="shared" si="286"/>
        <v/>
      </c>
      <c r="AW292" s="11"/>
      <c r="AX292" s="33" t="str">
        <f>IF(AQ292&lt;&gt;"",ROUND(IF($F$11="raty równe",-PMT(W292/12,($F$4-AQ291+SUM($AR$27:AR291)),AV291,2),AV291/($F$4-AQ291+SUM($AR$27:AR291))+AV291*W292/12),2),"")</f>
        <v/>
      </c>
      <c r="AY292" s="33" t="str">
        <f t="shared" si="287"/>
        <v/>
      </c>
      <c r="AZ292" s="33" t="str">
        <f t="shared" si="233"/>
        <v/>
      </c>
      <c r="BA292" s="33" t="str">
        <f>IF(AQ292&lt;&gt;"",AZ292-SUM($AY$44:AY292),"")</f>
        <v/>
      </c>
      <c r="BB292" s="11" t="str">
        <f t="shared" si="288"/>
        <v/>
      </c>
      <c r="BC292" s="11" t="str">
        <f>IF(AQ292&lt;&gt;"",IF($B$16=listy!$K$8,'RZĄDOWY PROGRAM'!$F$3*'RZĄDOWY PROGRAM'!$F$15,AV291*$F$15),"")</f>
        <v/>
      </c>
      <c r="BD292" s="11" t="str">
        <f t="shared" si="289"/>
        <v/>
      </c>
      <c r="BF292" s="8" t="str">
        <f t="shared" si="237"/>
        <v/>
      </c>
      <c r="BG292" s="8"/>
      <c r="BH292" s="78" t="str">
        <f>IF(BF292&lt;&gt;"",ROUND(IF($F$11="raty równe",-PMT(W292/12,$F$4-BF291+SUM(BV$28:$BV292)-SUM($BM$29:BM292),BK291,2),BI292+BJ292),2),"")</f>
        <v/>
      </c>
      <c r="BI292" s="78" t="str">
        <f>IF(BF292&lt;&gt;"",IF($F$11="raty malejące",MIN(BK291/($F$4-BF291+SUM($BG$27:BG292)-SUM($BM$27:BM292)),BK291),MIN(BH292-BJ292,BK291)),"")</f>
        <v/>
      </c>
      <c r="BJ292" s="78" t="str">
        <f t="shared" si="238"/>
        <v/>
      </c>
      <c r="BK292" s="79" t="str">
        <f t="shared" si="239"/>
        <v/>
      </c>
      <c r="BL292" s="11"/>
      <c r="BM292" s="33"/>
      <c r="BN292" s="33" t="str">
        <f t="shared" si="234"/>
        <v/>
      </c>
      <c r="BO292" s="33" t="str">
        <f t="shared" si="235"/>
        <v/>
      </c>
      <c r="BP292" s="33" t="str">
        <f>IF(O292&lt;&gt;"",BO292-SUM($BN$44:BN292),"")</f>
        <v/>
      </c>
      <c r="BQ292" s="11" t="str">
        <f t="shared" si="240"/>
        <v/>
      </c>
      <c r="BR292" s="11" t="str">
        <f>IF(BF292&lt;&gt;"",IF($B$16=listy!$K$8,'RZĄDOWY PROGRAM'!$F$3*'RZĄDOWY PROGRAM'!$F$15,BK291*$F$15),"")</f>
        <v/>
      </c>
      <c r="BS292" s="11" t="str">
        <f t="shared" si="241"/>
        <v/>
      </c>
      <c r="BU292" s="8" t="str">
        <f t="shared" si="290"/>
        <v/>
      </c>
      <c r="BV292" s="8"/>
      <c r="BW292" s="78" t="str">
        <f>IF(BU292&lt;&gt;"",ROUND(IF($F$11="raty równe",-PMT(W292/12,$F$4-BU291+SUM($BV$28:BV292)-$CB$43,BZ291,2),BX292+BY292),2),"")</f>
        <v/>
      </c>
      <c r="BX292" s="78" t="str">
        <f>IF(BU292&lt;&gt;"",IF($F$11="raty malejące",MIN(BZ291/($F$4-BU291+SUM($BV$28:BV291)-SUM($CB$28:CB291)),BZ291),MIN(BW292-BY292,BZ291)),"")</f>
        <v/>
      </c>
      <c r="BY292" s="78" t="str">
        <f t="shared" si="245"/>
        <v/>
      </c>
      <c r="BZ292" s="79" t="str">
        <f t="shared" si="231"/>
        <v/>
      </c>
      <c r="CA292" s="11"/>
      <c r="CB292" s="33"/>
      <c r="CC292" s="33" t="str">
        <f t="shared" si="291"/>
        <v/>
      </c>
      <c r="CD292" s="33" t="str">
        <f t="shared" si="236"/>
        <v/>
      </c>
      <c r="CE292" s="33" t="str">
        <f>IF(O292&lt;&gt;"",CD292-SUM($CC$44:CC292),"")</f>
        <v/>
      </c>
      <c r="CF292" s="11" t="str">
        <f t="shared" si="246"/>
        <v/>
      </c>
      <c r="CG292" s="11" t="str">
        <f>IF(BU292&lt;&gt;"",IF($B$16=listy!$K$8,'RZĄDOWY PROGRAM'!$F$3*'RZĄDOWY PROGRAM'!$F$15,BZ291*$F$15),"")</f>
        <v/>
      </c>
      <c r="CH292" s="11" t="str">
        <f t="shared" si="247"/>
        <v/>
      </c>
      <c r="CJ292" s="48" t="str">
        <f t="shared" si="278"/>
        <v/>
      </c>
      <c r="CK292" s="18" t="str">
        <f t="shared" si="279"/>
        <v/>
      </c>
      <c r="CL292" s="11" t="str">
        <f t="shared" si="259"/>
        <v/>
      </c>
      <c r="CM292" s="11" t="str">
        <f t="shared" si="280"/>
        <v/>
      </c>
      <c r="CN292" s="11" t="str">
        <f>IF(AB292&lt;&gt;"",CM292-SUM($CL$28:CL292),"")</f>
        <v/>
      </c>
    </row>
    <row r="293" spans="1:92" x14ac:dyDescent="0.45">
      <c r="A293" s="68" t="str">
        <f t="shared" si="252"/>
        <v/>
      </c>
      <c r="B293" s="8" t="str">
        <f t="shared" si="273"/>
        <v/>
      </c>
      <c r="C293" s="11" t="str">
        <f t="shared" si="274"/>
        <v/>
      </c>
      <c r="D293" s="11" t="str">
        <f t="shared" si="275"/>
        <v/>
      </c>
      <c r="E293" s="11" t="str">
        <f t="shared" si="253"/>
        <v/>
      </c>
      <c r="F293" s="9" t="str">
        <f t="shared" si="254"/>
        <v/>
      </c>
      <c r="G293" s="10" t="str">
        <f t="shared" si="255"/>
        <v/>
      </c>
      <c r="H293" s="10" t="str">
        <f t="shared" si="256"/>
        <v/>
      </c>
      <c r="I293" s="48" t="str">
        <f t="shared" si="281"/>
        <v/>
      </c>
      <c r="J293" s="11" t="str">
        <f t="shared" si="276"/>
        <v/>
      </c>
      <c r="K293" s="11" t="str">
        <f>IF(B293&lt;&gt;"",IF($B$16=listy!$K$8,'RZĄDOWY PROGRAM'!$F$3*'RZĄDOWY PROGRAM'!$F$15,F292*$F$15),"")</f>
        <v/>
      </c>
      <c r="L293" s="11" t="str">
        <f t="shared" si="257"/>
        <v/>
      </c>
      <c r="N293" s="54" t="str">
        <f t="shared" si="260"/>
        <v/>
      </c>
      <c r="O293" s="8" t="str">
        <f t="shared" si="282"/>
        <v/>
      </c>
      <c r="P293" s="8"/>
      <c r="Q293" s="11" t="str">
        <f>IF(O293&lt;&gt;"",ROUND(IF($F$11="raty równe",-PMT(W293/12,$F$4-O292+SUM($P$28:P293),T292,2),R293+S293),2),"")</f>
        <v/>
      </c>
      <c r="R293" s="11" t="str">
        <f>IF(O293&lt;&gt;"",IF($F$11="raty malejące",T292/($F$4-O292+SUM($P$28:P293)),IF(Q293-S293&gt;T292,T292,Q293-S293)),"")</f>
        <v/>
      </c>
      <c r="S293" s="11" t="str">
        <f t="shared" si="261"/>
        <v/>
      </c>
      <c r="T293" s="9" t="str">
        <f t="shared" si="262"/>
        <v/>
      </c>
      <c r="U293" s="10" t="str">
        <f t="shared" si="263"/>
        <v/>
      </c>
      <c r="V293" s="10" t="str">
        <f t="shared" si="264"/>
        <v/>
      </c>
      <c r="W293" s="48" t="str">
        <f t="shared" si="283"/>
        <v/>
      </c>
      <c r="X293" s="11" t="str">
        <f t="shared" si="265"/>
        <v/>
      </c>
      <c r="Y293" s="11" t="str">
        <f>IF(O293&lt;&gt;"",IF($B$16=listy!$K$8,'RZĄDOWY PROGRAM'!$F$3*'RZĄDOWY PROGRAM'!$F$15,T292*$F$15),"")</f>
        <v/>
      </c>
      <c r="Z293" s="11" t="str">
        <f t="shared" si="266"/>
        <v/>
      </c>
      <c r="AB293" s="8" t="str">
        <f t="shared" si="267"/>
        <v/>
      </c>
      <c r="AC293" s="8"/>
      <c r="AD293" s="11" t="str">
        <f>IF(AB293&lt;&gt;"",ROUND(IF($F$11="raty równe",-PMT(W293/12,$F$4-AB292+SUM($AC$28:AC293),AG292,2),AE293+AF293),2),"")</f>
        <v/>
      </c>
      <c r="AE293" s="11" t="str">
        <f>IF(AB293&lt;&gt;"",IF($F$11="raty malejące",AG292/($F$4-AB292+SUM($AC$28:AC292)),MIN(AD293-AF293,AG292)),"")</f>
        <v/>
      </c>
      <c r="AF293" s="11" t="str">
        <f t="shared" si="268"/>
        <v/>
      </c>
      <c r="AG293" s="9" t="str">
        <f t="shared" si="269"/>
        <v/>
      </c>
      <c r="AH293" s="11"/>
      <c r="AI293" s="33" t="str">
        <f>IF(AB293&lt;&gt;"",ROUND(IF($F$11="raty równe",-PMT(W293/12,($F$4-AB292+SUM($AC$27:AC292)),AG292,2),AG292/($F$4-AB292+SUM($AC$27:AC292))+AG292*W293/12),2),"")</f>
        <v/>
      </c>
      <c r="AJ293" s="33" t="str">
        <f t="shared" si="270"/>
        <v/>
      </c>
      <c r="AK293" s="33" t="str">
        <f t="shared" si="277"/>
        <v/>
      </c>
      <c r="AL293" s="33" t="str">
        <f>IF(AB293&lt;&gt;"",AK293-SUM($AJ$28:AJ293),"")</f>
        <v/>
      </c>
      <c r="AM293" s="11" t="str">
        <f t="shared" si="271"/>
        <v/>
      </c>
      <c r="AN293" s="11" t="str">
        <f>IF(AB293&lt;&gt;"",IF($B$16=listy!$K$8,'RZĄDOWY PROGRAM'!$F$3*'RZĄDOWY PROGRAM'!$F$15,AG292*$F$15),"")</f>
        <v/>
      </c>
      <c r="AO293" s="11" t="str">
        <f t="shared" si="272"/>
        <v/>
      </c>
      <c r="AQ293" s="8" t="str">
        <f t="shared" si="284"/>
        <v/>
      </c>
      <c r="AR293" s="8"/>
      <c r="AS293" s="78" t="str">
        <f>IF(AQ293&lt;&gt;"",ROUND(IF($F$11="raty równe",-PMT(W293/12,$F$4-AQ292+SUM($AR$28:AR293),AV292,2),AT293+AU293),2),"")</f>
        <v/>
      </c>
      <c r="AT293" s="78" t="str">
        <f>IF(AQ293&lt;&gt;"",IF($F$11="raty malejące",AV292/($F$4-AQ292+SUM($AR$28:AR292)),MIN(AS293-AU293,AV292)),"")</f>
        <v/>
      </c>
      <c r="AU293" s="78" t="str">
        <f t="shared" si="285"/>
        <v/>
      </c>
      <c r="AV293" s="79" t="str">
        <f t="shared" si="286"/>
        <v/>
      </c>
      <c r="AW293" s="11"/>
      <c r="AX293" s="33" t="str">
        <f>IF(AQ293&lt;&gt;"",ROUND(IF($F$11="raty równe",-PMT(W293/12,($F$4-AQ292+SUM($AR$27:AR292)),AV292,2),AV292/($F$4-AQ292+SUM($AR$27:AR292))+AV292*W293/12),2),"")</f>
        <v/>
      </c>
      <c r="AY293" s="33" t="str">
        <f t="shared" si="287"/>
        <v/>
      </c>
      <c r="AZ293" s="33" t="str">
        <f t="shared" si="233"/>
        <v/>
      </c>
      <c r="BA293" s="33" t="str">
        <f>IF(AQ293&lt;&gt;"",AZ293-SUM($AY$44:AY293),"")</f>
        <v/>
      </c>
      <c r="BB293" s="11" t="str">
        <f t="shared" si="288"/>
        <v/>
      </c>
      <c r="BC293" s="11" t="str">
        <f>IF(AQ293&lt;&gt;"",IF($B$16=listy!$K$8,'RZĄDOWY PROGRAM'!$F$3*'RZĄDOWY PROGRAM'!$F$15,AV292*$F$15),"")</f>
        <v/>
      </c>
      <c r="BD293" s="11" t="str">
        <f t="shared" si="289"/>
        <v/>
      </c>
      <c r="BF293" s="8" t="str">
        <f t="shared" si="237"/>
        <v/>
      </c>
      <c r="BG293" s="8"/>
      <c r="BH293" s="78" t="str">
        <f>IF(BF293&lt;&gt;"",ROUND(IF($F$11="raty równe",-PMT(W293/12,$F$4-BF292+SUM(BV$28:$BV293)-SUM($BM$29:BM293),BK292,2),BI293+BJ293),2),"")</f>
        <v/>
      </c>
      <c r="BI293" s="78" t="str">
        <f>IF(BF293&lt;&gt;"",IF($F$11="raty malejące",MIN(BK292/($F$4-BF292+SUM($BG$27:BG293)-SUM($BM$27:BM293)),BK292),MIN(BH293-BJ293,BK292)),"")</f>
        <v/>
      </c>
      <c r="BJ293" s="78" t="str">
        <f t="shared" si="238"/>
        <v/>
      </c>
      <c r="BK293" s="79" t="str">
        <f t="shared" si="239"/>
        <v/>
      </c>
      <c r="BL293" s="11"/>
      <c r="BM293" s="33"/>
      <c r="BN293" s="33" t="str">
        <f t="shared" si="234"/>
        <v/>
      </c>
      <c r="BO293" s="33" t="str">
        <f t="shared" si="235"/>
        <v/>
      </c>
      <c r="BP293" s="33" t="str">
        <f>IF(O293&lt;&gt;"",BO293-SUM($BN$44:BN293),"")</f>
        <v/>
      </c>
      <c r="BQ293" s="11" t="str">
        <f t="shared" si="240"/>
        <v/>
      </c>
      <c r="BR293" s="11" t="str">
        <f>IF(BF293&lt;&gt;"",IF($B$16=listy!$K$8,'RZĄDOWY PROGRAM'!$F$3*'RZĄDOWY PROGRAM'!$F$15,BK292*$F$15),"")</f>
        <v/>
      </c>
      <c r="BS293" s="11" t="str">
        <f t="shared" si="241"/>
        <v/>
      </c>
      <c r="BU293" s="8" t="str">
        <f t="shared" si="290"/>
        <v/>
      </c>
      <c r="BV293" s="8"/>
      <c r="BW293" s="78" t="str">
        <f>IF(BU293&lt;&gt;"",ROUND(IF($F$11="raty równe",-PMT(W293/12,$F$4-BU292+SUM($BV$28:BV293)-$CB$43,BZ292,2),BX293+BY293),2),"")</f>
        <v/>
      </c>
      <c r="BX293" s="78" t="str">
        <f>IF(BU293&lt;&gt;"",IF($F$11="raty malejące",MIN(BZ292/($F$4-BU292+SUM($BV$28:BV292)-SUM($CB$28:CB292)),BZ292),MIN(BW293-BY293,BZ292)),"")</f>
        <v/>
      </c>
      <c r="BY293" s="78" t="str">
        <f t="shared" si="245"/>
        <v/>
      </c>
      <c r="BZ293" s="79" t="str">
        <f t="shared" si="231"/>
        <v/>
      </c>
      <c r="CA293" s="11"/>
      <c r="CB293" s="33"/>
      <c r="CC293" s="33" t="str">
        <f t="shared" si="291"/>
        <v/>
      </c>
      <c r="CD293" s="33" t="str">
        <f t="shared" si="236"/>
        <v/>
      </c>
      <c r="CE293" s="33" t="str">
        <f>IF(O293&lt;&gt;"",CD293-SUM($CC$44:CC293),"")</f>
        <v/>
      </c>
      <c r="CF293" s="11" t="str">
        <f t="shared" si="246"/>
        <v/>
      </c>
      <c r="CG293" s="11" t="str">
        <f>IF(BU293&lt;&gt;"",IF($B$16=listy!$K$8,'RZĄDOWY PROGRAM'!$F$3*'RZĄDOWY PROGRAM'!$F$15,BZ292*$F$15),"")</f>
        <v/>
      </c>
      <c r="CH293" s="11" t="str">
        <f t="shared" si="247"/>
        <v/>
      </c>
      <c r="CJ293" s="48" t="str">
        <f t="shared" si="278"/>
        <v/>
      </c>
      <c r="CK293" s="18" t="str">
        <f t="shared" si="279"/>
        <v/>
      </c>
      <c r="CL293" s="11" t="str">
        <f t="shared" si="259"/>
        <v/>
      </c>
      <c r="CM293" s="11" t="str">
        <f t="shared" si="280"/>
        <v/>
      </c>
      <c r="CN293" s="11" t="str">
        <f>IF(AB293&lt;&gt;"",CM293-SUM($CL$28:CL293),"")</f>
        <v/>
      </c>
    </row>
    <row r="294" spans="1:92" x14ac:dyDescent="0.45">
      <c r="A294" s="68" t="str">
        <f t="shared" si="252"/>
        <v/>
      </c>
      <c r="B294" s="8" t="str">
        <f t="shared" si="273"/>
        <v/>
      </c>
      <c r="C294" s="11" t="str">
        <f t="shared" si="274"/>
        <v/>
      </c>
      <c r="D294" s="11" t="str">
        <f t="shared" si="275"/>
        <v/>
      </c>
      <c r="E294" s="11" t="str">
        <f t="shared" si="253"/>
        <v/>
      </c>
      <c r="F294" s="9" t="str">
        <f t="shared" si="254"/>
        <v/>
      </c>
      <c r="G294" s="10" t="str">
        <f t="shared" si="255"/>
        <v/>
      </c>
      <c r="H294" s="10" t="str">
        <f t="shared" si="256"/>
        <v/>
      </c>
      <c r="I294" s="48" t="str">
        <f t="shared" si="281"/>
        <v/>
      </c>
      <c r="J294" s="11" t="str">
        <f t="shared" si="276"/>
        <v/>
      </c>
      <c r="K294" s="11" t="str">
        <f>IF(B294&lt;&gt;"",IF($B$16=listy!$K$8,'RZĄDOWY PROGRAM'!$F$3*'RZĄDOWY PROGRAM'!$F$15,F293*$F$15),"")</f>
        <v/>
      </c>
      <c r="L294" s="11" t="str">
        <f t="shared" si="257"/>
        <v/>
      </c>
      <c r="N294" s="54" t="str">
        <f t="shared" si="260"/>
        <v/>
      </c>
      <c r="O294" s="8" t="str">
        <f t="shared" si="282"/>
        <v/>
      </c>
      <c r="P294" s="8"/>
      <c r="Q294" s="11" t="str">
        <f>IF(O294&lt;&gt;"",ROUND(IF($F$11="raty równe",-PMT(W294/12,$F$4-O293+SUM($P$28:P294),T293,2),R294+S294),2),"")</f>
        <v/>
      </c>
      <c r="R294" s="11" t="str">
        <f>IF(O294&lt;&gt;"",IF($F$11="raty malejące",T293/($F$4-O293+SUM($P$28:P294)),IF(Q294-S294&gt;T293,T293,Q294-S294)),"")</f>
        <v/>
      </c>
      <c r="S294" s="11" t="str">
        <f t="shared" si="261"/>
        <v/>
      </c>
      <c r="T294" s="9" t="str">
        <f t="shared" si="262"/>
        <v/>
      </c>
      <c r="U294" s="10" t="str">
        <f t="shared" si="263"/>
        <v/>
      </c>
      <c r="V294" s="10" t="str">
        <f t="shared" si="264"/>
        <v/>
      </c>
      <c r="W294" s="48" t="str">
        <f t="shared" si="283"/>
        <v/>
      </c>
      <c r="X294" s="11" t="str">
        <f t="shared" si="265"/>
        <v/>
      </c>
      <c r="Y294" s="11" t="str">
        <f>IF(O294&lt;&gt;"",IF($B$16=listy!$K$8,'RZĄDOWY PROGRAM'!$F$3*'RZĄDOWY PROGRAM'!$F$15,T293*$F$15),"")</f>
        <v/>
      </c>
      <c r="Z294" s="11" t="str">
        <f t="shared" si="266"/>
        <v/>
      </c>
      <c r="AB294" s="8" t="str">
        <f t="shared" si="267"/>
        <v/>
      </c>
      <c r="AC294" s="8"/>
      <c r="AD294" s="11" t="str">
        <f>IF(AB294&lt;&gt;"",ROUND(IF($F$11="raty równe",-PMT(W294/12,$F$4-AB293+SUM($AC$28:AC294),AG293,2),AE294+AF294),2),"")</f>
        <v/>
      </c>
      <c r="AE294" s="11" t="str">
        <f>IF(AB294&lt;&gt;"",IF($F$11="raty malejące",AG293/($F$4-AB293+SUM($AC$28:AC293)),MIN(AD294-AF294,AG293)),"")</f>
        <v/>
      </c>
      <c r="AF294" s="11" t="str">
        <f t="shared" si="268"/>
        <v/>
      </c>
      <c r="AG294" s="9" t="str">
        <f t="shared" si="269"/>
        <v/>
      </c>
      <c r="AH294" s="11"/>
      <c r="AI294" s="33" t="str">
        <f>IF(AB294&lt;&gt;"",ROUND(IF($F$11="raty równe",-PMT(W294/12,($F$4-AB293+SUM($AC$27:AC293)),AG293,2),AG293/($F$4-AB293+SUM($AC$27:AC293))+AG293*W294/12),2),"")</f>
        <v/>
      </c>
      <c r="AJ294" s="33" t="str">
        <f t="shared" si="270"/>
        <v/>
      </c>
      <c r="AK294" s="33" t="str">
        <f t="shared" si="277"/>
        <v/>
      </c>
      <c r="AL294" s="33" t="str">
        <f>IF(AB294&lt;&gt;"",AK294-SUM($AJ$28:AJ294),"")</f>
        <v/>
      </c>
      <c r="AM294" s="11" t="str">
        <f t="shared" si="271"/>
        <v/>
      </c>
      <c r="AN294" s="11" t="str">
        <f>IF(AB294&lt;&gt;"",IF($B$16=listy!$K$8,'RZĄDOWY PROGRAM'!$F$3*'RZĄDOWY PROGRAM'!$F$15,AG293*$F$15),"")</f>
        <v/>
      </c>
      <c r="AO294" s="11" t="str">
        <f t="shared" si="272"/>
        <v/>
      </c>
      <c r="AQ294" s="8" t="str">
        <f t="shared" si="284"/>
        <v/>
      </c>
      <c r="AR294" s="8"/>
      <c r="AS294" s="78" t="str">
        <f>IF(AQ294&lt;&gt;"",ROUND(IF($F$11="raty równe",-PMT(W294/12,$F$4-AQ293+SUM($AR$28:AR294),AV293,2),AT294+AU294),2),"")</f>
        <v/>
      </c>
      <c r="AT294" s="78" t="str">
        <f>IF(AQ294&lt;&gt;"",IF($F$11="raty malejące",AV293/($F$4-AQ293+SUM($AR$28:AR293)),MIN(AS294-AU294,AV293)),"")</f>
        <v/>
      </c>
      <c r="AU294" s="78" t="str">
        <f t="shared" si="285"/>
        <v/>
      </c>
      <c r="AV294" s="79" t="str">
        <f t="shared" si="286"/>
        <v/>
      </c>
      <c r="AW294" s="11"/>
      <c r="AX294" s="33" t="str">
        <f>IF(AQ294&lt;&gt;"",ROUND(IF($F$11="raty równe",-PMT(W294/12,($F$4-AQ293+SUM($AR$27:AR293)),AV293,2),AV293/($F$4-AQ293+SUM($AR$27:AR293))+AV293*W294/12),2),"")</f>
        <v/>
      </c>
      <c r="AY294" s="33" t="str">
        <f t="shared" si="287"/>
        <v/>
      </c>
      <c r="AZ294" s="33" t="str">
        <f t="shared" si="233"/>
        <v/>
      </c>
      <c r="BA294" s="33" t="str">
        <f>IF(AQ294&lt;&gt;"",AZ294-SUM($AY$44:AY294),"")</f>
        <v/>
      </c>
      <c r="BB294" s="11" t="str">
        <f t="shared" si="288"/>
        <v/>
      </c>
      <c r="BC294" s="11" t="str">
        <f>IF(AQ294&lt;&gt;"",IF($B$16=listy!$K$8,'RZĄDOWY PROGRAM'!$F$3*'RZĄDOWY PROGRAM'!$F$15,AV293*$F$15),"")</f>
        <v/>
      </c>
      <c r="BD294" s="11" t="str">
        <f t="shared" si="289"/>
        <v/>
      </c>
      <c r="BF294" s="8" t="str">
        <f t="shared" si="237"/>
        <v/>
      </c>
      <c r="BG294" s="8"/>
      <c r="BH294" s="78" t="str">
        <f>IF(BF294&lt;&gt;"",ROUND(IF($F$11="raty równe",-PMT(W294/12,$F$4-BF293+SUM(BV$28:$BV294)-SUM($BM$29:BM294),BK293,2),BI294+BJ294),2),"")</f>
        <v/>
      </c>
      <c r="BI294" s="78" t="str">
        <f>IF(BF294&lt;&gt;"",IF($F$11="raty malejące",MIN(BK293/($F$4-BF293+SUM($BG$27:BG294)-SUM($BM$27:BM294)),BK293),MIN(BH294-BJ294,BK293)),"")</f>
        <v/>
      </c>
      <c r="BJ294" s="78" t="str">
        <f t="shared" si="238"/>
        <v/>
      </c>
      <c r="BK294" s="79" t="str">
        <f t="shared" si="239"/>
        <v/>
      </c>
      <c r="BL294" s="11"/>
      <c r="BM294" s="33"/>
      <c r="BN294" s="33" t="str">
        <f t="shared" si="234"/>
        <v/>
      </c>
      <c r="BO294" s="33" t="str">
        <f t="shared" si="235"/>
        <v/>
      </c>
      <c r="BP294" s="33" t="str">
        <f>IF(O294&lt;&gt;"",BO294-SUM($BN$44:BN294),"")</f>
        <v/>
      </c>
      <c r="BQ294" s="11" t="str">
        <f t="shared" si="240"/>
        <v/>
      </c>
      <c r="BR294" s="11" t="str">
        <f>IF(BF294&lt;&gt;"",IF($B$16=listy!$K$8,'RZĄDOWY PROGRAM'!$F$3*'RZĄDOWY PROGRAM'!$F$15,BK293*$F$15),"")</f>
        <v/>
      </c>
      <c r="BS294" s="11" t="str">
        <f t="shared" si="241"/>
        <v/>
      </c>
      <c r="BU294" s="8" t="str">
        <f t="shared" si="290"/>
        <v/>
      </c>
      <c r="BV294" s="8"/>
      <c r="BW294" s="78" t="str">
        <f>IF(BU294&lt;&gt;"",ROUND(IF($F$11="raty równe",-PMT(W294/12,$F$4-BU293+SUM($BV$28:BV294)-$CB$43,BZ293,2),BX294+BY294),2),"")</f>
        <v/>
      </c>
      <c r="BX294" s="78" t="str">
        <f>IF(BU294&lt;&gt;"",IF($F$11="raty malejące",MIN(BZ293/($F$4-BU293+SUM($BV$28:BV293)-SUM($CB$28:CB293)),BZ293),MIN(BW294-BY294,BZ293)),"")</f>
        <v/>
      </c>
      <c r="BY294" s="78" t="str">
        <f t="shared" si="245"/>
        <v/>
      </c>
      <c r="BZ294" s="79" t="str">
        <f t="shared" si="231"/>
        <v/>
      </c>
      <c r="CA294" s="11"/>
      <c r="CB294" s="33"/>
      <c r="CC294" s="33" t="str">
        <f t="shared" si="291"/>
        <v/>
      </c>
      <c r="CD294" s="33" t="str">
        <f t="shared" si="236"/>
        <v/>
      </c>
      <c r="CE294" s="33" t="str">
        <f>IF(O294&lt;&gt;"",CD294-SUM($CC$44:CC294),"")</f>
        <v/>
      </c>
      <c r="CF294" s="11" t="str">
        <f t="shared" si="246"/>
        <v/>
      </c>
      <c r="CG294" s="11" t="str">
        <f>IF(BU294&lt;&gt;"",IF($B$16=listy!$K$8,'RZĄDOWY PROGRAM'!$F$3*'RZĄDOWY PROGRAM'!$F$15,BZ293*$F$15),"")</f>
        <v/>
      </c>
      <c r="CH294" s="11" t="str">
        <f t="shared" si="247"/>
        <v/>
      </c>
      <c r="CJ294" s="48" t="str">
        <f t="shared" si="278"/>
        <v/>
      </c>
      <c r="CK294" s="18" t="str">
        <f t="shared" si="279"/>
        <v/>
      </c>
      <c r="CL294" s="11" t="str">
        <f t="shared" si="259"/>
        <v/>
      </c>
      <c r="CM294" s="11" t="str">
        <f t="shared" si="280"/>
        <v/>
      </c>
      <c r="CN294" s="11" t="str">
        <f>IF(AB294&lt;&gt;"",CM294-SUM($CL$28:CL294),"")</f>
        <v/>
      </c>
    </row>
    <row r="295" spans="1:92" x14ac:dyDescent="0.45">
      <c r="A295" s="68" t="str">
        <f t="shared" si="252"/>
        <v/>
      </c>
      <c r="B295" s="8" t="str">
        <f t="shared" si="273"/>
        <v/>
      </c>
      <c r="C295" s="11" t="str">
        <f t="shared" si="274"/>
        <v/>
      </c>
      <c r="D295" s="11" t="str">
        <f t="shared" si="275"/>
        <v/>
      </c>
      <c r="E295" s="11" t="str">
        <f t="shared" si="253"/>
        <v/>
      </c>
      <c r="F295" s="9" t="str">
        <f t="shared" si="254"/>
        <v/>
      </c>
      <c r="G295" s="10" t="str">
        <f t="shared" si="255"/>
        <v/>
      </c>
      <c r="H295" s="10" t="str">
        <f t="shared" si="256"/>
        <v/>
      </c>
      <c r="I295" s="48" t="str">
        <f t="shared" si="281"/>
        <v/>
      </c>
      <c r="J295" s="11" t="str">
        <f t="shared" si="276"/>
        <v/>
      </c>
      <c r="K295" s="11" t="str">
        <f>IF(B295&lt;&gt;"",IF($B$16=listy!$K$8,'RZĄDOWY PROGRAM'!$F$3*'RZĄDOWY PROGRAM'!$F$15,F294*$F$15),"")</f>
        <v/>
      </c>
      <c r="L295" s="11" t="str">
        <f t="shared" si="257"/>
        <v/>
      </c>
      <c r="N295" s="54" t="str">
        <f t="shared" si="260"/>
        <v/>
      </c>
      <c r="O295" s="8" t="str">
        <f t="shared" si="282"/>
        <v/>
      </c>
      <c r="P295" s="8"/>
      <c r="Q295" s="11" t="str">
        <f>IF(O295&lt;&gt;"",ROUND(IF($F$11="raty równe",-PMT(W295/12,$F$4-O294+SUM($P$28:P295),T294,2),R295+S295),2),"")</f>
        <v/>
      </c>
      <c r="R295" s="11" t="str">
        <f>IF(O295&lt;&gt;"",IF($F$11="raty malejące",T294/($F$4-O294+SUM($P$28:P295)),IF(Q295-S295&gt;T294,T294,Q295-S295)),"")</f>
        <v/>
      </c>
      <c r="S295" s="11" t="str">
        <f t="shared" si="261"/>
        <v/>
      </c>
      <c r="T295" s="9" t="str">
        <f t="shared" si="262"/>
        <v/>
      </c>
      <c r="U295" s="10" t="str">
        <f t="shared" si="263"/>
        <v/>
      </c>
      <c r="V295" s="10" t="str">
        <f t="shared" si="264"/>
        <v/>
      </c>
      <c r="W295" s="48" t="str">
        <f t="shared" si="283"/>
        <v/>
      </c>
      <c r="X295" s="11" t="str">
        <f t="shared" si="265"/>
        <v/>
      </c>
      <c r="Y295" s="11" t="str">
        <f>IF(O295&lt;&gt;"",IF($B$16=listy!$K$8,'RZĄDOWY PROGRAM'!$F$3*'RZĄDOWY PROGRAM'!$F$15,T294*$F$15),"")</f>
        <v/>
      </c>
      <c r="Z295" s="11" t="str">
        <f t="shared" si="266"/>
        <v/>
      </c>
      <c r="AB295" s="8" t="str">
        <f t="shared" si="267"/>
        <v/>
      </c>
      <c r="AC295" s="8"/>
      <c r="AD295" s="11" t="str">
        <f>IF(AB295&lt;&gt;"",ROUND(IF($F$11="raty równe",-PMT(W295/12,$F$4-AB294+SUM($AC$28:AC295),AG294,2),AE295+AF295),2),"")</f>
        <v/>
      </c>
      <c r="AE295" s="11" t="str">
        <f>IF(AB295&lt;&gt;"",IF($F$11="raty malejące",AG294/($F$4-AB294+SUM($AC$28:AC294)),MIN(AD295-AF295,AG294)),"")</f>
        <v/>
      </c>
      <c r="AF295" s="11" t="str">
        <f t="shared" si="268"/>
        <v/>
      </c>
      <c r="AG295" s="9" t="str">
        <f t="shared" si="269"/>
        <v/>
      </c>
      <c r="AH295" s="11"/>
      <c r="AI295" s="33" t="str">
        <f>IF(AB295&lt;&gt;"",ROUND(IF($F$11="raty równe",-PMT(W295/12,($F$4-AB294+SUM($AC$27:AC294)),AG294,2),AG294/($F$4-AB294+SUM($AC$27:AC294))+AG294*W295/12),2),"")</f>
        <v/>
      </c>
      <c r="AJ295" s="33" t="str">
        <f t="shared" si="270"/>
        <v/>
      </c>
      <c r="AK295" s="33" t="str">
        <f t="shared" si="277"/>
        <v/>
      </c>
      <c r="AL295" s="33" t="str">
        <f>IF(AB295&lt;&gt;"",AK295-SUM($AJ$28:AJ295),"")</f>
        <v/>
      </c>
      <c r="AM295" s="11" t="str">
        <f t="shared" si="271"/>
        <v/>
      </c>
      <c r="AN295" s="11" t="str">
        <f>IF(AB295&lt;&gt;"",IF($B$16=listy!$K$8,'RZĄDOWY PROGRAM'!$F$3*'RZĄDOWY PROGRAM'!$F$15,AG294*$F$15),"")</f>
        <v/>
      </c>
      <c r="AO295" s="11" t="str">
        <f t="shared" si="272"/>
        <v/>
      </c>
      <c r="AQ295" s="8" t="str">
        <f t="shared" si="284"/>
        <v/>
      </c>
      <c r="AR295" s="8"/>
      <c r="AS295" s="78" t="str">
        <f>IF(AQ295&lt;&gt;"",ROUND(IF($F$11="raty równe",-PMT(W295/12,$F$4-AQ294+SUM($AR$28:AR295),AV294,2),AT295+AU295),2),"")</f>
        <v/>
      </c>
      <c r="AT295" s="78" t="str">
        <f>IF(AQ295&lt;&gt;"",IF($F$11="raty malejące",AV294/($F$4-AQ294+SUM($AR$28:AR294)),MIN(AS295-AU295,AV294)),"")</f>
        <v/>
      </c>
      <c r="AU295" s="78" t="str">
        <f t="shared" si="285"/>
        <v/>
      </c>
      <c r="AV295" s="79" t="str">
        <f t="shared" si="286"/>
        <v/>
      </c>
      <c r="AW295" s="11"/>
      <c r="AX295" s="33" t="str">
        <f>IF(AQ295&lt;&gt;"",ROUND(IF($F$11="raty równe",-PMT(W295/12,($F$4-AQ294+SUM($AR$27:AR294)),AV294,2),AV294/($F$4-AQ294+SUM($AR$27:AR294))+AV294*W295/12),2),"")</f>
        <v/>
      </c>
      <c r="AY295" s="33" t="str">
        <f t="shared" si="287"/>
        <v/>
      </c>
      <c r="AZ295" s="33" t="str">
        <f t="shared" si="233"/>
        <v/>
      </c>
      <c r="BA295" s="33" t="str">
        <f>IF(AQ295&lt;&gt;"",AZ295-SUM($AY$44:AY295),"")</f>
        <v/>
      </c>
      <c r="BB295" s="11" t="str">
        <f t="shared" si="288"/>
        <v/>
      </c>
      <c r="BC295" s="11" t="str">
        <f>IF(AQ295&lt;&gt;"",IF($B$16=listy!$K$8,'RZĄDOWY PROGRAM'!$F$3*'RZĄDOWY PROGRAM'!$F$15,AV294*$F$15),"")</f>
        <v/>
      </c>
      <c r="BD295" s="11" t="str">
        <f t="shared" si="289"/>
        <v/>
      </c>
      <c r="BF295" s="8" t="str">
        <f t="shared" si="237"/>
        <v/>
      </c>
      <c r="BG295" s="8"/>
      <c r="BH295" s="78" t="str">
        <f>IF(BF295&lt;&gt;"",ROUND(IF($F$11="raty równe",-PMT(W295/12,$F$4-BF294+SUM(BV$28:$BV295)-SUM($BM$29:BM295),BK294,2),BI295+BJ295),2),"")</f>
        <v/>
      </c>
      <c r="BI295" s="78" t="str">
        <f>IF(BF295&lt;&gt;"",IF($F$11="raty malejące",MIN(BK294/($F$4-BF294+SUM($BG$27:BG295)-SUM($BM$27:BM295)),BK294),MIN(BH295-BJ295,BK294)),"")</f>
        <v/>
      </c>
      <c r="BJ295" s="78" t="str">
        <f t="shared" si="238"/>
        <v/>
      </c>
      <c r="BK295" s="79" t="str">
        <f t="shared" si="239"/>
        <v/>
      </c>
      <c r="BL295" s="11"/>
      <c r="BM295" s="33"/>
      <c r="BN295" s="33" t="str">
        <f t="shared" si="234"/>
        <v/>
      </c>
      <c r="BO295" s="33" t="str">
        <f t="shared" si="235"/>
        <v/>
      </c>
      <c r="BP295" s="33" t="str">
        <f>IF(O295&lt;&gt;"",BO295-SUM($BN$44:BN295),"")</f>
        <v/>
      </c>
      <c r="BQ295" s="11" t="str">
        <f t="shared" si="240"/>
        <v/>
      </c>
      <c r="BR295" s="11" t="str">
        <f>IF(BF295&lt;&gt;"",IF($B$16=listy!$K$8,'RZĄDOWY PROGRAM'!$F$3*'RZĄDOWY PROGRAM'!$F$15,BK294*$F$15),"")</f>
        <v/>
      </c>
      <c r="BS295" s="11" t="str">
        <f t="shared" si="241"/>
        <v/>
      </c>
      <c r="BU295" s="8" t="str">
        <f t="shared" si="290"/>
        <v/>
      </c>
      <c r="BV295" s="8"/>
      <c r="BW295" s="78" t="str">
        <f>IF(BU295&lt;&gt;"",ROUND(IF($F$11="raty równe",-PMT(W295/12,$F$4-BU294+SUM($BV$28:BV295)-$CB$43,BZ294,2),BX295+BY295),2),"")</f>
        <v/>
      </c>
      <c r="BX295" s="78" t="str">
        <f>IF(BU295&lt;&gt;"",IF($F$11="raty malejące",MIN(BZ294/($F$4-BU294+SUM($BV$28:BV294)-SUM($CB$28:CB294)),BZ294),MIN(BW295-BY295,BZ294)),"")</f>
        <v/>
      </c>
      <c r="BY295" s="78" t="str">
        <f t="shared" si="245"/>
        <v/>
      </c>
      <c r="BZ295" s="79" t="str">
        <f t="shared" si="231"/>
        <v/>
      </c>
      <c r="CA295" s="11"/>
      <c r="CB295" s="33"/>
      <c r="CC295" s="33" t="str">
        <f t="shared" si="291"/>
        <v/>
      </c>
      <c r="CD295" s="33" t="str">
        <f t="shared" si="236"/>
        <v/>
      </c>
      <c r="CE295" s="33" t="str">
        <f>IF(O295&lt;&gt;"",CD295-SUM($CC$44:CC295),"")</f>
        <v/>
      </c>
      <c r="CF295" s="11" t="str">
        <f t="shared" si="246"/>
        <v/>
      </c>
      <c r="CG295" s="11" t="str">
        <f>IF(BU295&lt;&gt;"",IF($B$16=listy!$K$8,'RZĄDOWY PROGRAM'!$F$3*'RZĄDOWY PROGRAM'!$F$15,BZ294*$F$15),"")</f>
        <v/>
      </c>
      <c r="CH295" s="11" t="str">
        <f t="shared" si="247"/>
        <v/>
      </c>
      <c r="CJ295" s="48" t="str">
        <f t="shared" si="278"/>
        <v/>
      </c>
      <c r="CK295" s="18" t="str">
        <f t="shared" si="279"/>
        <v/>
      </c>
      <c r="CL295" s="11" t="str">
        <f t="shared" si="259"/>
        <v/>
      </c>
      <c r="CM295" s="11" t="str">
        <f t="shared" si="280"/>
        <v/>
      </c>
      <c r="CN295" s="11" t="str">
        <f>IF(AB295&lt;&gt;"",CM295-SUM($CL$28:CL295),"")</f>
        <v/>
      </c>
    </row>
    <row r="296" spans="1:92" x14ac:dyDescent="0.45">
      <c r="A296" s="68" t="str">
        <f t="shared" si="252"/>
        <v/>
      </c>
      <c r="B296" s="8" t="str">
        <f t="shared" si="273"/>
        <v/>
      </c>
      <c r="C296" s="11" t="str">
        <f t="shared" si="274"/>
        <v/>
      </c>
      <c r="D296" s="11" t="str">
        <f t="shared" si="275"/>
        <v/>
      </c>
      <c r="E296" s="11" t="str">
        <f t="shared" si="253"/>
        <v/>
      </c>
      <c r="F296" s="9" t="str">
        <f t="shared" si="254"/>
        <v/>
      </c>
      <c r="G296" s="10" t="str">
        <f t="shared" si="255"/>
        <v/>
      </c>
      <c r="H296" s="10" t="str">
        <f t="shared" si="256"/>
        <v/>
      </c>
      <c r="I296" s="48" t="str">
        <f t="shared" si="281"/>
        <v/>
      </c>
      <c r="J296" s="11" t="str">
        <f t="shared" si="276"/>
        <v/>
      </c>
      <c r="K296" s="11" t="str">
        <f>IF(B296&lt;&gt;"",IF($B$16=listy!$K$8,'RZĄDOWY PROGRAM'!$F$3*'RZĄDOWY PROGRAM'!$F$15,F295*$F$15),"")</f>
        <v/>
      </c>
      <c r="L296" s="11" t="str">
        <f t="shared" si="257"/>
        <v/>
      </c>
      <c r="N296" s="54" t="str">
        <f t="shared" si="260"/>
        <v/>
      </c>
      <c r="O296" s="8" t="str">
        <f t="shared" si="282"/>
        <v/>
      </c>
      <c r="P296" s="8"/>
      <c r="Q296" s="11" t="str">
        <f>IF(O296&lt;&gt;"",ROUND(IF($F$11="raty równe",-PMT(W296/12,$F$4-O295+SUM($P$28:P296),T295,2),R296+S296),2),"")</f>
        <v/>
      </c>
      <c r="R296" s="11" t="str">
        <f>IF(O296&lt;&gt;"",IF($F$11="raty malejące",T295/($F$4-O295+SUM($P$28:P296)),IF(Q296-S296&gt;T295,T295,Q296-S296)),"")</f>
        <v/>
      </c>
      <c r="S296" s="11" t="str">
        <f t="shared" si="261"/>
        <v/>
      </c>
      <c r="T296" s="9" t="str">
        <f t="shared" si="262"/>
        <v/>
      </c>
      <c r="U296" s="10" t="str">
        <f t="shared" si="263"/>
        <v/>
      </c>
      <c r="V296" s="10" t="str">
        <f t="shared" si="264"/>
        <v/>
      </c>
      <c r="W296" s="48" t="str">
        <f t="shared" si="283"/>
        <v/>
      </c>
      <c r="X296" s="11" t="str">
        <f t="shared" si="265"/>
        <v/>
      </c>
      <c r="Y296" s="11" t="str">
        <f>IF(O296&lt;&gt;"",IF($B$16=listy!$K$8,'RZĄDOWY PROGRAM'!$F$3*'RZĄDOWY PROGRAM'!$F$15,T295*$F$15),"")</f>
        <v/>
      </c>
      <c r="Z296" s="11" t="str">
        <f t="shared" si="266"/>
        <v/>
      </c>
      <c r="AB296" s="8" t="str">
        <f t="shared" si="267"/>
        <v/>
      </c>
      <c r="AC296" s="8"/>
      <c r="AD296" s="11" t="str">
        <f>IF(AB296&lt;&gt;"",ROUND(IF($F$11="raty równe",-PMT(W296/12,$F$4-AB295+SUM($AC$28:AC296),AG295,2),AE296+AF296),2),"")</f>
        <v/>
      </c>
      <c r="AE296" s="11" t="str">
        <f>IF(AB296&lt;&gt;"",IF($F$11="raty malejące",AG295/($F$4-AB295+SUM($AC$28:AC295)),MIN(AD296-AF296,AG295)),"")</f>
        <v/>
      </c>
      <c r="AF296" s="11" t="str">
        <f t="shared" si="268"/>
        <v/>
      </c>
      <c r="AG296" s="9" t="str">
        <f t="shared" si="269"/>
        <v/>
      </c>
      <c r="AH296" s="11"/>
      <c r="AI296" s="33" t="str">
        <f>IF(AB296&lt;&gt;"",ROUND(IF($F$11="raty równe",-PMT(W296/12,($F$4-AB295+SUM($AC$27:AC295)),AG295,2),AG295/($F$4-AB295+SUM($AC$27:AC295))+AG295*W296/12),2),"")</f>
        <v/>
      </c>
      <c r="AJ296" s="33" t="str">
        <f t="shared" si="270"/>
        <v/>
      </c>
      <c r="AK296" s="33" t="str">
        <f t="shared" si="277"/>
        <v/>
      </c>
      <c r="AL296" s="33" t="str">
        <f>IF(AB296&lt;&gt;"",AK296-SUM($AJ$28:AJ296),"")</f>
        <v/>
      </c>
      <c r="AM296" s="11" t="str">
        <f t="shared" si="271"/>
        <v/>
      </c>
      <c r="AN296" s="11" t="str">
        <f>IF(AB296&lt;&gt;"",IF($B$16=listy!$K$8,'RZĄDOWY PROGRAM'!$F$3*'RZĄDOWY PROGRAM'!$F$15,AG295*$F$15),"")</f>
        <v/>
      </c>
      <c r="AO296" s="11" t="str">
        <f t="shared" si="272"/>
        <v/>
      </c>
      <c r="AQ296" s="8" t="str">
        <f t="shared" si="284"/>
        <v/>
      </c>
      <c r="AR296" s="8"/>
      <c r="AS296" s="78" t="str">
        <f>IF(AQ296&lt;&gt;"",ROUND(IF($F$11="raty równe",-PMT(W296/12,$F$4-AQ295+SUM($AR$28:AR296),AV295,2),AT296+AU296),2),"")</f>
        <v/>
      </c>
      <c r="AT296" s="78" t="str">
        <f>IF(AQ296&lt;&gt;"",IF($F$11="raty malejące",AV295/($F$4-AQ295+SUM($AR$28:AR295)),MIN(AS296-AU296,AV295)),"")</f>
        <v/>
      </c>
      <c r="AU296" s="78" t="str">
        <f t="shared" si="285"/>
        <v/>
      </c>
      <c r="AV296" s="79" t="str">
        <f t="shared" si="286"/>
        <v/>
      </c>
      <c r="AW296" s="11"/>
      <c r="AX296" s="33" t="str">
        <f>IF(AQ296&lt;&gt;"",ROUND(IF($F$11="raty równe",-PMT(W296/12,($F$4-AQ295+SUM($AR$27:AR295)),AV295,2),AV295/($F$4-AQ295+SUM($AR$27:AR295))+AV295*W296/12),2),"")</f>
        <v/>
      </c>
      <c r="AY296" s="33" t="str">
        <f t="shared" si="287"/>
        <v/>
      </c>
      <c r="AZ296" s="33" t="str">
        <f t="shared" si="233"/>
        <v/>
      </c>
      <c r="BA296" s="33" t="str">
        <f>IF(AQ296&lt;&gt;"",AZ296-SUM($AY$44:AY296),"")</f>
        <v/>
      </c>
      <c r="BB296" s="11" t="str">
        <f t="shared" si="288"/>
        <v/>
      </c>
      <c r="BC296" s="11" t="str">
        <f>IF(AQ296&lt;&gt;"",IF($B$16=listy!$K$8,'RZĄDOWY PROGRAM'!$F$3*'RZĄDOWY PROGRAM'!$F$15,AV295*$F$15),"")</f>
        <v/>
      </c>
      <c r="BD296" s="11" t="str">
        <f t="shared" si="289"/>
        <v/>
      </c>
      <c r="BF296" s="8" t="str">
        <f t="shared" si="237"/>
        <v/>
      </c>
      <c r="BG296" s="8"/>
      <c r="BH296" s="78" t="str">
        <f>IF(BF296&lt;&gt;"",ROUND(IF($F$11="raty równe",-PMT(W296/12,$F$4-BF295+SUM(BV$28:$BV296)-SUM($BM$29:BM296),BK295,2),BI296+BJ296),2),"")</f>
        <v/>
      </c>
      <c r="BI296" s="78" t="str">
        <f>IF(BF296&lt;&gt;"",IF($F$11="raty malejące",MIN(BK295/($F$4-BF295+SUM($BG$27:BG296)-SUM($BM$27:BM296)),BK295),MIN(BH296-BJ296,BK295)),"")</f>
        <v/>
      </c>
      <c r="BJ296" s="78" t="str">
        <f t="shared" si="238"/>
        <v/>
      </c>
      <c r="BK296" s="79" t="str">
        <f t="shared" si="239"/>
        <v/>
      </c>
      <c r="BL296" s="11"/>
      <c r="BM296" s="33"/>
      <c r="BN296" s="33" t="str">
        <f t="shared" si="234"/>
        <v/>
      </c>
      <c r="BO296" s="33" t="str">
        <f t="shared" si="235"/>
        <v/>
      </c>
      <c r="BP296" s="33" t="str">
        <f>IF(O296&lt;&gt;"",BO296-SUM($BN$44:BN296),"")</f>
        <v/>
      </c>
      <c r="BQ296" s="11" t="str">
        <f t="shared" si="240"/>
        <v/>
      </c>
      <c r="BR296" s="11" t="str">
        <f>IF(BF296&lt;&gt;"",IF($B$16=listy!$K$8,'RZĄDOWY PROGRAM'!$F$3*'RZĄDOWY PROGRAM'!$F$15,BK295*$F$15),"")</f>
        <v/>
      </c>
      <c r="BS296" s="11" t="str">
        <f t="shared" si="241"/>
        <v/>
      </c>
      <c r="BU296" s="8" t="str">
        <f t="shared" si="290"/>
        <v/>
      </c>
      <c r="BV296" s="8"/>
      <c r="BW296" s="78" t="str">
        <f>IF(BU296&lt;&gt;"",ROUND(IF($F$11="raty równe",-PMT(W296/12,$F$4-BU295+SUM($BV$28:BV296)-$CB$43,BZ295,2),BX296+BY296),2),"")</f>
        <v/>
      </c>
      <c r="BX296" s="78" t="str">
        <f>IF(BU296&lt;&gt;"",IF($F$11="raty malejące",MIN(BZ295/($F$4-BU295+SUM($BV$28:BV295)-SUM($CB$28:CB295)),BZ295),MIN(BW296-BY296,BZ295)),"")</f>
        <v/>
      </c>
      <c r="BY296" s="78" t="str">
        <f t="shared" si="245"/>
        <v/>
      </c>
      <c r="BZ296" s="79" t="str">
        <f t="shared" si="231"/>
        <v/>
      </c>
      <c r="CA296" s="11"/>
      <c r="CB296" s="33"/>
      <c r="CC296" s="33" t="str">
        <f t="shared" si="291"/>
        <v/>
      </c>
      <c r="CD296" s="33" t="str">
        <f t="shared" si="236"/>
        <v/>
      </c>
      <c r="CE296" s="33" t="str">
        <f>IF(O296&lt;&gt;"",CD296-SUM($CC$44:CC296),"")</f>
        <v/>
      </c>
      <c r="CF296" s="11" t="str">
        <f t="shared" si="246"/>
        <v/>
      </c>
      <c r="CG296" s="11" t="str">
        <f>IF(BU296&lt;&gt;"",IF($B$16=listy!$K$8,'RZĄDOWY PROGRAM'!$F$3*'RZĄDOWY PROGRAM'!$F$15,BZ295*$F$15),"")</f>
        <v/>
      </c>
      <c r="CH296" s="11" t="str">
        <f t="shared" si="247"/>
        <v/>
      </c>
      <c r="CJ296" s="48" t="str">
        <f t="shared" si="278"/>
        <v/>
      </c>
      <c r="CK296" s="18" t="str">
        <f t="shared" si="279"/>
        <v/>
      </c>
      <c r="CL296" s="11" t="str">
        <f t="shared" si="259"/>
        <v/>
      </c>
      <c r="CM296" s="11" t="str">
        <f t="shared" si="280"/>
        <v/>
      </c>
      <c r="CN296" s="11" t="str">
        <f>IF(AB296&lt;&gt;"",CM296-SUM($CL$28:CL296),"")</f>
        <v/>
      </c>
    </row>
    <row r="297" spans="1:92" x14ac:dyDescent="0.45">
      <c r="A297" s="68" t="str">
        <f t="shared" si="252"/>
        <v/>
      </c>
      <c r="B297" s="8" t="str">
        <f t="shared" si="273"/>
        <v/>
      </c>
      <c r="C297" s="11" t="str">
        <f t="shared" si="274"/>
        <v/>
      </c>
      <c r="D297" s="11" t="str">
        <f t="shared" si="275"/>
        <v/>
      </c>
      <c r="E297" s="11" t="str">
        <f t="shared" si="253"/>
        <v/>
      </c>
      <c r="F297" s="9" t="str">
        <f t="shared" si="254"/>
        <v/>
      </c>
      <c r="G297" s="10" t="str">
        <f t="shared" si="255"/>
        <v/>
      </c>
      <c r="H297" s="10" t="str">
        <f t="shared" si="256"/>
        <v/>
      </c>
      <c r="I297" s="48" t="str">
        <f t="shared" si="281"/>
        <v/>
      </c>
      <c r="J297" s="11" t="str">
        <f t="shared" si="276"/>
        <v/>
      </c>
      <c r="K297" s="11" t="str">
        <f>IF(B297&lt;&gt;"",IF($B$16=listy!$K$8,'RZĄDOWY PROGRAM'!$F$3*'RZĄDOWY PROGRAM'!$F$15,F296*$F$15),"")</f>
        <v/>
      </c>
      <c r="L297" s="11" t="str">
        <f t="shared" si="257"/>
        <v/>
      </c>
      <c r="N297" s="54" t="str">
        <f t="shared" si="260"/>
        <v/>
      </c>
      <c r="O297" s="8" t="str">
        <f t="shared" si="282"/>
        <v/>
      </c>
      <c r="P297" s="8"/>
      <c r="Q297" s="11" t="str">
        <f>IF(O297&lt;&gt;"",ROUND(IF($F$11="raty równe",-PMT(W297/12,$F$4-O296+SUM($P$28:P297),T296,2),R297+S297),2),"")</f>
        <v/>
      </c>
      <c r="R297" s="11" t="str">
        <f>IF(O297&lt;&gt;"",IF($F$11="raty malejące",T296/($F$4-O296+SUM($P$28:P297)),IF(Q297-S297&gt;T296,T296,Q297-S297)),"")</f>
        <v/>
      </c>
      <c r="S297" s="11" t="str">
        <f t="shared" si="261"/>
        <v/>
      </c>
      <c r="T297" s="9" t="str">
        <f t="shared" si="262"/>
        <v/>
      </c>
      <c r="U297" s="10" t="str">
        <f t="shared" si="263"/>
        <v/>
      </c>
      <c r="V297" s="10" t="str">
        <f t="shared" si="264"/>
        <v/>
      </c>
      <c r="W297" s="48" t="str">
        <f t="shared" si="283"/>
        <v/>
      </c>
      <c r="X297" s="11" t="str">
        <f t="shared" si="265"/>
        <v/>
      </c>
      <c r="Y297" s="11" t="str">
        <f>IF(O297&lt;&gt;"",IF($B$16=listy!$K$8,'RZĄDOWY PROGRAM'!$F$3*'RZĄDOWY PROGRAM'!$F$15,T296*$F$15),"")</f>
        <v/>
      </c>
      <c r="Z297" s="11" t="str">
        <f t="shared" si="266"/>
        <v/>
      </c>
      <c r="AB297" s="8" t="str">
        <f t="shared" si="267"/>
        <v/>
      </c>
      <c r="AC297" s="8"/>
      <c r="AD297" s="11" t="str">
        <f>IF(AB297&lt;&gt;"",ROUND(IF($F$11="raty równe",-PMT(W297/12,$F$4-AB296+SUM($AC$28:AC297),AG296,2),AE297+AF297),2),"")</f>
        <v/>
      </c>
      <c r="AE297" s="11" t="str">
        <f>IF(AB297&lt;&gt;"",IF($F$11="raty malejące",AG296/($F$4-AB296+SUM($AC$28:AC296)),MIN(AD297-AF297,AG296)),"")</f>
        <v/>
      </c>
      <c r="AF297" s="11" t="str">
        <f t="shared" si="268"/>
        <v/>
      </c>
      <c r="AG297" s="9" t="str">
        <f t="shared" si="269"/>
        <v/>
      </c>
      <c r="AH297" s="11"/>
      <c r="AI297" s="33" t="str">
        <f>IF(AB297&lt;&gt;"",ROUND(IF($F$11="raty równe",-PMT(W297/12,($F$4-AB296+SUM($AC$27:AC296)),AG296,2),AG296/($F$4-AB296+SUM($AC$27:AC296))+AG296*W297/12),2),"")</f>
        <v/>
      </c>
      <c r="AJ297" s="33" t="str">
        <f t="shared" si="270"/>
        <v/>
      </c>
      <c r="AK297" s="33" t="str">
        <f t="shared" si="277"/>
        <v/>
      </c>
      <c r="AL297" s="33" t="str">
        <f>IF(AB297&lt;&gt;"",AK297-SUM($AJ$28:AJ297),"")</f>
        <v/>
      </c>
      <c r="AM297" s="11" t="str">
        <f t="shared" si="271"/>
        <v/>
      </c>
      <c r="AN297" s="11" t="str">
        <f>IF(AB297&lt;&gt;"",IF($B$16=listy!$K$8,'RZĄDOWY PROGRAM'!$F$3*'RZĄDOWY PROGRAM'!$F$15,AG296*$F$15),"")</f>
        <v/>
      </c>
      <c r="AO297" s="11" t="str">
        <f t="shared" si="272"/>
        <v/>
      </c>
      <c r="AQ297" s="8" t="str">
        <f t="shared" si="284"/>
        <v/>
      </c>
      <c r="AR297" s="8"/>
      <c r="AS297" s="78" t="str">
        <f>IF(AQ297&lt;&gt;"",ROUND(IF($F$11="raty równe",-PMT(W297/12,$F$4-AQ296+SUM($AR$28:AR297),AV296,2),AT297+AU297),2),"")</f>
        <v/>
      </c>
      <c r="AT297" s="78" t="str">
        <f>IF(AQ297&lt;&gt;"",IF($F$11="raty malejące",AV296/($F$4-AQ296+SUM($AR$28:AR296)),MIN(AS297-AU297,AV296)),"")</f>
        <v/>
      </c>
      <c r="AU297" s="78" t="str">
        <f t="shared" si="285"/>
        <v/>
      </c>
      <c r="AV297" s="79" t="str">
        <f t="shared" si="286"/>
        <v/>
      </c>
      <c r="AW297" s="11"/>
      <c r="AX297" s="33" t="str">
        <f>IF(AQ297&lt;&gt;"",ROUND(IF($F$11="raty równe",-PMT(W297/12,($F$4-AQ296+SUM($AR$27:AR296)),AV296,2),AV296/($F$4-AQ296+SUM($AR$27:AR296))+AV296*W297/12),2),"")</f>
        <v/>
      </c>
      <c r="AY297" s="33" t="str">
        <f t="shared" si="287"/>
        <v/>
      </c>
      <c r="AZ297" s="33" t="str">
        <f t="shared" si="233"/>
        <v/>
      </c>
      <c r="BA297" s="33" t="str">
        <f>IF(AQ297&lt;&gt;"",AZ297-SUM($AY$44:AY297),"")</f>
        <v/>
      </c>
      <c r="BB297" s="11" t="str">
        <f t="shared" si="288"/>
        <v/>
      </c>
      <c r="BC297" s="11" t="str">
        <f>IF(AQ297&lt;&gt;"",IF($B$16=listy!$K$8,'RZĄDOWY PROGRAM'!$F$3*'RZĄDOWY PROGRAM'!$F$15,AV296*$F$15),"")</f>
        <v/>
      </c>
      <c r="BD297" s="11" t="str">
        <f t="shared" si="289"/>
        <v/>
      </c>
      <c r="BF297" s="8" t="str">
        <f t="shared" si="237"/>
        <v/>
      </c>
      <c r="BG297" s="8"/>
      <c r="BH297" s="78" t="str">
        <f>IF(BF297&lt;&gt;"",ROUND(IF($F$11="raty równe",-PMT(W297/12,$F$4-BF296+SUM(BV$28:$BV297)-SUM($BM$29:BM297),BK296,2),BI297+BJ297),2),"")</f>
        <v/>
      </c>
      <c r="BI297" s="78" t="str">
        <f>IF(BF297&lt;&gt;"",IF($F$11="raty malejące",MIN(BK296/($F$4-BF296+SUM($BG$27:BG297)-SUM($BM$27:BM297)),BK296),MIN(BH297-BJ297,BK296)),"")</f>
        <v/>
      </c>
      <c r="BJ297" s="78" t="str">
        <f t="shared" si="238"/>
        <v/>
      </c>
      <c r="BK297" s="79" t="str">
        <f t="shared" si="239"/>
        <v/>
      </c>
      <c r="BL297" s="11"/>
      <c r="BM297" s="33"/>
      <c r="BN297" s="33" t="str">
        <f t="shared" si="234"/>
        <v/>
      </c>
      <c r="BO297" s="33" t="str">
        <f t="shared" si="235"/>
        <v/>
      </c>
      <c r="BP297" s="33" t="str">
        <f>IF(O297&lt;&gt;"",BO297-SUM($BN$44:BN297),"")</f>
        <v/>
      </c>
      <c r="BQ297" s="11" t="str">
        <f t="shared" si="240"/>
        <v/>
      </c>
      <c r="BR297" s="11" t="str">
        <f>IF(BF297&lt;&gt;"",IF($B$16=listy!$K$8,'RZĄDOWY PROGRAM'!$F$3*'RZĄDOWY PROGRAM'!$F$15,BK296*$F$15),"")</f>
        <v/>
      </c>
      <c r="BS297" s="11" t="str">
        <f t="shared" si="241"/>
        <v/>
      </c>
      <c r="BU297" s="8" t="str">
        <f t="shared" si="290"/>
        <v/>
      </c>
      <c r="BV297" s="8"/>
      <c r="BW297" s="78" t="str">
        <f>IF(BU297&lt;&gt;"",ROUND(IF($F$11="raty równe",-PMT(W297/12,$F$4-BU296+SUM($BV$28:BV297)-$CB$43,BZ296,2),BX297+BY297),2),"")</f>
        <v/>
      </c>
      <c r="BX297" s="78" t="str">
        <f>IF(BU297&lt;&gt;"",IF($F$11="raty malejące",MIN(BZ296/($F$4-BU296+SUM($BV$28:BV296)-SUM($CB$28:CB296)),BZ296),MIN(BW297-BY297,BZ296)),"")</f>
        <v/>
      </c>
      <c r="BY297" s="78" t="str">
        <f t="shared" si="245"/>
        <v/>
      </c>
      <c r="BZ297" s="79" t="str">
        <f t="shared" si="231"/>
        <v/>
      </c>
      <c r="CA297" s="11"/>
      <c r="CB297" s="33"/>
      <c r="CC297" s="33" t="str">
        <f t="shared" si="291"/>
        <v/>
      </c>
      <c r="CD297" s="33" t="str">
        <f t="shared" si="236"/>
        <v/>
      </c>
      <c r="CE297" s="33" t="str">
        <f>IF(O297&lt;&gt;"",CD297-SUM($CC$44:CC297),"")</f>
        <v/>
      </c>
      <c r="CF297" s="11" t="str">
        <f t="shared" si="246"/>
        <v/>
      </c>
      <c r="CG297" s="11" t="str">
        <f>IF(BU297&lt;&gt;"",IF($B$16=listy!$K$8,'RZĄDOWY PROGRAM'!$F$3*'RZĄDOWY PROGRAM'!$F$15,BZ296*$F$15),"")</f>
        <v/>
      </c>
      <c r="CH297" s="11" t="str">
        <f t="shared" si="247"/>
        <v/>
      </c>
      <c r="CJ297" s="48" t="str">
        <f t="shared" si="278"/>
        <v/>
      </c>
      <c r="CK297" s="18" t="str">
        <f t="shared" si="279"/>
        <v/>
      </c>
      <c r="CL297" s="11" t="str">
        <f t="shared" si="259"/>
        <v/>
      </c>
      <c r="CM297" s="11" t="str">
        <f t="shared" si="280"/>
        <v/>
      </c>
      <c r="CN297" s="11" t="str">
        <f>IF(AB297&lt;&gt;"",CM297-SUM($CL$28:CL297),"")</f>
        <v/>
      </c>
    </row>
    <row r="298" spans="1:92" x14ac:dyDescent="0.45">
      <c r="A298" s="68" t="str">
        <f t="shared" si="252"/>
        <v/>
      </c>
      <c r="B298" s="8" t="str">
        <f t="shared" si="273"/>
        <v/>
      </c>
      <c r="C298" s="11" t="str">
        <f t="shared" si="274"/>
        <v/>
      </c>
      <c r="D298" s="11" t="str">
        <f t="shared" si="275"/>
        <v/>
      </c>
      <c r="E298" s="11" t="str">
        <f t="shared" si="253"/>
        <v/>
      </c>
      <c r="F298" s="9" t="str">
        <f t="shared" si="254"/>
        <v/>
      </c>
      <c r="G298" s="10" t="str">
        <f t="shared" si="255"/>
        <v/>
      </c>
      <c r="H298" s="10" t="str">
        <f t="shared" si="256"/>
        <v/>
      </c>
      <c r="I298" s="48" t="str">
        <f t="shared" si="281"/>
        <v/>
      </c>
      <c r="J298" s="11" t="str">
        <f t="shared" si="276"/>
        <v/>
      </c>
      <c r="K298" s="11" t="str">
        <f>IF(B298&lt;&gt;"",IF($B$16=listy!$K$8,'RZĄDOWY PROGRAM'!$F$3*'RZĄDOWY PROGRAM'!$F$15,F297*$F$15),"")</f>
        <v/>
      </c>
      <c r="L298" s="11" t="str">
        <f t="shared" si="257"/>
        <v/>
      </c>
      <c r="N298" s="54" t="str">
        <f t="shared" si="260"/>
        <v/>
      </c>
      <c r="O298" s="8" t="str">
        <f t="shared" si="282"/>
        <v/>
      </c>
      <c r="P298" s="8"/>
      <c r="Q298" s="11" t="str">
        <f>IF(O298&lt;&gt;"",ROUND(IF($F$11="raty równe",-PMT(W298/12,$F$4-O297+SUM($P$28:P298),T297,2),R298+S298),2),"")</f>
        <v/>
      </c>
      <c r="R298" s="11" t="str">
        <f>IF(O298&lt;&gt;"",IF($F$11="raty malejące",T297/($F$4-O297+SUM($P$28:P298)),IF(Q298-S298&gt;T297,T297,Q298-S298)),"")</f>
        <v/>
      </c>
      <c r="S298" s="11" t="str">
        <f t="shared" si="261"/>
        <v/>
      </c>
      <c r="T298" s="9" t="str">
        <f t="shared" si="262"/>
        <v/>
      </c>
      <c r="U298" s="10" t="str">
        <f t="shared" si="263"/>
        <v/>
      </c>
      <c r="V298" s="10" t="str">
        <f t="shared" si="264"/>
        <v/>
      </c>
      <c r="W298" s="48" t="str">
        <f t="shared" si="283"/>
        <v/>
      </c>
      <c r="X298" s="11" t="str">
        <f t="shared" si="265"/>
        <v/>
      </c>
      <c r="Y298" s="11" t="str">
        <f>IF(O298&lt;&gt;"",IF($B$16=listy!$K$8,'RZĄDOWY PROGRAM'!$F$3*'RZĄDOWY PROGRAM'!$F$15,T297*$F$15),"")</f>
        <v/>
      </c>
      <c r="Z298" s="11" t="str">
        <f t="shared" si="266"/>
        <v/>
      </c>
      <c r="AB298" s="8" t="str">
        <f t="shared" si="267"/>
        <v/>
      </c>
      <c r="AC298" s="8"/>
      <c r="AD298" s="11" t="str">
        <f>IF(AB298&lt;&gt;"",ROUND(IF($F$11="raty równe",-PMT(W298/12,$F$4-AB297+SUM($AC$28:AC298),AG297,2),AE298+AF298),2),"")</f>
        <v/>
      </c>
      <c r="AE298" s="11" t="str">
        <f>IF(AB298&lt;&gt;"",IF($F$11="raty malejące",AG297/($F$4-AB297+SUM($AC$28:AC297)),MIN(AD298-AF298,AG297)),"")</f>
        <v/>
      </c>
      <c r="AF298" s="11" t="str">
        <f t="shared" si="268"/>
        <v/>
      </c>
      <c r="AG298" s="9" t="str">
        <f t="shared" si="269"/>
        <v/>
      </c>
      <c r="AH298" s="11"/>
      <c r="AI298" s="33" t="str">
        <f>IF(AB298&lt;&gt;"",ROUND(IF($F$11="raty równe",-PMT(W298/12,($F$4-AB297+SUM($AC$27:AC297)),AG297,2),AG297/($F$4-AB297+SUM($AC$27:AC297))+AG297*W298/12),2),"")</f>
        <v/>
      </c>
      <c r="AJ298" s="33" t="str">
        <f t="shared" si="270"/>
        <v/>
      </c>
      <c r="AK298" s="33" t="str">
        <f t="shared" si="277"/>
        <v/>
      </c>
      <c r="AL298" s="33" t="str">
        <f>IF(AB298&lt;&gt;"",AK298-SUM($AJ$28:AJ298),"")</f>
        <v/>
      </c>
      <c r="AM298" s="11" t="str">
        <f t="shared" si="271"/>
        <v/>
      </c>
      <c r="AN298" s="11" t="str">
        <f>IF(AB298&lt;&gt;"",IF($B$16=listy!$K$8,'RZĄDOWY PROGRAM'!$F$3*'RZĄDOWY PROGRAM'!$F$15,AG297*$F$15),"")</f>
        <v/>
      </c>
      <c r="AO298" s="11" t="str">
        <f t="shared" si="272"/>
        <v/>
      </c>
      <c r="AQ298" s="8" t="str">
        <f t="shared" si="284"/>
        <v/>
      </c>
      <c r="AR298" s="8"/>
      <c r="AS298" s="78" t="str">
        <f>IF(AQ298&lt;&gt;"",ROUND(IF($F$11="raty równe",-PMT(W298/12,$F$4-AQ297+SUM($AR$28:AR298),AV297,2),AT298+AU298),2),"")</f>
        <v/>
      </c>
      <c r="AT298" s="78" t="str">
        <f>IF(AQ298&lt;&gt;"",IF($F$11="raty malejące",AV297/($F$4-AQ297+SUM($AR$28:AR297)),MIN(AS298-AU298,AV297)),"")</f>
        <v/>
      </c>
      <c r="AU298" s="78" t="str">
        <f t="shared" si="285"/>
        <v/>
      </c>
      <c r="AV298" s="79" t="str">
        <f t="shared" si="286"/>
        <v/>
      </c>
      <c r="AW298" s="11"/>
      <c r="AX298" s="33" t="str">
        <f>IF(AQ298&lt;&gt;"",ROUND(IF($F$11="raty równe",-PMT(W298/12,($F$4-AQ297+SUM($AR$27:AR297)),AV297,2),AV297/($F$4-AQ297+SUM($AR$27:AR297))+AV297*W298/12),2),"")</f>
        <v/>
      </c>
      <c r="AY298" s="33" t="str">
        <f t="shared" si="287"/>
        <v/>
      </c>
      <c r="AZ298" s="33" t="str">
        <f t="shared" si="233"/>
        <v/>
      </c>
      <c r="BA298" s="33" t="str">
        <f>IF(AQ298&lt;&gt;"",AZ298-SUM($AY$44:AY298),"")</f>
        <v/>
      </c>
      <c r="BB298" s="11" t="str">
        <f t="shared" si="288"/>
        <v/>
      </c>
      <c r="BC298" s="11" t="str">
        <f>IF(AQ298&lt;&gt;"",IF($B$16=listy!$K$8,'RZĄDOWY PROGRAM'!$F$3*'RZĄDOWY PROGRAM'!$F$15,AV297*$F$15),"")</f>
        <v/>
      </c>
      <c r="BD298" s="11" t="str">
        <f t="shared" si="289"/>
        <v/>
      </c>
      <c r="BF298" s="8" t="str">
        <f t="shared" si="237"/>
        <v/>
      </c>
      <c r="BG298" s="8"/>
      <c r="BH298" s="78" t="str">
        <f>IF(BF298&lt;&gt;"",ROUND(IF($F$11="raty równe",-PMT(W298/12,$F$4-BF297+SUM(BV$28:$BV298)-SUM($BM$29:BM298),BK297,2),BI298+BJ298),2),"")</f>
        <v/>
      </c>
      <c r="BI298" s="78" t="str">
        <f>IF(BF298&lt;&gt;"",IF($F$11="raty malejące",MIN(BK297/($F$4-BF297+SUM($BG$27:BG298)-SUM($BM$27:BM298)),BK297),MIN(BH298-BJ298,BK297)),"")</f>
        <v/>
      </c>
      <c r="BJ298" s="78" t="str">
        <f t="shared" si="238"/>
        <v/>
      </c>
      <c r="BK298" s="79" t="str">
        <f t="shared" si="239"/>
        <v/>
      </c>
      <c r="BL298" s="11"/>
      <c r="BM298" s="33"/>
      <c r="BN298" s="33" t="str">
        <f t="shared" si="234"/>
        <v/>
      </c>
      <c r="BO298" s="33" t="str">
        <f t="shared" si="235"/>
        <v/>
      </c>
      <c r="BP298" s="33" t="str">
        <f>IF(O298&lt;&gt;"",BO298-SUM($BN$44:BN298),"")</f>
        <v/>
      </c>
      <c r="BQ298" s="11" t="str">
        <f t="shared" si="240"/>
        <v/>
      </c>
      <c r="BR298" s="11" t="str">
        <f>IF(BF298&lt;&gt;"",IF($B$16=listy!$K$8,'RZĄDOWY PROGRAM'!$F$3*'RZĄDOWY PROGRAM'!$F$15,BK297*$F$15),"")</f>
        <v/>
      </c>
      <c r="BS298" s="11" t="str">
        <f t="shared" si="241"/>
        <v/>
      </c>
      <c r="BU298" s="8" t="str">
        <f t="shared" si="290"/>
        <v/>
      </c>
      <c r="BV298" s="8"/>
      <c r="BW298" s="78" t="str">
        <f>IF(BU298&lt;&gt;"",ROUND(IF($F$11="raty równe",-PMT(W298/12,$F$4-BU297+SUM($BV$28:BV298)-$CB$43,BZ297,2),BX298+BY298),2),"")</f>
        <v/>
      </c>
      <c r="BX298" s="78" t="str">
        <f>IF(BU298&lt;&gt;"",IF($F$11="raty malejące",MIN(BZ297/($F$4-BU297+SUM($BV$28:BV297)-SUM($CB$28:CB297)),BZ297),MIN(BW298-BY298,BZ297)),"")</f>
        <v/>
      </c>
      <c r="BY298" s="78" t="str">
        <f t="shared" si="245"/>
        <v/>
      </c>
      <c r="BZ298" s="79" t="str">
        <f t="shared" si="231"/>
        <v/>
      </c>
      <c r="CA298" s="11"/>
      <c r="CB298" s="33"/>
      <c r="CC298" s="33" t="str">
        <f t="shared" si="291"/>
        <v/>
      </c>
      <c r="CD298" s="33" t="str">
        <f t="shared" si="236"/>
        <v/>
      </c>
      <c r="CE298" s="33" t="str">
        <f>IF(O298&lt;&gt;"",CD298-SUM($CC$44:CC298),"")</f>
        <v/>
      </c>
      <c r="CF298" s="11" t="str">
        <f t="shared" si="246"/>
        <v/>
      </c>
      <c r="CG298" s="11" t="str">
        <f>IF(BU298&lt;&gt;"",IF($B$16=listy!$K$8,'RZĄDOWY PROGRAM'!$F$3*'RZĄDOWY PROGRAM'!$F$15,BZ297*$F$15),"")</f>
        <v/>
      </c>
      <c r="CH298" s="11" t="str">
        <f t="shared" si="247"/>
        <v/>
      </c>
      <c r="CJ298" s="48" t="str">
        <f t="shared" si="278"/>
        <v/>
      </c>
      <c r="CK298" s="18" t="str">
        <f t="shared" si="279"/>
        <v/>
      </c>
      <c r="CL298" s="11" t="str">
        <f t="shared" si="259"/>
        <v/>
      </c>
      <c r="CM298" s="11" t="str">
        <f t="shared" si="280"/>
        <v/>
      </c>
      <c r="CN298" s="11" t="str">
        <f>IF(AB298&lt;&gt;"",CM298-SUM($CL$28:CL298),"")</f>
        <v/>
      </c>
    </row>
    <row r="299" spans="1:92" x14ac:dyDescent="0.45">
      <c r="A299" s="68" t="str">
        <f t="shared" si="252"/>
        <v/>
      </c>
      <c r="B299" s="8" t="str">
        <f t="shared" si="273"/>
        <v/>
      </c>
      <c r="C299" s="11" t="str">
        <f t="shared" si="274"/>
        <v/>
      </c>
      <c r="D299" s="11" t="str">
        <f t="shared" si="275"/>
        <v/>
      </c>
      <c r="E299" s="11" t="str">
        <f t="shared" si="253"/>
        <v/>
      </c>
      <c r="F299" s="9" t="str">
        <f t="shared" si="254"/>
        <v/>
      </c>
      <c r="G299" s="10" t="str">
        <f t="shared" si="255"/>
        <v/>
      </c>
      <c r="H299" s="10" t="str">
        <f t="shared" si="256"/>
        <v/>
      </c>
      <c r="I299" s="48" t="str">
        <f t="shared" si="281"/>
        <v/>
      </c>
      <c r="J299" s="11" t="str">
        <f t="shared" si="276"/>
        <v/>
      </c>
      <c r="K299" s="11" t="str">
        <f>IF(B299&lt;&gt;"",IF($B$16=listy!$K$8,'RZĄDOWY PROGRAM'!$F$3*'RZĄDOWY PROGRAM'!$F$15,F298*$F$15),"")</f>
        <v/>
      </c>
      <c r="L299" s="11" t="str">
        <f t="shared" si="257"/>
        <v/>
      </c>
      <c r="N299" s="54" t="str">
        <f t="shared" si="260"/>
        <v/>
      </c>
      <c r="O299" s="8" t="str">
        <f t="shared" si="282"/>
        <v/>
      </c>
      <c r="P299" s="8"/>
      <c r="Q299" s="11" t="str">
        <f>IF(O299&lt;&gt;"",ROUND(IF($F$11="raty równe",-PMT(W299/12,$F$4-O298+SUM($P$28:P299),T298,2),R299+S299),2),"")</f>
        <v/>
      </c>
      <c r="R299" s="11" t="str">
        <f>IF(O299&lt;&gt;"",IF($F$11="raty malejące",T298/($F$4-O298+SUM($P$28:P299)),IF(Q299-S299&gt;T298,T298,Q299-S299)),"")</f>
        <v/>
      </c>
      <c r="S299" s="11" t="str">
        <f t="shared" si="261"/>
        <v/>
      </c>
      <c r="T299" s="9" t="str">
        <f t="shared" si="262"/>
        <v/>
      </c>
      <c r="U299" s="10" t="str">
        <f t="shared" si="263"/>
        <v/>
      </c>
      <c r="V299" s="10" t="str">
        <f t="shared" si="264"/>
        <v/>
      </c>
      <c r="W299" s="48" t="str">
        <f t="shared" si="283"/>
        <v/>
      </c>
      <c r="X299" s="11" t="str">
        <f t="shared" si="265"/>
        <v/>
      </c>
      <c r="Y299" s="11" t="str">
        <f>IF(O299&lt;&gt;"",IF($B$16=listy!$K$8,'RZĄDOWY PROGRAM'!$F$3*'RZĄDOWY PROGRAM'!$F$15,T298*$F$15),"")</f>
        <v/>
      </c>
      <c r="Z299" s="11" t="str">
        <f t="shared" si="266"/>
        <v/>
      </c>
      <c r="AB299" s="8" t="str">
        <f t="shared" si="267"/>
        <v/>
      </c>
      <c r="AC299" s="8"/>
      <c r="AD299" s="11" t="str">
        <f>IF(AB299&lt;&gt;"",ROUND(IF($F$11="raty równe",-PMT(W299/12,$F$4-AB298+SUM($AC$28:AC299),AG298,2),AE299+AF299),2),"")</f>
        <v/>
      </c>
      <c r="AE299" s="11" t="str">
        <f>IF(AB299&lt;&gt;"",IF($F$11="raty malejące",AG298/($F$4-AB298+SUM($AC$28:AC298)),MIN(AD299-AF299,AG298)),"")</f>
        <v/>
      </c>
      <c r="AF299" s="11" t="str">
        <f t="shared" si="268"/>
        <v/>
      </c>
      <c r="AG299" s="9" t="str">
        <f t="shared" si="269"/>
        <v/>
      </c>
      <c r="AH299" s="11"/>
      <c r="AI299" s="33" t="str">
        <f>IF(AB299&lt;&gt;"",ROUND(IF($F$11="raty równe",-PMT(W299/12,($F$4-AB298+SUM($AC$27:AC298)),AG298,2),AG298/($F$4-AB298+SUM($AC$27:AC298))+AG298*W299/12),2),"")</f>
        <v/>
      </c>
      <c r="AJ299" s="33" t="str">
        <f t="shared" si="270"/>
        <v/>
      </c>
      <c r="AK299" s="33" t="str">
        <f t="shared" si="277"/>
        <v/>
      </c>
      <c r="AL299" s="33" t="str">
        <f>IF(AB299&lt;&gt;"",AK299-SUM($AJ$28:AJ299),"")</f>
        <v/>
      </c>
      <c r="AM299" s="11" t="str">
        <f t="shared" si="271"/>
        <v/>
      </c>
      <c r="AN299" s="11" t="str">
        <f>IF(AB299&lt;&gt;"",IF($B$16=listy!$K$8,'RZĄDOWY PROGRAM'!$F$3*'RZĄDOWY PROGRAM'!$F$15,AG298*$F$15),"")</f>
        <v/>
      </c>
      <c r="AO299" s="11" t="str">
        <f t="shared" si="272"/>
        <v/>
      </c>
      <c r="AQ299" s="8" t="str">
        <f t="shared" si="284"/>
        <v/>
      </c>
      <c r="AR299" s="8"/>
      <c r="AS299" s="78" t="str">
        <f>IF(AQ299&lt;&gt;"",ROUND(IF($F$11="raty równe",-PMT(W299/12,$F$4-AQ298+SUM($AR$28:AR299),AV298,2),AT299+AU299),2),"")</f>
        <v/>
      </c>
      <c r="AT299" s="78" t="str">
        <f>IF(AQ299&lt;&gt;"",IF($F$11="raty malejące",AV298/($F$4-AQ298+SUM($AR$28:AR298)),MIN(AS299-AU299,AV298)),"")</f>
        <v/>
      </c>
      <c r="AU299" s="78" t="str">
        <f t="shared" si="285"/>
        <v/>
      </c>
      <c r="AV299" s="79" t="str">
        <f t="shared" si="286"/>
        <v/>
      </c>
      <c r="AW299" s="11"/>
      <c r="AX299" s="33" t="str">
        <f>IF(AQ299&lt;&gt;"",ROUND(IF($F$11="raty równe",-PMT(W299/12,($F$4-AQ298+SUM($AR$27:AR298)),AV298,2),AV298/($F$4-AQ298+SUM($AR$27:AR298))+AV298*W299/12),2),"")</f>
        <v/>
      </c>
      <c r="AY299" s="33" t="str">
        <f t="shared" si="287"/>
        <v/>
      </c>
      <c r="AZ299" s="33" t="str">
        <f t="shared" si="233"/>
        <v/>
      </c>
      <c r="BA299" s="33" t="str">
        <f>IF(AQ299&lt;&gt;"",AZ299-SUM($AY$44:AY299),"")</f>
        <v/>
      </c>
      <c r="BB299" s="11" t="str">
        <f t="shared" si="288"/>
        <v/>
      </c>
      <c r="BC299" s="11" t="str">
        <f>IF(AQ299&lt;&gt;"",IF($B$16=listy!$K$8,'RZĄDOWY PROGRAM'!$F$3*'RZĄDOWY PROGRAM'!$F$15,AV298*$F$15),"")</f>
        <v/>
      </c>
      <c r="BD299" s="11" t="str">
        <f t="shared" si="289"/>
        <v/>
      </c>
      <c r="BF299" s="8" t="str">
        <f t="shared" si="237"/>
        <v/>
      </c>
      <c r="BG299" s="8"/>
      <c r="BH299" s="78" t="str">
        <f>IF(BF299&lt;&gt;"",ROUND(IF($F$11="raty równe",-PMT(W299/12,$F$4-BF298+SUM(BV$28:$BV299)-SUM($BM$29:BM299),BK298,2),BI299+BJ299),2),"")</f>
        <v/>
      </c>
      <c r="BI299" s="78" t="str">
        <f>IF(BF299&lt;&gt;"",IF($F$11="raty malejące",MIN(BK298/($F$4-BF298+SUM($BG$27:BG299)-SUM($BM$27:BM299)),BK298),MIN(BH299-BJ299,BK298)),"")</f>
        <v/>
      </c>
      <c r="BJ299" s="78" t="str">
        <f t="shared" si="238"/>
        <v/>
      </c>
      <c r="BK299" s="79" t="str">
        <f t="shared" si="239"/>
        <v/>
      </c>
      <c r="BL299" s="11"/>
      <c r="BM299" s="33"/>
      <c r="BN299" s="33" t="str">
        <f t="shared" si="234"/>
        <v/>
      </c>
      <c r="BO299" s="33" t="str">
        <f t="shared" si="235"/>
        <v/>
      </c>
      <c r="BP299" s="33" t="str">
        <f>IF(O299&lt;&gt;"",BO299-SUM($BN$44:BN299),"")</f>
        <v/>
      </c>
      <c r="BQ299" s="11" t="str">
        <f t="shared" si="240"/>
        <v/>
      </c>
      <c r="BR299" s="11" t="str">
        <f>IF(BF299&lt;&gt;"",IF($B$16=listy!$K$8,'RZĄDOWY PROGRAM'!$F$3*'RZĄDOWY PROGRAM'!$F$15,BK298*$F$15),"")</f>
        <v/>
      </c>
      <c r="BS299" s="11" t="str">
        <f t="shared" si="241"/>
        <v/>
      </c>
      <c r="BU299" s="8" t="str">
        <f t="shared" si="290"/>
        <v/>
      </c>
      <c r="BV299" s="8"/>
      <c r="BW299" s="78" t="str">
        <f>IF(BU299&lt;&gt;"",ROUND(IF($F$11="raty równe",-PMT(W299/12,$F$4-BU298+SUM($BV$28:BV299)-$CB$43,BZ298,2),BX299+BY299),2),"")</f>
        <v/>
      </c>
      <c r="BX299" s="78" t="str">
        <f>IF(BU299&lt;&gt;"",IF($F$11="raty malejące",MIN(BZ298/($F$4-BU298+SUM($BV$28:BV298)-SUM($CB$28:CB298)),BZ298),MIN(BW299-BY299,BZ298)),"")</f>
        <v/>
      </c>
      <c r="BY299" s="78" t="str">
        <f t="shared" si="245"/>
        <v/>
      </c>
      <c r="BZ299" s="79" t="str">
        <f t="shared" si="231"/>
        <v/>
      </c>
      <c r="CA299" s="11"/>
      <c r="CB299" s="33"/>
      <c r="CC299" s="33" t="str">
        <f t="shared" si="291"/>
        <v/>
      </c>
      <c r="CD299" s="33" t="str">
        <f t="shared" si="236"/>
        <v/>
      </c>
      <c r="CE299" s="33" t="str">
        <f>IF(O299&lt;&gt;"",CD299-SUM($CC$44:CC299),"")</f>
        <v/>
      </c>
      <c r="CF299" s="11" t="str">
        <f t="shared" si="246"/>
        <v/>
      </c>
      <c r="CG299" s="11" t="str">
        <f>IF(BU299&lt;&gt;"",IF($B$16=listy!$K$8,'RZĄDOWY PROGRAM'!$F$3*'RZĄDOWY PROGRAM'!$F$15,BZ298*$F$15),"")</f>
        <v/>
      </c>
      <c r="CH299" s="11" t="str">
        <f t="shared" si="247"/>
        <v/>
      </c>
      <c r="CJ299" s="48" t="str">
        <f t="shared" si="278"/>
        <v/>
      </c>
      <c r="CK299" s="18" t="str">
        <f t="shared" si="279"/>
        <v/>
      </c>
      <c r="CL299" s="11" t="str">
        <f t="shared" si="259"/>
        <v/>
      </c>
      <c r="CM299" s="11" t="str">
        <f t="shared" si="280"/>
        <v/>
      </c>
      <c r="CN299" s="11" t="str">
        <f>IF(AB299&lt;&gt;"",CM299-SUM($CL$28:CL299),"")</f>
        <v/>
      </c>
    </row>
    <row r="300" spans="1:92" x14ac:dyDescent="0.45">
      <c r="A300" s="68" t="str">
        <f t="shared" si="252"/>
        <v/>
      </c>
      <c r="B300" s="8" t="str">
        <f t="shared" si="273"/>
        <v/>
      </c>
      <c r="C300" s="11" t="str">
        <f t="shared" si="274"/>
        <v/>
      </c>
      <c r="D300" s="11" t="str">
        <f t="shared" si="275"/>
        <v/>
      </c>
      <c r="E300" s="11" t="str">
        <f t="shared" si="253"/>
        <v/>
      </c>
      <c r="F300" s="9" t="str">
        <f t="shared" si="254"/>
        <v/>
      </c>
      <c r="G300" s="10" t="str">
        <f t="shared" si="255"/>
        <v/>
      </c>
      <c r="H300" s="10" t="str">
        <f t="shared" si="256"/>
        <v/>
      </c>
      <c r="I300" s="48" t="str">
        <f t="shared" si="281"/>
        <v/>
      </c>
      <c r="J300" s="11" t="str">
        <f t="shared" si="276"/>
        <v/>
      </c>
      <c r="K300" s="11" t="str">
        <f>IF(B300&lt;&gt;"",IF($B$16=listy!$K$8,'RZĄDOWY PROGRAM'!$F$3*'RZĄDOWY PROGRAM'!$F$15,F299*$F$15),"")</f>
        <v/>
      </c>
      <c r="L300" s="11" t="str">
        <f t="shared" si="257"/>
        <v/>
      </c>
      <c r="N300" s="54" t="str">
        <f t="shared" si="260"/>
        <v/>
      </c>
      <c r="O300" s="8" t="str">
        <f t="shared" si="282"/>
        <v/>
      </c>
      <c r="P300" s="8"/>
      <c r="Q300" s="11" t="str">
        <f>IF(O300&lt;&gt;"",ROUND(IF($F$11="raty równe",-PMT(W300/12,$F$4-O299+SUM($P$28:P300),T299,2),R300+S300),2),"")</f>
        <v/>
      </c>
      <c r="R300" s="11" t="str">
        <f>IF(O300&lt;&gt;"",IF($F$11="raty malejące",T299/($F$4-O299+SUM($P$28:P300)),IF(Q300-S300&gt;T299,T299,Q300-S300)),"")</f>
        <v/>
      </c>
      <c r="S300" s="11" t="str">
        <f t="shared" si="261"/>
        <v/>
      </c>
      <c r="T300" s="9" t="str">
        <f t="shared" si="262"/>
        <v/>
      </c>
      <c r="U300" s="10" t="str">
        <f t="shared" si="263"/>
        <v/>
      </c>
      <c r="V300" s="10" t="str">
        <f t="shared" si="264"/>
        <v/>
      </c>
      <c r="W300" s="48" t="str">
        <f t="shared" si="283"/>
        <v/>
      </c>
      <c r="X300" s="11" t="str">
        <f t="shared" si="265"/>
        <v/>
      </c>
      <c r="Y300" s="11" t="str">
        <f>IF(O300&lt;&gt;"",IF($B$16=listy!$K$8,'RZĄDOWY PROGRAM'!$F$3*'RZĄDOWY PROGRAM'!$F$15,T299*$F$15),"")</f>
        <v/>
      </c>
      <c r="Z300" s="11" t="str">
        <f t="shared" si="266"/>
        <v/>
      </c>
      <c r="AB300" s="8" t="str">
        <f t="shared" si="267"/>
        <v/>
      </c>
      <c r="AC300" s="8"/>
      <c r="AD300" s="11" t="str">
        <f>IF(AB300&lt;&gt;"",ROUND(IF($F$11="raty równe",-PMT(W300/12,$F$4-AB299+SUM($AC$28:AC300),AG299,2),AE300+AF300),2),"")</f>
        <v/>
      </c>
      <c r="AE300" s="11" t="str">
        <f>IF(AB300&lt;&gt;"",IF($F$11="raty malejące",AG299/($F$4-AB299+SUM($AC$28:AC299)),MIN(AD300-AF300,AG299)),"")</f>
        <v/>
      </c>
      <c r="AF300" s="11" t="str">
        <f t="shared" si="268"/>
        <v/>
      </c>
      <c r="AG300" s="9" t="str">
        <f t="shared" si="269"/>
        <v/>
      </c>
      <c r="AH300" s="11"/>
      <c r="AI300" s="33" t="str">
        <f>IF(AB300&lt;&gt;"",ROUND(IF($F$11="raty równe",-PMT(W300/12,($F$4-AB299+SUM($AC$27:AC299)),AG299,2),AG299/($F$4-AB299+SUM($AC$27:AC299))+AG299*W300/12),2),"")</f>
        <v/>
      </c>
      <c r="AJ300" s="33" t="str">
        <f t="shared" si="270"/>
        <v/>
      </c>
      <c r="AK300" s="33" t="str">
        <f t="shared" si="277"/>
        <v/>
      </c>
      <c r="AL300" s="33" t="str">
        <f>IF(AB300&lt;&gt;"",AK300-SUM($AJ$28:AJ300),"")</f>
        <v/>
      </c>
      <c r="AM300" s="11" t="str">
        <f t="shared" si="271"/>
        <v/>
      </c>
      <c r="AN300" s="11" t="str">
        <f>IF(AB300&lt;&gt;"",IF($B$16=listy!$K$8,'RZĄDOWY PROGRAM'!$F$3*'RZĄDOWY PROGRAM'!$F$15,AG299*$F$15),"")</f>
        <v/>
      </c>
      <c r="AO300" s="11" t="str">
        <f t="shared" si="272"/>
        <v/>
      </c>
      <c r="AQ300" s="8" t="str">
        <f t="shared" si="284"/>
        <v/>
      </c>
      <c r="AR300" s="8"/>
      <c r="AS300" s="78" t="str">
        <f>IF(AQ300&lt;&gt;"",ROUND(IF($F$11="raty równe",-PMT(W300/12,$F$4-AQ299+SUM($AR$28:AR300),AV299,2),AT300+AU300),2),"")</f>
        <v/>
      </c>
      <c r="AT300" s="78" t="str">
        <f>IF(AQ300&lt;&gt;"",IF($F$11="raty malejące",AV299/($F$4-AQ299+SUM($AR$28:AR299)),MIN(AS300-AU300,AV299)),"")</f>
        <v/>
      </c>
      <c r="AU300" s="78" t="str">
        <f t="shared" si="285"/>
        <v/>
      </c>
      <c r="AV300" s="79" t="str">
        <f t="shared" si="286"/>
        <v/>
      </c>
      <c r="AW300" s="11"/>
      <c r="AX300" s="33" t="str">
        <f>IF(AQ300&lt;&gt;"",ROUND(IF($F$11="raty równe",-PMT(W300/12,($F$4-AQ299+SUM($AR$27:AR299)),AV299,2),AV299/($F$4-AQ299+SUM($AR$27:AR299))+AV299*W300/12),2),"")</f>
        <v/>
      </c>
      <c r="AY300" s="33" t="str">
        <f t="shared" si="287"/>
        <v/>
      </c>
      <c r="AZ300" s="33" t="str">
        <f t="shared" si="233"/>
        <v/>
      </c>
      <c r="BA300" s="33" t="str">
        <f>IF(AQ300&lt;&gt;"",AZ300-SUM($AY$44:AY300),"")</f>
        <v/>
      </c>
      <c r="BB300" s="11" t="str">
        <f t="shared" si="288"/>
        <v/>
      </c>
      <c r="BC300" s="11" t="str">
        <f>IF(AQ300&lt;&gt;"",IF($B$16=listy!$K$8,'RZĄDOWY PROGRAM'!$F$3*'RZĄDOWY PROGRAM'!$F$15,AV299*$F$15),"")</f>
        <v/>
      </c>
      <c r="BD300" s="11" t="str">
        <f t="shared" si="289"/>
        <v/>
      </c>
      <c r="BF300" s="8" t="str">
        <f t="shared" si="237"/>
        <v/>
      </c>
      <c r="BG300" s="8"/>
      <c r="BH300" s="78" t="str">
        <f>IF(BF300&lt;&gt;"",ROUND(IF($F$11="raty równe",-PMT(W300/12,$F$4-BF299+SUM(BV$28:$BV300)-SUM($BM$29:BM300),BK299,2),BI300+BJ300),2),"")</f>
        <v/>
      </c>
      <c r="BI300" s="78" t="str">
        <f>IF(BF300&lt;&gt;"",IF($F$11="raty malejące",MIN(BK299/($F$4-BF299+SUM($BG$27:BG300)-SUM($BM$27:BM300)),BK299),MIN(BH300-BJ300,BK299)),"")</f>
        <v/>
      </c>
      <c r="BJ300" s="78" t="str">
        <f t="shared" si="238"/>
        <v/>
      </c>
      <c r="BK300" s="79" t="str">
        <f t="shared" si="239"/>
        <v/>
      </c>
      <c r="BL300" s="11"/>
      <c r="BM300" s="33"/>
      <c r="BN300" s="33" t="str">
        <f t="shared" si="234"/>
        <v/>
      </c>
      <c r="BO300" s="33" t="str">
        <f t="shared" si="235"/>
        <v/>
      </c>
      <c r="BP300" s="33" t="str">
        <f>IF(O300&lt;&gt;"",BO300-SUM($BN$44:BN300),"")</f>
        <v/>
      </c>
      <c r="BQ300" s="11" t="str">
        <f t="shared" si="240"/>
        <v/>
      </c>
      <c r="BR300" s="11" t="str">
        <f>IF(BF300&lt;&gt;"",IF($B$16=listy!$K$8,'RZĄDOWY PROGRAM'!$F$3*'RZĄDOWY PROGRAM'!$F$15,BK299*$F$15),"")</f>
        <v/>
      </c>
      <c r="BS300" s="11" t="str">
        <f t="shared" si="241"/>
        <v/>
      </c>
      <c r="BU300" s="8" t="str">
        <f t="shared" si="290"/>
        <v/>
      </c>
      <c r="BV300" s="8"/>
      <c r="BW300" s="78" t="str">
        <f>IF(BU300&lt;&gt;"",ROUND(IF($F$11="raty równe",-PMT(W300/12,$F$4-BU299+SUM($BV$28:BV300)-$CB$43,BZ299,2),BX300+BY300),2),"")</f>
        <v/>
      </c>
      <c r="BX300" s="78" t="str">
        <f>IF(BU300&lt;&gt;"",IF($F$11="raty malejące",MIN(BZ299/($F$4-BU299+SUM($BV$28:BV299)-SUM($CB$28:CB299)),BZ299),MIN(BW300-BY300,BZ299)),"")</f>
        <v/>
      </c>
      <c r="BY300" s="78" t="str">
        <f t="shared" si="245"/>
        <v/>
      </c>
      <c r="BZ300" s="79" t="str">
        <f t="shared" ref="BZ300:BZ363" si="292">IF(BU300&lt;&gt;"",IF(N300&lt;&gt;"",BZ299-BX300-CA300,BZ299-BX300),"")</f>
        <v/>
      </c>
      <c r="CA300" s="11"/>
      <c r="CB300" s="33"/>
      <c r="CC300" s="33" t="str">
        <f t="shared" si="291"/>
        <v/>
      </c>
      <c r="CD300" s="33" t="str">
        <f t="shared" si="236"/>
        <v/>
      </c>
      <c r="CE300" s="33" t="str">
        <f>IF(O300&lt;&gt;"",CD300-SUM($CC$44:CC300),"")</f>
        <v/>
      </c>
      <c r="CF300" s="11" t="str">
        <f t="shared" si="246"/>
        <v/>
      </c>
      <c r="CG300" s="11" t="str">
        <f>IF(BU300&lt;&gt;"",IF($B$16=listy!$K$8,'RZĄDOWY PROGRAM'!$F$3*'RZĄDOWY PROGRAM'!$F$15,BZ299*$F$15),"")</f>
        <v/>
      </c>
      <c r="CH300" s="11" t="str">
        <f t="shared" si="247"/>
        <v/>
      </c>
      <c r="CJ300" s="48" t="str">
        <f t="shared" si="278"/>
        <v/>
      </c>
      <c r="CK300" s="18" t="str">
        <f t="shared" si="279"/>
        <v/>
      </c>
      <c r="CL300" s="11" t="str">
        <f t="shared" ref="CL300:CL324" si="293">IF(N300&lt;&gt;"",IF(ISNUMBER(C300),C300,0)-Q300,"")</f>
        <v/>
      </c>
      <c r="CM300" s="11" t="str">
        <f t="shared" si="280"/>
        <v/>
      </c>
      <c r="CN300" s="11" t="str">
        <f>IF(AB300&lt;&gt;"",CM300-SUM($CL$28:CL300),"")</f>
        <v/>
      </c>
    </row>
    <row r="301" spans="1:92" x14ac:dyDescent="0.45">
      <c r="A301" s="68" t="str">
        <f t="shared" si="252"/>
        <v/>
      </c>
      <c r="B301" s="8" t="str">
        <f t="shared" si="273"/>
        <v/>
      </c>
      <c r="C301" s="11" t="str">
        <f t="shared" si="274"/>
        <v/>
      </c>
      <c r="D301" s="11" t="str">
        <f t="shared" si="275"/>
        <v/>
      </c>
      <c r="E301" s="11" t="str">
        <f t="shared" si="253"/>
        <v/>
      </c>
      <c r="F301" s="9" t="str">
        <f t="shared" si="254"/>
        <v/>
      </c>
      <c r="G301" s="10" t="str">
        <f t="shared" si="255"/>
        <v/>
      </c>
      <c r="H301" s="10" t="str">
        <f t="shared" si="256"/>
        <v/>
      </c>
      <c r="I301" s="48" t="str">
        <f t="shared" si="281"/>
        <v/>
      </c>
      <c r="J301" s="11" t="str">
        <f t="shared" si="276"/>
        <v/>
      </c>
      <c r="K301" s="11" t="str">
        <f>IF(B301&lt;&gt;"",IF($B$16=listy!$K$8,'RZĄDOWY PROGRAM'!$F$3*'RZĄDOWY PROGRAM'!$F$15,F300*$F$15),"")</f>
        <v/>
      </c>
      <c r="L301" s="11" t="str">
        <f t="shared" si="257"/>
        <v/>
      </c>
      <c r="N301" s="54" t="str">
        <f t="shared" si="260"/>
        <v/>
      </c>
      <c r="O301" s="8" t="str">
        <f t="shared" si="282"/>
        <v/>
      </c>
      <c r="P301" s="8"/>
      <c r="Q301" s="11" t="str">
        <f>IF(O301&lt;&gt;"",ROUND(IF($F$11="raty równe",-PMT(W301/12,$F$4-O300+SUM($P$28:P301),T300,2),R301+S301),2),"")</f>
        <v/>
      </c>
      <c r="R301" s="11" t="str">
        <f>IF(O301&lt;&gt;"",IF($F$11="raty malejące",T300/($F$4-O300+SUM($P$28:P301)),IF(Q301-S301&gt;T300,T300,Q301-S301)),"")</f>
        <v/>
      </c>
      <c r="S301" s="11" t="str">
        <f t="shared" si="261"/>
        <v/>
      </c>
      <c r="T301" s="9" t="str">
        <f t="shared" si="262"/>
        <v/>
      </c>
      <c r="U301" s="10" t="str">
        <f t="shared" si="263"/>
        <v/>
      </c>
      <c r="V301" s="10" t="str">
        <f t="shared" si="264"/>
        <v/>
      </c>
      <c r="W301" s="48" t="str">
        <f t="shared" si="283"/>
        <v/>
      </c>
      <c r="X301" s="11" t="str">
        <f t="shared" si="265"/>
        <v/>
      </c>
      <c r="Y301" s="11" t="str">
        <f>IF(O301&lt;&gt;"",IF($B$16=listy!$K$8,'RZĄDOWY PROGRAM'!$F$3*'RZĄDOWY PROGRAM'!$F$15,T300*$F$15),"")</f>
        <v/>
      </c>
      <c r="Z301" s="11" t="str">
        <f t="shared" si="266"/>
        <v/>
      </c>
      <c r="AB301" s="8" t="str">
        <f t="shared" si="267"/>
        <v/>
      </c>
      <c r="AC301" s="8"/>
      <c r="AD301" s="11" t="str">
        <f>IF(AB301&lt;&gt;"",ROUND(IF($F$11="raty równe",-PMT(W301/12,$F$4-AB300+SUM($AC$28:AC301),AG300,2),AE301+AF301),2),"")</f>
        <v/>
      </c>
      <c r="AE301" s="11" t="str">
        <f>IF(AB301&lt;&gt;"",IF($F$11="raty malejące",AG300/($F$4-AB300+SUM($AC$28:AC300)),MIN(AD301-AF301,AG300)),"")</f>
        <v/>
      </c>
      <c r="AF301" s="11" t="str">
        <f t="shared" si="268"/>
        <v/>
      </c>
      <c r="AG301" s="9" t="str">
        <f t="shared" si="269"/>
        <v/>
      </c>
      <c r="AH301" s="11"/>
      <c r="AI301" s="33" t="str">
        <f>IF(AB301&lt;&gt;"",ROUND(IF($F$11="raty równe",-PMT(W301/12,($F$4-AB300+SUM($AC$27:AC300)),AG300,2),AG300/($F$4-AB300+SUM($AC$27:AC300))+AG300*W301/12),2),"")</f>
        <v/>
      </c>
      <c r="AJ301" s="33" t="str">
        <f t="shared" si="270"/>
        <v/>
      </c>
      <c r="AK301" s="33" t="str">
        <f t="shared" si="277"/>
        <v/>
      </c>
      <c r="AL301" s="33" t="str">
        <f>IF(AB301&lt;&gt;"",AK301-SUM($AJ$28:AJ301),"")</f>
        <v/>
      </c>
      <c r="AM301" s="11" t="str">
        <f t="shared" si="271"/>
        <v/>
      </c>
      <c r="AN301" s="11" t="str">
        <f>IF(AB301&lt;&gt;"",IF($B$16=listy!$K$8,'RZĄDOWY PROGRAM'!$F$3*'RZĄDOWY PROGRAM'!$F$15,AG300*$F$15),"")</f>
        <v/>
      </c>
      <c r="AO301" s="11" t="str">
        <f t="shared" si="272"/>
        <v/>
      </c>
      <c r="AQ301" s="8" t="str">
        <f t="shared" si="284"/>
        <v/>
      </c>
      <c r="AR301" s="8"/>
      <c r="AS301" s="78" t="str">
        <f>IF(AQ301&lt;&gt;"",ROUND(IF($F$11="raty równe",-PMT(W301/12,$F$4-AQ300+SUM($AR$28:AR301),AV300,2),AT301+AU301),2),"")</f>
        <v/>
      </c>
      <c r="AT301" s="78" t="str">
        <f>IF(AQ301&lt;&gt;"",IF($F$11="raty malejące",AV300/($F$4-AQ300+SUM($AR$28:AR300)),MIN(AS301-AU301,AV300)),"")</f>
        <v/>
      </c>
      <c r="AU301" s="78" t="str">
        <f t="shared" si="285"/>
        <v/>
      </c>
      <c r="AV301" s="79" t="str">
        <f t="shared" si="286"/>
        <v/>
      </c>
      <c r="AW301" s="11"/>
      <c r="AX301" s="33" t="str">
        <f>IF(AQ301&lt;&gt;"",ROUND(IF($F$11="raty równe",-PMT(W301/12,($F$4-AQ300+SUM($AR$27:AR300)),AV300,2),AV300/($F$4-AQ300+SUM($AR$27:AR300))+AV300*W301/12),2),"")</f>
        <v/>
      </c>
      <c r="AY301" s="33" t="str">
        <f t="shared" si="287"/>
        <v/>
      </c>
      <c r="AZ301" s="33" t="str">
        <f t="shared" ref="AZ301:AZ364" si="294">IF(AQ301&lt;&gt;"",IF($F$21="co miesiąc",AZ300*(1+(1-$F$20)*CK301)+AY301,(AZ300*(1+CK301)+AY301)),"")</f>
        <v/>
      </c>
      <c r="BA301" s="33" t="str">
        <f>IF(AQ301&lt;&gt;"",AZ301-SUM($AY$44:AY301),"")</f>
        <v/>
      </c>
      <c r="BB301" s="11" t="str">
        <f t="shared" si="288"/>
        <v/>
      </c>
      <c r="BC301" s="11" t="str">
        <f>IF(AQ301&lt;&gt;"",IF($B$16=listy!$K$8,'RZĄDOWY PROGRAM'!$F$3*'RZĄDOWY PROGRAM'!$F$15,AV300*$F$15),"")</f>
        <v/>
      </c>
      <c r="BD301" s="11" t="str">
        <f t="shared" si="289"/>
        <v/>
      </c>
      <c r="BF301" s="8" t="str">
        <f t="shared" si="237"/>
        <v/>
      </c>
      <c r="BG301" s="8"/>
      <c r="BH301" s="78" t="str">
        <f>IF(BF301&lt;&gt;"",ROUND(IF($F$11="raty równe",-PMT(W301/12,$F$4-BF300+SUM(BV$28:$BV301)-SUM($BM$29:BM301),BK300,2),BI301+BJ301),2),"")</f>
        <v/>
      </c>
      <c r="BI301" s="78" t="str">
        <f>IF(BF301&lt;&gt;"",IF($F$11="raty malejące",MIN(BK300/($F$4-BF300+SUM($BG$27:BG301)-SUM($BM$27:BM301)),BK300),MIN(BH301-BJ301,BK300)),"")</f>
        <v/>
      </c>
      <c r="BJ301" s="78" t="str">
        <f t="shared" si="238"/>
        <v/>
      </c>
      <c r="BK301" s="79" t="str">
        <f t="shared" si="239"/>
        <v/>
      </c>
      <c r="BL301" s="11"/>
      <c r="BM301" s="33"/>
      <c r="BN301" s="33" t="str">
        <f t="shared" ref="BN301:BN364" si="295">IF(O301&lt;&gt;"",IF(ISNUMBER(C301),C301,0)-IF(ISNUMBER(BH301),BH301,0),"")</f>
        <v/>
      </c>
      <c r="BO301" s="33" t="str">
        <f t="shared" ref="BO301:BO364" si="296">IF(O301&lt;&gt;"",IF($F$21="co miesiąc",BO300*(1+(1-$F$20)*CK301)+BN301,(BO300*(1+CK301)+BN301)),"")</f>
        <v/>
      </c>
      <c r="BP301" s="33" t="str">
        <f>IF(O301&lt;&gt;"",BO301-SUM($BN$44:BN301),"")</f>
        <v/>
      </c>
      <c r="BQ301" s="11" t="str">
        <f t="shared" si="240"/>
        <v/>
      </c>
      <c r="BR301" s="11" t="str">
        <f>IF(BF301&lt;&gt;"",IF($B$16=listy!$K$8,'RZĄDOWY PROGRAM'!$F$3*'RZĄDOWY PROGRAM'!$F$15,BK300*$F$15),"")</f>
        <v/>
      </c>
      <c r="BS301" s="11" t="str">
        <f t="shared" si="241"/>
        <v/>
      </c>
      <c r="BU301" s="8" t="str">
        <f t="shared" si="290"/>
        <v/>
      </c>
      <c r="BV301" s="8"/>
      <c r="BW301" s="78" t="str">
        <f>IF(BU301&lt;&gt;"",ROUND(IF($F$11="raty równe",-PMT(W301/12,$F$4-BU300+SUM($BV$28:BV301)-$CB$43,BZ300,2),BX301+BY301),2),"")</f>
        <v/>
      </c>
      <c r="BX301" s="78" t="str">
        <f>IF(BU301&lt;&gt;"",IF($F$11="raty malejące",MIN(BZ300/($F$4-BU300+SUM($BV$28:BV300)-SUM($CB$28:CB300)),BZ300),MIN(BW301-BY301,BZ300)),"")</f>
        <v/>
      </c>
      <c r="BY301" s="78" t="str">
        <f t="shared" si="245"/>
        <v/>
      </c>
      <c r="BZ301" s="79" t="str">
        <f t="shared" si="292"/>
        <v/>
      </c>
      <c r="CA301" s="11"/>
      <c r="CB301" s="33"/>
      <c r="CC301" s="33" t="str">
        <f t="shared" si="291"/>
        <v/>
      </c>
      <c r="CD301" s="33" t="str">
        <f t="shared" ref="CD301:CD364" si="297">IF(O301&lt;&gt;"",IF($F$21="co miesiąc",CD300*(1+(1-$F$20)*CK301)+CC301,(CD300*(1+CK301)+CC301)),"")</f>
        <v/>
      </c>
      <c r="CE301" s="33" t="str">
        <f>IF(O301&lt;&gt;"",CD301-SUM($CC$44:CC301),"")</f>
        <v/>
      </c>
      <c r="CF301" s="11" t="str">
        <f t="shared" si="246"/>
        <v/>
      </c>
      <c r="CG301" s="11" t="str">
        <f>IF(BU301&lt;&gt;"",IF($B$16=listy!$K$8,'RZĄDOWY PROGRAM'!$F$3*'RZĄDOWY PROGRAM'!$F$15,BZ300*$F$15),"")</f>
        <v/>
      </c>
      <c r="CH301" s="11" t="str">
        <f t="shared" si="247"/>
        <v/>
      </c>
      <c r="CJ301" s="48" t="str">
        <f t="shared" si="278"/>
        <v/>
      </c>
      <c r="CK301" s="18" t="str">
        <f t="shared" si="279"/>
        <v/>
      </c>
      <c r="CL301" s="11" t="str">
        <f t="shared" si="293"/>
        <v/>
      </c>
      <c r="CM301" s="11" t="str">
        <f t="shared" si="280"/>
        <v/>
      </c>
      <c r="CN301" s="11" t="str">
        <f>IF(AB301&lt;&gt;"",CM301-SUM($CL$28:CL301),"")</f>
        <v/>
      </c>
    </row>
    <row r="302" spans="1:92" x14ac:dyDescent="0.45">
      <c r="A302" s="68" t="str">
        <f t="shared" si="252"/>
        <v/>
      </c>
      <c r="B302" s="8" t="str">
        <f t="shared" si="273"/>
        <v/>
      </c>
      <c r="C302" s="11" t="str">
        <f t="shared" si="274"/>
        <v/>
      </c>
      <c r="D302" s="11" t="str">
        <f t="shared" si="275"/>
        <v/>
      </c>
      <c r="E302" s="11" t="str">
        <f t="shared" si="253"/>
        <v/>
      </c>
      <c r="F302" s="9" t="str">
        <f t="shared" si="254"/>
        <v/>
      </c>
      <c r="G302" s="10" t="str">
        <f t="shared" si="255"/>
        <v/>
      </c>
      <c r="H302" s="10" t="str">
        <f t="shared" si="256"/>
        <v/>
      </c>
      <c r="I302" s="48" t="str">
        <f t="shared" si="281"/>
        <v/>
      </c>
      <c r="J302" s="11" t="str">
        <f t="shared" si="276"/>
        <v/>
      </c>
      <c r="K302" s="11" t="str">
        <f>IF(B302&lt;&gt;"",IF($B$16=listy!$K$8,'RZĄDOWY PROGRAM'!$F$3*'RZĄDOWY PROGRAM'!$F$15,F301*$F$15),"")</f>
        <v/>
      </c>
      <c r="L302" s="11" t="str">
        <f t="shared" si="257"/>
        <v/>
      </c>
      <c r="N302" s="54" t="str">
        <f t="shared" si="260"/>
        <v/>
      </c>
      <c r="O302" s="8" t="str">
        <f t="shared" si="282"/>
        <v/>
      </c>
      <c r="P302" s="8"/>
      <c r="Q302" s="11" t="str">
        <f>IF(O302&lt;&gt;"",ROUND(IF($F$11="raty równe",-PMT(W302/12,$F$4-O301+SUM($P$28:P302),T301,2),R302+S302),2),"")</f>
        <v/>
      </c>
      <c r="R302" s="11" t="str">
        <f>IF(O302&lt;&gt;"",IF($F$11="raty malejące",T301/($F$4-O301+SUM($P$28:P302)),IF(Q302-S302&gt;T301,T301,Q302-S302)),"")</f>
        <v/>
      </c>
      <c r="S302" s="11" t="str">
        <f t="shared" si="261"/>
        <v/>
      </c>
      <c r="T302" s="9" t="str">
        <f t="shared" si="262"/>
        <v/>
      </c>
      <c r="U302" s="10" t="str">
        <f t="shared" si="263"/>
        <v/>
      </c>
      <c r="V302" s="10" t="str">
        <f t="shared" si="264"/>
        <v/>
      </c>
      <c r="W302" s="48" t="str">
        <f t="shared" si="283"/>
        <v/>
      </c>
      <c r="X302" s="11" t="str">
        <f t="shared" si="265"/>
        <v/>
      </c>
      <c r="Y302" s="11" t="str">
        <f>IF(O302&lt;&gt;"",IF($B$16=listy!$K$8,'RZĄDOWY PROGRAM'!$F$3*'RZĄDOWY PROGRAM'!$F$15,T301*$F$15),"")</f>
        <v/>
      </c>
      <c r="Z302" s="11" t="str">
        <f t="shared" si="266"/>
        <v/>
      </c>
      <c r="AB302" s="8" t="str">
        <f t="shared" si="267"/>
        <v/>
      </c>
      <c r="AC302" s="8"/>
      <c r="AD302" s="11" t="str">
        <f>IF(AB302&lt;&gt;"",ROUND(IF($F$11="raty równe",-PMT(W302/12,$F$4-AB301+SUM($AC$28:AC302),AG301,2),AE302+AF302),2),"")</f>
        <v/>
      </c>
      <c r="AE302" s="11" t="str">
        <f>IF(AB302&lt;&gt;"",IF($F$11="raty malejące",AG301/($F$4-AB301+SUM($AC$28:AC301)),MIN(AD302-AF302,AG301)),"")</f>
        <v/>
      </c>
      <c r="AF302" s="11" t="str">
        <f t="shared" si="268"/>
        <v/>
      </c>
      <c r="AG302" s="9" t="str">
        <f t="shared" si="269"/>
        <v/>
      </c>
      <c r="AH302" s="11"/>
      <c r="AI302" s="33" t="str">
        <f>IF(AB302&lt;&gt;"",ROUND(IF($F$11="raty równe",-PMT(W302/12,($F$4-AB301+SUM($AC$27:AC301)),AG301,2),AG301/($F$4-AB301+SUM($AC$27:AC301))+AG301*W302/12),2),"")</f>
        <v/>
      </c>
      <c r="AJ302" s="33" t="str">
        <f t="shared" si="270"/>
        <v/>
      </c>
      <c r="AK302" s="33" t="str">
        <f t="shared" si="277"/>
        <v/>
      </c>
      <c r="AL302" s="33" t="str">
        <f>IF(AB302&lt;&gt;"",AK302-SUM($AJ$28:AJ302),"")</f>
        <v/>
      </c>
      <c r="AM302" s="11" t="str">
        <f t="shared" si="271"/>
        <v/>
      </c>
      <c r="AN302" s="11" t="str">
        <f>IF(AB302&lt;&gt;"",IF($B$16=listy!$K$8,'RZĄDOWY PROGRAM'!$F$3*'RZĄDOWY PROGRAM'!$F$15,AG301*$F$15),"")</f>
        <v/>
      </c>
      <c r="AO302" s="11" t="str">
        <f t="shared" si="272"/>
        <v/>
      </c>
      <c r="AQ302" s="8" t="str">
        <f t="shared" si="284"/>
        <v/>
      </c>
      <c r="AR302" s="8"/>
      <c r="AS302" s="78" t="str">
        <f>IF(AQ302&lt;&gt;"",ROUND(IF($F$11="raty równe",-PMT(W302/12,$F$4-AQ301+SUM($AR$28:AR302),AV301,2),AT302+AU302),2),"")</f>
        <v/>
      </c>
      <c r="AT302" s="78" t="str">
        <f>IF(AQ302&lt;&gt;"",IF($F$11="raty malejące",AV301/($F$4-AQ301+SUM($AR$28:AR301)),MIN(AS302-AU302,AV301)),"")</f>
        <v/>
      </c>
      <c r="AU302" s="78" t="str">
        <f t="shared" si="285"/>
        <v/>
      </c>
      <c r="AV302" s="79" t="str">
        <f t="shared" si="286"/>
        <v/>
      </c>
      <c r="AW302" s="11"/>
      <c r="AX302" s="33" t="str">
        <f>IF(AQ302&lt;&gt;"",ROUND(IF($F$11="raty równe",-PMT(W302/12,($F$4-AQ301+SUM($AR$27:AR301)),AV301,2),AV301/($F$4-AQ301+SUM($AR$27:AR301))+AV301*W302/12),2),"")</f>
        <v/>
      </c>
      <c r="AY302" s="33" t="str">
        <f t="shared" si="287"/>
        <v/>
      </c>
      <c r="AZ302" s="33" t="str">
        <f t="shared" si="294"/>
        <v/>
      </c>
      <c r="BA302" s="33" t="str">
        <f>IF(AQ302&lt;&gt;"",AZ302-SUM($AY$44:AY302),"")</f>
        <v/>
      </c>
      <c r="BB302" s="11" t="str">
        <f t="shared" si="288"/>
        <v/>
      </c>
      <c r="BC302" s="11" t="str">
        <f>IF(AQ302&lt;&gt;"",IF($B$16=listy!$K$8,'RZĄDOWY PROGRAM'!$F$3*'RZĄDOWY PROGRAM'!$F$15,AV301*$F$15),"")</f>
        <v/>
      </c>
      <c r="BD302" s="11" t="str">
        <f t="shared" si="289"/>
        <v/>
      </c>
      <c r="BF302" s="8" t="str">
        <f t="shared" si="237"/>
        <v/>
      </c>
      <c r="BG302" s="8"/>
      <c r="BH302" s="78" t="str">
        <f>IF(BF302&lt;&gt;"",ROUND(IF($F$11="raty równe",-PMT(W302/12,$F$4-BF301+SUM(BV$28:$BV302)-SUM($BM$29:BM302),BK301,2),BI302+BJ302),2),"")</f>
        <v/>
      </c>
      <c r="BI302" s="78" t="str">
        <f>IF(BF302&lt;&gt;"",IF($F$11="raty malejące",MIN(BK301/($F$4-BF301+SUM($BG$27:BG302)-SUM($BM$27:BM302)),BK301),MIN(BH302-BJ302,BK301)),"")</f>
        <v/>
      </c>
      <c r="BJ302" s="78" t="str">
        <f t="shared" si="238"/>
        <v/>
      </c>
      <c r="BK302" s="79" t="str">
        <f t="shared" si="239"/>
        <v/>
      </c>
      <c r="BL302" s="11"/>
      <c r="BM302" s="33"/>
      <c r="BN302" s="33" t="str">
        <f t="shared" si="295"/>
        <v/>
      </c>
      <c r="BO302" s="33" t="str">
        <f t="shared" si="296"/>
        <v/>
      </c>
      <c r="BP302" s="33" t="str">
        <f>IF(O302&lt;&gt;"",BO302-SUM($BN$44:BN302),"")</f>
        <v/>
      </c>
      <c r="BQ302" s="11" t="str">
        <f t="shared" si="240"/>
        <v/>
      </c>
      <c r="BR302" s="11" t="str">
        <f>IF(BF302&lt;&gt;"",IF($B$16=listy!$K$8,'RZĄDOWY PROGRAM'!$F$3*'RZĄDOWY PROGRAM'!$F$15,BK301*$F$15),"")</f>
        <v/>
      </c>
      <c r="BS302" s="11" t="str">
        <f t="shared" si="241"/>
        <v/>
      </c>
      <c r="BU302" s="8" t="str">
        <f t="shared" si="290"/>
        <v/>
      </c>
      <c r="BV302" s="8"/>
      <c r="BW302" s="78" t="str">
        <f>IF(BU302&lt;&gt;"",ROUND(IF($F$11="raty równe",-PMT(W302/12,$F$4-BU301+SUM($BV$28:BV302)-$CB$43,BZ301,2),BX302+BY302),2),"")</f>
        <v/>
      </c>
      <c r="BX302" s="78" t="str">
        <f>IF(BU302&lt;&gt;"",IF($F$11="raty malejące",MIN(BZ301/($F$4-BU301+SUM($BV$28:BV301)-SUM($CB$28:CB301)),BZ301),MIN(BW302-BY302,BZ301)),"")</f>
        <v/>
      </c>
      <c r="BY302" s="78" t="str">
        <f t="shared" si="245"/>
        <v/>
      </c>
      <c r="BZ302" s="79" t="str">
        <f t="shared" si="292"/>
        <v/>
      </c>
      <c r="CA302" s="11"/>
      <c r="CB302" s="33"/>
      <c r="CC302" s="33" t="str">
        <f t="shared" si="291"/>
        <v/>
      </c>
      <c r="CD302" s="33" t="str">
        <f t="shared" si="297"/>
        <v/>
      </c>
      <c r="CE302" s="33" t="str">
        <f>IF(O302&lt;&gt;"",CD302-SUM($CC$44:CC302),"")</f>
        <v/>
      </c>
      <c r="CF302" s="11" t="str">
        <f t="shared" si="246"/>
        <v/>
      </c>
      <c r="CG302" s="11" t="str">
        <f>IF(BU302&lt;&gt;"",IF($B$16=listy!$K$8,'RZĄDOWY PROGRAM'!$F$3*'RZĄDOWY PROGRAM'!$F$15,BZ301*$F$15),"")</f>
        <v/>
      </c>
      <c r="CH302" s="11" t="str">
        <f t="shared" si="247"/>
        <v/>
      </c>
      <c r="CJ302" s="48" t="str">
        <f t="shared" si="278"/>
        <v/>
      </c>
      <c r="CK302" s="18" t="str">
        <f t="shared" si="279"/>
        <v/>
      </c>
      <c r="CL302" s="11" t="str">
        <f t="shared" si="293"/>
        <v/>
      </c>
      <c r="CM302" s="11" t="str">
        <f t="shared" si="280"/>
        <v/>
      </c>
      <c r="CN302" s="11" t="str">
        <f>IF(AB302&lt;&gt;"",CM302-SUM($CL$28:CL302),"")</f>
        <v/>
      </c>
    </row>
    <row r="303" spans="1:92" x14ac:dyDescent="0.45">
      <c r="A303" s="68" t="str">
        <f t="shared" si="252"/>
        <v/>
      </c>
      <c r="B303" s="8" t="str">
        <f t="shared" si="273"/>
        <v/>
      </c>
      <c r="C303" s="11" t="str">
        <f t="shared" si="274"/>
        <v/>
      </c>
      <c r="D303" s="11" t="str">
        <f t="shared" si="275"/>
        <v/>
      </c>
      <c r="E303" s="11" t="str">
        <f t="shared" si="253"/>
        <v/>
      </c>
      <c r="F303" s="9" t="str">
        <f t="shared" si="254"/>
        <v/>
      </c>
      <c r="G303" s="10" t="str">
        <f t="shared" si="255"/>
        <v/>
      </c>
      <c r="H303" s="10" t="str">
        <f t="shared" si="256"/>
        <v/>
      </c>
      <c r="I303" s="48" t="str">
        <f t="shared" si="281"/>
        <v/>
      </c>
      <c r="J303" s="11" t="str">
        <f t="shared" si="276"/>
        <v/>
      </c>
      <c r="K303" s="11" t="str">
        <f>IF(B303&lt;&gt;"",IF($B$16=listy!$K$8,'RZĄDOWY PROGRAM'!$F$3*'RZĄDOWY PROGRAM'!$F$15,F302*$F$15),"")</f>
        <v/>
      </c>
      <c r="L303" s="11" t="str">
        <f t="shared" si="257"/>
        <v/>
      </c>
      <c r="N303" s="54" t="str">
        <f t="shared" si="260"/>
        <v/>
      </c>
      <c r="O303" s="8" t="str">
        <f t="shared" si="282"/>
        <v/>
      </c>
      <c r="P303" s="8"/>
      <c r="Q303" s="11" t="str">
        <f>IF(O303&lt;&gt;"",ROUND(IF($F$11="raty równe",-PMT(W303/12,$F$4-O302+SUM($P$28:P303),T302,2),R303+S303),2),"")</f>
        <v/>
      </c>
      <c r="R303" s="11" t="str">
        <f>IF(O303&lt;&gt;"",IF($F$11="raty malejące",T302/($F$4-O302+SUM($P$28:P303)),IF(Q303-S303&gt;T302,T302,Q303-S303)),"")</f>
        <v/>
      </c>
      <c r="S303" s="11" t="str">
        <f t="shared" si="261"/>
        <v/>
      </c>
      <c r="T303" s="9" t="str">
        <f t="shared" si="262"/>
        <v/>
      </c>
      <c r="U303" s="10" t="str">
        <f t="shared" si="263"/>
        <v/>
      </c>
      <c r="V303" s="10" t="str">
        <f t="shared" si="264"/>
        <v/>
      </c>
      <c r="W303" s="48" t="str">
        <f t="shared" si="283"/>
        <v/>
      </c>
      <c r="X303" s="11" t="str">
        <f t="shared" si="265"/>
        <v/>
      </c>
      <c r="Y303" s="11" t="str">
        <f>IF(O303&lt;&gt;"",IF($B$16=listy!$K$8,'RZĄDOWY PROGRAM'!$F$3*'RZĄDOWY PROGRAM'!$F$15,T302*$F$15),"")</f>
        <v/>
      </c>
      <c r="Z303" s="11" t="str">
        <f t="shared" si="266"/>
        <v/>
      </c>
      <c r="AB303" s="8" t="str">
        <f t="shared" si="267"/>
        <v/>
      </c>
      <c r="AC303" s="8"/>
      <c r="AD303" s="11" t="str">
        <f>IF(AB303&lt;&gt;"",ROUND(IF($F$11="raty równe",-PMT(W303/12,$F$4-AB302+SUM($AC$28:AC303),AG302,2),AE303+AF303),2),"")</f>
        <v/>
      </c>
      <c r="AE303" s="11" t="str">
        <f>IF(AB303&lt;&gt;"",IF($F$11="raty malejące",AG302/($F$4-AB302+SUM($AC$28:AC302)),MIN(AD303-AF303,AG302)),"")</f>
        <v/>
      </c>
      <c r="AF303" s="11" t="str">
        <f t="shared" si="268"/>
        <v/>
      </c>
      <c r="AG303" s="9" t="str">
        <f t="shared" si="269"/>
        <v/>
      </c>
      <c r="AH303" s="11"/>
      <c r="AI303" s="33" t="str">
        <f>IF(AB303&lt;&gt;"",ROUND(IF($F$11="raty równe",-PMT(W303/12,($F$4-AB302+SUM($AC$27:AC302)),AG302,2),AG302/($F$4-AB302+SUM($AC$27:AC302))+AG302*W303/12),2),"")</f>
        <v/>
      </c>
      <c r="AJ303" s="33" t="str">
        <f t="shared" si="270"/>
        <v/>
      </c>
      <c r="AK303" s="33" t="str">
        <f t="shared" si="277"/>
        <v/>
      </c>
      <c r="AL303" s="33" t="str">
        <f>IF(AB303&lt;&gt;"",AK303-SUM($AJ$28:AJ303),"")</f>
        <v/>
      </c>
      <c r="AM303" s="11" t="str">
        <f t="shared" si="271"/>
        <v/>
      </c>
      <c r="AN303" s="11" t="str">
        <f>IF(AB303&lt;&gt;"",IF($B$16=listy!$K$8,'RZĄDOWY PROGRAM'!$F$3*'RZĄDOWY PROGRAM'!$F$15,AG302*$F$15),"")</f>
        <v/>
      </c>
      <c r="AO303" s="11" t="str">
        <f t="shared" si="272"/>
        <v/>
      </c>
      <c r="AQ303" s="8" t="str">
        <f t="shared" si="284"/>
        <v/>
      </c>
      <c r="AR303" s="8"/>
      <c r="AS303" s="78" t="str">
        <f>IF(AQ303&lt;&gt;"",ROUND(IF($F$11="raty równe",-PMT(W303/12,$F$4-AQ302+SUM($AR$28:AR303),AV302,2),AT303+AU303),2),"")</f>
        <v/>
      </c>
      <c r="AT303" s="78" t="str">
        <f>IF(AQ303&lt;&gt;"",IF($F$11="raty malejące",AV302/($F$4-AQ302+SUM($AR$28:AR302)),MIN(AS303-AU303,AV302)),"")</f>
        <v/>
      </c>
      <c r="AU303" s="78" t="str">
        <f t="shared" si="285"/>
        <v/>
      </c>
      <c r="AV303" s="79" t="str">
        <f t="shared" si="286"/>
        <v/>
      </c>
      <c r="AW303" s="11"/>
      <c r="AX303" s="33" t="str">
        <f>IF(AQ303&lt;&gt;"",ROUND(IF($F$11="raty równe",-PMT(W303/12,($F$4-AQ302+SUM($AR$27:AR302)),AV302,2),AV302/($F$4-AQ302+SUM($AR$27:AR302))+AV302*W303/12),2),"")</f>
        <v/>
      </c>
      <c r="AY303" s="33" t="str">
        <f t="shared" si="287"/>
        <v/>
      </c>
      <c r="AZ303" s="33" t="str">
        <f t="shared" si="294"/>
        <v/>
      </c>
      <c r="BA303" s="33" t="str">
        <f>IF(AQ303&lt;&gt;"",AZ303-SUM($AY$44:AY303),"")</f>
        <v/>
      </c>
      <c r="BB303" s="11" t="str">
        <f t="shared" si="288"/>
        <v/>
      </c>
      <c r="BC303" s="11" t="str">
        <f>IF(AQ303&lt;&gt;"",IF($B$16=listy!$K$8,'RZĄDOWY PROGRAM'!$F$3*'RZĄDOWY PROGRAM'!$F$15,AV302*$F$15),"")</f>
        <v/>
      </c>
      <c r="BD303" s="11" t="str">
        <f t="shared" si="289"/>
        <v/>
      </c>
      <c r="BF303" s="8" t="str">
        <f t="shared" ref="BF303:BF366" si="298">IFERROR(IF(BK302&lt;&gt;0,BF302+1,""),"")</f>
        <v/>
      </c>
      <c r="BG303" s="8"/>
      <c r="BH303" s="78" t="str">
        <f>IF(BF303&lt;&gt;"",ROUND(IF($F$11="raty równe",-PMT(W303/12,$F$4-BF302+SUM(BV$28:$BV303)-SUM($BM$29:BM303),BK302,2),BI303+BJ303),2),"")</f>
        <v/>
      </c>
      <c r="BI303" s="78" t="str">
        <f>IF(BF303&lt;&gt;"",IF($F$11="raty malejące",MIN(BK302/($F$4-BF302+SUM($BG$27:BG303)-SUM($BM$27:BM303)),BK302),MIN(BH303-BJ303,BK302)),"")</f>
        <v/>
      </c>
      <c r="BJ303" s="78" t="str">
        <f t="shared" ref="BJ303:BJ366" si="299">IF(BF303&lt;&gt;"",BK302*W303/12,"")</f>
        <v/>
      </c>
      <c r="BK303" s="79" t="str">
        <f t="shared" ref="BK303:BK366" si="300">IF(BF303&lt;&gt;"",IF(B303&lt;&gt;"",BK302-BI303-BL303,BK302-BI303),"")</f>
        <v/>
      </c>
      <c r="BL303" s="11"/>
      <c r="BM303" s="33"/>
      <c r="BN303" s="33" t="str">
        <f t="shared" si="295"/>
        <v/>
      </c>
      <c r="BO303" s="33" t="str">
        <f t="shared" si="296"/>
        <v/>
      </c>
      <c r="BP303" s="33" t="str">
        <f>IF(O303&lt;&gt;"",BO303-SUM($BN$44:BN303),"")</f>
        <v/>
      </c>
      <c r="BQ303" s="11" t="str">
        <f t="shared" ref="BQ303:BQ366" si="301">IF(BF303&lt;&gt;"",$F$14,"")</f>
        <v/>
      </c>
      <c r="BR303" s="11" t="str">
        <f>IF(BF303&lt;&gt;"",IF($B$16=listy!$K$8,'RZĄDOWY PROGRAM'!$F$3*'RZĄDOWY PROGRAM'!$F$15,BK302*$F$15),"")</f>
        <v/>
      </c>
      <c r="BS303" s="11" t="str">
        <f t="shared" ref="BS303:BS366" si="302">IF(BH303&lt;&gt;"",BQ303+BR303,"")</f>
        <v/>
      </c>
      <c r="BU303" s="8" t="str">
        <f t="shared" si="290"/>
        <v/>
      </c>
      <c r="BV303" s="8"/>
      <c r="BW303" s="78" t="str">
        <f>IF(BU303&lt;&gt;"",ROUND(IF($F$11="raty równe",-PMT(W303/12,$F$4-BU302+SUM($BV$28:BV303)-$CB$43,BZ302,2),BX303+BY303),2),"")</f>
        <v/>
      </c>
      <c r="BX303" s="78" t="str">
        <f>IF(BU303&lt;&gt;"",IF($F$11="raty malejące",MIN(BZ302/($F$4-BU302+SUM($BV$28:BV302)-SUM($CB$28:CB302)),BZ302),MIN(BW303-BY303,BZ302)),"")</f>
        <v/>
      </c>
      <c r="BY303" s="78" t="str">
        <f t="shared" si="245"/>
        <v/>
      </c>
      <c r="BZ303" s="79" t="str">
        <f t="shared" si="292"/>
        <v/>
      </c>
      <c r="CA303" s="11"/>
      <c r="CB303" s="33"/>
      <c r="CC303" s="33" t="str">
        <f t="shared" si="291"/>
        <v/>
      </c>
      <c r="CD303" s="33" t="str">
        <f t="shared" si="297"/>
        <v/>
      </c>
      <c r="CE303" s="33" t="str">
        <f>IF(O303&lt;&gt;"",CD303-SUM($CC$44:CC303),"")</f>
        <v/>
      </c>
      <c r="CF303" s="11" t="str">
        <f t="shared" si="246"/>
        <v/>
      </c>
      <c r="CG303" s="11" t="str">
        <f>IF(BU303&lt;&gt;"",IF($B$16=listy!$K$8,'RZĄDOWY PROGRAM'!$F$3*'RZĄDOWY PROGRAM'!$F$15,BZ302*$F$15),"")</f>
        <v/>
      </c>
      <c r="CH303" s="11" t="str">
        <f t="shared" si="247"/>
        <v/>
      </c>
      <c r="CJ303" s="48" t="str">
        <f t="shared" si="278"/>
        <v/>
      </c>
      <c r="CK303" s="18" t="str">
        <f t="shared" si="279"/>
        <v/>
      </c>
      <c r="CL303" s="11" t="str">
        <f t="shared" si="293"/>
        <v/>
      </c>
      <c r="CM303" s="11" t="str">
        <f t="shared" si="280"/>
        <v/>
      </c>
      <c r="CN303" s="11" t="str">
        <f>IF(AB303&lt;&gt;"",CM303-SUM($CL$28:CL303),"")</f>
        <v/>
      </c>
    </row>
    <row r="304" spans="1:92" x14ac:dyDescent="0.45">
      <c r="A304" s="68" t="str">
        <f t="shared" si="252"/>
        <v/>
      </c>
      <c r="B304" s="8" t="str">
        <f t="shared" si="273"/>
        <v/>
      </c>
      <c r="C304" s="11" t="str">
        <f t="shared" si="274"/>
        <v/>
      </c>
      <c r="D304" s="11" t="str">
        <f t="shared" si="275"/>
        <v/>
      </c>
      <c r="E304" s="11" t="str">
        <f t="shared" si="253"/>
        <v/>
      </c>
      <c r="F304" s="9" t="str">
        <f t="shared" si="254"/>
        <v/>
      </c>
      <c r="G304" s="10" t="str">
        <f t="shared" si="255"/>
        <v/>
      </c>
      <c r="H304" s="10" t="str">
        <f t="shared" si="256"/>
        <v/>
      </c>
      <c r="I304" s="48" t="str">
        <f t="shared" si="281"/>
        <v/>
      </c>
      <c r="J304" s="11" t="str">
        <f t="shared" si="276"/>
        <v/>
      </c>
      <c r="K304" s="11" t="str">
        <f>IF(B304&lt;&gt;"",IF($B$16=listy!$K$8,'RZĄDOWY PROGRAM'!$F$3*'RZĄDOWY PROGRAM'!$F$15,F303*$F$15),"")</f>
        <v/>
      </c>
      <c r="L304" s="11" t="str">
        <f t="shared" si="257"/>
        <v/>
      </c>
      <c r="N304" s="54" t="str">
        <f t="shared" si="260"/>
        <v/>
      </c>
      <c r="O304" s="8" t="str">
        <f t="shared" si="282"/>
        <v/>
      </c>
      <c r="P304" s="8"/>
      <c r="Q304" s="11" t="str">
        <f>IF(O304&lt;&gt;"",ROUND(IF($F$11="raty równe",-PMT(W304/12,$F$4-O303+SUM($P$28:P304),T303,2),R304+S304),2),"")</f>
        <v/>
      </c>
      <c r="R304" s="11" t="str">
        <f>IF(O304&lt;&gt;"",IF($F$11="raty malejące",T303/($F$4-O303+SUM($P$28:P304)),IF(Q304-S304&gt;T303,T303,Q304-S304)),"")</f>
        <v/>
      </c>
      <c r="S304" s="11" t="str">
        <f t="shared" si="261"/>
        <v/>
      </c>
      <c r="T304" s="9" t="str">
        <f t="shared" si="262"/>
        <v/>
      </c>
      <c r="U304" s="10" t="str">
        <f t="shared" si="263"/>
        <v/>
      </c>
      <c r="V304" s="10" t="str">
        <f t="shared" si="264"/>
        <v/>
      </c>
      <c r="W304" s="48" t="str">
        <f t="shared" si="283"/>
        <v/>
      </c>
      <c r="X304" s="11" t="str">
        <f t="shared" si="265"/>
        <v/>
      </c>
      <c r="Y304" s="11" t="str">
        <f>IF(O304&lt;&gt;"",IF($B$16=listy!$K$8,'RZĄDOWY PROGRAM'!$F$3*'RZĄDOWY PROGRAM'!$F$15,T303*$F$15),"")</f>
        <v/>
      </c>
      <c r="Z304" s="11" t="str">
        <f t="shared" si="266"/>
        <v/>
      </c>
      <c r="AB304" s="8" t="str">
        <f t="shared" si="267"/>
        <v/>
      </c>
      <c r="AC304" s="8"/>
      <c r="AD304" s="11" t="str">
        <f>IF(AB304&lt;&gt;"",ROUND(IF($F$11="raty równe",-PMT(W304/12,$F$4-AB303+SUM($AC$28:AC304),AG303,2),AE304+AF304),2),"")</f>
        <v/>
      </c>
      <c r="AE304" s="11" t="str">
        <f>IF(AB304&lt;&gt;"",IF($F$11="raty malejące",AG303/($F$4-AB303+SUM($AC$28:AC303)),MIN(AD304-AF304,AG303)),"")</f>
        <v/>
      </c>
      <c r="AF304" s="11" t="str">
        <f t="shared" si="268"/>
        <v/>
      </c>
      <c r="AG304" s="9" t="str">
        <f t="shared" si="269"/>
        <v/>
      </c>
      <c r="AH304" s="11"/>
      <c r="AI304" s="33" t="str">
        <f>IF(AB304&lt;&gt;"",ROUND(IF($F$11="raty równe",-PMT(W304/12,($F$4-AB303+SUM($AC$27:AC303)),AG303,2),AG303/($F$4-AB303+SUM($AC$27:AC303))+AG303*W304/12),2),"")</f>
        <v/>
      </c>
      <c r="AJ304" s="33" t="str">
        <f t="shared" si="270"/>
        <v/>
      </c>
      <c r="AK304" s="33" t="str">
        <f t="shared" si="277"/>
        <v/>
      </c>
      <c r="AL304" s="33" t="str">
        <f>IF(AB304&lt;&gt;"",AK304-SUM($AJ$28:AJ304),"")</f>
        <v/>
      </c>
      <c r="AM304" s="11" t="str">
        <f t="shared" si="271"/>
        <v/>
      </c>
      <c r="AN304" s="11" t="str">
        <f>IF(AB304&lt;&gt;"",IF($B$16=listy!$K$8,'RZĄDOWY PROGRAM'!$F$3*'RZĄDOWY PROGRAM'!$F$15,AG303*$F$15),"")</f>
        <v/>
      </c>
      <c r="AO304" s="11" t="str">
        <f t="shared" si="272"/>
        <v/>
      </c>
      <c r="AQ304" s="8" t="str">
        <f t="shared" si="284"/>
        <v/>
      </c>
      <c r="AR304" s="8"/>
      <c r="AS304" s="78" t="str">
        <f>IF(AQ304&lt;&gt;"",ROUND(IF($F$11="raty równe",-PMT(W304/12,$F$4-AQ303+SUM($AR$28:AR304),AV303,2),AT304+AU304),2),"")</f>
        <v/>
      </c>
      <c r="AT304" s="78" t="str">
        <f>IF(AQ304&lt;&gt;"",IF($F$11="raty malejące",AV303/($F$4-AQ303+SUM($AR$28:AR303)),MIN(AS304-AU304,AV303)),"")</f>
        <v/>
      </c>
      <c r="AU304" s="78" t="str">
        <f t="shared" si="285"/>
        <v/>
      </c>
      <c r="AV304" s="79" t="str">
        <f t="shared" si="286"/>
        <v/>
      </c>
      <c r="AW304" s="11"/>
      <c r="AX304" s="33" t="str">
        <f>IF(AQ304&lt;&gt;"",ROUND(IF($F$11="raty równe",-PMT(W304/12,($F$4-AQ303+SUM($AR$27:AR303)),AV303,2),AV303/($F$4-AQ303+SUM($AR$27:AR303))+AV303*W304/12),2),"")</f>
        <v/>
      </c>
      <c r="AY304" s="33" t="str">
        <f t="shared" si="287"/>
        <v/>
      </c>
      <c r="AZ304" s="33" t="str">
        <f t="shared" si="294"/>
        <v/>
      </c>
      <c r="BA304" s="33" t="str">
        <f>IF(AQ304&lt;&gt;"",AZ304-SUM($AY$44:AY304),"")</f>
        <v/>
      </c>
      <c r="BB304" s="11" t="str">
        <f t="shared" si="288"/>
        <v/>
      </c>
      <c r="BC304" s="11" t="str">
        <f>IF(AQ304&lt;&gt;"",IF($B$16=listy!$K$8,'RZĄDOWY PROGRAM'!$F$3*'RZĄDOWY PROGRAM'!$F$15,AV303*$F$15),"")</f>
        <v/>
      </c>
      <c r="BD304" s="11" t="str">
        <f t="shared" si="289"/>
        <v/>
      </c>
      <c r="BF304" s="8" t="str">
        <f t="shared" si="298"/>
        <v/>
      </c>
      <c r="BG304" s="8"/>
      <c r="BH304" s="78" t="str">
        <f>IF(BF304&lt;&gt;"",ROUND(IF($F$11="raty równe",-PMT(W304/12,$F$4-BF303+SUM(BV$28:$BV304)-SUM($BM$29:BM304),BK303,2),BI304+BJ304),2),"")</f>
        <v/>
      </c>
      <c r="BI304" s="78" t="str">
        <f>IF(BF304&lt;&gt;"",IF($F$11="raty malejące",MIN(BK303/($F$4-BF303+SUM($BG$27:BG304)-SUM($BM$27:BM304)),BK303),MIN(BH304-BJ304,BK303)),"")</f>
        <v/>
      </c>
      <c r="BJ304" s="78" t="str">
        <f t="shared" si="299"/>
        <v/>
      </c>
      <c r="BK304" s="79" t="str">
        <f t="shared" si="300"/>
        <v/>
      </c>
      <c r="BL304" s="11"/>
      <c r="BM304" s="33"/>
      <c r="BN304" s="33" t="str">
        <f t="shared" si="295"/>
        <v/>
      </c>
      <c r="BO304" s="33" t="str">
        <f t="shared" si="296"/>
        <v/>
      </c>
      <c r="BP304" s="33" t="str">
        <f>IF(O304&lt;&gt;"",BO304-SUM($BN$44:BN304),"")</f>
        <v/>
      </c>
      <c r="BQ304" s="11" t="str">
        <f t="shared" si="301"/>
        <v/>
      </c>
      <c r="BR304" s="11" t="str">
        <f>IF(BF304&lt;&gt;"",IF($B$16=listy!$K$8,'RZĄDOWY PROGRAM'!$F$3*'RZĄDOWY PROGRAM'!$F$15,BK303*$F$15),"")</f>
        <v/>
      </c>
      <c r="BS304" s="11" t="str">
        <f t="shared" si="302"/>
        <v/>
      </c>
      <c r="BU304" s="8" t="str">
        <f t="shared" si="290"/>
        <v/>
      </c>
      <c r="BV304" s="8"/>
      <c r="BW304" s="78" t="str">
        <f>IF(BU304&lt;&gt;"",ROUND(IF($F$11="raty równe",-PMT(W304/12,$F$4-BU303+SUM($BV$28:BV304)-$CB$43,BZ303,2),BX304+BY304),2),"")</f>
        <v/>
      </c>
      <c r="BX304" s="78" t="str">
        <f>IF(BU304&lt;&gt;"",IF($F$11="raty malejące",MIN(BZ303/($F$4-BU303+SUM($BV$28:BV303)-SUM($CB$28:CB303)),BZ303),MIN(BW304-BY304,BZ303)),"")</f>
        <v/>
      </c>
      <c r="BY304" s="78" t="str">
        <f t="shared" si="245"/>
        <v/>
      </c>
      <c r="BZ304" s="79" t="str">
        <f t="shared" si="292"/>
        <v/>
      </c>
      <c r="CA304" s="11"/>
      <c r="CB304" s="33"/>
      <c r="CC304" s="33" t="str">
        <f t="shared" si="291"/>
        <v/>
      </c>
      <c r="CD304" s="33" t="str">
        <f t="shared" si="297"/>
        <v/>
      </c>
      <c r="CE304" s="33" t="str">
        <f>IF(O304&lt;&gt;"",CD304-SUM($CC$44:CC304),"")</f>
        <v/>
      </c>
      <c r="CF304" s="11" t="str">
        <f t="shared" si="246"/>
        <v/>
      </c>
      <c r="CG304" s="11" t="str">
        <f>IF(BU304&lt;&gt;"",IF($B$16=listy!$K$8,'RZĄDOWY PROGRAM'!$F$3*'RZĄDOWY PROGRAM'!$F$15,BZ303*$F$15),"")</f>
        <v/>
      </c>
      <c r="CH304" s="11" t="str">
        <f t="shared" si="247"/>
        <v/>
      </c>
      <c r="CJ304" s="48" t="str">
        <f t="shared" si="278"/>
        <v/>
      </c>
      <c r="CK304" s="18" t="str">
        <f t="shared" si="279"/>
        <v/>
      </c>
      <c r="CL304" s="11" t="str">
        <f t="shared" si="293"/>
        <v/>
      </c>
      <c r="CM304" s="11" t="str">
        <f t="shared" si="280"/>
        <v/>
      </c>
      <c r="CN304" s="11" t="str">
        <f>IF(AB304&lt;&gt;"",CM304-SUM($CL$28:CL304),"")</f>
        <v/>
      </c>
    </row>
    <row r="305" spans="1:92" x14ac:dyDescent="0.45">
      <c r="A305" s="68" t="str">
        <f t="shared" si="252"/>
        <v/>
      </c>
      <c r="B305" s="8" t="str">
        <f t="shared" si="273"/>
        <v/>
      </c>
      <c r="C305" s="11" t="str">
        <f t="shared" si="274"/>
        <v/>
      </c>
      <c r="D305" s="11" t="str">
        <f t="shared" si="275"/>
        <v/>
      </c>
      <c r="E305" s="11" t="str">
        <f t="shared" si="253"/>
        <v/>
      </c>
      <c r="F305" s="9" t="str">
        <f t="shared" si="254"/>
        <v/>
      </c>
      <c r="G305" s="10" t="str">
        <f t="shared" si="255"/>
        <v/>
      </c>
      <c r="H305" s="10" t="str">
        <f t="shared" si="256"/>
        <v/>
      </c>
      <c r="I305" s="48" t="str">
        <f t="shared" si="281"/>
        <v/>
      </c>
      <c r="J305" s="11" t="str">
        <f t="shared" si="276"/>
        <v/>
      </c>
      <c r="K305" s="11" t="str">
        <f>IF(B305&lt;&gt;"",IF($B$16=listy!$K$8,'RZĄDOWY PROGRAM'!$F$3*'RZĄDOWY PROGRAM'!$F$15,F304*$F$15),"")</f>
        <v/>
      </c>
      <c r="L305" s="11" t="str">
        <f t="shared" si="257"/>
        <v/>
      </c>
      <c r="N305" s="54" t="str">
        <f t="shared" si="260"/>
        <v/>
      </c>
      <c r="O305" s="8" t="str">
        <f t="shared" si="282"/>
        <v/>
      </c>
      <c r="P305" s="8"/>
      <c r="Q305" s="11" t="str">
        <f>IF(O305&lt;&gt;"",ROUND(IF($F$11="raty równe",-PMT(W305/12,$F$4-O304+SUM($P$28:P305),T304,2),R305+S305),2),"")</f>
        <v/>
      </c>
      <c r="R305" s="11" t="str">
        <f>IF(O305&lt;&gt;"",IF($F$11="raty malejące",T304/($F$4-O304+SUM($P$28:P305)),IF(Q305-S305&gt;T304,T304,Q305-S305)),"")</f>
        <v/>
      </c>
      <c r="S305" s="11" t="str">
        <f t="shared" si="261"/>
        <v/>
      </c>
      <c r="T305" s="9" t="str">
        <f t="shared" si="262"/>
        <v/>
      </c>
      <c r="U305" s="10" t="str">
        <f t="shared" si="263"/>
        <v/>
      </c>
      <c r="V305" s="10" t="str">
        <f t="shared" si="264"/>
        <v/>
      </c>
      <c r="W305" s="48" t="str">
        <f t="shared" si="283"/>
        <v/>
      </c>
      <c r="X305" s="11" t="str">
        <f t="shared" si="265"/>
        <v/>
      </c>
      <c r="Y305" s="11" t="str">
        <f>IF(O305&lt;&gt;"",IF($B$16=listy!$K$8,'RZĄDOWY PROGRAM'!$F$3*'RZĄDOWY PROGRAM'!$F$15,T304*$F$15),"")</f>
        <v/>
      </c>
      <c r="Z305" s="11" t="str">
        <f t="shared" si="266"/>
        <v/>
      </c>
      <c r="AB305" s="8" t="str">
        <f t="shared" si="267"/>
        <v/>
      </c>
      <c r="AC305" s="8"/>
      <c r="AD305" s="11" t="str">
        <f>IF(AB305&lt;&gt;"",ROUND(IF($F$11="raty równe",-PMT(W305/12,$F$4-AB304+SUM($AC$28:AC305),AG304,2),AE305+AF305),2),"")</f>
        <v/>
      </c>
      <c r="AE305" s="11" t="str">
        <f>IF(AB305&lt;&gt;"",IF($F$11="raty malejące",AG304/($F$4-AB304+SUM($AC$28:AC304)),MIN(AD305-AF305,AG304)),"")</f>
        <v/>
      </c>
      <c r="AF305" s="11" t="str">
        <f t="shared" si="268"/>
        <v/>
      </c>
      <c r="AG305" s="9" t="str">
        <f t="shared" si="269"/>
        <v/>
      </c>
      <c r="AH305" s="11"/>
      <c r="AI305" s="33" t="str">
        <f>IF(AB305&lt;&gt;"",ROUND(IF($F$11="raty równe",-PMT(W305/12,($F$4-AB304+SUM($AC$27:AC304)),AG304,2),AG304/($F$4-AB304+SUM($AC$27:AC304))+AG304*W305/12),2),"")</f>
        <v/>
      </c>
      <c r="AJ305" s="33" t="str">
        <f t="shared" si="270"/>
        <v/>
      </c>
      <c r="AK305" s="33" t="str">
        <f t="shared" si="277"/>
        <v/>
      </c>
      <c r="AL305" s="33" t="str">
        <f>IF(AB305&lt;&gt;"",AK305-SUM($AJ$28:AJ305),"")</f>
        <v/>
      </c>
      <c r="AM305" s="11" t="str">
        <f t="shared" si="271"/>
        <v/>
      </c>
      <c r="AN305" s="11" t="str">
        <f>IF(AB305&lt;&gt;"",IF($B$16=listy!$K$8,'RZĄDOWY PROGRAM'!$F$3*'RZĄDOWY PROGRAM'!$F$15,AG304*$F$15),"")</f>
        <v/>
      </c>
      <c r="AO305" s="11" t="str">
        <f t="shared" si="272"/>
        <v/>
      </c>
      <c r="AQ305" s="8" t="str">
        <f t="shared" si="284"/>
        <v/>
      </c>
      <c r="AR305" s="8"/>
      <c r="AS305" s="78" t="str">
        <f>IF(AQ305&lt;&gt;"",ROUND(IF($F$11="raty równe",-PMT(W305/12,$F$4-AQ304+SUM($AR$28:AR305),AV304,2),AT305+AU305),2),"")</f>
        <v/>
      </c>
      <c r="AT305" s="78" t="str">
        <f>IF(AQ305&lt;&gt;"",IF($F$11="raty malejące",AV304/($F$4-AQ304+SUM($AR$28:AR304)),MIN(AS305-AU305,AV304)),"")</f>
        <v/>
      </c>
      <c r="AU305" s="78" t="str">
        <f t="shared" si="285"/>
        <v/>
      </c>
      <c r="AV305" s="79" t="str">
        <f t="shared" si="286"/>
        <v/>
      </c>
      <c r="AW305" s="11"/>
      <c r="AX305" s="33" t="str">
        <f>IF(AQ305&lt;&gt;"",ROUND(IF($F$11="raty równe",-PMT(W305/12,($F$4-AQ304+SUM($AR$27:AR304)),AV304,2),AV304/($F$4-AQ304+SUM($AR$27:AR304))+AV304*W305/12),2),"")</f>
        <v/>
      </c>
      <c r="AY305" s="33" t="str">
        <f t="shared" si="287"/>
        <v/>
      </c>
      <c r="AZ305" s="33" t="str">
        <f t="shared" si="294"/>
        <v/>
      </c>
      <c r="BA305" s="33" t="str">
        <f>IF(AQ305&lt;&gt;"",AZ305-SUM($AY$44:AY305),"")</f>
        <v/>
      </c>
      <c r="BB305" s="11" t="str">
        <f t="shared" si="288"/>
        <v/>
      </c>
      <c r="BC305" s="11" t="str">
        <f>IF(AQ305&lt;&gt;"",IF($B$16=listy!$K$8,'RZĄDOWY PROGRAM'!$F$3*'RZĄDOWY PROGRAM'!$F$15,AV304*$F$15),"")</f>
        <v/>
      </c>
      <c r="BD305" s="11" t="str">
        <f t="shared" si="289"/>
        <v/>
      </c>
      <c r="BF305" s="8" t="str">
        <f t="shared" si="298"/>
        <v/>
      </c>
      <c r="BG305" s="8"/>
      <c r="BH305" s="78" t="str">
        <f>IF(BF305&lt;&gt;"",ROUND(IF($F$11="raty równe",-PMT(W305/12,$F$4-BF304+SUM(BV$28:$BV305)-SUM($BM$29:BM305),BK304,2),BI305+BJ305),2),"")</f>
        <v/>
      </c>
      <c r="BI305" s="78" t="str">
        <f>IF(BF305&lt;&gt;"",IF($F$11="raty malejące",MIN(BK304/($F$4-BF304+SUM($BG$27:BG305)-SUM($BM$27:BM305)),BK304),MIN(BH305-BJ305,BK304)),"")</f>
        <v/>
      </c>
      <c r="BJ305" s="78" t="str">
        <f t="shared" si="299"/>
        <v/>
      </c>
      <c r="BK305" s="79" t="str">
        <f t="shared" si="300"/>
        <v/>
      </c>
      <c r="BL305" s="11"/>
      <c r="BM305" s="33"/>
      <c r="BN305" s="33" t="str">
        <f t="shared" si="295"/>
        <v/>
      </c>
      <c r="BO305" s="33" t="str">
        <f t="shared" si="296"/>
        <v/>
      </c>
      <c r="BP305" s="33" t="str">
        <f>IF(O305&lt;&gt;"",BO305-SUM($BN$44:BN305),"")</f>
        <v/>
      </c>
      <c r="BQ305" s="11" t="str">
        <f t="shared" si="301"/>
        <v/>
      </c>
      <c r="BR305" s="11" t="str">
        <f>IF(BF305&lt;&gt;"",IF($B$16=listy!$K$8,'RZĄDOWY PROGRAM'!$F$3*'RZĄDOWY PROGRAM'!$F$15,BK304*$F$15),"")</f>
        <v/>
      </c>
      <c r="BS305" s="11" t="str">
        <f t="shared" si="302"/>
        <v/>
      </c>
      <c r="BU305" s="8" t="str">
        <f t="shared" si="290"/>
        <v/>
      </c>
      <c r="BV305" s="8"/>
      <c r="BW305" s="78" t="str">
        <f>IF(BU305&lt;&gt;"",ROUND(IF($F$11="raty równe",-PMT(W305/12,$F$4-BU304+SUM($BV$28:BV305)-$CB$43,BZ304,2),BX305+BY305),2),"")</f>
        <v/>
      </c>
      <c r="BX305" s="78" t="str">
        <f>IF(BU305&lt;&gt;"",IF($F$11="raty malejące",MIN(BZ304/($F$4-BU304+SUM($BV$28:BV304)-SUM($CB$28:CB304)),BZ304),MIN(BW305-BY305,BZ304)),"")</f>
        <v/>
      </c>
      <c r="BY305" s="78" t="str">
        <f t="shared" ref="BY305:BY368" si="303">IF(BU305&lt;&gt;"",BZ304*W305/12,"")</f>
        <v/>
      </c>
      <c r="BZ305" s="79" t="str">
        <f t="shared" si="292"/>
        <v/>
      </c>
      <c r="CA305" s="11"/>
      <c r="CB305" s="33"/>
      <c r="CC305" s="33" t="str">
        <f t="shared" si="291"/>
        <v/>
      </c>
      <c r="CD305" s="33" t="str">
        <f t="shared" si="297"/>
        <v/>
      </c>
      <c r="CE305" s="33" t="str">
        <f>IF(O305&lt;&gt;"",CD305-SUM($CC$44:CC305),"")</f>
        <v/>
      </c>
      <c r="CF305" s="11" t="str">
        <f t="shared" ref="CF305:CF368" si="304">IF(BU305&lt;&gt;"",$F$14,"")</f>
        <v/>
      </c>
      <c r="CG305" s="11" t="str">
        <f>IF(BU305&lt;&gt;"",IF($B$16=listy!$K$8,'RZĄDOWY PROGRAM'!$F$3*'RZĄDOWY PROGRAM'!$F$15,BZ304*$F$15),"")</f>
        <v/>
      </c>
      <c r="CH305" s="11" t="str">
        <f t="shared" ref="CH305:CH368" si="305">IF(BW305&lt;&gt;"",CF305+CG305,"")</f>
        <v/>
      </c>
      <c r="CJ305" s="48" t="str">
        <f t="shared" si="278"/>
        <v/>
      </c>
      <c r="CK305" s="18" t="str">
        <f t="shared" si="279"/>
        <v/>
      </c>
      <c r="CL305" s="11" t="str">
        <f t="shared" si="293"/>
        <v/>
      </c>
      <c r="CM305" s="11" t="str">
        <f t="shared" si="280"/>
        <v/>
      </c>
      <c r="CN305" s="11" t="str">
        <f>IF(AB305&lt;&gt;"",CM305-SUM($CL$28:CL305),"")</f>
        <v/>
      </c>
    </row>
    <row r="306" spans="1:92" x14ac:dyDescent="0.45">
      <c r="A306" s="68" t="str">
        <f t="shared" si="252"/>
        <v/>
      </c>
      <c r="B306" s="8" t="str">
        <f t="shared" si="273"/>
        <v/>
      </c>
      <c r="C306" s="11" t="str">
        <f t="shared" si="274"/>
        <v/>
      </c>
      <c r="D306" s="11" t="str">
        <f t="shared" si="275"/>
        <v/>
      </c>
      <c r="E306" s="11" t="str">
        <f t="shared" si="253"/>
        <v/>
      </c>
      <c r="F306" s="9" t="str">
        <f t="shared" si="254"/>
        <v/>
      </c>
      <c r="G306" s="10" t="str">
        <f t="shared" si="255"/>
        <v/>
      </c>
      <c r="H306" s="10" t="str">
        <f t="shared" si="256"/>
        <v/>
      </c>
      <c r="I306" s="48" t="str">
        <f t="shared" si="281"/>
        <v/>
      </c>
      <c r="J306" s="11" t="str">
        <f t="shared" si="276"/>
        <v/>
      </c>
      <c r="K306" s="11" t="str">
        <f>IF(B306&lt;&gt;"",IF($B$16=listy!$K$8,'RZĄDOWY PROGRAM'!$F$3*'RZĄDOWY PROGRAM'!$F$15,F305*$F$15),"")</f>
        <v/>
      </c>
      <c r="L306" s="11" t="str">
        <f t="shared" si="257"/>
        <v/>
      </c>
      <c r="N306" s="54" t="str">
        <f t="shared" si="260"/>
        <v/>
      </c>
      <c r="O306" s="8" t="str">
        <f t="shared" si="282"/>
        <v/>
      </c>
      <c r="P306" s="8"/>
      <c r="Q306" s="11" t="str">
        <f>IF(O306&lt;&gt;"",ROUND(IF($F$11="raty równe",-PMT(W306/12,$F$4-O305+SUM($P$28:P306),T305,2),R306+S306),2),"")</f>
        <v/>
      </c>
      <c r="R306" s="11" t="str">
        <f>IF(O306&lt;&gt;"",IF($F$11="raty malejące",T305/($F$4-O305+SUM($P$28:P306)),IF(Q306-S306&gt;T305,T305,Q306-S306)),"")</f>
        <v/>
      </c>
      <c r="S306" s="11" t="str">
        <f t="shared" si="261"/>
        <v/>
      </c>
      <c r="T306" s="9" t="str">
        <f t="shared" si="262"/>
        <v/>
      </c>
      <c r="U306" s="10" t="str">
        <f t="shared" si="263"/>
        <v/>
      </c>
      <c r="V306" s="10" t="str">
        <f t="shared" si="264"/>
        <v/>
      </c>
      <c r="W306" s="48" t="str">
        <f t="shared" si="283"/>
        <v/>
      </c>
      <c r="X306" s="11" t="str">
        <f t="shared" si="265"/>
        <v/>
      </c>
      <c r="Y306" s="11" t="str">
        <f>IF(O306&lt;&gt;"",IF($B$16=listy!$K$8,'RZĄDOWY PROGRAM'!$F$3*'RZĄDOWY PROGRAM'!$F$15,T305*$F$15),"")</f>
        <v/>
      </c>
      <c r="Z306" s="11" t="str">
        <f t="shared" si="266"/>
        <v/>
      </c>
      <c r="AB306" s="8" t="str">
        <f t="shared" si="267"/>
        <v/>
      </c>
      <c r="AC306" s="8"/>
      <c r="AD306" s="11" t="str">
        <f>IF(AB306&lt;&gt;"",ROUND(IF($F$11="raty równe",-PMT(W306/12,$F$4-AB305+SUM($AC$28:AC306),AG305,2),AE306+AF306),2),"")</f>
        <v/>
      </c>
      <c r="AE306" s="11" t="str">
        <f>IF(AB306&lt;&gt;"",IF($F$11="raty malejące",AG305/($F$4-AB305+SUM($AC$28:AC305)),MIN(AD306-AF306,AG305)),"")</f>
        <v/>
      </c>
      <c r="AF306" s="11" t="str">
        <f t="shared" si="268"/>
        <v/>
      </c>
      <c r="AG306" s="9" t="str">
        <f t="shared" si="269"/>
        <v/>
      </c>
      <c r="AH306" s="11"/>
      <c r="AI306" s="33" t="str">
        <f>IF(AB306&lt;&gt;"",ROUND(IF($F$11="raty równe",-PMT(W306/12,($F$4-AB305+SUM($AC$27:AC305)),AG305,2),AG305/($F$4-AB305+SUM($AC$27:AC305))+AG305*W306/12),2),"")</f>
        <v/>
      </c>
      <c r="AJ306" s="33" t="str">
        <f t="shared" si="270"/>
        <v/>
      </c>
      <c r="AK306" s="33" t="str">
        <f t="shared" si="277"/>
        <v/>
      </c>
      <c r="AL306" s="33" t="str">
        <f>IF(AB306&lt;&gt;"",AK306-SUM($AJ$28:AJ306),"")</f>
        <v/>
      </c>
      <c r="AM306" s="11" t="str">
        <f t="shared" si="271"/>
        <v/>
      </c>
      <c r="AN306" s="11" t="str">
        <f>IF(AB306&lt;&gt;"",IF($B$16=listy!$K$8,'RZĄDOWY PROGRAM'!$F$3*'RZĄDOWY PROGRAM'!$F$15,AG305*$F$15),"")</f>
        <v/>
      </c>
      <c r="AO306" s="11" t="str">
        <f t="shared" si="272"/>
        <v/>
      </c>
      <c r="AQ306" s="8" t="str">
        <f t="shared" si="284"/>
        <v/>
      </c>
      <c r="AR306" s="8"/>
      <c r="AS306" s="78" t="str">
        <f>IF(AQ306&lt;&gt;"",ROUND(IF($F$11="raty równe",-PMT(W306/12,$F$4-AQ305+SUM($AR$28:AR306),AV305,2),AT306+AU306),2),"")</f>
        <v/>
      </c>
      <c r="AT306" s="78" t="str">
        <f>IF(AQ306&lt;&gt;"",IF($F$11="raty malejące",AV305/($F$4-AQ305+SUM($AR$28:AR305)),MIN(AS306-AU306,AV305)),"")</f>
        <v/>
      </c>
      <c r="AU306" s="78" t="str">
        <f t="shared" si="285"/>
        <v/>
      </c>
      <c r="AV306" s="79" t="str">
        <f t="shared" si="286"/>
        <v/>
      </c>
      <c r="AW306" s="11"/>
      <c r="AX306" s="33" t="str">
        <f>IF(AQ306&lt;&gt;"",ROUND(IF($F$11="raty równe",-PMT(W306/12,($F$4-AQ305+SUM($AR$27:AR305)),AV305,2),AV305/($F$4-AQ305+SUM($AR$27:AR305))+AV305*W306/12),2),"")</f>
        <v/>
      </c>
      <c r="AY306" s="33" t="str">
        <f t="shared" si="287"/>
        <v/>
      </c>
      <c r="AZ306" s="33" t="str">
        <f t="shared" si="294"/>
        <v/>
      </c>
      <c r="BA306" s="33" t="str">
        <f>IF(AQ306&lt;&gt;"",AZ306-SUM($AY$44:AY306),"")</f>
        <v/>
      </c>
      <c r="BB306" s="11" t="str">
        <f t="shared" si="288"/>
        <v/>
      </c>
      <c r="BC306" s="11" t="str">
        <f>IF(AQ306&lt;&gt;"",IF($B$16=listy!$K$8,'RZĄDOWY PROGRAM'!$F$3*'RZĄDOWY PROGRAM'!$F$15,AV305*$F$15),"")</f>
        <v/>
      </c>
      <c r="BD306" s="11" t="str">
        <f t="shared" si="289"/>
        <v/>
      </c>
      <c r="BF306" s="8" t="str">
        <f t="shared" si="298"/>
        <v/>
      </c>
      <c r="BG306" s="8"/>
      <c r="BH306" s="78" t="str">
        <f>IF(BF306&lt;&gt;"",ROUND(IF($F$11="raty równe",-PMT(W306/12,$F$4-BF305+SUM(BV$28:$BV306)-SUM($BM$29:BM306),BK305,2),BI306+BJ306),2),"")</f>
        <v/>
      </c>
      <c r="BI306" s="78" t="str">
        <f>IF(BF306&lt;&gt;"",IF($F$11="raty malejące",MIN(BK305/($F$4-BF305+SUM($BG$27:BG306)-SUM($BM$27:BM306)),BK305),MIN(BH306-BJ306,BK305)),"")</f>
        <v/>
      </c>
      <c r="BJ306" s="78" t="str">
        <f t="shared" si="299"/>
        <v/>
      </c>
      <c r="BK306" s="79" t="str">
        <f t="shared" si="300"/>
        <v/>
      </c>
      <c r="BL306" s="11"/>
      <c r="BM306" s="33"/>
      <c r="BN306" s="33" t="str">
        <f t="shared" si="295"/>
        <v/>
      </c>
      <c r="BO306" s="33" t="str">
        <f t="shared" si="296"/>
        <v/>
      </c>
      <c r="BP306" s="33" t="str">
        <f>IF(O306&lt;&gt;"",BO306-SUM($BN$44:BN306),"")</f>
        <v/>
      </c>
      <c r="BQ306" s="11" t="str">
        <f t="shared" si="301"/>
        <v/>
      </c>
      <c r="BR306" s="11" t="str">
        <f>IF(BF306&lt;&gt;"",IF($B$16=listy!$K$8,'RZĄDOWY PROGRAM'!$F$3*'RZĄDOWY PROGRAM'!$F$15,BK305*$F$15),"")</f>
        <v/>
      </c>
      <c r="BS306" s="11" t="str">
        <f t="shared" si="302"/>
        <v/>
      </c>
      <c r="BU306" s="8" t="str">
        <f t="shared" si="290"/>
        <v/>
      </c>
      <c r="BV306" s="8"/>
      <c r="BW306" s="78" t="str">
        <f>IF(BU306&lt;&gt;"",ROUND(IF($F$11="raty równe",-PMT(W306/12,$F$4-BU305+SUM($BV$28:BV306)-$CB$43,BZ305,2),BX306+BY306),2),"")</f>
        <v/>
      </c>
      <c r="BX306" s="78" t="str">
        <f>IF(BU306&lt;&gt;"",IF($F$11="raty malejące",MIN(BZ305/($F$4-BU305+SUM($BV$28:BV305)-SUM($CB$28:CB305)),BZ305),MIN(BW306-BY306,BZ305)),"")</f>
        <v/>
      </c>
      <c r="BY306" s="78" t="str">
        <f t="shared" si="303"/>
        <v/>
      </c>
      <c r="BZ306" s="79" t="str">
        <f t="shared" si="292"/>
        <v/>
      </c>
      <c r="CA306" s="11"/>
      <c r="CB306" s="33"/>
      <c r="CC306" s="33" t="str">
        <f t="shared" si="291"/>
        <v/>
      </c>
      <c r="CD306" s="33" t="str">
        <f t="shared" si="297"/>
        <v/>
      </c>
      <c r="CE306" s="33" t="str">
        <f>IF(O306&lt;&gt;"",CD306-SUM($CC$44:CC306),"")</f>
        <v/>
      </c>
      <c r="CF306" s="11" t="str">
        <f t="shared" si="304"/>
        <v/>
      </c>
      <c r="CG306" s="11" t="str">
        <f>IF(BU306&lt;&gt;"",IF($B$16=listy!$K$8,'RZĄDOWY PROGRAM'!$F$3*'RZĄDOWY PROGRAM'!$F$15,BZ305*$F$15),"")</f>
        <v/>
      </c>
      <c r="CH306" s="11" t="str">
        <f t="shared" si="305"/>
        <v/>
      </c>
      <c r="CJ306" s="48" t="str">
        <f t="shared" si="278"/>
        <v/>
      </c>
      <c r="CK306" s="18" t="str">
        <f t="shared" si="279"/>
        <v/>
      </c>
      <c r="CL306" s="11" t="str">
        <f t="shared" si="293"/>
        <v/>
      </c>
      <c r="CM306" s="11" t="str">
        <f t="shared" si="280"/>
        <v/>
      </c>
      <c r="CN306" s="11" t="str">
        <f>IF(AB306&lt;&gt;"",CM306-SUM($CL$28:CL306),"")</f>
        <v/>
      </c>
    </row>
    <row r="307" spans="1:92" x14ac:dyDescent="0.45">
      <c r="A307" s="68" t="str">
        <f t="shared" si="252"/>
        <v/>
      </c>
      <c r="B307" s="8" t="str">
        <f t="shared" si="273"/>
        <v/>
      </c>
      <c r="C307" s="11" t="str">
        <f t="shared" si="274"/>
        <v/>
      </c>
      <c r="D307" s="11" t="str">
        <f t="shared" si="275"/>
        <v/>
      </c>
      <c r="E307" s="11" t="str">
        <f t="shared" si="253"/>
        <v/>
      </c>
      <c r="F307" s="9" t="str">
        <f t="shared" si="254"/>
        <v/>
      </c>
      <c r="G307" s="10" t="str">
        <f t="shared" si="255"/>
        <v/>
      </c>
      <c r="H307" s="10" t="str">
        <f t="shared" si="256"/>
        <v/>
      </c>
      <c r="I307" s="48" t="str">
        <f t="shared" si="281"/>
        <v/>
      </c>
      <c r="J307" s="11" t="str">
        <f t="shared" si="276"/>
        <v/>
      </c>
      <c r="K307" s="11" t="str">
        <f>IF(B307&lt;&gt;"",IF($B$16=listy!$K$8,'RZĄDOWY PROGRAM'!$F$3*'RZĄDOWY PROGRAM'!$F$15,F306*$F$15),"")</f>
        <v/>
      </c>
      <c r="L307" s="11" t="str">
        <f t="shared" si="257"/>
        <v/>
      </c>
      <c r="N307" s="54" t="str">
        <f t="shared" si="260"/>
        <v/>
      </c>
      <c r="O307" s="8" t="str">
        <f t="shared" si="282"/>
        <v/>
      </c>
      <c r="P307" s="8"/>
      <c r="Q307" s="11" t="str">
        <f>IF(O307&lt;&gt;"",ROUND(IF($F$11="raty równe",-PMT(W307/12,$F$4-O306+SUM($P$28:P307),T306,2),R307+S307),2),"")</f>
        <v/>
      </c>
      <c r="R307" s="11" t="str">
        <f>IF(O307&lt;&gt;"",IF($F$11="raty malejące",T306/($F$4-O306+SUM($P$28:P307)),IF(Q307-S307&gt;T306,T306,Q307-S307)),"")</f>
        <v/>
      </c>
      <c r="S307" s="11" t="str">
        <f t="shared" si="261"/>
        <v/>
      </c>
      <c r="T307" s="9" t="str">
        <f t="shared" si="262"/>
        <v/>
      </c>
      <c r="U307" s="10" t="str">
        <f t="shared" si="263"/>
        <v/>
      </c>
      <c r="V307" s="10" t="str">
        <f t="shared" si="264"/>
        <v/>
      </c>
      <c r="W307" s="48" t="str">
        <f t="shared" si="283"/>
        <v/>
      </c>
      <c r="X307" s="11" t="str">
        <f t="shared" si="265"/>
        <v/>
      </c>
      <c r="Y307" s="11" t="str">
        <f>IF(O307&lt;&gt;"",IF($B$16=listy!$K$8,'RZĄDOWY PROGRAM'!$F$3*'RZĄDOWY PROGRAM'!$F$15,T306*$F$15),"")</f>
        <v/>
      </c>
      <c r="Z307" s="11" t="str">
        <f t="shared" si="266"/>
        <v/>
      </c>
      <c r="AB307" s="8" t="str">
        <f t="shared" si="267"/>
        <v/>
      </c>
      <c r="AC307" s="8"/>
      <c r="AD307" s="11" t="str">
        <f>IF(AB307&lt;&gt;"",ROUND(IF($F$11="raty równe",-PMT(W307/12,$F$4-AB306+SUM($AC$28:AC307),AG306,2),AE307+AF307),2),"")</f>
        <v/>
      </c>
      <c r="AE307" s="11" t="str">
        <f>IF(AB307&lt;&gt;"",IF($F$11="raty malejące",AG306/($F$4-AB306+SUM($AC$28:AC306)),MIN(AD307-AF307,AG306)),"")</f>
        <v/>
      </c>
      <c r="AF307" s="11" t="str">
        <f t="shared" si="268"/>
        <v/>
      </c>
      <c r="AG307" s="9" t="str">
        <f t="shared" si="269"/>
        <v/>
      </c>
      <c r="AH307" s="11"/>
      <c r="AI307" s="33" t="str">
        <f>IF(AB307&lt;&gt;"",ROUND(IF($F$11="raty równe",-PMT(W307/12,($F$4-AB306+SUM($AC$27:AC306)),AG306,2),AG306/($F$4-AB306+SUM($AC$27:AC306))+AG306*W307/12),2),"")</f>
        <v/>
      </c>
      <c r="AJ307" s="33" t="str">
        <f t="shared" si="270"/>
        <v/>
      </c>
      <c r="AK307" s="33" t="str">
        <f t="shared" si="277"/>
        <v/>
      </c>
      <c r="AL307" s="33" t="str">
        <f>IF(AB307&lt;&gt;"",AK307-SUM($AJ$28:AJ307),"")</f>
        <v/>
      </c>
      <c r="AM307" s="11" t="str">
        <f t="shared" si="271"/>
        <v/>
      </c>
      <c r="AN307" s="11" t="str">
        <f>IF(AB307&lt;&gt;"",IF($B$16=listy!$K$8,'RZĄDOWY PROGRAM'!$F$3*'RZĄDOWY PROGRAM'!$F$15,AG306*$F$15),"")</f>
        <v/>
      </c>
      <c r="AO307" s="11" t="str">
        <f t="shared" si="272"/>
        <v/>
      </c>
      <c r="AQ307" s="8" t="str">
        <f t="shared" si="284"/>
        <v/>
      </c>
      <c r="AR307" s="8"/>
      <c r="AS307" s="78" t="str">
        <f>IF(AQ307&lt;&gt;"",ROUND(IF($F$11="raty równe",-PMT(W307/12,$F$4-AQ306+SUM($AR$28:AR307),AV306,2),AT307+AU307),2),"")</f>
        <v/>
      </c>
      <c r="AT307" s="78" t="str">
        <f>IF(AQ307&lt;&gt;"",IF($F$11="raty malejące",AV306/($F$4-AQ306+SUM($AR$28:AR306)),MIN(AS307-AU307,AV306)),"")</f>
        <v/>
      </c>
      <c r="AU307" s="78" t="str">
        <f t="shared" si="285"/>
        <v/>
      </c>
      <c r="AV307" s="79" t="str">
        <f t="shared" si="286"/>
        <v/>
      </c>
      <c r="AW307" s="11"/>
      <c r="AX307" s="33" t="str">
        <f>IF(AQ307&lt;&gt;"",ROUND(IF($F$11="raty równe",-PMT(W307/12,($F$4-AQ306+SUM($AR$27:AR306)),AV306,2),AV306/($F$4-AQ306+SUM($AR$27:AR306))+AV306*W307/12),2),"")</f>
        <v/>
      </c>
      <c r="AY307" s="33" t="str">
        <f t="shared" si="287"/>
        <v/>
      </c>
      <c r="AZ307" s="33" t="str">
        <f t="shared" si="294"/>
        <v/>
      </c>
      <c r="BA307" s="33" t="str">
        <f>IF(AQ307&lt;&gt;"",AZ307-SUM($AY$44:AY307),"")</f>
        <v/>
      </c>
      <c r="BB307" s="11" t="str">
        <f t="shared" si="288"/>
        <v/>
      </c>
      <c r="BC307" s="11" t="str">
        <f>IF(AQ307&lt;&gt;"",IF($B$16=listy!$K$8,'RZĄDOWY PROGRAM'!$F$3*'RZĄDOWY PROGRAM'!$F$15,AV306*$F$15),"")</f>
        <v/>
      </c>
      <c r="BD307" s="11" t="str">
        <f t="shared" si="289"/>
        <v/>
      </c>
      <c r="BF307" s="8" t="str">
        <f t="shared" si="298"/>
        <v/>
      </c>
      <c r="BG307" s="8"/>
      <c r="BH307" s="78" t="str">
        <f>IF(BF307&lt;&gt;"",ROUND(IF($F$11="raty równe",-PMT(W307/12,$F$4-BF306+SUM(BV$28:$BV307)-SUM($BM$29:BM307),BK306,2),BI307+BJ307),2),"")</f>
        <v/>
      </c>
      <c r="BI307" s="78" t="str">
        <f>IF(BF307&lt;&gt;"",IF($F$11="raty malejące",MIN(BK306/($F$4-BF306+SUM($BG$27:BG307)-SUM($BM$27:BM307)),BK306),MIN(BH307-BJ307,BK306)),"")</f>
        <v/>
      </c>
      <c r="BJ307" s="78" t="str">
        <f t="shared" si="299"/>
        <v/>
      </c>
      <c r="BK307" s="79" t="str">
        <f t="shared" si="300"/>
        <v/>
      </c>
      <c r="BL307" s="11"/>
      <c r="BM307" s="33"/>
      <c r="BN307" s="33" t="str">
        <f t="shared" si="295"/>
        <v/>
      </c>
      <c r="BO307" s="33" t="str">
        <f t="shared" si="296"/>
        <v/>
      </c>
      <c r="BP307" s="33" t="str">
        <f>IF(O307&lt;&gt;"",BO307-SUM($BN$44:BN307),"")</f>
        <v/>
      </c>
      <c r="BQ307" s="11" t="str">
        <f t="shared" si="301"/>
        <v/>
      </c>
      <c r="BR307" s="11" t="str">
        <f>IF(BF307&lt;&gt;"",IF($B$16=listy!$K$8,'RZĄDOWY PROGRAM'!$F$3*'RZĄDOWY PROGRAM'!$F$15,BK306*$F$15),"")</f>
        <v/>
      </c>
      <c r="BS307" s="11" t="str">
        <f t="shared" si="302"/>
        <v/>
      </c>
      <c r="BU307" s="8" t="str">
        <f t="shared" si="290"/>
        <v/>
      </c>
      <c r="BV307" s="8"/>
      <c r="BW307" s="78" t="str">
        <f>IF(BU307&lt;&gt;"",ROUND(IF($F$11="raty równe",-PMT(W307/12,$F$4-BU306+SUM($BV$28:BV307)-$CB$43,BZ306,2),BX307+BY307),2),"")</f>
        <v/>
      </c>
      <c r="BX307" s="78" t="str">
        <f>IF(BU307&lt;&gt;"",IF($F$11="raty malejące",MIN(BZ306/($F$4-BU306+SUM($BV$28:BV306)-SUM($CB$28:CB306)),BZ306),MIN(BW307-BY307,BZ306)),"")</f>
        <v/>
      </c>
      <c r="BY307" s="78" t="str">
        <f t="shared" si="303"/>
        <v/>
      </c>
      <c r="BZ307" s="79" t="str">
        <f t="shared" si="292"/>
        <v/>
      </c>
      <c r="CA307" s="11"/>
      <c r="CB307" s="33"/>
      <c r="CC307" s="33" t="str">
        <f t="shared" si="291"/>
        <v/>
      </c>
      <c r="CD307" s="33" t="str">
        <f t="shared" si="297"/>
        <v/>
      </c>
      <c r="CE307" s="33" t="str">
        <f>IF(O307&lt;&gt;"",CD307-SUM($CC$44:CC307),"")</f>
        <v/>
      </c>
      <c r="CF307" s="11" t="str">
        <f t="shared" si="304"/>
        <v/>
      </c>
      <c r="CG307" s="11" t="str">
        <f>IF(BU307&lt;&gt;"",IF($B$16=listy!$K$8,'RZĄDOWY PROGRAM'!$F$3*'RZĄDOWY PROGRAM'!$F$15,BZ306*$F$15),"")</f>
        <v/>
      </c>
      <c r="CH307" s="11" t="str">
        <f t="shared" si="305"/>
        <v/>
      </c>
      <c r="CJ307" s="48" t="str">
        <f t="shared" si="278"/>
        <v/>
      </c>
      <c r="CK307" s="18" t="str">
        <f t="shared" si="279"/>
        <v/>
      </c>
      <c r="CL307" s="11" t="str">
        <f t="shared" si="293"/>
        <v/>
      </c>
      <c r="CM307" s="11" t="str">
        <f t="shared" si="280"/>
        <v/>
      </c>
      <c r="CN307" s="11" t="str">
        <f>IF(AB307&lt;&gt;"",CM307-SUM($CL$28:CL307),"")</f>
        <v/>
      </c>
    </row>
    <row r="308" spans="1:92" x14ac:dyDescent="0.45">
      <c r="A308" s="68" t="str">
        <f t="shared" si="252"/>
        <v/>
      </c>
      <c r="B308" s="8" t="str">
        <f t="shared" si="273"/>
        <v/>
      </c>
      <c r="C308" s="11" t="str">
        <f t="shared" si="274"/>
        <v/>
      </c>
      <c r="D308" s="11" t="str">
        <f t="shared" si="275"/>
        <v/>
      </c>
      <c r="E308" s="11" t="str">
        <f t="shared" si="253"/>
        <v/>
      </c>
      <c r="F308" s="9" t="str">
        <f t="shared" si="254"/>
        <v/>
      </c>
      <c r="G308" s="10" t="str">
        <f t="shared" si="255"/>
        <v/>
      </c>
      <c r="H308" s="10" t="str">
        <f t="shared" si="256"/>
        <v/>
      </c>
      <c r="I308" s="48" t="str">
        <f t="shared" si="281"/>
        <v/>
      </c>
      <c r="J308" s="11" t="str">
        <f t="shared" si="276"/>
        <v/>
      </c>
      <c r="K308" s="11" t="str">
        <f>IF(B308&lt;&gt;"",IF($B$16=listy!$K$8,'RZĄDOWY PROGRAM'!$F$3*'RZĄDOWY PROGRAM'!$F$15,F307*$F$15),"")</f>
        <v/>
      </c>
      <c r="L308" s="11" t="str">
        <f t="shared" si="257"/>
        <v/>
      </c>
      <c r="N308" s="54" t="str">
        <f t="shared" si="260"/>
        <v/>
      </c>
      <c r="O308" s="8" t="str">
        <f t="shared" si="282"/>
        <v/>
      </c>
      <c r="P308" s="8"/>
      <c r="Q308" s="11" t="str">
        <f>IF(O308&lt;&gt;"",ROUND(IF($F$11="raty równe",-PMT(W308/12,$F$4-O307+SUM($P$28:P308),T307,2),R308+S308),2),"")</f>
        <v/>
      </c>
      <c r="R308" s="11" t="str">
        <f>IF(O308&lt;&gt;"",IF($F$11="raty malejące",T307/($F$4-O307+SUM($P$28:P308)),IF(Q308-S308&gt;T307,T307,Q308-S308)),"")</f>
        <v/>
      </c>
      <c r="S308" s="11" t="str">
        <f t="shared" si="261"/>
        <v/>
      </c>
      <c r="T308" s="9" t="str">
        <f t="shared" si="262"/>
        <v/>
      </c>
      <c r="U308" s="10" t="str">
        <f t="shared" si="263"/>
        <v/>
      </c>
      <c r="V308" s="10" t="str">
        <f t="shared" si="264"/>
        <v/>
      </c>
      <c r="W308" s="48" t="str">
        <f t="shared" si="283"/>
        <v/>
      </c>
      <c r="X308" s="11" t="str">
        <f t="shared" si="265"/>
        <v/>
      </c>
      <c r="Y308" s="11" t="str">
        <f>IF(O308&lt;&gt;"",IF($B$16=listy!$K$8,'RZĄDOWY PROGRAM'!$F$3*'RZĄDOWY PROGRAM'!$F$15,T307*$F$15),"")</f>
        <v/>
      </c>
      <c r="Z308" s="11" t="str">
        <f t="shared" si="266"/>
        <v/>
      </c>
      <c r="AB308" s="8" t="str">
        <f t="shared" si="267"/>
        <v/>
      </c>
      <c r="AC308" s="8"/>
      <c r="AD308" s="11" t="str">
        <f>IF(AB308&lt;&gt;"",ROUND(IF($F$11="raty równe",-PMT(W308/12,$F$4-AB307+SUM($AC$28:AC308),AG307,2),AE308+AF308),2),"")</f>
        <v/>
      </c>
      <c r="AE308" s="11" t="str">
        <f>IF(AB308&lt;&gt;"",IF($F$11="raty malejące",AG307/($F$4-AB307+SUM($AC$28:AC307)),MIN(AD308-AF308,AG307)),"")</f>
        <v/>
      </c>
      <c r="AF308" s="11" t="str">
        <f t="shared" si="268"/>
        <v/>
      </c>
      <c r="AG308" s="9" t="str">
        <f t="shared" si="269"/>
        <v/>
      </c>
      <c r="AH308" s="11"/>
      <c r="AI308" s="33" t="str">
        <f>IF(AB308&lt;&gt;"",ROUND(IF($F$11="raty równe",-PMT(W308/12,($F$4-AB307+SUM($AC$27:AC307)),AG307,2),AG307/($F$4-AB307+SUM($AC$27:AC307))+AG307*W308/12),2),"")</f>
        <v/>
      </c>
      <c r="AJ308" s="33" t="str">
        <f t="shared" si="270"/>
        <v/>
      </c>
      <c r="AK308" s="33" t="str">
        <f t="shared" si="277"/>
        <v/>
      </c>
      <c r="AL308" s="33" t="str">
        <f>IF(AB308&lt;&gt;"",AK308-SUM($AJ$28:AJ308),"")</f>
        <v/>
      </c>
      <c r="AM308" s="11" t="str">
        <f t="shared" si="271"/>
        <v/>
      </c>
      <c r="AN308" s="11" t="str">
        <f>IF(AB308&lt;&gt;"",IF($B$16=listy!$K$8,'RZĄDOWY PROGRAM'!$F$3*'RZĄDOWY PROGRAM'!$F$15,AG307*$F$15),"")</f>
        <v/>
      </c>
      <c r="AO308" s="11" t="str">
        <f t="shared" si="272"/>
        <v/>
      </c>
      <c r="AQ308" s="8" t="str">
        <f t="shared" si="284"/>
        <v/>
      </c>
      <c r="AR308" s="8"/>
      <c r="AS308" s="78" t="str">
        <f>IF(AQ308&lt;&gt;"",ROUND(IF($F$11="raty równe",-PMT(W308/12,$F$4-AQ307+SUM($AR$28:AR308),AV307,2),AT308+AU308),2),"")</f>
        <v/>
      </c>
      <c r="AT308" s="78" t="str">
        <f>IF(AQ308&lt;&gt;"",IF($F$11="raty malejące",AV307/($F$4-AQ307+SUM($AR$28:AR307)),MIN(AS308-AU308,AV307)),"")</f>
        <v/>
      </c>
      <c r="AU308" s="78" t="str">
        <f t="shared" si="285"/>
        <v/>
      </c>
      <c r="AV308" s="79" t="str">
        <f t="shared" si="286"/>
        <v/>
      </c>
      <c r="AW308" s="11"/>
      <c r="AX308" s="33" t="str">
        <f>IF(AQ308&lt;&gt;"",ROUND(IF($F$11="raty równe",-PMT(W308/12,($F$4-AQ307+SUM($AR$27:AR307)),AV307,2),AV307/($F$4-AQ307+SUM($AR$27:AR307))+AV307*W308/12),2),"")</f>
        <v/>
      </c>
      <c r="AY308" s="33" t="str">
        <f t="shared" si="287"/>
        <v/>
      </c>
      <c r="AZ308" s="33" t="str">
        <f t="shared" si="294"/>
        <v/>
      </c>
      <c r="BA308" s="33" t="str">
        <f>IF(AQ308&lt;&gt;"",AZ308-SUM($AY$44:AY308),"")</f>
        <v/>
      </c>
      <c r="BB308" s="11" t="str">
        <f t="shared" si="288"/>
        <v/>
      </c>
      <c r="BC308" s="11" t="str">
        <f>IF(AQ308&lt;&gt;"",IF($B$16=listy!$K$8,'RZĄDOWY PROGRAM'!$F$3*'RZĄDOWY PROGRAM'!$F$15,AV307*$F$15),"")</f>
        <v/>
      </c>
      <c r="BD308" s="11" t="str">
        <f t="shared" si="289"/>
        <v/>
      </c>
      <c r="BF308" s="8" t="str">
        <f t="shared" si="298"/>
        <v/>
      </c>
      <c r="BG308" s="8"/>
      <c r="BH308" s="78" t="str">
        <f>IF(BF308&lt;&gt;"",ROUND(IF($F$11="raty równe",-PMT(W308/12,$F$4-BF307+SUM(BV$28:$BV308)-SUM($BM$29:BM308),BK307,2),BI308+BJ308),2),"")</f>
        <v/>
      </c>
      <c r="BI308" s="78" t="str">
        <f>IF(BF308&lt;&gt;"",IF($F$11="raty malejące",MIN(BK307/($F$4-BF307+SUM($BG$27:BG308)-SUM($BM$27:BM308)),BK307),MIN(BH308-BJ308,BK307)),"")</f>
        <v/>
      </c>
      <c r="BJ308" s="78" t="str">
        <f t="shared" si="299"/>
        <v/>
      </c>
      <c r="BK308" s="79" t="str">
        <f t="shared" si="300"/>
        <v/>
      </c>
      <c r="BL308" s="11"/>
      <c r="BM308" s="33"/>
      <c r="BN308" s="33" t="str">
        <f t="shared" si="295"/>
        <v/>
      </c>
      <c r="BO308" s="33" t="str">
        <f t="shared" si="296"/>
        <v/>
      </c>
      <c r="BP308" s="33" t="str">
        <f>IF(O308&lt;&gt;"",BO308-SUM($BN$44:BN308),"")</f>
        <v/>
      </c>
      <c r="BQ308" s="11" t="str">
        <f t="shared" si="301"/>
        <v/>
      </c>
      <c r="BR308" s="11" t="str">
        <f>IF(BF308&lt;&gt;"",IF($B$16=listy!$K$8,'RZĄDOWY PROGRAM'!$F$3*'RZĄDOWY PROGRAM'!$F$15,BK307*$F$15),"")</f>
        <v/>
      </c>
      <c r="BS308" s="11" t="str">
        <f t="shared" si="302"/>
        <v/>
      </c>
      <c r="BU308" s="8" t="str">
        <f t="shared" si="290"/>
        <v/>
      </c>
      <c r="BV308" s="8"/>
      <c r="BW308" s="78" t="str">
        <f>IF(BU308&lt;&gt;"",ROUND(IF($F$11="raty równe",-PMT(W308/12,$F$4-BU307+SUM($BV$28:BV308)-$CB$43,BZ307,2),BX308+BY308),2),"")</f>
        <v/>
      </c>
      <c r="BX308" s="78" t="str">
        <f>IF(BU308&lt;&gt;"",IF($F$11="raty malejące",MIN(BZ307/($F$4-BU307+SUM($BV$28:BV307)-SUM($CB$28:CB307)),BZ307),MIN(BW308-BY308,BZ307)),"")</f>
        <v/>
      </c>
      <c r="BY308" s="78" t="str">
        <f t="shared" si="303"/>
        <v/>
      </c>
      <c r="BZ308" s="79" t="str">
        <f t="shared" si="292"/>
        <v/>
      </c>
      <c r="CA308" s="11"/>
      <c r="CB308" s="33"/>
      <c r="CC308" s="33" t="str">
        <f t="shared" si="291"/>
        <v/>
      </c>
      <c r="CD308" s="33" t="str">
        <f t="shared" si="297"/>
        <v/>
      </c>
      <c r="CE308" s="33" t="str">
        <f>IF(O308&lt;&gt;"",CD308-SUM($CC$44:CC308),"")</f>
        <v/>
      </c>
      <c r="CF308" s="11" t="str">
        <f t="shared" si="304"/>
        <v/>
      </c>
      <c r="CG308" s="11" t="str">
        <f>IF(BU308&lt;&gt;"",IF($B$16=listy!$K$8,'RZĄDOWY PROGRAM'!$F$3*'RZĄDOWY PROGRAM'!$F$15,BZ307*$F$15),"")</f>
        <v/>
      </c>
      <c r="CH308" s="11" t="str">
        <f t="shared" si="305"/>
        <v/>
      </c>
      <c r="CJ308" s="48" t="str">
        <f t="shared" si="278"/>
        <v/>
      </c>
      <c r="CK308" s="18" t="str">
        <f t="shared" si="279"/>
        <v/>
      </c>
      <c r="CL308" s="11" t="str">
        <f t="shared" si="293"/>
        <v/>
      </c>
      <c r="CM308" s="11" t="str">
        <f t="shared" si="280"/>
        <v/>
      </c>
      <c r="CN308" s="11" t="str">
        <f>IF(AB308&lt;&gt;"",CM308-SUM($CL$28:CL308),"")</f>
        <v/>
      </c>
    </row>
    <row r="309" spans="1:92" x14ac:dyDescent="0.45">
      <c r="A309" s="68" t="str">
        <f t="shared" si="252"/>
        <v/>
      </c>
      <c r="B309" s="8" t="str">
        <f t="shared" si="273"/>
        <v/>
      </c>
      <c r="C309" s="11" t="str">
        <f t="shared" si="274"/>
        <v/>
      </c>
      <c r="D309" s="11" t="str">
        <f t="shared" si="275"/>
        <v/>
      </c>
      <c r="E309" s="11" t="str">
        <f t="shared" si="253"/>
        <v/>
      </c>
      <c r="F309" s="9" t="str">
        <f t="shared" si="254"/>
        <v/>
      </c>
      <c r="G309" s="10" t="str">
        <f t="shared" si="255"/>
        <v/>
      </c>
      <c r="H309" s="10" t="str">
        <f t="shared" si="256"/>
        <v/>
      </c>
      <c r="I309" s="48" t="str">
        <f t="shared" si="281"/>
        <v/>
      </c>
      <c r="J309" s="11" t="str">
        <f t="shared" si="276"/>
        <v/>
      </c>
      <c r="K309" s="11" t="str">
        <f>IF(B309&lt;&gt;"",IF($B$16=listy!$K$8,'RZĄDOWY PROGRAM'!$F$3*'RZĄDOWY PROGRAM'!$F$15,F308*$F$15),"")</f>
        <v/>
      </c>
      <c r="L309" s="11" t="str">
        <f t="shared" si="257"/>
        <v/>
      </c>
      <c r="N309" s="54" t="str">
        <f t="shared" si="260"/>
        <v/>
      </c>
      <c r="O309" s="8" t="str">
        <f t="shared" si="282"/>
        <v/>
      </c>
      <c r="P309" s="8"/>
      <c r="Q309" s="11" t="str">
        <f>IF(O309&lt;&gt;"",ROUND(IF($F$11="raty równe",-PMT(W309/12,$F$4-O308+SUM($P$28:P309),T308,2),R309+S309),2),"")</f>
        <v/>
      </c>
      <c r="R309" s="11" t="str">
        <f>IF(O309&lt;&gt;"",IF($F$11="raty malejące",T308/($F$4-O308+SUM($P$28:P309)),IF(Q309-S309&gt;T308,T308,Q309-S309)),"")</f>
        <v/>
      </c>
      <c r="S309" s="11" t="str">
        <f t="shared" si="261"/>
        <v/>
      </c>
      <c r="T309" s="9" t="str">
        <f t="shared" si="262"/>
        <v/>
      </c>
      <c r="U309" s="10" t="str">
        <f t="shared" si="263"/>
        <v/>
      </c>
      <c r="V309" s="10" t="str">
        <f t="shared" si="264"/>
        <v/>
      </c>
      <c r="W309" s="48" t="str">
        <f t="shared" si="283"/>
        <v/>
      </c>
      <c r="X309" s="11" t="str">
        <f t="shared" si="265"/>
        <v/>
      </c>
      <c r="Y309" s="11" t="str">
        <f>IF(O309&lt;&gt;"",IF($B$16=listy!$K$8,'RZĄDOWY PROGRAM'!$F$3*'RZĄDOWY PROGRAM'!$F$15,T308*$F$15),"")</f>
        <v/>
      </c>
      <c r="Z309" s="11" t="str">
        <f t="shared" si="266"/>
        <v/>
      </c>
      <c r="AB309" s="8" t="str">
        <f t="shared" si="267"/>
        <v/>
      </c>
      <c r="AC309" s="8"/>
      <c r="AD309" s="11" t="str">
        <f>IF(AB309&lt;&gt;"",ROUND(IF($F$11="raty równe",-PMT(W309/12,$F$4-AB308+SUM($AC$28:AC309),AG308,2),AE309+AF309),2),"")</f>
        <v/>
      </c>
      <c r="AE309" s="11" t="str">
        <f>IF(AB309&lt;&gt;"",IF($F$11="raty malejące",AG308/($F$4-AB308+SUM($AC$28:AC308)),MIN(AD309-AF309,AG308)),"")</f>
        <v/>
      </c>
      <c r="AF309" s="11" t="str">
        <f t="shared" si="268"/>
        <v/>
      </c>
      <c r="AG309" s="9" t="str">
        <f t="shared" si="269"/>
        <v/>
      </c>
      <c r="AH309" s="11"/>
      <c r="AI309" s="33" t="str">
        <f>IF(AB309&lt;&gt;"",ROUND(IF($F$11="raty równe",-PMT(W309/12,($F$4-AB308+SUM($AC$27:AC308)),AG308,2),AG308/($F$4-AB308+SUM($AC$27:AC308))+AG308*W309/12),2),"")</f>
        <v/>
      </c>
      <c r="AJ309" s="33" t="str">
        <f t="shared" si="270"/>
        <v/>
      </c>
      <c r="AK309" s="33" t="str">
        <f t="shared" si="277"/>
        <v/>
      </c>
      <c r="AL309" s="33" t="str">
        <f>IF(AB309&lt;&gt;"",AK309-SUM($AJ$28:AJ309),"")</f>
        <v/>
      </c>
      <c r="AM309" s="11" t="str">
        <f t="shared" si="271"/>
        <v/>
      </c>
      <c r="AN309" s="11" t="str">
        <f>IF(AB309&lt;&gt;"",IF($B$16=listy!$K$8,'RZĄDOWY PROGRAM'!$F$3*'RZĄDOWY PROGRAM'!$F$15,AG308*$F$15),"")</f>
        <v/>
      </c>
      <c r="AO309" s="11" t="str">
        <f t="shared" si="272"/>
        <v/>
      </c>
      <c r="AQ309" s="8" t="str">
        <f t="shared" si="284"/>
        <v/>
      </c>
      <c r="AR309" s="8"/>
      <c r="AS309" s="78" t="str">
        <f>IF(AQ309&lt;&gt;"",ROUND(IF($F$11="raty równe",-PMT(W309/12,$F$4-AQ308+SUM($AR$28:AR309),AV308,2),AT309+AU309),2),"")</f>
        <v/>
      </c>
      <c r="AT309" s="78" t="str">
        <f>IF(AQ309&lt;&gt;"",IF($F$11="raty malejące",AV308/($F$4-AQ308+SUM($AR$28:AR308)),MIN(AS309-AU309,AV308)),"")</f>
        <v/>
      </c>
      <c r="AU309" s="78" t="str">
        <f t="shared" si="285"/>
        <v/>
      </c>
      <c r="AV309" s="79" t="str">
        <f t="shared" si="286"/>
        <v/>
      </c>
      <c r="AW309" s="11"/>
      <c r="AX309" s="33" t="str">
        <f>IF(AQ309&lt;&gt;"",ROUND(IF($F$11="raty równe",-PMT(W309/12,($F$4-AQ308+SUM($AR$27:AR308)),AV308,2),AV308/($F$4-AQ308+SUM($AR$27:AR308))+AV308*W309/12),2),"")</f>
        <v/>
      </c>
      <c r="AY309" s="33" t="str">
        <f t="shared" si="287"/>
        <v/>
      </c>
      <c r="AZ309" s="33" t="str">
        <f t="shared" si="294"/>
        <v/>
      </c>
      <c r="BA309" s="33" t="str">
        <f>IF(AQ309&lt;&gt;"",AZ309-SUM($AY$44:AY309),"")</f>
        <v/>
      </c>
      <c r="BB309" s="11" t="str">
        <f t="shared" si="288"/>
        <v/>
      </c>
      <c r="BC309" s="11" t="str">
        <f>IF(AQ309&lt;&gt;"",IF($B$16=listy!$K$8,'RZĄDOWY PROGRAM'!$F$3*'RZĄDOWY PROGRAM'!$F$15,AV308*$F$15),"")</f>
        <v/>
      </c>
      <c r="BD309" s="11" t="str">
        <f t="shared" si="289"/>
        <v/>
      </c>
      <c r="BF309" s="8" t="str">
        <f t="shared" si="298"/>
        <v/>
      </c>
      <c r="BG309" s="8"/>
      <c r="BH309" s="78" t="str">
        <f>IF(BF309&lt;&gt;"",ROUND(IF($F$11="raty równe",-PMT(W309/12,$F$4-BF308+SUM(BV$28:$BV309)-SUM($BM$29:BM309),BK308,2),BI309+BJ309),2),"")</f>
        <v/>
      </c>
      <c r="BI309" s="78" t="str">
        <f>IF(BF309&lt;&gt;"",IF($F$11="raty malejące",MIN(BK308/($F$4-BF308+SUM($BG$27:BG309)-SUM($BM$27:BM309)),BK308),MIN(BH309-BJ309,BK308)),"")</f>
        <v/>
      </c>
      <c r="BJ309" s="78" t="str">
        <f t="shared" si="299"/>
        <v/>
      </c>
      <c r="BK309" s="79" t="str">
        <f t="shared" si="300"/>
        <v/>
      </c>
      <c r="BL309" s="11"/>
      <c r="BM309" s="33"/>
      <c r="BN309" s="33" t="str">
        <f t="shared" si="295"/>
        <v/>
      </c>
      <c r="BO309" s="33" t="str">
        <f t="shared" si="296"/>
        <v/>
      </c>
      <c r="BP309" s="33" t="str">
        <f>IF(O309&lt;&gt;"",BO309-SUM($BN$44:BN309),"")</f>
        <v/>
      </c>
      <c r="BQ309" s="11" t="str">
        <f t="shared" si="301"/>
        <v/>
      </c>
      <c r="BR309" s="11" t="str">
        <f>IF(BF309&lt;&gt;"",IF($B$16=listy!$K$8,'RZĄDOWY PROGRAM'!$F$3*'RZĄDOWY PROGRAM'!$F$15,BK308*$F$15),"")</f>
        <v/>
      </c>
      <c r="BS309" s="11" t="str">
        <f t="shared" si="302"/>
        <v/>
      </c>
      <c r="BU309" s="8" t="str">
        <f t="shared" si="290"/>
        <v/>
      </c>
      <c r="BV309" s="8"/>
      <c r="BW309" s="78" t="str">
        <f>IF(BU309&lt;&gt;"",ROUND(IF($F$11="raty równe",-PMT(W309/12,$F$4-BU308+SUM($BV$28:BV309)-$CB$43,BZ308,2),BX309+BY309),2),"")</f>
        <v/>
      </c>
      <c r="BX309" s="78" t="str">
        <f>IF(BU309&lt;&gt;"",IF($F$11="raty malejące",MIN(BZ308/($F$4-BU308+SUM($BV$28:BV308)-SUM($CB$28:CB308)),BZ308),MIN(BW309-BY309,BZ308)),"")</f>
        <v/>
      </c>
      <c r="BY309" s="78" t="str">
        <f t="shared" si="303"/>
        <v/>
      </c>
      <c r="BZ309" s="79" t="str">
        <f t="shared" si="292"/>
        <v/>
      </c>
      <c r="CA309" s="11"/>
      <c r="CB309" s="33"/>
      <c r="CC309" s="33" t="str">
        <f t="shared" si="291"/>
        <v/>
      </c>
      <c r="CD309" s="33" t="str">
        <f t="shared" si="297"/>
        <v/>
      </c>
      <c r="CE309" s="33" t="str">
        <f>IF(O309&lt;&gt;"",CD309-SUM($CC$44:CC309),"")</f>
        <v/>
      </c>
      <c r="CF309" s="11" t="str">
        <f t="shared" si="304"/>
        <v/>
      </c>
      <c r="CG309" s="11" t="str">
        <f>IF(BU309&lt;&gt;"",IF($B$16=listy!$K$8,'RZĄDOWY PROGRAM'!$F$3*'RZĄDOWY PROGRAM'!$F$15,BZ308*$F$15),"")</f>
        <v/>
      </c>
      <c r="CH309" s="11" t="str">
        <f t="shared" si="305"/>
        <v/>
      </c>
      <c r="CJ309" s="48" t="str">
        <f t="shared" si="278"/>
        <v/>
      </c>
      <c r="CK309" s="18" t="str">
        <f t="shared" si="279"/>
        <v/>
      </c>
      <c r="CL309" s="11" t="str">
        <f t="shared" si="293"/>
        <v/>
      </c>
      <c r="CM309" s="11" t="str">
        <f t="shared" si="280"/>
        <v/>
      </c>
      <c r="CN309" s="11" t="str">
        <f>IF(AB309&lt;&gt;"",CM309-SUM($CL$28:CL309),"")</f>
        <v/>
      </c>
    </row>
    <row r="310" spans="1:92" x14ac:dyDescent="0.45">
      <c r="A310" s="68" t="str">
        <f t="shared" si="252"/>
        <v/>
      </c>
      <c r="B310" s="8" t="str">
        <f t="shared" si="273"/>
        <v/>
      </c>
      <c r="C310" s="11" t="str">
        <f t="shared" si="274"/>
        <v/>
      </c>
      <c r="D310" s="11" t="str">
        <f t="shared" si="275"/>
        <v/>
      </c>
      <c r="E310" s="11" t="str">
        <f t="shared" si="253"/>
        <v/>
      </c>
      <c r="F310" s="9" t="str">
        <f t="shared" si="254"/>
        <v/>
      </c>
      <c r="G310" s="10" t="str">
        <f t="shared" si="255"/>
        <v/>
      </c>
      <c r="H310" s="10" t="str">
        <f t="shared" si="256"/>
        <v/>
      </c>
      <c r="I310" s="48" t="str">
        <f t="shared" si="281"/>
        <v/>
      </c>
      <c r="J310" s="11" t="str">
        <f t="shared" si="276"/>
        <v/>
      </c>
      <c r="K310" s="11" t="str">
        <f>IF(B310&lt;&gt;"",IF($B$16=listy!$K$8,'RZĄDOWY PROGRAM'!$F$3*'RZĄDOWY PROGRAM'!$F$15,F309*$F$15),"")</f>
        <v/>
      </c>
      <c r="L310" s="11" t="str">
        <f t="shared" si="257"/>
        <v/>
      </c>
      <c r="N310" s="54" t="str">
        <f t="shared" si="260"/>
        <v/>
      </c>
      <c r="O310" s="8" t="str">
        <f t="shared" si="282"/>
        <v/>
      </c>
      <c r="P310" s="8"/>
      <c r="Q310" s="11" t="str">
        <f>IF(O310&lt;&gt;"",ROUND(IF($F$11="raty równe",-PMT(W310/12,$F$4-O309+SUM($P$28:P310),T309,2),R310+S310),2),"")</f>
        <v/>
      </c>
      <c r="R310" s="11" t="str">
        <f>IF(O310&lt;&gt;"",IF($F$11="raty malejące",T309/($F$4-O309+SUM($P$28:P310)),IF(Q310-S310&gt;T309,T309,Q310-S310)),"")</f>
        <v/>
      </c>
      <c r="S310" s="11" t="str">
        <f t="shared" si="261"/>
        <v/>
      </c>
      <c r="T310" s="9" t="str">
        <f t="shared" si="262"/>
        <v/>
      </c>
      <c r="U310" s="10" t="str">
        <f t="shared" si="263"/>
        <v/>
      </c>
      <c r="V310" s="10" t="str">
        <f t="shared" si="264"/>
        <v/>
      </c>
      <c r="W310" s="48" t="str">
        <f t="shared" si="283"/>
        <v/>
      </c>
      <c r="X310" s="11" t="str">
        <f t="shared" si="265"/>
        <v/>
      </c>
      <c r="Y310" s="11" t="str">
        <f>IF(O310&lt;&gt;"",IF($B$16=listy!$K$8,'RZĄDOWY PROGRAM'!$F$3*'RZĄDOWY PROGRAM'!$F$15,T309*$F$15),"")</f>
        <v/>
      </c>
      <c r="Z310" s="11" t="str">
        <f t="shared" si="266"/>
        <v/>
      </c>
      <c r="AB310" s="8" t="str">
        <f t="shared" si="267"/>
        <v/>
      </c>
      <c r="AC310" s="8"/>
      <c r="AD310" s="11" t="str">
        <f>IF(AB310&lt;&gt;"",ROUND(IF($F$11="raty równe",-PMT(W310/12,$F$4-AB309+SUM($AC$28:AC310),AG309,2),AE310+AF310),2),"")</f>
        <v/>
      </c>
      <c r="AE310" s="11" t="str">
        <f>IF(AB310&lt;&gt;"",IF($F$11="raty malejące",AG309/($F$4-AB309+SUM($AC$28:AC309)),MIN(AD310-AF310,AG309)),"")</f>
        <v/>
      </c>
      <c r="AF310" s="11" t="str">
        <f t="shared" si="268"/>
        <v/>
      </c>
      <c r="AG310" s="9" t="str">
        <f t="shared" si="269"/>
        <v/>
      </c>
      <c r="AH310" s="11"/>
      <c r="AI310" s="33" t="str">
        <f>IF(AB310&lt;&gt;"",ROUND(IF($F$11="raty równe",-PMT(W310/12,($F$4-AB309+SUM($AC$27:AC309)),AG309,2),AG309/($F$4-AB309+SUM($AC$27:AC309))+AG309*W310/12),2),"")</f>
        <v/>
      </c>
      <c r="AJ310" s="33" t="str">
        <f t="shared" si="270"/>
        <v/>
      </c>
      <c r="AK310" s="33" t="str">
        <f t="shared" si="277"/>
        <v/>
      </c>
      <c r="AL310" s="33" t="str">
        <f>IF(AB310&lt;&gt;"",AK310-SUM($AJ$28:AJ310),"")</f>
        <v/>
      </c>
      <c r="AM310" s="11" t="str">
        <f t="shared" si="271"/>
        <v/>
      </c>
      <c r="AN310" s="11" t="str">
        <f>IF(AB310&lt;&gt;"",IF($B$16=listy!$K$8,'RZĄDOWY PROGRAM'!$F$3*'RZĄDOWY PROGRAM'!$F$15,AG309*$F$15),"")</f>
        <v/>
      </c>
      <c r="AO310" s="11" t="str">
        <f t="shared" si="272"/>
        <v/>
      </c>
      <c r="AQ310" s="8" t="str">
        <f t="shared" si="284"/>
        <v/>
      </c>
      <c r="AR310" s="8"/>
      <c r="AS310" s="78" t="str">
        <f>IF(AQ310&lt;&gt;"",ROUND(IF($F$11="raty równe",-PMT(W310/12,$F$4-AQ309+SUM($AR$28:AR310),AV309,2),AT310+AU310),2),"")</f>
        <v/>
      </c>
      <c r="AT310" s="78" t="str">
        <f>IF(AQ310&lt;&gt;"",IF($F$11="raty malejące",AV309/($F$4-AQ309+SUM($AR$28:AR309)),MIN(AS310-AU310,AV309)),"")</f>
        <v/>
      </c>
      <c r="AU310" s="78" t="str">
        <f t="shared" si="285"/>
        <v/>
      </c>
      <c r="AV310" s="79" t="str">
        <f t="shared" si="286"/>
        <v/>
      </c>
      <c r="AW310" s="11"/>
      <c r="AX310" s="33" t="str">
        <f>IF(AQ310&lt;&gt;"",ROUND(IF($F$11="raty równe",-PMT(W310/12,($F$4-AQ309+SUM($AR$27:AR309)),AV309,2),AV309/($F$4-AQ309+SUM($AR$27:AR309))+AV309*W310/12),2),"")</f>
        <v/>
      </c>
      <c r="AY310" s="33" t="str">
        <f t="shared" si="287"/>
        <v/>
      </c>
      <c r="AZ310" s="33" t="str">
        <f t="shared" si="294"/>
        <v/>
      </c>
      <c r="BA310" s="33" t="str">
        <f>IF(AQ310&lt;&gt;"",AZ310-SUM($AY$44:AY310),"")</f>
        <v/>
      </c>
      <c r="BB310" s="11" t="str">
        <f t="shared" si="288"/>
        <v/>
      </c>
      <c r="BC310" s="11" t="str">
        <f>IF(AQ310&lt;&gt;"",IF($B$16=listy!$K$8,'RZĄDOWY PROGRAM'!$F$3*'RZĄDOWY PROGRAM'!$F$15,AV309*$F$15),"")</f>
        <v/>
      </c>
      <c r="BD310" s="11" t="str">
        <f t="shared" si="289"/>
        <v/>
      </c>
      <c r="BF310" s="8" t="str">
        <f t="shared" si="298"/>
        <v/>
      </c>
      <c r="BG310" s="8"/>
      <c r="BH310" s="78" t="str">
        <f>IF(BF310&lt;&gt;"",ROUND(IF($F$11="raty równe",-PMT(W310/12,$F$4-BF309+SUM(BV$28:$BV310)-SUM($BM$29:BM310),BK309,2),BI310+BJ310),2),"")</f>
        <v/>
      </c>
      <c r="BI310" s="78" t="str">
        <f>IF(BF310&lt;&gt;"",IF($F$11="raty malejące",MIN(BK309/($F$4-BF309+SUM($BG$27:BG310)-SUM($BM$27:BM310)),BK309),MIN(BH310-BJ310,BK309)),"")</f>
        <v/>
      </c>
      <c r="BJ310" s="78" t="str">
        <f t="shared" si="299"/>
        <v/>
      </c>
      <c r="BK310" s="79" t="str">
        <f t="shared" si="300"/>
        <v/>
      </c>
      <c r="BL310" s="11"/>
      <c r="BM310" s="33"/>
      <c r="BN310" s="33" t="str">
        <f t="shared" si="295"/>
        <v/>
      </c>
      <c r="BO310" s="33" t="str">
        <f t="shared" si="296"/>
        <v/>
      </c>
      <c r="BP310" s="33" t="str">
        <f>IF(O310&lt;&gt;"",BO310-SUM($BN$44:BN310),"")</f>
        <v/>
      </c>
      <c r="BQ310" s="11" t="str">
        <f t="shared" si="301"/>
        <v/>
      </c>
      <c r="BR310" s="11" t="str">
        <f>IF(BF310&lt;&gt;"",IF($B$16=listy!$K$8,'RZĄDOWY PROGRAM'!$F$3*'RZĄDOWY PROGRAM'!$F$15,BK309*$F$15),"")</f>
        <v/>
      </c>
      <c r="BS310" s="11" t="str">
        <f t="shared" si="302"/>
        <v/>
      </c>
      <c r="BU310" s="8" t="str">
        <f t="shared" si="290"/>
        <v/>
      </c>
      <c r="BV310" s="8"/>
      <c r="BW310" s="78" t="str">
        <f>IF(BU310&lt;&gt;"",ROUND(IF($F$11="raty równe",-PMT(W310/12,$F$4-BU309+SUM($BV$28:BV310)-$CB$43,BZ309,2),BX310+BY310),2),"")</f>
        <v/>
      </c>
      <c r="BX310" s="78" t="str">
        <f>IF(BU310&lt;&gt;"",IF($F$11="raty malejące",MIN(BZ309/($F$4-BU309+SUM($BV$28:BV309)-SUM($CB$28:CB309)),BZ309),MIN(BW310-BY310,BZ309)),"")</f>
        <v/>
      </c>
      <c r="BY310" s="78" t="str">
        <f t="shared" si="303"/>
        <v/>
      </c>
      <c r="BZ310" s="79" t="str">
        <f t="shared" si="292"/>
        <v/>
      </c>
      <c r="CA310" s="11"/>
      <c r="CB310" s="33"/>
      <c r="CC310" s="33" t="str">
        <f t="shared" si="291"/>
        <v/>
      </c>
      <c r="CD310" s="33" t="str">
        <f t="shared" si="297"/>
        <v/>
      </c>
      <c r="CE310" s="33" t="str">
        <f>IF(O310&lt;&gt;"",CD310-SUM($CC$44:CC310),"")</f>
        <v/>
      </c>
      <c r="CF310" s="11" t="str">
        <f t="shared" si="304"/>
        <v/>
      </c>
      <c r="CG310" s="11" t="str">
        <f>IF(BU310&lt;&gt;"",IF($B$16=listy!$K$8,'RZĄDOWY PROGRAM'!$F$3*'RZĄDOWY PROGRAM'!$F$15,BZ309*$F$15),"")</f>
        <v/>
      </c>
      <c r="CH310" s="11" t="str">
        <f t="shared" si="305"/>
        <v/>
      </c>
      <c r="CJ310" s="48" t="str">
        <f t="shared" si="278"/>
        <v/>
      </c>
      <c r="CK310" s="18" t="str">
        <f t="shared" si="279"/>
        <v/>
      </c>
      <c r="CL310" s="11" t="str">
        <f t="shared" si="293"/>
        <v/>
      </c>
      <c r="CM310" s="11" t="str">
        <f t="shared" si="280"/>
        <v/>
      </c>
      <c r="CN310" s="11" t="str">
        <f>IF(AB310&lt;&gt;"",CM310-SUM($CL$28:CL310),"")</f>
        <v/>
      </c>
    </row>
    <row r="311" spans="1:92" x14ac:dyDescent="0.45">
      <c r="A311" s="68" t="str">
        <f t="shared" si="252"/>
        <v/>
      </c>
      <c r="B311" s="8" t="str">
        <f t="shared" si="273"/>
        <v/>
      </c>
      <c r="C311" s="11" t="str">
        <f t="shared" si="274"/>
        <v/>
      </c>
      <c r="D311" s="11" t="str">
        <f t="shared" si="275"/>
        <v/>
      </c>
      <c r="E311" s="11" t="str">
        <f t="shared" si="253"/>
        <v/>
      </c>
      <c r="F311" s="9" t="str">
        <f t="shared" si="254"/>
        <v/>
      </c>
      <c r="G311" s="10" t="str">
        <f t="shared" si="255"/>
        <v/>
      </c>
      <c r="H311" s="10" t="str">
        <f t="shared" si="256"/>
        <v/>
      </c>
      <c r="I311" s="48" t="str">
        <f t="shared" si="281"/>
        <v/>
      </c>
      <c r="J311" s="11" t="str">
        <f t="shared" si="276"/>
        <v/>
      </c>
      <c r="K311" s="11" t="str">
        <f>IF(B311&lt;&gt;"",IF($B$16=listy!$K$8,'RZĄDOWY PROGRAM'!$F$3*'RZĄDOWY PROGRAM'!$F$15,F310*$F$15),"")</f>
        <v/>
      </c>
      <c r="L311" s="11" t="str">
        <f t="shared" si="257"/>
        <v/>
      </c>
      <c r="N311" s="54" t="str">
        <f t="shared" si="260"/>
        <v/>
      </c>
      <c r="O311" s="8" t="str">
        <f t="shared" si="282"/>
        <v/>
      </c>
      <c r="P311" s="8"/>
      <c r="Q311" s="11" t="str">
        <f>IF(O311&lt;&gt;"",ROUND(IF($F$11="raty równe",-PMT(W311/12,$F$4-O310+SUM($P$28:P311),T310,2),R311+S311),2),"")</f>
        <v/>
      </c>
      <c r="R311" s="11" t="str">
        <f>IF(O311&lt;&gt;"",IF($F$11="raty malejące",T310/($F$4-O310+SUM($P$28:P311)),IF(Q311-S311&gt;T310,T310,Q311-S311)),"")</f>
        <v/>
      </c>
      <c r="S311" s="11" t="str">
        <f t="shared" si="261"/>
        <v/>
      </c>
      <c r="T311" s="9" t="str">
        <f t="shared" si="262"/>
        <v/>
      </c>
      <c r="U311" s="10" t="str">
        <f t="shared" si="263"/>
        <v/>
      </c>
      <c r="V311" s="10" t="str">
        <f t="shared" si="264"/>
        <v/>
      </c>
      <c r="W311" s="48" t="str">
        <f t="shared" si="283"/>
        <v/>
      </c>
      <c r="X311" s="11" t="str">
        <f t="shared" si="265"/>
        <v/>
      </c>
      <c r="Y311" s="11" t="str">
        <f>IF(O311&lt;&gt;"",IF($B$16=listy!$K$8,'RZĄDOWY PROGRAM'!$F$3*'RZĄDOWY PROGRAM'!$F$15,T310*$F$15),"")</f>
        <v/>
      </c>
      <c r="Z311" s="11" t="str">
        <f t="shared" si="266"/>
        <v/>
      </c>
      <c r="AB311" s="8" t="str">
        <f t="shared" si="267"/>
        <v/>
      </c>
      <c r="AC311" s="8"/>
      <c r="AD311" s="11" t="str">
        <f>IF(AB311&lt;&gt;"",ROUND(IF($F$11="raty równe",-PMT(W311/12,$F$4-AB310+SUM($AC$28:AC311),AG310,2),AE311+AF311),2),"")</f>
        <v/>
      </c>
      <c r="AE311" s="11" t="str">
        <f>IF(AB311&lt;&gt;"",IF($F$11="raty malejące",AG310/($F$4-AB310+SUM($AC$28:AC310)),MIN(AD311-AF311,AG310)),"")</f>
        <v/>
      </c>
      <c r="AF311" s="11" t="str">
        <f t="shared" si="268"/>
        <v/>
      </c>
      <c r="AG311" s="9" t="str">
        <f t="shared" si="269"/>
        <v/>
      </c>
      <c r="AH311" s="11"/>
      <c r="AI311" s="33" t="str">
        <f>IF(AB311&lt;&gt;"",ROUND(IF($F$11="raty równe",-PMT(W311/12,($F$4-AB310+SUM($AC$27:AC310)),AG310,2),AG310/($F$4-AB310+SUM($AC$27:AC310))+AG310*W311/12),2),"")</f>
        <v/>
      </c>
      <c r="AJ311" s="33" t="str">
        <f t="shared" si="270"/>
        <v/>
      </c>
      <c r="AK311" s="33" t="str">
        <f t="shared" si="277"/>
        <v/>
      </c>
      <c r="AL311" s="33" t="str">
        <f>IF(AB311&lt;&gt;"",AK311-SUM($AJ$28:AJ311),"")</f>
        <v/>
      </c>
      <c r="AM311" s="11" t="str">
        <f t="shared" si="271"/>
        <v/>
      </c>
      <c r="AN311" s="11" t="str">
        <f>IF(AB311&lt;&gt;"",IF($B$16=listy!$K$8,'RZĄDOWY PROGRAM'!$F$3*'RZĄDOWY PROGRAM'!$F$15,AG310*$F$15),"")</f>
        <v/>
      </c>
      <c r="AO311" s="11" t="str">
        <f t="shared" si="272"/>
        <v/>
      </c>
      <c r="AQ311" s="8" t="str">
        <f t="shared" si="284"/>
        <v/>
      </c>
      <c r="AR311" s="8"/>
      <c r="AS311" s="78" t="str">
        <f>IF(AQ311&lt;&gt;"",ROUND(IF($F$11="raty równe",-PMT(W311/12,$F$4-AQ310+SUM($AR$28:AR311),AV310,2),AT311+AU311),2),"")</f>
        <v/>
      </c>
      <c r="AT311" s="78" t="str">
        <f>IF(AQ311&lt;&gt;"",IF($F$11="raty malejące",AV310/($F$4-AQ310+SUM($AR$28:AR310)),MIN(AS311-AU311,AV310)),"")</f>
        <v/>
      </c>
      <c r="AU311" s="78" t="str">
        <f t="shared" si="285"/>
        <v/>
      </c>
      <c r="AV311" s="79" t="str">
        <f t="shared" si="286"/>
        <v/>
      </c>
      <c r="AW311" s="11"/>
      <c r="AX311" s="33" t="str">
        <f>IF(AQ311&lt;&gt;"",ROUND(IF($F$11="raty równe",-PMT(W311/12,($F$4-AQ310+SUM($AR$27:AR310)),AV310,2),AV310/($F$4-AQ310+SUM($AR$27:AR310))+AV310*W311/12),2),"")</f>
        <v/>
      </c>
      <c r="AY311" s="33" t="str">
        <f t="shared" si="287"/>
        <v/>
      </c>
      <c r="AZ311" s="33" t="str">
        <f t="shared" si="294"/>
        <v/>
      </c>
      <c r="BA311" s="33" t="str">
        <f>IF(AQ311&lt;&gt;"",AZ311-SUM($AY$44:AY311),"")</f>
        <v/>
      </c>
      <c r="BB311" s="11" t="str">
        <f t="shared" si="288"/>
        <v/>
      </c>
      <c r="BC311" s="11" t="str">
        <f>IF(AQ311&lt;&gt;"",IF($B$16=listy!$K$8,'RZĄDOWY PROGRAM'!$F$3*'RZĄDOWY PROGRAM'!$F$15,AV310*$F$15),"")</f>
        <v/>
      </c>
      <c r="BD311" s="11" t="str">
        <f t="shared" si="289"/>
        <v/>
      </c>
      <c r="BF311" s="8" t="str">
        <f t="shared" si="298"/>
        <v/>
      </c>
      <c r="BG311" s="8"/>
      <c r="BH311" s="78" t="str">
        <f>IF(BF311&lt;&gt;"",ROUND(IF($F$11="raty równe",-PMT(W311/12,$F$4-BF310+SUM(BV$28:$BV311)-SUM($BM$29:BM311),BK310,2),BI311+BJ311),2),"")</f>
        <v/>
      </c>
      <c r="BI311" s="78" t="str">
        <f>IF(BF311&lt;&gt;"",IF($F$11="raty malejące",MIN(BK310/($F$4-BF310+SUM($BG$27:BG311)-SUM($BM$27:BM311)),BK310),MIN(BH311-BJ311,BK310)),"")</f>
        <v/>
      </c>
      <c r="BJ311" s="78" t="str">
        <f t="shared" si="299"/>
        <v/>
      </c>
      <c r="BK311" s="79" t="str">
        <f t="shared" si="300"/>
        <v/>
      </c>
      <c r="BL311" s="11"/>
      <c r="BM311" s="33"/>
      <c r="BN311" s="33" t="str">
        <f t="shared" si="295"/>
        <v/>
      </c>
      <c r="BO311" s="33" t="str">
        <f t="shared" si="296"/>
        <v/>
      </c>
      <c r="BP311" s="33" t="str">
        <f>IF(O311&lt;&gt;"",BO311-SUM($BN$44:BN311),"")</f>
        <v/>
      </c>
      <c r="BQ311" s="11" t="str">
        <f t="shared" si="301"/>
        <v/>
      </c>
      <c r="BR311" s="11" t="str">
        <f>IF(BF311&lt;&gt;"",IF($B$16=listy!$K$8,'RZĄDOWY PROGRAM'!$F$3*'RZĄDOWY PROGRAM'!$F$15,BK310*$F$15),"")</f>
        <v/>
      </c>
      <c r="BS311" s="11" t="str">
        <f t="shared" si="302"/>
        <v/>
      </c>
      <c r="BU311" s="8" t="str">
        <f t="shared" si="290"/>
        <v/>
      </c>
      <c r="BV311" s="8"/>
      <c r="BW311" s="78" t="str">
        <f>IF(BU311&lt;&gt;"",ROUND(IF($F$11="raty równe",-PMT(W311/12,$F$4-BU310+SUM($BV$28:BV311)-$CB$43,BZ310,2),BX311+BY311),2),"")</f>
        <v/>
      </c>
      <c r="BX311" s="78" t="str">
        <f>IF(BU311&lt;&gt;"",IF($F$11="raty malejące",MIN(BZ310/($F$4-BU310+SUM($BV$28:BV310)-SUM($CB$28:CB310)),BZ310),MIN(BW311-BY311,BZ310)),"")</f>
        <v/>
      </c>
      <c r="BY311" s="78" t="str">
        <f t="shared" si="303"/>
        <v/>
      </c>
      <c r="BZ311" s="79" t="str">
        <f t="shared" si="292"/>
        <v/>
      </c>
      <c r="CA311" s="11"/>
      <c r="CB311" s="33"/>
      <c r="CC311" s="33" t="str">
        <f t="shared" si="291"/>
        <v/>
      </c>
      <c r="CD311" s="33" t="str">
        <f t="shared" si="297"/>
        <v/>
      </c>
      <c r="CE311" s="33" t="str">
        <f>IF(O311&lt;&gt;"",CD311-SUM($CC$44:CC311),"")</f>
        <v/>
      </c>
      <c r="CF311" s="11" t="str">
        <f t="shared" si="304"/>
        <v/>
      </c>
      <c r="CG311" s="11" t="str">
        <f>IF(BU311&lt;&gt;"",IF($B$16=listy!$K$8,'RZĄDOWY PROGRAM'!$F$3*'RZĄDOWY PROGRAM'!$F$15,BZ310*$F$15),"")</f>
        <v/>
      </c>
      <c r="CH311" s="11" t="str">
        <f t="shared" si="305"/>
        <v/>
      </c>
      <c r="CJ311" s="48" t="str">
        <f t="shared" si="278"/>
        <v/>
      </c>
      <c r="CK311" s="18" t="str">
        <f t="shared" si="279"/>
        <v/>
      </c>
      <c r="CL311" s="11" t="str">
        <f t="shared" si="293"/>
        <v/>
      </c>
      <c r="CM311" s="11" t="str">
        <f t="shared" si="280"/>
        <v/>
      </c>
      <c r="CN311" s="11" t="str">
        <f>IF(AB311&lt;&gt;"",CM311-SUM($CL$28:CL311),"")</f>
        <v/>
      </c>
    </row>
    <row r="312" spans="1:92" x14ac:dyDescent="0.45">
      <c r="A312" s="68" t="str">
        <f t="shared" si="252"/>
        <v/>
      </c>
      <c r="B312" s="8" t="str">
        <f t="shared" si="273"/>
        <v/>
      </c>
      <c r="C312" s="11" t="str">
        <f t="shared" si="274"/>
        <v/>
      </c>
      <c r="D312" s="11" t="str">
        <f t="shared" si="275"/>
        <v/>
      </c>
      <c r="E312" s="11" t="str">
        <f t="shared" si="253"/>
        <v/>
      </c>
      <c r="F312" s="9" t="str">
        <f t="shared" si="254"/>
        <v/>
      </c>
      <c r="G312" s="10" t="str">
        <f t="shared" si="255"/>
        <v/>
      </c>
      <c r="H312" s="10" t="str">
        <f t="shared" si="256"/>
        <v/>
      </c>
      <c r="I312" s="48" t="str">
        <f t="shared" si="281"/>
        <v/>
      </c>
      <c r="J312" s="11" t="str">
        <f t="shared" si="276"/>
        <v/>
      </c>
      <c r="K312" s="11" t="str">
        <f>IF(B312&lt;&gt;"",IF($B$16=listy!$K$8,'RZĄDOWY PROGRAM'!$F$3*'RZĄDOWY PROGRAM'!$F$15,F311*$F$15),"")</f>
        <v/>
      </c>
      <c r="L312" s="11" t="str">
        <f t="shared" si="257"/>
        <v/>
      </c>
      <c r="N312" s="54" t="str">
        <f t="shared" si="260"/>
        <v/>
      </c>
      <c r="O312" s="8" t="str">
        <f t="shared" si="282"/>
        <v/>
      </c>
      <c r="P312" s="8"/>
      <c r="Q312" s="11" t="str">
        <f>IF(O312&lt;&gt;"",ROUND(IF($F$11="raty równe",-PMT(W312/12,$F$4-O311+SUM($P$28:P312),T311,2),R312+S312),2),"")</f>
        <v/>
      </c>
      <c r="R312" s="11" t="str">
        <f>IF(O312&lt;&gt;"",IF($F$11="raty malejące",T311/($F$4-O311+SUM($P$28:P312)),IF(Q312-S312&gt;T311,T311,Q312-S312)),"")</f>
        <v/>
      </c>
      <c r="S312" s="11" t="str">
        <f t="shared" si="261"/>
        <v/>
      </c>
      <c r="T312" s="9" t="str">
        <f t="shared" si="262"/>
        <v/>
      </c>
      <c r="U312" s="10" t="str">
        <f t="shared" si="263"/>
        <v/>
      </c>
      <c r="V312" s="10" t="str">
        <f t="shared" si="264"/>
        <v/>
      </c>
      <c r="W312" s="48" t="str">
        <f t="shared" si="283"/>
        <v/>
      </c>
      <c r="X312" s="11" t="str">
        <f t="shared" si="265"/>
        <v/>
      </c>
      <c r="Y312" s="11" t="str">
        <f>IF(O312&lt;&gt;"",IF($B$16=listy!$K$8,'RZĄDOWY PROGRAM'!$F$3*'RZĄDOWY PROGRAM'!$F$15,T311*$F$15),"")</f>
        <v/>
      </c>
      <c r="Z312" s="11" t="str">
        <f t="shared" si="266"/>
        <v/>
      </c>
      <c r="AB312" s="8" t="str">
        <f t="shared" si="267"/>
        <v/>
      </c>
      <c r="AC312" s="8"/>
      <c r="AD312" s="11" t="str">
        <f>IF(AB312&lt;&gt;"",ROUND(IF($F$11="raty równe",-PMT(W312/12,$F$4-AB311+SUM($AC$28:AC312),AG311,2),AE312+AF312),2),"")</f>
        <v/>
      </c>
      <c r="AE312" s="11" t="str">
        <f>IF(AB312&lt;&gt;"",IF($F$11="raty malejące",AG311/($F$4-AB311+SUM($AC$28:AC311)),MIN(AD312-AF312,AG311)),"")</f>
        <v/>
      </c>
      <c r="AF312" s="11" t="str">
        <f t="shared" si="268"/>
        <v/>
      </c>
      <c r="AG312" s="9" t="str">
        <f t="shared" si="269"/>
        <v/>
      </c>
      <c r="AH312" s="11"/>
      <c r="AI312" s="33" t="str">
        <f>IF(AB312&lt;&gt;"",ROUND(IF($F$11="raty równe",-PMT(W312/12,($F$4-AB311+SUM($AC$27:AC311)),AG311,2),AG311/($F$4-AB311+SUM($AC$27:AC311))+AG311*W312/12),2),"")</f>
        <v/>
      </c>
      <c r="AJ312" s="33" t="str">
        <f t="shared" si="270"/>
        <v/>
      </c>
      <c r="AK312" s="33" t="str">
        <f t="shared" si="277"/>
        <v/>
      </c>
      <c r="AL312" s="33" t="str">
        <f>IF(AB312&lt;&gt;"",AK312-SUM($AJ$28:AJ312),"")</f>
        <v/>
      </c>
      <c r="AM312" s="11" t="str">
        <f t="shared" si="271"/>
        <v/>
      </c>
      <c r="AN312" s="11" t="str">
        <f>IF(AB312&lt;&gt;"",IF($B$16=listy!$K$8,'RZĄDOWY PROGRAM'!$F$3*'RZĄDOWY PROGRAM'!$F$15,AG311*$F$15),"")</f>
        <v/>
      </c>
      <c r="AO312" s="11" t="str">
        <f t="shared" si="272"/>
        <v/>
      </c>
      <c r="AQ312" s="8" t="str">
        <f t="shared" si="284"/>
        <v/>
      </c>
      <c r="AR312" s="8"/>
      <c r="AS312" s="78" t="str">
        <f>IF(AQ312&lt;&gt;"",ROUND(IF($F$11="raty równe",-PMT(W312/12,$F$4-AQ311+SUM($AR$28:AR312),AV311,2),AT312+AU312),2),"")</f>
        <v/>
      </c>
      <c r="AT312" s="78" t="str">
        <f>IF(AQ312&lt;&gt;"",IF($F$11="raty malejące",AV311/($F$4-AQ311+SUM($AR$28:AR311)),MIN(AS312-AU312,AV311)),"")</f>
        <v/>
      </c>
      <c r="AU312" s="78" t="str">
        <f t="shared" si="285"/>
        <v/>
      </c>
      <c r="AV312" s="79" t="str">
        <f t="shared" si="286"/>
        <v/>
      </c>
      <c r="AW312" s="11"/>
      <c r="AX312" s="33" t="str">
        <f>IF(AQ312&lt;&gt;"",ROUND(IF($F$11="raty równe",-PMT(W312/12,($F$4-AQ311+SUM($AR$27:AR311)),AV311,2),AV311/($F$4-AQ311+SUM($AR$27:AR311))+AV311*W312/12),2),"")</f>
        <v/>
      </c>
      <c r="AY312" s="33" t="str">
        <f t="shared" si="287"/>
        <v/>
      </c>
      <c r="AZ312" s="33" t="str">
        <f t="shared" si="294"/>
        <v/>
      </c>
      <c r="BA312" s="33" t="str">
        <f>IF(AQ312&lt;&gt;"",AZ312-SUM($AY$44:AY312),"")</f>
        <v/>
      </c>
      <c r="BB312" s="11" t="str">
        <f t="shared" si="288"/>
        <v/>
      </c>
      <c r="BC312" s="11" t="str">
        <f>IF(AQ312&lt;&gt;"",IF($B$16=listy!$K$8,'RZĄDOWY PROGRAM'!$F$3*'RZĄDOWY PROGRAM'!$F$15,AV311*$F$15),"")</f>
        <v/>
      </c>
      <c r="BD312" s="11" t="str">
        <f t="shared" si="289"/>
        <v/>
      </c>
      <c r="BF312" s="8" t="str">
        <f t="shared" si="298"/>
        <v/>
      </c>
      <c r="BG312" s="8"/>
      <c r="BH312" s="78" t="str">
        <f>IF(BF312&lt;&gt;"",ROUND(IF($F$11="raty równe",-PMT(W312/12,$F$4-BF311+SUM(BV$28:$BV312)-SUM($BM$29:BM312),BK311,2),BI312+BJ312),2),"")</f>
        <v/>
      </c>
      <c r="BI312" s="78" t="str">
        <f>IF(BF312&lt;&gt;"",IF($F$11="raty malejące",MIN(BK311/($F$4-BF311+SUM($BG$27:BG312)-SUM($BM$27:BM312)),BK311),MIN(BH312-BJ312,BK311)),"")</f>
        <v/>
      </c>
      <c r="BJ312" s="78" t="str">
        <f t="shared" si="299"/>
        <v/>
      </c>
      <c r="BK312" s="79" t="str">
        <f t="shared" si="300"/>
        <v/>
      </c>
      <c r="BL312" s="11"/>
      <c r="BM312" s="33"/>
      <c r="BN312" s="33" t="str">
        <f t="shared" si="295"/>
        <v/>
      </c>
      <c r="BO312" s="33" t="str">
        <f t="shared" si="296"/>
        <v/>
      </c>
      <c r="BP312" s="33" t="str">
        <f>IF(O312&lt;&gt;"",BO312-SUM($BN$44:BN312),"")</f>
        <v/>
      </c>
      <c r="BQ312" s="11" t="str">
        <f t="shared" si="301"/>
        <v/>
      </c>
      <c r="BR312" s="11" t="str">
        <f>IF(BF312&lt;&gt;"",IF($B$16=listy!$K$8,'RZĄDOWY PROGRAM'!$F$3*'RZĄDOWY PROGRAM'!$F$15,BK311*$F$15),"")</f>
        <v/>
      </c>
      <c r="BS312" s="11" t="str">
        <f t="shared" si="302"/>
        <v/>
      </c>
      <c r="BU312" s="8" t="str">
        <f t="shared" si="290"/>
        <v/>
      </c>
      <c r="BV312" s="8"/>
      <c r="BW312" s="78" t="str">
        <f>IF(BU312&lt;&gt;"",ROUND(IF($F$11="raty równe",-PMT(W312/12,$F$4-BU311+SUM($BV$28:BV312)-$CB$43,BZ311,2),BX312+BY312),2),"")</f>
        <v/>
      </c>
      <c r="BX312" s="78" t="str">
        <f>IF(BU312&lt;&gt;"",IF($F$11="raty malejące",MIN(BZ311/($F$4-BU311+SUM($BV$28:BV311)-SUM($CB$28:CB311)),BZ311),MIN(BW312-BY312,BZ311)),"")</f>
        <v/>
      </c>
      <c r="BY312" s="78" t="str">
        <f t="shared" si="303"/>
        <v/>
      </c>
      <c r="BZ312" s="79" t="str">
        <f t="shared" si="292"/>
        <v/>
      </c>
      <c r="CA312" s="11"/>
      <c r="CB312" s="33"/>
      <c r="CC312" s="33" t="str">
        <f t="shared" si="291"/>
        <v/>
      </c>
      <c r="CD312" s="33" t="str">
        <f t="shared" si="297"/>
        <v/>
      </c>
      <c r="CE312" s="33" t="str">
        <f>IF(O312&lt;&gt;"",CD312-SUM($CC$44:CC312),"")</f>
        <v/>
      </c>
      <c r="CF312" s="11" t="str">
        <f t="shared" si="304"/>
        <v/>
      </c>
      <c r="CG312" s="11" t="str">
        <f>IF(BU312&lt;&gt;"",IF($B$16=listy!$K$8,'RZĄDOWY PROGRAM'!$F$3*'RZĄDOWY PROGRAM'!$F$15,BZ311*$F$15),"")</f>
        <v/>
      </c>
      <c r="CH312" s="11" t="str">
        <f t="shared" si="305"/>
        <v/>
      </c>
      <c r="CJ312" s="48" t="str">
        <f t="shared" si="278"/>
        <v/>
      </c>
      <c r="CK312" s="18" t="str">
        <f t="shared" si="279"/>
        <v/>
      </c>
      <c r="CL312" s="11" t="str">
        <f t="shared" si="293"/>
        <v/>
      </c>
      <c r="CM312" s="11" t="str">
        <f t="shared" si="280"/>
        <v/>
      </c>
      <c r="CN312" s="11" t="str">
        <f>IF(AB312&lt;&gt;"",CM312-SUM($CL$28:CL312),"")</f>
        <v/>
      </c>
    </row>
    <row r="313" spans="1:92" x14ac:dyDescent="0.45">
      <c r="A313" s="68" t="str">
        <f t="shared" si="252"/>
        <v/>
      </c>
      <c r="B313" s="8" t="str">
        <f t="shared" si="273"/>
        <v/>
      </c>
      <c r="C313" s="11" t="str">
        <f t="shared" si="274"/>
        <v/>
      </c>
      <c r="D313" s="11" t="str">
        <f t="shared" si="275"/>
        <v/>
      </c>
      <c r="E313" s="11" t="str">
        <f t="shared" si="253"/>
        <v/>
      </c>
      <c r="F313" s="9" t="str">
        <f t="shared" si="254"/>
        <v/>
      </c>
      <c r="G313" s="10" t="str">
        <f t="shared" si="255"/>
        <v/>
      </c>
      <c r="H313" s="10" t="str">
        <f t="shared" si="256"/>
        <v/>
      </c>
      <c r="I313" s="48" t="str">
        <f t="shared" si="281"/>
        <v/>
      </c>
      <c r="J313" s="11" t="str">
        <f t="shared" si="276"/>
        <v/>
      </c>
      <c r="K313" s="11" t="str">
        <f>IF(B313&lt;&gt;"",IF($B$16=listy!$K$8,'RZĄDOWY PROGRAM'!$F$3*'RZĄDOWY PROGRAM'!$F$15,F312*$F$15),"")</f>
        <v/>
      </c>
      <c r="L313" s="11" t="str">
        <f t="shared" si="257"/>
        <v/>
      </c>
      <c r="N313" s="54" t="str">
        <f t="shared" si="260"/>
        <v/>
      </c>
      <c r="O313" s="8" t="str">
        <f t="shared" si="282"/>
        <v/>
      </c>
      <c r="P313" s="8"/>
      <c r="Q313" s="11" t="str">
        <f>IF(O313&lt;&gt;"",ROUND(IF($F$11="raty równe",-PMT(W313/12,$F$4-O312+SUM($P$28:P313),T312,2),R313+S313),2),"")</f>
        <v/>
      </c>
      <c r="R313" s="11" t="str">
        <f>IF(O313&lt;&gt;"",IF($F$11="raty malejące",T312/($F$4-O312+SUM($P$28:P313)),IF(Q313-S313&gt;T312,T312,Q313-S313)),"")</f>
        <v/>
      </c>
      <c r="S313" s="11" t="str">
        <f t="shared" si="261"/>
        <v/>
      </c>
      <c r="T313" s="9" t="str">
        <f t="shared" si="262"/>
        <v/>
      </c>
      <c r="U313" s="10" t="str">
        <f t="shared" si="263"/>
        <v/>
      </c>
      <c r="V313" s="10" t="str">
        <f t="shared" si="264"/>
        <v/>
      </c>
      <c r="W313" s="48" t="str">
        <f t="shared" si="283"/>
        <v/>
      </c>
      <c r="X313" s="11" t="str">
        <f t="shared" si="265"/>
        <v/>
      </c>
      <c r="Y313" s="11" t="str">
        <f>IF(O313&lt;&gt;"",IF($B$16=listy!$K$8,'RZĄDOWY PROGRAM'!$F$3*'RZĄDOWY PROGRAM'!$F$15,T312*$F$15),"")</f>
        <v/>
      </c>
      <c r="Z313" s="11" t="str">
        <f t="shared" si="266"/>
        <v/>
      </c>
      <c r="AB313" s="8" t="str">
        <f t="shared" si="267"/>
        <v/>
      </c>
      <c r="AC313" s="8"/>
      <c r="AD313" s="11" t="str">
        <f>IF(AB313&lt;&gt;"",ROUND(IF($F$11="raty równe",-PMT(W313/12,$F$4-AB312+SUM($AC$28:AC313),AG312,2),AE313+AF313),2),"")</f>
        <v/>
      </c>
      <c r="AE313" s="11" t="str">
        <f>IF(AB313&lt;&gt;"",IF($F$11="raty malejące",AG312/($F$4-AB312+SUM($AC$28:AC312)),MIN(AD313-AF313,AG312)),"")</f>
        <v/>
      </c>
      <c r="AF313" s="11" t="str">
        <f t="shared" si="268"/>
        <v/>
      </c>
      <c r="AG313" s="9" t="str">
        <f t="shared" si="269"/>
        <v/>
      </c>
      <c r="AH313" s="11"/>
      <c r="AI313" s="33" t="str">
        <f>IF(AB313&lt;&gt;"",ROUND(IF($F$11="raty równe",-PMT(W313/12,($F$4-AB312+SUM($AC$27:AC312)),AG312,2),AG312/($F$4-AB312+SUM($AC$27:AC312))+AG312*W313/12),2),"")</f>
        <v/>
      </c>
      <c r="AJ313" s="33" t="str">
        <f t="shared" si="270"/>
        <v/>
      </c>
      <c r="AK313" s="33" t="str">
        <f t="shared" si="277"/>
        <v/>
      </c>
      <c r="AL313" s="33" t="str">
        <f>IF(AB313&lt;&gt;"",AK313-SUM($AJ$28:AJ313),"")</f>
        <v/>
      </c>
      <c r="AM313" s="11" t="str">
        <f t="shared" si="271"/>
        <v/>
      </c>
      <c r="AN313" s="11" t="str">
        <f>IF(AB313&lt;&gt;"",IF($B$16=listy!$K$8,'RZĄDOWY PROGRAM'!$F$3*'RZĄDOWY PROGRAM'!$F$15,AG312*$F$15),"")</f>
        <v/>
      </c>
      <c r="AO313" s="11" t="str">
        <f t="shared" si="272"/>
        <v/>
      </c>
      <c r="AQ313" s="8" t="str">
        <f t="shared" si="284"/>
        <v/>
      </c>
      <c r="AR313" s="8"/>
      <c r="AS313" s="78" t="str">
        <f>IF(AQ313&lt;&gt;"",ROUND(IF($F$11="raty równe",-PMT(W313/12,$F$4-AQ312+SUM($AR$28:AR313),AV312,2),AT313+AU313),2),"")</f>
        <v/>
      </c>
      <c r="AT313" s="78" t="str">
        <f>IF(AQ313&lt;&gt;"",IF($F$11="raty malejące",AV312/($F$4-AQ312+SUM($AR$28:AR312)),MIN(AS313-AU313,AV312)),"")</f>
        <v/>
      </c>
      <c r="AU313" s="78" t="str">
        <f t="shared" si="285"/>
        <v/>
      </c>
      <c r="AV313" s="79" t="str">
        <f t="shared" si="286"/>
        <v/>
      </c>
      <c r="AW313" s="11"/>
      <c r="AX313" s="33" t="str">
        <f>IF(AQ313&lt;&gt;"",ROUND(IF($F$11="raty równe",-PMT(W313/12,($F$4-AQ312+SUM($AR$27:AR312)),AV312,2),AV312/($F$4-AQ312+SUM($AR$27:AR312))+AV312*W313/12),2),"")</f>
        <v/>
      </c>
      <c r="AY313" s="33" t="str">
        <f t="shared" si="287"/>
        <v/>
      </c>
      <c r="AZ313" s="33" t="str">
        <f t="shared" si="294"/>
        <v/>
      </c>
      <c r="BA313" s="33" t="str">
        <f>IF(AQ313&lt;&gt;"",AZ313-SUM($AY$44:AY313),"")</f>
        <v/>
      </c>
      <c r="BB313" s="11" t="str">
        <f t="shared" si="288"/>
        <v/>
      </c>
      <c r="BC313" s="11" t="str">
        <f>IF(AQ313&lt;&gt;"",IF($B$16=listy!$K$8,'RZĄDOWY PROGRAM'!$F$3*'RZĄDOWY PROGRAM'!$F$15,AV312*$F$15),"")</f>
        <v/>
      </c>
      <c r="BD313" s="11" t="str">
        <f t="shared" si="289"/>
        <v/>
      </c>
      <c r="BF313" s="8" t="str">
        <f t="shared" si="298"/>
        <v/>
      </c>
      <c r="BG313" s="8"/>
      <c r="BH313" s="78" t="str">
        <f>IF(BF313&lt;&gt;"",ROUND(IF($F$11="raty równe",-PMT(W313/12,$F$4-BF312+SUM(BV$28:$BV313)-SUM($BM$29:BM313),BK312,2),BI313+BJ313),2),"")</f>
        <v/>
      </c>
      <c r="BI313" s="78" t="str">
        <f>IF(BF313&lt;&gt;"",IF($F$11="raty malejące",MIN(BK312/($F$4-BF312+SUM($BG$27:BG313)-SUM($BM$27:BM313)),BK312),MIN(BH313-BJ313,BK312)),"")</f>
        <v/>
      </c>
      <c r="BJ313" s="78" t="str">
        <f t="shared" si="299"/>
        <v/>
      </c>
      <c r="BK313" s="79" t="str">
        <f t="shared" si="300"/>
        <v/>
      </c>
      <c r="BL313" s="11"/>
      <c r="BM313" s="33"/>
      <c r="BN313" s="33" t="str">
        <f t="shared" si="295"/>
        <v/>
      </c>
      <c r="BO313" s="33" t="str">
        <f t="shared" si="296"/>
        <v/>
      </c>
      <c r="BP313" s="33" t="str">
        <f>IF(O313&lt;&gt;"",BO313-SUM($BN$44:BN313),"")</f>
        <v/>
      </c>
      <c r="BQ313" s="11" t="str">
        <f t="shared" si="301"/>
        <v/>
      </c>
      <c r="BR313" s="11" t="str">
        <f>IF(BF313&lt;&gt;"",IF($B$16=listy!$K$8,'RZĄDOWY PROGRAM'!$F$3*'RZĄDOWY PROGRAM'!$F$15,BK312*$F$15),"")</f>
        <v/>
      </c>
      <c r="BS313" s="11" t="str">
        <f t="shared" si="302"/>
        <v/>
      </c>
      <c r="BU313" s="8" t="str">
        <f t="shared" si="290"/>
        <v/>
      </c>
      <c r="BV313" s="8"/>
      <c r="BW313" s="78" t="str">
        <f>IF(BU313&lt;&gt;"",ROUND(IF($F$11="raty równe",-PMT(W313/12,$F$4-BU312+SUM($BV$28:BV313)-$CB$43,BZ312,2),BX313+BY313),2),"")</f>
        <v/>
      </c>
      <c r="BX313" s="78" t="str">
        <f>IF(BU313&lt;&gt;"",IF($F$11="raty malejące",MIN(BZ312/($F$4-BU312+SUM($BV$28:BV312)-SUM($CB$28:CB312)),BZ312),MIN(BW313-BY313,BZ312)),"")</f>
        <v/>
      </c>
      <c r="BY313" s="78" t="str">
        <f t="shared" si="303"/>
        <v/>
      </c>
      <c r="BZ313" s="79" t="str">
        <f t="shared" si="292"/>
        <v/>
      </c>
      <c r="CA313" s="11"/>
      <c r="CB313" s="33"/>
      <c r="CC313" s="33" t="str">
        <f t="shared" si="291"/>
        <v/>
      </c>
      <c r="CD313" s="33" t="str">
        <f t="shared" si="297"/>
        <v/>
      </c>
      <c r="CE313" s="33" t="str">
        <f>IF(O313&lt;&gt;"",CD313-SUM($CC$44:CC313),"")</f>
        <v/>
      </c>
      <c r="CF313" s="11" t="str">
        <f t="shared" si="304"/>
        <v/>
      </c>
      <c r="CG313" s="11" t="str">
        <f>IF(BU313&lt;&gt;"",IF($B$16=listy!$K$8,'RZĄDOWY PROGRAM'!$F$3*'RZĄDOWY PROGRAM'!$F$15,BZ312*$F$15),"")</f>
        <v/>
      </c>
      <c r="CH313" s="11" t="str">
        <f t="shared" si="305"/>
        <v/>
      </c>
      <c r="CJ313" s="48" t="str">
        <f t="shared" si="278"/>
        <v/>
      </c>
      <c r="CK313" s="18" t="str">
        <f t="shared" si="279"/>
        <v/>
      </c>
      <c r="CL313" s="11" t="str">
        <f t="shared" si="293"/>
        <v/>
      </c>
      <c r="CM313" s="11" t="str">
        <f t="shared" si="280"/>
        <v/>
      </c>
      <c r="CN313" s="11" t="str">
        <f>IF(AB313&lt;&gt;"",CM313-SUM($CL$28:CL313),"")</f>
        <v/>
      </c>
    </row>
    <row r="314" spans="1:92" x14ac:dyDescent="0.45">
      <c r="A314" s="68" t="str">
        <f t="shared" si="252"/>
        <v/>
      </c>
      <c r="B314" s="8" t="str">
        <f t="shared" si="273"/>
        <v/>
      </c>
      <c r="C314" s="11" t="str">
        <f t="shared" si="274"/>
        <v/>
      </c>
      <c r="D314" s="11" t="str">
        <f t="shared" si="275"/>
        <v/>
      </c>
      <c r="E314" s="11" t="str">
        <f t="shared" si="253"/>
        <v/>
      </c>
      <c r="F314" s="9" t="str">
        <f t="shared" si="254"/>
        <v/>
      </c>
      <c r="G314" s="10" t="str">
        <f t="shared" si="255"/>
        <v/>
      </c>
      <c r="H314" s="10" t="str">
        <f t="shared" si="256"/>
        <v/>
      </c>
      <c r="I314" s="48" t="str">
        <f t="shared" si="281"/>
        <v/>
      </c>
      <c r="J314" s="11" t="str">
        <f t="shared" si="276"/>
        <v/>
      </c>
      <c r="K314" s="11" t="str">
        <f>IF(B314&lt;&gt;"",IF($B$16=listy!$K$8,'RZĄDOWY PROGRAM'!$F$3*'RZĄDOWY PROGRAM'!$F$15,F313*$F$15),"")</f>
        <v/>
      </c>
      <c r="L314" s="11" t="str">
        <f t="shared" si="257"/>
        <v/>
      </c>
      <c r="N314" s="54" t="str">
        <f t="shared" si="260"/>
        <v/>
      </c>
      <c r="O314" s="8" t="str">
        <f t="shared" si="282"/>
        <v/>
      </c>
      <c r="P314" s="8"/>
      <c r="Q314" s="11" t="str">
        <f>IF(O314&lt;&gt;"",ROUND(IF($F$11="raty równe",-PMT(W314/12,$F$4-O313+SUM($P$28:P314),T313,2),R314+S314),2),"")</f>
        <v/>
      </c>
      <c r="R314" s="11" t="str">
        <f>IF(O314&lt;&gt;"",IF($F$11="raty malejące",T313/($F$4-O313+SUM($P$28:P314)),IF(Q314-S314&gt;T313,T313,Q314-S314)),"")</f>
        <v/>
      </c>
      <c r="S314" s="11" t="str">
        <f t="shared" si="261"/>
        <v/>
      </c>
      <c r="T314" s="9" t="str">
        <f t="shared" si="262"/>
        <v/>
      </c>
      <c r="U314" s="10" t="str">
        <f t="shared" si="263"/>
        <v/>
      </c>
      <c r="V314" s="10" t="str">
        <f t="shared" si="264"/>
        <v/>
      </c>
      <c r="W314" s="48" t="str">
        <f t="shared" si="283"/>
        <v/>
      </c>
      <c r="X314" s="11" t="str">
        <f t="shared" si="265"/>
        <v/>
      </c>
      <c r="Y314" s="11" t="str">
        <f>IF(O314&lt;&gt;"",IF($B$16=listy!$K$8,'RZĄDOWY PROGRAM'!$F$3*'RZĄDOWY PROGRAM'!$F$15,T313*$F$15),"")</f>
        <v/>
      </c>
      <c r="Z314" s="11" t="str">
        <f t="shared" si="266"/>
        <v/>
      </c>
      <c r="AB314" s="8" t="str">
        <f t="shared" si="267"/>
        <v/>
      </c>
      <c r="AC314" s="8"/>
      <c r="AD314" s="11" t="str">
        <f>IF(AB314&lt;&gt;"",ROUND(IF($F$11="raty równe",-PMT(W314/12,$F$4-AB313+SUM($AC$28:AC314),AG313,2),AE314+AF314),2),"")</f>
        <v/>
      </c>
      <c r="AE314" s="11" t="str">
        <f>IF(AB314&lt;&gt;"",IF($F$11="raty malejące",AG313/($F$4-AB313+SUM($AC$28:AC313)),MIN(AD314-AF314,AG313)),"")</f>
        <v/>
      </c>
      <c r="AF314" s="11" t="str">
        <f t="shared" si="268"/>
        <v/>
      </c>
      <c r="AG314" s="9" t="str">
        <f t="shared" si="269"/>
        <v/>
      </c>
      <c r="AH314" s="11"/>
      <c r="AI314" s="33" t="str">
        <f>IF(AB314&lt;&gt;"",ROUND(IF($F$11="raty równe",-PMT(W314/12,($F$4-AB313+SUM($AC$27:AC313)),AG313,2),AG313/($F$4-AB313+SUM($AC$27:AC313))+AG313*W314/12),2),"")</f>
        <v/>
      </c>
      <c r="AJ314" s="33" t="str">
        <f t="shared" si="270"/>
        <v/>
      </c>
      <c r="AK314" s="33" t="str">
        <f t="shared" si="277"/>
        <v/>
      </c>
      <c r="AL314" s="33" t="str">
        <f>IF(AB314&lt;&gt;"",AK314-SUM($AJ$28:AJ314),"")</f>
        <v/>
      </c>
      <c r="AM314" s="11" t="str">
        <f t="shared" si="271"/>
        <v/>
      </c>
      <c r="AN314" s="11" t="str">
        <f>IF(AB314&lt;&gt;"",IF($B$16=listy!$K$8,'RZĄDOWY PROGRAM'!$F$3*'RZĄDOWY PROGRAM'!$F$15,AG313*$F$15),"")</f>
        <v/>
      </c>
      <c r="AO314" s="11" t="str">
        <f t="shared" si="272"/>
        <v/>
      </c>
      <c r="AQ314" s="8" t="str">
        <f t="shared" si="284"/>
        <v/>
      </c>
      <c r="AR314" s="8"/>
      <c r="AS314" s="78" t="str">
        <f>IF(AQ314&lt;&gt;"",ROUND(IF($F$11="raty równe",-PMT(W314/12,$F$4-AQ313+SUM($AR$28:AR314),AV313,2),AT314+AU314),2),"")</f>
        <v/>
      </c>
      <c r="AT314" s="78" t="str">
        <f>IF(AQ314&lt;&gt;"",IF($F$11="raty malejące",AV313/($F$4-AQ313+SUM($AR$28:AR313)),MIN(AS314-AU314,AV313)),"")</f>
        <v/>
      </c>
      <c r="AU314" s="78" t="str">
        <f t="shared" si="285"/>
        <v/>
      </c>
      <c r="AV314" s="79" t="str">
        <f t="shared" si="286"/>
        <v/>
      </c>
      <c r="AW314" s="11"/>
      <c r="AX314" s="33" t="str">
        <f>IF(AQ314&lt;&gt;"",ROUND(IF($F$11="raty równe",-PMT(W314/12,($F$4-AQ313+SUM($AR$27:AR313)),AV313,2),AV313/($F$4-AQ313+SUM($AR$27:AR313))+AV313*W314/12),2),"")</f>
        <v/>
      </c>
      <c r="AY314" s="33" t="str">
        <f t="shared" si="287"/>
        <v/>
      </c>
      <c r="AZ314" s="33" t="str">
        <f t="shared" si="294"/>
        <v/>
      </c>
      <c r="BA314" s="33" t="str">
        <f>IF(AQ314&lt;&gt;"",AZ314-SUM($AY$44:AY314),"")</f>
        <v/>
      </c>
      <c r="BB314" s="11" t="str">
        <f t="shared" si="288"/>
        <v/>
      </c>
      <c r="BC314" s="11" t="str">
        <f>IF(AQ314&lt;&gt;"",IF($B$16=listy!$K$8,'RZĄDOWY PROGRAM'!$F$3*'RZĄDOWY PROGRAM'!$F$15,AV313*$F$15),"")</f>
        <v/>
      </c>
      <c r="BD314" s="11" t="str">
        <f t="shared" si="289"/>
        <v/>
      </c>
      <c r="BF314" s="8" t="str">
        <f t="shared" si="298"/>
        <v/>
      </c>
      <c r="BG314" s="8"/>
      <c r="BH314" s="78" t="str">
        <f>IF(BF314&lt;&gt;"",ROUND(IF($F$11="raty równe",-PMT(W314/12,$F$4-BF313+SUM(BV$28:$BV314)-SUM($BM$29:BM314),BK313,2),BI314+BJ314),2),"")</f>
        <v/>
      </c>
      <c r="BI314" s="78" t="str">
        <f>IF(BF314&lt;&gt;"",IF($F$11="raty malejące",MIN(BK313/($F$4-BF313+SUM($BG$27:BG314)-SUM($BM$27:BM314)),BK313),MIN(BH314-BJ314,BK313)),"")</f>
        <v/>
      </c>
      <c r="BJ314" s="78" t="str">
        <f t="shared" si="299"/>
        <v/>
      </c>
      <c r="BK314" s="79" t="str">
        <f t="shared" si="300"/>
        <v/>
      </c>
      <c r="BL314" s="11"/>
      <c r="BM314" s="33"/>
      <c r="BN314" s="33" t="str">
        <f t="shared" si="295"/>
        <v/>
      </c>
      <c r="BO314" s="33" t="str">
        <f t="shared" si="296"/>
        <v/>
      </c>
      <c r="BP314" s="33" t="str">
        <f>IF(O314&lt;&gt;"",BO314-SUM($BN$44:BN314),"")</f>
        <v/>
      </c>
      <c r="BQ314" s="11" t="str">
        <f t="shared" si="301"/>
        <v/>
      </c>
      <c r="BR314" s="11" t="str">
        <f>IF(BF314&lt;&gt;"",IF($B$16=listy!$K$8,'RZĄDOWY PROGRAM'!$F$3*'RZĄDOWY PROGRAM'!$F$15,BK313*$F$15),"")</f>
        <v/>
      </c>
      <c r="BS314" s="11" t="str">
        <f t="shared" si="302"/>
        <v/>
      </c>
      <c r="BU314" s="8" t="str">
        <f t="shared" si="290"/>
        <v/>
      </c>
      <c r="BV314" s="8"/>
      <c r="BW314" s="78" t="str">
        <f>IF(BU314&lt;&gt;"",ROUND(IF($F$11="raty równe",-PMT(W314/12,$F$4-BU313+SUM($BV$28:BV314)-$CB$43,BZ313,2),BX314+BY314),2),"")</f>
        <v/>
      </c>
      <c r="BX314" s="78" t="str">
        <f>IF(BU314&lt;&gt;"",IF($F$11="raty malejące",MIN(BZ313/($F$4-BU313+SUM($BV$28:BV313)-SUM($CB$28:CB313)),BZ313),MIN(BW314-BY314,BZ313)),"")</f>
        <v/>
      </c>
      <c r="BY314" s="78" t="str">
        <f t="shared" si="303"/>
        <v/>
      </c>
      <c r="BZ314" s="79" t="str">
        <f t="shared" si="292"/>
        <v/>
      </c>
      <c r="CA314" s="11"/>
      <c r="CB314" s="33"/>
      <c r="CC314" s="33" t="str">
        <f t="shared" si="291"/>
        <v/>
      </c>
      <c r="CD314" s="33" t="str">
        <f t="shared" si="297"/>
        <v/>
      </c>
      <c r="CE314" s="33" t="str">
        <f>IF(O314&lt;&gt;"",CD314-SUM($CC$44:CC314),"")</f>
        <v/>
      </c>
      <c r="CF314" s="11" t="str">
        <f t="shared" si="304"/>
        <v/>
      </c>
      <c r="CG314" s="11" t="str">
        <f>IF(BU314&lt;&gt;"",IF($B$16=listy!$K$8,'RZĄDOWY PROGRAM'!$F$3*'RZĄDOWY PROGRAM'!$F$15,BZ313*$F$15),"")</f>
        <v/>
      </c>
      <c r="CH314" s="11" t="str">
        <f t="shared" si="305"/>
        <v/>
      </c>
      <c r="CJ314" s="48" t="str">
        <f t="shared" si="278"/>
        <v/>
      </c>
      <c r="CK314" s="18" t="str">
        <f t="shared" si="279"/>
        <v/>
      </c>
      <c r="CL314" s="11" t="str">
        <f t="shared" si="293"/>
        <v/>
      </c>
      <c r="CM314" s="11" t="str">
        <f t="shared" si="280"/>
        <v/>
      </c>
      <c r="CN314" s="11" t="str">
        <f>IF(AB314&lt;&gt;"",CM314-SUM($CL$28:CL314),"")</f>
        <v/>
      </c>
    </row>
    <row r="315" spans="1:92" x14ac:dyDescent="0.45">
      <c r="A315" s="68" t="str">
        <f t="shared" si="252"/>
        <v/>
      </c>
      <c r="B315" s="8" t="str">
        <f t="shared" si="273"/>
        <v/>
      </c>
      <c r="C315" s="11" t="str">
        <f t="shared" si="274"/>
        <v/>
      </c>
      <c r="D315" s="11" t="str">
        <f t="shared" si="275"/>
        <v/>
      </c>
      <c r="E315" s="11" t="str">
        <f t="shared" si="253"/>
        <v/>
      </c>
      <c r="F315" s="9" t="str">
        <f t="shared" si="254"/>
        <v/>
      </c>
      <c r="G315" s="10" t="str">
        <f t="shared" si="255"/>
        <v/>
      </c>
      <c r="H315" s="10" t="str">
        <f t="shared" si="256"/>
        <v/>
      </c>
      <c r="I315" s="48" t="str">
        <f t="shared" si="281"/>
        <v/>
      </c>
      <c r="J315" s="11" t="str">
        <f t="shared" si="276"/>
        <v/>
      </c>
      <c r="K315" s="11" t="str">
        <f>IF(B315&lt;&gt;"",IF($B$16=listy!$K$8,'RZĄDOWY PROGRAM'!$F$3*'RZĄDOWY PROGRAM'!$F$15,F314*$F$15),"")</f>
        <v/>
      </c>
      <c r="L315" s="11" t="str">
        <f t="shared" si="257"/>
        <v/>
      </c>
      <c r="N315" s="54" t="str">
        <f t="shared" si="260"/>
        <v/>
      </c>
      <c r="O315" s="8" t="str">
        <f t="shared" si="282"/>
        <v/>
      </c>
      <c r="P315" s="8"/>
      <c r="Q315" s="11" t="str">
        <f>IF(O315&lt;&gt;"",ROUND(IF($F$11="raty równe",-PMT(W315/12,$F$4-O314+SUM($P$28:P315),T314,2),R315+S315),2),"")</f>
        <v/>
      </c>
      <c r="R315" s="11" t="str">
        <f>IF(O315&lt;&gt;"",IF($F$11="raty malejące",T314/($F$4-O314+SUM($P$28:P315)),IF(Q315-S315&gt;T314,T314,Q315-S315)),"")</f>
        <v/>
      </c>
      <c r="S315" s="11" t="str">
        <f t="shared" si="261"/>
        <v/>
      </c>
      <c r="T315" s="9" t="str">
        <f t="shared" si="262"/>
        <v/>
      </c>
      <c r="U315" s="10" t="str">
        <f t="shared" si="263"/>
        <v/>
      </c>
      <c r="V315" s="10" t="str">
        <f t="shared" si="264"/>
        <v/>
      </c>
      <c r="W315" s="48" t="str">
        <f t="shared" si="283"/>
        <v/>
      </c>
      <c r="X315" s="11" t="str">
        <f t="shared" si="265"/>
        <v/>
      </c>
      <c r="Y315" s="11" t="str">
        <f>IF(O315&lt;&gt;"",IF($B$16=listy!$K$8,'RZĄDOWY PROGRAM'!$F$3*'RZĄDOWY PROGRAM'!$F$15,T314*$F$15),"")</f>
        <v/>
      </c>
      <c r="Z315" s="11" t="str">
        <f t="shared" si="266"/>
        <v/>
      </c>
      <c r="AB315" s="8" t="str">
        <f t="shared" si="267"/>
        <v/>
      </c>
      <c r="AC315" s="8"/>
      <c r="AD315" s="11" t="str">
        <f>IF(AB315&lt;&gt;"",ROUND(IF($F$11="raty równe",-PMT(W315/12,$F$4-AB314+SUM($AC$28:AC315),AG314,2),AE315+AF315),2),"")</f>
        <v/>
      </c>
      <c r="AE315" s="11" t="str">
        <f>IF(AB315&lt;&gt;"",IF($F$11="raty malejące",AG314/($F$4-AB314+SUM($AC$28:AC314)),MIN(AD315-AF315,AG314)),"")</f>
        <v/>
      </c>
      <c r="AF315" s="11" t="str">
        <f t="shared" si="268"/>
        <v/>
      </c>
      <c r="AG315" s="9" t="str">
        <f t="shared" si="269"/>
        <v/>
      </c>
      <c r="AH315" s="11"/>
      <c r="AI315" s="33" t="str">
        <f>IF(AB315&lt;&gt;"",ROUND(IF($F$11="raty równe",-PMT(W315/12,($F$4-AB314+SUM($AC$27:AC314)),AG314,2),AG314/($F$4-AB314+SUM($AC$27:AC314))+AG314*W315/12),2),"")</f>
        <v/>
      </c>
      <c r="AJ315" s="33" t="str">
        <f t="shared" si="270"/>
        <v/>
      </c>
      <c r="AK315" s="33" t="str">
        <f t="shared" si="277"/>
        <v/>
      </c>
      <c r="AL315" s="33" t="str">
        <f>IF(AB315&lt;&gt;"",AK315-SUM($AJ$28:AJ315),"")</f>
        <v/>
      </c>
      <c r="AM315" s="11" t="str">
        <f t="shared" si="271"/>
        <v/>
      </c>
      <c r="AN315" s="11" t="str">
        <f>IF(AB315&lt;&gt;"",IF($B$16=listy!$K$8,'RZĄDOWY PROGRAM'!$F$3*'RZĄDOWY PROGRAM'!$F$15,AG314*$F$15),"")</f>
        <v/>
      </c>
      <c r="AO315" s="11" t="str">
        <f t="shared" si="272"/>
        <v/>
      </c>
      <c r="AQ315" s="8" t="str">
        <f t="shared" si="284"/>
        <v/>
      </c>
      <c r="AR315" s="8"/>
      <c r="AS315" s="78" t="str">
        <f>IF(AQ315&lt;&gt;"",ROUND(IF($F$11="raty równe",-PMT(W315/12,$F$4-AQ314+SUM($AR$28:AR315),AV314,2),AT315+AU315),2),"")</f>
        <v/>
      </c>
      <c r="AT315" s="78" t="str">
        <f>IF(AQ315&lt;&gt;"",IF($F$11="raty malejące",AV314/($F$4-AQ314+SUM($AR$28:AR314)),MIN(AS315-AU315,AV314)),"")</f>
        <v/>
      </c>
      <c r="AU315" s="78" t="str">
        <f t="shared" si="285"/>
        <v/>
      </c>
      <c r="AV315" s="79" t="str">
        <f t="shared" si="286"/>
        <v/>
      </c>
      <c r="AW315" s="11"/>
      <c r="AX315" s="33" t="str">
        <f>IF(AQ315&lt;&gt;"",ROUND(IF($F$11="raty równe",-PMT(W315/12,($F$4-AQ314+SUM($AR$27:AR314)),AV314,2),AV314/($F$4-AQ314+SUM($AR$27:AR314))+AV314*W315/12),2),"")</f>
        <v/>
      </c>
      <c r="AY315" s="33" t="str">
        <f t="shared" si="287"/>
        <v/>
      </c>
      <c r="AZ315" s="33" t="str">
        <f t="shared" si="294"/>
        <v/>
      </c>
      <c r="BA315" s="33" t="str">
        <f>IF(AQ315&lt;&gt;"",AZ315-SUM($AY$44:AY315),"")</f>
        <v/>
      </c>
      <c r="BB315" s="11" t="str">
        <f t="shared" si="288"/>
        <v/>
      </c>
      <c r="BC315" s="11" t="str">
        <f>IF(AQ315&lt;&gt;"",IF($B$16=listy!$K$8,'RZĄDOWY PROGRAM'!$F$3*'RZĄDOWY PROGRAM'!$F$15,AV314*$F$15),"")</f>
        <v/>
      </c>
      <c r="BD315" s="11" t="str">
        <f t="shared" si="289"/>
        <v/>
      </c>
      <c r="BF315" s="8" t="str">
        <f t="shared" si="298"/>
        <v/>
      </c>
      <c r="BG315" s="8"/>
      <c r="BH315" s="78" t="str">
        <f>IF(BF315&lt;&gt;"",ROUND(IF($F$11="raty równe",-PMT(W315/12,$F$4-BF314+SUM(BV$28:$BV315)-SUM($BM$29:BM315),BK314,2),BI315+BJ315),2),"")</f>
        <v/>
      </c>
      <c r="BI315" s="78" t="str">
        <f>IF(BF315&lt;&gt;"",IF($F$11="raty malejące",MIN(BK314/($F$4-BF314+SUM($BG$27:BG315)-SUM($BM$27:BM315)),BK314),MIN(BH315-BJ315,BK314)),"")</f>
        <v/>
      </c>
      <c r="BJ315" s="78" t="str">
        <f t="shared" si="299"/>
        <v/>
      </c>
      <c r="BK315" s="79" t="str">
        <f t="shared" si="300"/>
        <v/>
      </c>
      <c r="BL315" s="11"/>
      <c r="BM315" s="33"/>
      <c r="BN315" s="33" t="str">
        <f t="shared" si="295"/>
        <v/>
      </c>
      <c r="BO315" s="33" t="str">
        <f t="shared" si="296"/>
        <v/>
      </c>
      <c r="BP315" s="33" t="str">
        <f>IF(O315&lt;&gt;"",BO315-SUM($BN$44:BN315),"")</f>
        <v/>
      </c>
      <c r="BQ315" s="11" t="str">
        <f t="shared" si="301"/>
        <v/>
      </c>
      <c r="BR315" s="11" t="str">
        <f>IF(BF315&lt;&gt;"",IF($B$16=listy!$K$8,'RZĄDOWY PROGRAM'!$F$3*'RZĄDOWY PROGRAM'!$F$15,BK314*$F$15),"")</f>
        <v/>
      </c>
      <c r="BS315" s="11" t="str">
        <f t="shared" si="302"/>
        <v/>
      </c>
      <c r="BU315" s="8" t="str">
        <f t="shared" si="290"/>
        <v/>
      </c>
      <c r="BV315" s="8"/>
      <c r="BW315" s="78" t="str">
        <f>IF(BU315&lt;&gt;"",ROUND(IF($F$11="raty równe",-PMT(W315/12,$F$4-BU314+SUM($BV$28:BV315)-$CB$43,BZ314,2),BX315+BY315),2),"")</f>
        <v/>
      </c>
      <c r="BX315" s="78" t="str">
        <f>IF(BU315&lt;&gt;"",IF($F$11="raty malejące",MIN(BZ314/($F$4-BU314+SUM($BV$28:BV314)-SUM($CB$28:CB314)),BZ314),MIN(BW315-BY315,BZ314)),"")</f>
        <v/>
      </c>
      <c r="BY315" s="78" t="str">
        <f t="shared" si="303"/>
        <v/>
      </c>
      <c r="BZ315" s="79" t="str">
        <f t="shared" si="292"/>
        <v/>
      </c>
      <c r="CA315" s="11"/>
      <c r="CB315" s="33"/>
      <c r="CC315" s="33" t="str">
        <f t="shared" si="291"/>
        <v/>
      </c>
      <c r="CD315" s="33" t="str">
        <f t="shared" si="297"/>
        <v/>
      </c>
      <c r="CE315" s="33" t="str">
        <f>IF(O315&lt;&gt;"",CD315-SUM($CC$44:CC315),"")</f>
        <v/>
      </c>
      <c r="CF315" s="11" t="str">
        <f t="shared" si="304"/>
        <v/>
      </c>
      <c r="CG315" s="11" t="str">
        <f>IF(BU315&lt;&gt;"",IF($B$16=listy!$K$8,'RZĄDOWY PROGRAM'!$F$3*'RZĄDOWY PROGRAM'!$F$15,BZ314*$F$15),"")</f>
        <v/>
      </c>
      <c r="CH315" s="11" t="str">
        <f t="shared" si="305"/>
        <v/>
      </c>
      <c r="CJ315" s="48" t="str">
        <f t="shared" si="278"/>
        <v/>
      </c>
      <c r="CK315" s="18" t="str">
        <f t="shared" si="279"/>
        <v/>
      </c>
      <c r="CL315" s="11" t="str">
        <f t="shared" si="293"/>
        <v/>
      </c>
      <c r="CM315" s="11" t="str">
        <f t="shared" si="280"/>
        <v/>
      </c>
      <c r="CN315" s="11" t="str">
        <f>IF(AB315&lt;&gt;"",CM315-SUM($CL$28:CL315),"")</f>
        <v/>
      </c>
    </row>
    <row r="316" spans="1:92" x14ac:dyDescent="0.45">
      <c r="A316" s="68" t="str">
        <f t="shared" si="252"/>
        <v/>
      </c>
      <c r="B316" s="8" t="str">
        <f t="shared" si="273"/>
        <v/>
      </c>
      <c r="C316" s="11" t="str">
        <f t="shared" si="274"/>
        <v/>
      </c>
      <c r="D316" s="11" t="str">
        <f t="shared" si="275"/>
        <v/>
      </c>
      <c r="E316" s="11" t="str">
        <f t="shared" si="253"/>
        <v/>
      </c>
      <c r="F316" s="9" t="str">
        <f t="shared" si="254"/>
        <v/>
      </c>
      <c r="G316" s="10" t="str">
        <f t="shared" si="255"/>
        <v/>
      </c>
      <c r="H316" s="10" t="str">
        <f t="shared" si="256"/>
        <v/>
      </c>
      <c r="I316" s="48" t="str">
        <f t="shared" si="281"/>
        <v/>
      </c>
      <c r="J316" s="11" t="str">
        <f t="shared" si="276"/>
        <v/>
      </c>
      <c r="K316" s="11" t="str">
        <f>IF(B316&lt;&gt;"",IF($B$16=listy!$K$8,'RZĄDOWY PROGRAM'!$F$3*'RZĄDOWY PROGRAM'!$F$15,F315*$F$15),"")</f>
        <v/>
      </c>
      <c r="L316" s="11" t="str">
        <f t="shared" si="257"/>
        <v/>
      </c>
      <c r="N316" s="54" t="str">
        <f t="shared" si="260"/>
        <v/>
      </c>
      <c r="O316" s="8" t="str">
        <f t="shared" si="282"/>
        <v/>
      </c>
      <c r="P316" s="8"/>
      <c r="Q316" s="11" t="str">
        <f>IF(O316&lt;&gt;"",ROUND(IF($F$11="raty równe",-PMT(W316/12,$F$4-O315+SUM($P$28:P316),T315,2),R316+S316),2),"")</f>
        <v/>
      </c>
      <c r="R316" s="11" t="str">
        <f>IF(O316&lt;&gt;"",IF($F$11="raty malejące",T315/($F$4-O315+SUM($P$28:P316)),IF(Q316-S316&gt;T315,T315,Q316-S316)),"")</f>
        <v/>
      </c>
      <c r="S316" s="11" t="str">
        <f t="shared" si="261"/>
        <v/>
      </c>
      <c r="T316" s="9" t="str">
        <f t="shared" si="262"/>
        <v/>
      </c>
      <c r="U316" s="10" t="str">
        <f t="shared" si="263"/>
        <v/>
      </c>
      <c r="V316" s="10" t="str">
        <f t="shared" si="264"/>
        <v/>
      </c>
      <c r="W316" s="48" t="str">
        <f t="shared" si="283"/>
        <v/>
      </c>
      <c r="X316" s="11" t="str">
        <f t="shared" si="265"/>
        <v/>
      </c>
      <c r="Y316" s="11" t="str">
        <f>IF(O316&lt;&gt;"",IF($B$16=listy!$K$8,'RZĄDOWY PROGRAM'!$F$3*'RZĄDOWY PROGRAM'!$F$15,T315*$F$15),"")</f>
        <v/>
      </c>
      <c r="Z316" s="11" t="str">
        <f t="shared" si="266"/>
        <v/>
      </c>
      <c r="AB316" s="8" t="str">
        <f t="shared" si="267"/>
        <v/>
      </c>
      <c r="AC316" s="8"/>
      <c r="AD316" s="11" t="str">
        <f>IF(AB316&lt;&gt;"",ROUND(IF($F$11="raty równe",-PMT(W316/12,$F$4-AB315+SUM($AC$28:AC316),AG315,2),AE316+AF316),2),"")</f>
        <v/>
      </c>
      <c r="AE316" s="11" t="str">
        <f>IF(AB316&lt;&gt;"",IF($F$11="raty malejące",AG315/($F$4-AB315+SUM($AC$28:AC315)),MIN(AD316-AF316,AG315)),"")</f>
        <v/>
      </c>
      <c r="AF316" s="11" t="str">
        <f t="shared" si="268"/>
        <v/>
      </c>
      <c r="AG316" s="9" t="str">
        <f t="shared" si="269"/>
        <v/>
      </c>
      <c r="AH316" s="11"/>
      <c r="AI316" s="33" t="str">
        <f>IF(AB316&lt;&gt;"",ROUND(IF($F$11="raty równe",-PMT(W316/12,($F$4-AB315+SUM($AC$27:AC315)),AG315,2),AG315/($F$4-AB315+SUM($AC$27:AC315))+AG315*W316/12),2),"")</f>
        <v/>
      </c>
      <c r="AJ316" s="33" t="str">
        <f t="shared" si="270"/>
        <v/>
      </c>
      <c r="AK316" s="33" t="str">
        <f t="shared" si="277"/>
        <v/>
      </c>
      <c r="AL316" s="33" t="str">
        <f>IF(AB316&lt;&gt;"",AK316-SUM($AJ$28:AJ316),"")</f>
        <v/>
      </c>
      <c r="AM316" s="11" t="str">
        <f t="shared" si="271"/>
        <v/>
      </c>
      <c r="AN316" s="11" t="str">
        <f>IF(AB316&lt;&gt;"",IF($B$16=listy!$K$8,'RZĄDOWY PROGRAM'!$F$3*'RZĄDOWY PROGRAM'!$F$15,AG315*$F$15),"")</f>
        <v/>
      </c>
      <c r="AO316" s="11" t="str">
        <f t="shared" si="272"/>
        <v/>
      </c>
      <c r="AQ316" s="8" t="str">
        <f t="shared" si="284"/>
        <v/>
      </c>
      <c r="AR316" s="8"/>
      <c r="AS316" s="78" t="str">
        <f>IF(AQ316&lt;&gt;"",ROUND(IF($F$11="raty równe",-PMT(W316/12,$F$4-AQ315+SUM($AR$28:AR316),AV315,2),AT316+AU316),2),"")</f>
        <v/>
      </c>
      <c r="AT316" s="78" t="str">
        <f>IF(AQ316&lt;&gt;"",IF($F$11="raty malejące",AV315/($F$4-AQ315+SUM($AR$28:AR315)),MIN(AS316-AU316,AV315)),"")</f>
        <v/>
      </c>
      <c r="AU316" s="78" t="str">
        <f t="shared" si="285"/>
        <v/>
      </c>
      <c r="AV316" s="79" t="str">
        <f t="shared" si="286"/>
        <v/>
      </c>
      <c r="AW316" s="11"/>
      <c r="AX316" s="33" t="str">
        <f>IF(AQ316&lt;&gt;"",ROUND(IF($F$11="raty równe",-PMT(W316/12,($F$4-AQ315+SUM($AR$27:AR315)),AV315,2),AV315/($F$4-AQ315+SUM($AR$27:AR315))+AV315*W316/12),2),"")</f>
        <v/>
      </c>
      <c r="AY316" s="33" t="str">
        <f t="shared" si="287"/>
        <v/>
      </c>
      <c r="AZ316" s="33" t="str">
        <f t="shared" si="294"/>
        <v/>
      </c>
      <c r="BA316" s="33" t="str">
        <f>IF(AQ316&lt;&gt;"",AZ316-SUM($AY$44:AY316),"")</f>
        <v/>
      </c>
      <c r="BB316" s="11" t="str">
        <f t="shared" si="288"/>
        <v/>
      </c>
      <c r="BC316" s="11" t="str">
        <f>IF(AQ316&lt;&gt;"",IF($B$16=listy!$K$8,'RZĄDOWY PROGRAM'!$F$3*'RZĄDOWY PROGRAM'!$F$15,AV315*$F$15),"")</f>
        <v/>
      </c>
      <c r="BD316" s="11" t="str">
        <f t="shared" si="289"/>
        <v/>
      </c>
      <c r="BF316" s="8" t="str">
        <f t="shared" si="298"/>
        <v/>
      </c>
      <c r="BG316" s="8"/>
      <c r="BH316" s="78" t="str">
        <f>IF(BF316&lt;&gt;"",ROUND(IF($F$11="raty równe",-PMT(W316/12,$F$4-BF315+SUM(BV$28:$BV316)-SUM($BM$29:BM316),BK315,2),BI316+BJ316),2),"")</f>
        <v/>
      </c>
      <c r="BI316" s="78" t="str">
        <f>IF(BF316&lt;&gt;"",IF($F$11="raty malejące",MIN(BK315/($F$4-BF315+SUM($BG$27:BG316)-SUM($BM$27:BM316)),BK315),MIN(BH316-BJ316,BK315)),"")</f>
        <v/>
      </c>
      <c r="BJ316" s="78" t="str">
        <f t="shared" si="299"/>
        <v/>
      </c>
      <c r="BK316" s="79" t="str">
        <f t="shared" si="300"/>
        <v/>
      </c>
      <c r="BL316" s="11"/>
      <c r="BM316" s="33"/>
      <c r="BN316" s="33" t="str">
        <f t="shared" si="295"/>
        <v/>
      </c>
      <c r="BO316" s="33" t="str">
        <f t="shared" si="296"/>
        <v/>
      </c>
      <c r="BP316" s="33" t="str">
        <f>IF(O316&lt;&gt;"",BO316-SUM($BN$44:BN316),"")</f>
        <v/>
      </c>
      <c r="BQ316" s="11" t="str">
        <f t="shared" si="301"/>
        <v/>
      </c>
      <c r="BR316" s="11" t="str">
        <f>IF(BF316&lt;&gt;"",IF($B$16=listy!$K$8,'RZĄDOWY PROGRAM'!$F$3*'RZĄDOWY PROGRAM'!$F$15,BK315*$F$15),"")</f>
        <v/>
      </c>
      <c r="BS316" s="11" t="str">
        <f t="shared" si="302"/>
        <v/>
      </c>
      <c r="BU316" s="8" t="str">
        <f t="shared" si="290"/>
        <v/>
      </c>
      <c r="BV316" s="8"/>
      <c r="BW316" s="78" t="str">
        <f>IF(BU316&lt;&gt;"",ROUND(IF($F$11="raty równe",-PMT(W316/12,$F$4-BU315+SUM($BV$28:BV316)-$CB$43,BZ315,2),BX316+BY316),2),"")</f>
        <v/>
      </c>
      <c r="BX316" s="78" t="str">
        <f>IF(BU316&lt;&gt;"",IF($F$11="raty malejące",MIN(BZ315/($F$4-BU315+SUM($BV$28:BV315)-SUM($CB$28:CB315)),BZ315),MIN(BW316-BY316,BZ315)),"")</f>
        <v/>
      </c>
      <c r="BY316" s="78" t="str">
        <f t="shared" si="303"/>
        <v/>
      </c>
      <c r="BZ316" s="79" t="str">
        <f t="shared" si="292"/>
        <v/>
      </c>
      <c r="CA316" s="11"/>
      <c r="CB316" s="33"/>
      <c r="CC316" s="33" t="str">
        <f t="shared" si="291"/>
        <v/>
      </c>
      <c r="CD316" s="33" t="str">
        <f t="shared" si="297"/>
        <v/>
      </c>
      <c r="CE316" s="33" t="str">
        <f>IF(O316&lt;&gt;"",CD316-SUM($CC$44:CC316),"")</f>
        <v/>
      </c>
      <c r="CF316" s="11" t="str">
        <f t="shared" si="304"/>
        <v/>
      </c>
      <c r="CG316" s="11" t="str">
        <f>IF(BU316&lt;&gt;"",IF($B$16=listy!$K$8,'RZĄDOWY PROGRAM'!$F$3*'RZĄDOWY PROGRAM'!$F$15,BZ315*$F$15),"")</f>
        <v/>
      </c>
      <c r="CH316" s="11" t="str">
        <f t="shared" si="305"/>
        <v/>
      </c>
      <c r="CJ316" s="48" t="str">
        <f t="shared" si="278"/>
        <v/>
      </c>
      <c r="CK316" s="18" t="str">
        <f t="shared" si="279"/>
        <v/>
      </c>
      <c r="CL316" s="11" t="str">
        <f t="shared" si="293"/>
        <v/>
      </c>
      <c r="CM316" s="11" t="str">
        <f t="shared" si="280"/>
        <v/>
      </c>
      <c r="CN316" s="11" t="str">
        <f>IF(AB316&lt;&gt;"",CM316-SUM($CL$28:CL316),"")</f>
        <v/>
      </c>
    </row>
    <row r="317" spans="1:92" x14ac:dyDescent="0.45">
      <c r="A317" s="68" t="str">
        <f t="shared" si="252"/>
        <v/>
      </c>
      <c r="B317" s="8" t="str">
        <f t="shared" si="273"/>
        <v/>
      </c>
      <c r="C317" s="11" t="str">
        <f t="shared" si="274"/>
        <v/>
      </c>
      <c r="D317" s="11" t="str">
        <f t="shared" si="275"/>
        <v/>
      </c>
      <c r="E317" s="11" t="str">
        <f t="shared" si="253"/>
        <v/>
      </c>
      <c r="F317" s="9" t="str">
        <f t="shared" si="254"/>
        <v/>
      </c>
      <c r="G317" s="10" t="str">
        <f t="shared" si="255"/>
        <v/>
      </c>
      <c r="H317" s="10" t="str">
        <f t="shared" si="256"/>
        <v/>
      </c>
      <c r="I317" s="48" t="str">
        <f t="shared" si="281"/>
        <v/>
      </c>
      <c r="J317" s="11" t="str">
        <f t="shared" si="276"/>
        <v/>
      </c>
      <c r="K317" s="11" t="str">
        <f>IF(B317&lt;&gt;"",IF($B$16=listy!$K$8,'RZĄDOWY PROGRAM'!$F$3*'RZĄDOWY PROGRAM'!$F$15,F316*$F$15),"")</f>
        <v/>
      </c>
      <c r="L317" s="11" t="str">
        <f t="shared" si="257"/>
        <v/>
      </c>
      <c r="N317" s="54" t="str">
        <f t="shared" si="260"/>
        <v/>
      </c>
      <c r="O317" s="8" t="str">
        <f t="shared" si="282"/>
        <v/>
      </c>
      <c r="P317" s="8"/>
      <c r="Q317" s="11" t="str">
        <f>IF(O317&lt;&gt;"",ROUND(IF($F$11="raty równe",-PMT(W317/12,$F$4-O316+SUM($P$28:P317),T316,2),R317+S317),2),"")</f>
        <v/>
      </c>
      <c r="R317" s="11" t="str">
        <f>IF(O317&lt;&gt;"",IF($F$11="raty malejące",T316/($F$4-O316+SUM($P$28:P317)),IF(Q317-S317&gt;T316,T316,Q317-S317)),"")</f>
        <v/>
      </c>
      <c r="S317" s="11" t="str">
        <f t="shared" si="261"/>
        <v/>
      </c>
      <c r="T317" s="9" t="str">
        <f t="shared" si="262"/>
        <v/>
      </c>
      <c r="U317" s="10" t="str">
        <f t="shared" si="263"/>
        <v/>
      </c>
      <c r="V317" s="10" t="str">
        <f t="shared" si="264"/>
        <v/>
      </c>
      <c r="W317" s="48" t="str">
        <f t="shared" si="283"/>
        <v/>
      </c>
      <c r="X317" s="11" t="str">
        <f t="shared" si="265"/>
        <v/>
      </c>
      <c r="Y317" s="11" t="str">
        <f>IF(O317&lt;&gt;"",IF($B$16=listy!$K$8,'RZĄDOWY PROGRAM'!$F$3*'RZĄDOWY PROGRAM'!$F$15,T316*$F$15),"")</f>
        <v/>
      </c>
      <c r="Z317" s="11" t="str">
        <f t="shared" si="266"/>
        <v/>
      </c>
      <c r="AB317" s="8" t="str">
        <f t="shared" si="267"/>
        <v/>
      </c>
      <c r="AC317" s="8"/>
      <c r="AD317" s="11" t="str">
        <f>IF(AB317&lt;&gt;"",ROUND(IF($F$11="raty równe",-PMT(W317/12,$F$4-AB316+SUM($AC$28:AC317),AG316,2),AE317+AF317),2),"")</f>
        <v/>
      </c>
      <c r="AE317" s="11" t="str">
        <f>IF(AB317&lt;&gt;"",IF($F$11="raty malejące",AG316/($F$4-AB316+SUM($AC$28:AC316)),MIN(AD317-AF317,AG316)),"")</f>
        <v/>
      </c>
      <c r="AF317" s="11" t="str">
        <f t="shared" si="268"/>
        <v/>
      </c>
      <c r="AG317" s="9" t="str">
        <f t="shared" si="269"/>
        <v/>
      </c>
      <c r="AH317" s="11"/>
      <c r="AI317" s="33" t="str">
        <f>IF(AB317&lt;&gt;"",ROUND(IF($F$11="raty równe",-PMT(W317/12,($F$4-AB316+SUM($AC$27:AC316)),AG316,2),AG316/($F$4-AB316+SUM($AC$27:AC316))+AG316*W317/12),2),"")</f>
        <v/>
      </c>
      <c r="AJ317" s="33" t="str">
        <f t="shared" si="270"/>
        <v/>
      </c>
      <c r="AK317" s="33" t="str">
        <f t="shared" si="277"/>
        <v/>
      </c>
      <c r="AL317" s="33" t="str">
        <f>IF(AB317&lt;&gt;"",AK317-SUM($AJ$28:AJ317),"")</f>
        <v/>
      </c>
      <c r="AM317" s="11" t="str">
        <f t="shared" si="271"/>
        <v/>
      </c>
      <c r="AN317" s="11" t="str">
        <f>IF(AB317&lt;&gt;"",IF($B$16=listy!$K$8,'RZĄDOWY PROGRAM'!$F$3*'RZĄDOWY PROGRAM'!$F$15,AG316*$F$15),"")</f>
        <v/>
      </c>
      <c r="AO317" s="11" t="str">
        <f t="shared" si="272"/>
        <v/>
      </c>
      <c r="AQ317" s="8" t="str">
        <f t="shared" si="284"/>
        <v/>
      </c>
      <c r="AR317" s="8"/>
      <c r="AS317" s="78" t="str">
        <f>IF(AQ317&lt;&gt;"",ROUND(IF($F$11="raty równe",-PMT(W317/12,$F$4-AQ316+SUM($AR$28:AR317),AV316,2),AT317+AU317),2),"")</f>
        <v/>
      </c>
      <c r="AT317" s="78" t="str">
        <f>IF(AQ317&lt;&gt;"",IF($F$11="raty malejące",AV316/($F$4-AQ316+SUM($AR$28:AR316)),MIN(AS317-AU317,AV316)),"")</f>
        <v/>
      </c>
      <c r="AU317" s="78" t="str">
        <f t="shared" si="285"/>
        <v/>
      </c>
      <c r="AV317" s="79" t="str">
        <f t="shared" si="286"/>
        <v/>
      </c>
      <c r="AW317" s="11"/>
      <c r="AX317" s="33" t="str">
        <f>IF(AQ317&lt;&gt;"",ROUND(IF($F$11="raty równe",-PMT(W317/12,($F$4-AQ316+SUM($AR$27:AR316)),AV316,2),AV316/($F$4-AQ316+SUM($AR$27:AR316))+AV316*W317/12),2),"")</f>
        <v/>
      </c>
      <c r="AY317" s="33" t="str">
        <f t="shared" si="287"/>
        <v/>
      </c>
      <c r="AZ317" s="33" t="str">
        <f t="shared" si="294"/>
        <v/>
      </c>
      <c r="BA317" s="33" t="str">
        <f>IF(AQ317&lt;&gt;"",AZ317-SUM($AY$44:AY317),"")</f>
        <v/>
      </c>
      <c r="BB317" s="11" t="str">
        <f t="shared" si="288"/>
        <v/>
      </c>
      <c r="BC317" s="11" t="str">
        <f>IF(AQ317&lt;&gt;"",IF($B$16=listy!$K$8,'RZĄDOWY PROGRAM'!$F$3*'RZĄDOWY PROGRAM'!$F$15,AV316*$F$15),"")</f>
        <v/>
      </c>
      <c r="BD317" s="11" t="str">
        <f t="shared" si="289"/>
        <v/>
      </c>
      <c r="BF317" s="8" t="str">
        <f t="shared" si="298"/>
        <v/>
      </c>
      <c r="BG317" s="8"/>
      <c r="BH317" s="78" t="str">
        <f>IF(BF317&lt;&gt;"",ROUND(IF($F$11="raty równe",-PMT(W317/12,$F$4-BF316+SUM(BV$28:$BV317)-SUM($BM$29:BM317),BK316,2),BI317+BJ317),2),"")</f>
        <v/>
      </c>
      <c r="BI317" s="78" t="str">
        <f>IF(BF317&lt;&gt;"",IF($F$11="raty malejące",MIN(BK316/($F$4-BF316+SUM($BG$27:BG317)-SUM($BM$27:BM317)),BK316),MIN(BH317-BJ317,BK316)),"")</f>
        <v/>
      </c>
      <c r="BJ317" s="78" t="str">
        <f t="shared" si="299"/>
        <v/>
      </c>
      <c r="BK317" s="79" t="str">
        <f t="shared" si="300"/>
        <v/>
      </c>
      <c r="BL317" s="11"/>
      <c r="BM317" s="33"/>
      <c r="BN317" s="33" t="str">
        <f t="shared" si="295"/>
        <v/>
      </c>
      <c r="BO317" s="33" t="str">
        <f t="shared" si="296"/>
        <v/>
      </c>
      <c r="BP317" s="33" t="str">
        <f>IF(O317&lt;&gt;"",BO317-SUM($BN$44:BN317),"")</f>
        <v/>
      </c>
      <c r="BQ317" s="11" t="str">
        <f t="shared" si="301"/>
        <v/>
      </c>
      <c r="BR317" s="11" t="str">
        <f>IF(BF317&lt;&gt;"",IF($B$16=listy!$K$8,'RZĄDOWY PROGRAM'!$F$3*'RZĄDOWY PROGRAM'!$F$15,BK316*$F$15),"")</f>
        <v/>
      </c>
      <c r="BS317" s="11" t="str">
        <f t="shared" si="302"/>
        <v/>
      </c>
      <c r="BU317" s="8" t="str">
        <f t="shared" si="290"/>
        <v/>
      </c>
      <c r="BV317" s="8"/>
      <c r="BW317" s="78" t="str">
        <f>IF(BU317&lt;&gt;"",ROUND(IF($F$11="raty równe",-PMT(W317/12,$F$4-BU316+SUM($BV$28:BV317)-$CB$43,BZ316,2),BX317+BY317),2),"")</f>
        <v/>
      </c>
      <c r="BX317" s="78" t="str">
        <f>IF(BU317&lt;&gt;"",IF($F$11="raty malejące",MIN(BZ316/($F$4-BU316+SUM($BV$28:BV316)-SUM($CB$28:CB316)),BZ316),MIN(BW317-BY317,BZ316)),"")</f>
        <v/>
      </c>
      <c r="BY317" s="78" t="str">
        <f t="shared" si="303"/>
        <v/>
      </c>
      <c r="BZ317" s="79" t="str">
        <f t="shared" si="292"/>
        <v/>
      </c>
      <c r="CA317" s="11"/>
      <c r="CB317" s="33"/>
      <c r="CC317" s="33" t="str">
        <f t="shared" si="291"/>
        <v/>
      </c>
      <c r="CD317" s="33" t="str">
        <f t="shared" si="297"/>
        <v/>
      </c>
      <c r="CE317" s="33" t="str">
        <f>IF(O317&lt;&gt;"",CD317-SUM($CC$44:CC317),"")</f>
        <v/>
      </c>
      <c r="CF317" s="11" t="str">
        <f t="shared" si="304"/>
        <v/>
      </c>
      <c r="CG317" s="11" t="str">
        <f>IF(BU317&lt;&gt;"",IF($B$16=listy!$K$8,'RZĄDOWY PROGRAM'!$F$3*'RZĄDOWY PROGRAM'!$F$15,BZ316*$F$15),"")</f>
        <v/>
      </c>
      <c r="CH317" s="11" t="str">
        <f t="shared" si="305"/>
        <v/>
      </c>
      <c r="CJ317" s="48" t="str">
        <f t="shared" si="278"/>
        <v/>
      </c>
      <c r="CK317" s="18" t="str">
        <f t="shared" si="279"/>
        <v/>
      </c>
      <c r="CL317" s="11" t="str">
        <f t="shared" si="293"/>
        <v/>
      </c>
      <c r="CM317" s="11" t="str">
        <f t="shared" si="280"/>
        <v/>
      </c>
      <c r="CN317" s="11" t="str">
        <f>IF(AB317&lt;&gt;"",CM317-SUM($CL$28:CL317),"")</f>
        <v/>
      </c>
    </row>
    <row r="318" spans="1:92" x14ac:dyDescent="0.45">
      <c r="A318" s="68" t="str">
        <f t="shared" si="252"/>
        <v/>
      </c>
      <c r="B318" s="8" t="str">
        <f t="shared" si="273"/>
        <v/>
      </c>
      <c r="C318" s="11" t="str">
        <f t="shared" si="274"/>
        <v/>
      </c>
      <c r="D318" s="11" t="str">
        <f t="shared" si="275"/>
        <v/>
      </c>
      <c r="E318" s="11" t="str">
        <f t="shared" si="253"/>
        <v/>
      </c>
      <c r="F318" s="9" t="str">
        <f t="shared" si="254"/>
        <v/>
      </c>
      <c r="G318" s="10" t="str">
        <f t="shared" si="255"/>
        <v/>
      </c>
      <c r="H318" s="10" t="str">
        <f t="shared" si="256"/>
        <v/>
      </c>
      <c r="I318" s="48" t="str">
        <f t="shared" si="281"/>
        <v/>
      </c>
      <c r="J318" s="11" t="str">
        <f t="shared" si="276"/>
        <v/>
      </c>
      <c r="K318" s="11" t="str">
        <f>IF(B318&lt;&gt;"",IF($B$16=listy!$K$8,'RZĄDOWY PROGRAM'!$F$3*'RZĄDOWY PROGRAM'!$F$15,F317*$F$15),"")</f>
        <v/>
      </c>
      <c r="L318" s="11" t="str">
        <f t="shared" si="257"/>
        <v/>
      </c>
      <c r="N318" s="54" t="str">
        <f t="shared" si="260"/>
        <v/>
      </c>
      <c r="O318" s="8" t="str">
        <f t="shared" si="282"/>
        <v/>
      </c>
      <c r="P318" s="8"/>
      <c r="Q318" s="11" t="str">
        <f>IF(O318&lt;&gt;"",ROUND(IF($F$11="raty równe",-PMT(W318/12,$F$4-O317+SUM($P$28:P318),T317,2),R318+S318),2),"")</f>
        <v/>
      </c>
      <c r="R318" s="11" t="str">
        <f>IF(O318&lt;&gt;"",IF($F$11="raty malejące",T317/($F$4-O317+SUM($P$28:P318)),IF(Q318-S318&gt;T317,T317,Q318-S318)),"")</f>
        <v/>
      </c>
      <c r="S318" s="11" t="str">
        <f t="shared" si="261"/>
        <v/>
      </c>
      <c r="T318" s="9" t="str">
        <f t="shared" si="262"/>
        <v/>
      </c>
      <c r="U318" s="10" t="str">
        <f t="shared" si="263"/>
        <v/>
      </c>
      <c r="V318" s="10" t="str">
        <f t="shared" si="264"/>
        <v/>
      </c>
      <c r="W318" s="48" t="str">
        <f t="shared" si="283"/>
        <v/>
      </c>
      <c r="X318" s="11" t="str">
        <f t="shared" si="265"/>
        <v/>
      </c>
      <c r="Y318" s="11" t="str">
        <f>IF(O318&lt;&gt;"",IF($B$16=listy!$K$8,'RZĄDOWY PROGRAM'!$F$3*'RZĄDOWY PROGRAM'!$F$15,T317*$F$15),"")</f>
        <v/>
      </c>
      <c r="Z318" s="11" t="str">
        <f t="shared" si="266"/>
        <v/>
      </c>
      <c r="AB318" s="8" t="str">
        <f t="shared" si="267"/>
        <v/>
      </c>
      <c r="AC318" s="8"/>
      <c r="AD318" s="11" t="str">
        <f>IF(AB318&lt;&gt;"",ROUND(IF($F$11="raty równe",-PMT(W318/12,$F$4-AB317+SUM($AC$28:AC318),AG317,2),AE318+AF318),2),"")</f>
        <v/>
      </c>
      <c r="AE318" s="11" t="str">
        <f>IF(AB318&lt;&gt;"",IF($F$11="raty malejące",AG317/($F$4-AB317+SUM($AC$28:AC317)),MIN(AD318-AF318,AG317)),"")</f>
        <v/>
      </c>
      <c r="AF318" s="11" t="str">
        <f t="shared" si="268"/>
        <v/>
      </c>
      <c r="AG318" s="9" t="str">
        <f t="shared" si="269"/>
        <v/>
      </c>
      <c r="AH318" s="11"/>
      <c r="AI318" s="33" t="str">
        <f>IF(AB318&lt;&gt;"",ROUND(IF($F$11="raty równe",-PMT(W318/12,($F$4-AB317+SUM($AC$27:AC317)),AG317,2),AG317/($F$4-AB317+SUM($AC$27:AC317))+AG317*W318/12),2),"")</f>
        <v/>
      </c>
      <c r="AJ318" s="33" t="str">
        <f t="shared" si="270"/>
        <v/>
      </c>
      <c r="AK318" s="33" t="str">
        <f t="shared" si="277"/>
        <v/>
      </c>
      <c r="AL318" s="33" t="str">
        <f>IF(AB318&lt;&gt;"",AK318-SUM($AJ$28:AJ318),"")</f>
        <v/>
      </c>
      <c r="AM318" s="11" t="str">
        <f t="shared" si="271"/>
        <v/>
      </c>
      <c r="AN318" s="11" t="str">
        <f>IF(AB318&lt;&gt;"",IF($B$16=listy!$K$8,'RZĄDOWY PROGRAM'!$F$3*'RZĄDOWY PROGRAM'!$F$15,AG317*$F$15),"")</f>
        <v/>
      </c>
      <c r="AO318" s="11" t="str">
        <f t="shared" si="272"/>
        <v/>
      </c>
      <c r="AQ318" s="8" t="str">
        <f t="shared" si="284"/>
        <v/>
      </c>
      <c r="AR318" s="8"/>
      <c r="AS318" s="78" t="str">
        <f>IF(AQ318&lt;&gt;"",ROUND(IF($F$11="raty równe",-PMT(W318/12,$F$4-AQ317+SUM($AR$28:AR318),AV317,2),AT318+AU318),2),"")</f>
        <v/>
      </c>
      <c r="AT318" s="78" t="str">
        <f>IF(AQ318&lt;&gt;"",IF($F$11="raty malejące",AV317/($F$4-AQ317+SUM($AR$28:AR317)),MIN(AS318-AU318,AV317)),"")</f>
        <v/>
      </c>
      <c r="AU318" s="78" t="str">
        <f t="shared" si="285"/>
        <v/>
      </c>
      <c r="AV318" s="79" t="str">
        <f t="shared" si="286"/>
        <v/>
      </c>
      <c r="AW318" s="11"/>
      <c r="AX318" s="33" t="str">
        <f>IF(AQ318&lt;&gt;"",ROUND(IF($F$11="raty równe",-PMT(W318/12,($F$4-AQ317+SUM($AR$27:AR317)),AV317,2),AV317/($F$4-AQ317+SUM($AR$27:AR317))+AV317*W318/12),2),"")</f>
        <v/>
      </c>
      <c r="AY318" s="33" t="str">
        <f t="shared" si="287"/>
        <v/>
      </c>
      <c r="AZ318" s="33" t="str">
        <f t="shared" si="294"/>
        <v/>
      </c>
      <c r="BA318" s="33" t="str">
        <f>IF(AQ318&lt;&gt;"",AZ318-SUM($AY$44:AY318),"")</f>
        <v/>
      </c>
      <c r="BB318" s="11" t="str">
        <f t="shared" si="288"/>
        <v/>
      </c>
      <c r="BC318" s="11" t="str">
        <f>IF(AQ318&lt;&gt;"",IF($B$16=listy!$K$8,'RZĄDOWY PROGRAM'!$F$3*'RZĄDOWY PROGRAM'!$F$15,AV317*$F$15),"")</f>
        <v/>
      </c>
      <c r="BD318" s="11" t="str">
        <f t="shared" si="289"/>
        <v/>
      </c>
      <c r="BF318" s="8" t="str">
        <f t="shared" si="298"/>
        <v/>
      </c>
      <c r="BG318" s="8"/>
      <c r="BH318" s="78" t="str">
        <f>IF(BF318&lt;&gt;"",ROUND(IF($F$11="raty równe",-PMT(W318/12,$F$4-BF317+SUM(BV$28:$BV318)-SUM($BM$29:BM318),BK317,2),BI318+BJ318),2),"")</f>
        <v/>
      </c>
      <c r="BI318" s="78" t="str">
        <f>IF(BF318&lt;&gt;"",IF($F$11="raty malejące",MIN(BK317/($F$4-BF317+SUM($BG$27:BG318)-SUM($BM$27:BM318)),BK317),MIN(BH318-BJ318,BK317)),"")</f>
        <v/>
      </c>
      <c r="BJ318" s="78" t="str">
        <f t="shared" si="299"/>
        <v/>
      </c>
      <c r="BK318" s="79" t="str">
        <f t="shared" si="300"/>
        <v/>
      </c>
      <c r="BL318" s="11"/>
      <c r="BM318" s="33"/>
      <c r="BN318" s="33" t="str">
        <f t="shared" si="295"/>
        <v/>
      </c>
      <c r="BO318" s="33" t="str">
        <f t="shared" si="296"/>
        <v/>
      </c>
      <c r="BP318" s="33" t="str">
        <f>IF(O318&lt;&gt;"",BO318-SUM($BN$44:BN318),"")</f>
        <v/>
      </c>
      <c r="BQ318" s="11" t="str">
        <f t="shared" si="301"/>
        <v/>
      </c>
      <c r="BR318" s="11" t="str">
        <f>IF(BF318&lt;&gt;"",IF($B$16=listy!$K$8,'RZĄDOWY PROGRAM'!$F$3*'RZĄDOWY PROGRAM'!$F$15,BK317*$F$15),"")</f>
        <v/>
      </c>
      <c r="BS318" s="11" t="str">
        <f t="shared" si="302"/>
        <v/>
      </c>
      <c r="BU318" s="8" t="str">
        <f t="shared" si="290"/>
        <v/>
      </c>
      <c r="BV318" s="8"/>
      <c r="BW318" s="78" t="str">
        <f>IF(BU318&lt;&gt;"",ROUND(IF($F$11="raty równe",-PMT(W318/12,$F$4-BU317+SUM($BV$28:BV318)-$CB$43,BZ317,2),BX318+BY318),2),"")</f>
        <v/>
      </c>
      <c r="BX318" s="78" t="str">
        <f>IF(BU318&lt;&gt;"",IF($F$11="raty malejące",MIN(BZ317/($F$4-BU317+SUM($BV$28:BV317)-SUM($CB$28:CB317)),BZ317),MIN(BW318-BY318,BZ317)),"")</f>
        <v/>
      </c>
      <c r="BY318" s="78" t="str">
        <f t="shared" si="303"/>
        <v/>
      </c>
      <c r="BZ318" s="79" t="str">
        <f t="shared" si="292"/>
        <v/>
      </c>
      <c r="CA318" s="11"/>
      <c r="CB318" s="33"/>
      <c r="CC318" s="33" t="str">
        <f t="shared" si="291"/>
        <v/>
      </c>
      <c r="CD318" s="33" t="str">
        <f t="shared" si="297"/>
        <v/>
      </c>
      <c r="CE318" s="33" t="str">
        <f>IF(O318&lt;&gt;"",CD318-SUM($CC$44:CC318),"")</f>
        <v/>
      </c>
      <c r="CF318" s="11" t="str">
        <f t="shared" si="304"/>
        <v/>
      </c>
      <c r="CG318" s="11" t="str">
        <f>IF(BU318&lt;&gt;"",IF($B$16=listy!$K$8,'RZĄDOWY PROGRAM'!$F$3*'RZĄDOWY PROGRAM'!$F$15,BZ317*$F$15),"")</f>
        <v/>
      </c>
      <c r="CH318" s="11" t="str">
        <f t="shared" si="305"/>
        <v/>
      </c>
      <c r="CJ318" s="48" t="str">
        <f t="shared" si="278"/>
        <v/>
      </c>
      <c r="CK318" s="18" t="str">
        <f t="shared" si="279"/>
        <v/>
      </c>
      <c r="CL318" s="11" t="str">
        <f t="shared" si="293"/>
        <v/>
      </c>
      <c r="CM318" s="11" t="str">
        <f t="shared" si="280"/>
        <v/>
      </c>
      <c r="CN318" s="11" t="str">
        <f>IF(AB318&lt;&gt;"",CM318-SUM($CL$28:CL318),"")</f>
        <v/>
      </c>
    </row>
    <row r="319" spans="1:92" x14ac:dyDescent="0.45">
      <c r="A319" s="68" t="str">
        <f t="shared" si="252"/>
        <v/>
      </c>
      <c r="B319" s="8" t="str">
        <f t="shared" si="273"/>
        <v/>
      </c>
      <c r="C319" s="11" t="str">
        <f t="shared" si="274"/>
        <v/>
      </c>
      <c r="D319" s="11" t="str">
        <f t="shared" si="275"/>
        <v/>
      </c>
      <c r="E319" s="11" t="str">
        <f t="shared" si="253"/>
        <v/>
      </c>
      <c r="F319" s="9" t="str">
        <f t="shared" si="254"/>
        <v/>
      </c>
      <c r="G319" s="10" t="str">
        <f t="shared" si="255"/>
        <v/>
      </c>
      <c r="H319" s="10" t="str">
        <f t="shared" si="256"/>
        <v/>
      </c>
      <c r="I319" s="48" t="str">
        <f t="shared" si="281"/>
        <v/>
      </c>
      <c r="J319" s="11" t="str">
        <f t="shared" si="276"/>
        <v/>
      </c>
      <c r="K319" s="11" t="str">
        <f>IF(B319&lt;&gt;"",IF($B$16=listy!$K$8,'RZĄDOWY PROGRAM'!$F$3*'RZĄDOWY PROGRAM'!$F$15,F318*$F$15),"")</f>
        <v/>
      </c>
      <c r="L319" s="11" t="str">
        <f t="shared" si="257"/>
        <v/>
      </c>
      <c r="N319" s="54" t="str">
        <f t="shared" si="260"/>
        <v/>
      </c>
      <c r="O319" s="8" t="str">
        <f t="shared" si="282"/>
        <v/>
      </c>
      <c r="P319" s="8"/>
      <c r="Q319" s="11" t="str">
        <f>IF(O319&lt;&gt;"",ROUND(IF($F$11="raty równe",-PMT(W319/12,$F$4-O318+SUM($P$28:P319),T318,2),R319+S319),2),"")</f>
        <v/>
      </c>
      <c r="R319" s="11" t="str">
        <f>IF(O319&lt;&gt;"",IF($F$11="raty malejące",T318/($F$4-O318+SUM($P$28:P319)),IF(Q319-S319&gt;T318,T318,Q319-S319)),"")</f>
        <v/>
      </c>
      <c r="S319" s="11" t="str">
        <f t="shared" si="261"/>
        <v/>
      </c>
      <c r="T319" s="9" t="str">
        <f t="shared" si="262"/>
        <v/>
      </c>
      <c r="U319" s="10" t="str">
        <f t="shared" si="263"/>
        <v/>
      </c>
      <c r="V319" s="10" t="str">
        <f t="shared" si="264"/>
        <v/>
      </c>
      <c r="W319" s="48" t="str">
        <f t="shared" si="283"/>
        <v/>
      </c>
      <c r="X319" s="11" t="str">
        <f t="shared" si="265"/>
        <v/>
      </c>
      <c r="Y319" s="11" t="str">
        <f>IF(O319&lt;&gt;"",IF($B$16=listy!$K$8,'RZĄDOWY PROGRAM'!$F$3*'RZĄDOWY PROGRAM'!$F$15,T318*$F$15),"")</f>
        <v/>
      </c>
      <c r="Z319" s="11" t="str">
        <f t="shared" si="266"/>
        <v/>
      </c>
      <c r="AB319" s="8" t="str">
        <f t="shared" si="267"/>
        <v/>
      </c>
      <c r="AC319" s="8"/>
      <c r="AD319" s="11" t="str">
        <f>IF(AB319&lt;&gt;"",ROUND(IF($F$11="raty równe",-PMT(W319/12,$F$4-AB318+SUM($AC$28:AC319),AG318,2),AE319+AF319),2),"")</f>
        <v/>
      </c>
      <c r="AE319" s="11" t="str">
        <f>IF(AB319&lt;&gt;"",IF($F$11="raty malejące",AG318/($F$4-AB318+SUM($AC$28:AC318)),MIN(AD319-AF319,AG318)),"")</f>
        <v/>
      </c>
      <c r="AF319" s="11" t="str">
        <f t="shared" si="268"/>
        <v/>
      </c>
      <c r="AG319" s="9" t="str">
        <f t="shared" si="269"/>
        <v/>
      </c>
      <c r="AH319" s="11"/>
      <c r="AI319" s="33" t="str">
        <f>IF(AB319&lt;&gt;"",ROUND(IF($F$11="raty równe",-PMT(W319/12,($F$4-AB318+SUM($AC$27:AC318)),AG318,2),AG318/($F$4-AB318+SUM($AC$27:AC318))+AG318*W319/12),2),"")</f>
        <v/>
      </c>
      <c r="AJ319" s="33" t="str">
        <f t="shared" si="270"/>
        <v/>
      </c>
      <c r="AK319" s="33" t="str">
        <f t="shared" si="277"/>
        <v/>
      </c>
      <c r="AL319" s="33" t="str">
        <f>IF(AB319&lt;&gt;"",AK319-SUM($AJ$28:AJ319),"")</f>
        <v/>
      </c>
      <c r="AM319" s="11" t="str">
        <f t="shared" si="271"/>
        <v/>
      </c>
      <c r="AN319" s="11" t="str">
        <f>IF(AB319&lt;&gt;"",IF($B$16=listy!$K$8,'RZĄDOWY PROGRAM'!$F$3*'RZĄDOWY PROGRAM'!$F$15,AG318*$F$15),"")</f>
        <v/>
      </c>
      <c r="AO319" s="11" t="str">
        <f t="shared" si="272"/>
        <v/>
      </c>
      <c r="AQ319" s="8" t="str">
        <f t="shared" si="284"/>
        <v/>
      </c>
      <c r="AR319" s="8"/>
      <c r="AS319" s="78" t="str">
        <f>IF(AQ319&lt;&gt;"",ROUND(IF($F$11="raty równe",-PMT(W319/12,$F$4-AQ318+SUM($AR$28:AR319),AV318,2),AT319+AU319),2),"")</f>
        <v/>
      </c>
      <c r="AT319" s="78" t="str">
        <f>IF(AQ319&lt;&gt;"",IF($F$11="raty malejące",AV318/($F$4-AQ318+SUM($AR$28:AR318)),MIN(AS319-AU319,AV318)),"")</f>
        <v/>
      </c>
      <c r="AU319" s="78" t="str">
        <f t="shared" si="285"/>
        <v/>
      </c>
      <c r="AV319" s="79" t="str">
        <f t="shared" si="286"/>
        <v/>
      </c>
      <c r="AW319" s="11"/>
      <c r="AX319" s="33" t="str">
        <f>IF(AQ319&lt;&gt;"",ROUND(IF($F$11="raty równe",-PMT(W319/12,($F$4-AQ318+SUM($AR$27:AR318)),AV318,2),AV318/($F$4-AQ318+SUM($AR$27:AR318))+AV318*W319/12),2),"")</f>
        <v/>
      </c>
      <c r="AY319" s="33" t="str">
        <f t="shared" si="287"/>
        <v/>
      </c>
      <c r="AZ319" s="33" t="str">
        <f t="shared" si="294"/>
        <v/>
      </c>
      <c r="BA319" s="33" t="str">
        <f>IF(AQ319&lt;&gt;"",AZ319-SUM($AY$44:AY319),"")</f>
        <v/>
      </c>
      <c r="BB319" s="11" t="str">
        <f t="shared" si="288"/>
        <v/>
      </c>
      <c r="BC319" s="11" t="str">
        <f>IF(AQ319&lt;&gt;"",IF($B$16=listy!$K$8,'RZĄDOWY PROGRAM'!$F$3*'RZĄDOWY PROGRAM'!$F$15,AV318*$F$15),"")</f>
        <v/>
      </c>
      <c r="BD319" s="11" t="str">
        <f t="shared" si="289"/>
        <v/>
      </c>
      <c r="BF319" s="8" t="str">
        <f t="shared" si="298"/>
        <v/>
      </c>
      <c r="BG319" s="8"/>
      <c r="BH319" s="78" t="str">
        <f>IF(BF319&lt;&gt;"",ROUND(IF($F$11="raty równe",-PMT(W319/12,$F$4-BF318+SUM(BV$28:$BV319)-SUM($BM$29:BM319),BK318,2),BI319+BJ319),2),"")</f>
        <v/>
      </c>
      <c r="BI319" s="78" t="str">
        <f>IF(BF319&lt;&gt;"",IF($F$11="raty malejące",MIN(BK318/($F$4-BF318+SUM($BG$27:BG319)-SUM($BM$27:BM319)),BK318),MIN(BH319-BJ319,BK318)),"")</f>
        <v/>
      </c>
      <c r="BJ319" s="78" t="str">
        <f t="shared" si="299"/>
        <v/>
      </c>
      <c r="BK319" s="79" t="str">
        <f t="shared" si="300"/>
        <v/>
      </c>
      <c r="BL319" s="11"/>
      <c r="BM319" s="33"/>
      <c r="BN319" s="33" t="str">
        <f t="shared" si="295"/>
        <v/>
      </c>
      <c r="BO319" s="33" t="str">
        <f t="shared" si="296"/>
        <v/>
      </c>
      <c r="BP319" s="33" t="str">
        <f>IF(O319&lt;&gt;"",BO319-SUM($BN$44:BN319),"")</f>
        <v/>
      </c>
      <c r="BQ319" s="11" t="str">
        <f t="shared" si="301"/>
        <v/>
      </c>
      <c r="BR319" s="11" t="str">
        <f>IF(BF319&lt;&gt;"",IF($B$16=listy!$K$8,'RZĄDOWY PROGRAM'!$F$3*'RZĄDOWY PROGRAM'!$F$15,BK318*$F$15),"")</f>
        <v/>
      </c>
      <c r="BS319" s="11" t="str">
        <f t="shared" si="302"/>
        <v/>
      </c>
      <c r="BU319" s="8" t="str">
        <f t="shared" si="290"/>
        <v/>
      </c>
      <c r="BV319" s="8"/>
      <c r="BW319" s="78" t="str">
        <f>IF(BU319&lt;&gt;"",ROUND(IF($F$11="raty równe",-PMT(W319/12,$F$4-BU318+SUM($BV$28:BV319)-$CB$43,BZ318,2),BX319+BY319),2),"")</f>
        <v/>
      </c>
      <c r="BX319" s="78" t="str">
        <f>IF(BU319&lt;&gt;"",IF($F$11="raty malejące",MIN(BZ318/($F$4-BU318+SUM($BV$28:BV318)-SUM($CB$28:CB318)),BZ318),MIN(BW319-BY319,BZ318)),"")</f>
        <v/>
      </c>
      <c r="BY319" s="78" t="str">
        <f t="shared" si="303"/>
        <v/>
      </c>
      <c r="BZ319" s="79" t="str">
        <f t="shared" si="292"/>
        <v/>
      </c>
      <c r="CA319" s="11"/>
      <c r="CB319" s="33"/>
      <c r="CC319" s="33" t="str">
        <f t="shared" si="291"/>
        <v/>
      </c>
      <c r="CD319" s="33" t="str">
        <f t="shared" si="297"/>
        <v/>
      </c>
      <c r="CE319" s="33" t="str">
        <f>IF(O319&lt;&gt;"",CD319-SUM($CC$44:CC319),"")</f>
        <v/>
      </c>
      <c r="CF319" s="11" t="str">
        <f t="shared" si="304"/>
        <v/>
      </c>
      <c r="CG319" s="11" t="str">
        <f>IF(BU319&lt;&gt;"",IF($B$16=listy!$K$8,'RZĄDOWY PROGRAM'!$F$3*'RZĄDOWY PROGRAM'!$F$15,BZ318*$F$15),"")</f>
        <v/>
      </c>
      <c r="CH319" s="11" t="str">
        <f t="shared" si="305"/>
        <v/>
      </c>
      <c r="CJ319" s="48" t="str">
        <f t="shared" si="278"/>
        <v/>
      </c>
      <c r="CK319" s="18" t="str">
        <f t="shared" si="279"/>
        <v/>
      </c>
      <c r="CL319" s="11" t="str">
        <f t="shared" si="293"/>
        <v/>
      </c>
      <c r="CM319" s="11" t="str">
        <f t="shared" si="280"/>
        <v/>
      </c>
      <c r="CN319" s="11" t="str">
        <f>IF(AB319&lt;&gt;"",CM319-SUM($CL$28:CL319),"")</f>
        <v/>
      </c>
    </row>
    <row r="320" spans="1:92" x14ac:dyDescent="0.45">
      <c r="A320" s="68" t="str">
        <f t="shared" si="252"/>
        <v/>
      </c>
      <c r="B320" s="8" t="str">
        <f t="shared" si="273"/>
        <v/>
      </c>
      <c r="C320" s="11" t="str">
        <f t="shared" si="274"/>
        <v/>
      </c>
      <c r="D320" s="11" t="str">
        <f t="shared" si="275"/>
        <v/>
      </c>
      <c r="E320" s="11" t="str">
        <f t="shared" si="253"/>
        <v/>
      </c>
      <c r="F320" s="9" t="str">
        <f t="shared" si="254"/>
        <v/>
      </c>
      <c r="G320" s="10" t="str">
        <f t="shared" si="255"/>
        <v/>
      </c>
      <c r="H320" s="10" t="str">
        <f t="shared" si="256"/>
        <v/>
      </c>
      <c r="I320" s="48" t="str">
        <f t="shared" si="281"/>
        <v/>
      </c>
      <c r="J320" s="11" t="str">
        <f t="shared" si="276"/>
        <v/>
      </c>
      <c r="K320" s="11" t="str">
        <f>IF(B320&lt;&gt;"",IF($B$16=listy!$K$8,'RZĄDOWY PROGRAM'!$F$3*'RZĄDOWY PROGRAM'!$F$15,F319*$F$15),"")</f>
        <v/>
      </c>
      <c r="L320" s="11" t="str">
        <f t="shared" si="257"/>
        <v/>
      </c>
      <c r="N320" s="54" t="str">
        <f t="shared" si="260"/>
        <v/>
      </c>
      <c r="O320" s="8" t="str">
        <f t="shared" si="282"/>
        <v/>
      </c>
      <c r="P320" s="8"/>
      <c r="Q320" s="11" t="str">
        <f>IF(O320&lt;&gt;"",ROUND(IF($F$11="raty równe",-PMT(W320/12,$F$4-O319+SUM($P$28:P320),T319,2),R320+S320),2),"")</f>
        <v/>
      </c>
      <c r="R320" s="11" t="str">
        <f>IF(O320&lt;&gt;"",IF($F$11="raty malejące",T319/($F$4-O319+SUM($P$28:P320)),IF(Q320-S320&gt;T319,T319,Q320-S320)),"")</f>
        <v/>
      </c>
      <c r="S320" s="11" t="str">
        <f t="shared" si="261"/>
        <v/>
      </c>
      <c r="T320" s="9" t="str">
        <f t="shared" si="262"/>
        <v/>
      </c>
      <c r="U320" s="10" t="str">
        <f t="shared" si="263"/>
        <v/>
      </c>
      <c r="V320" s="10" t="str">
        <f t="shared" si="264"/>
        <v/>
      </c>
      <c r="W320" s="48" t="str">
        <f t="shared" si="283"/>
        <v/>
      </c>
      <c r="X320" s="11" t="str">
        <f t="shared" si="265"/>
        <v/>
      </c>
      <c r="Y320" s="11" t="str">
        <f>IF(O320&lt;&gt;"",IF($B$16=listy!$K$8,'RZĄDOWY PROGRAM'!$F$3*'RZĄDOWY PROGRAM'!$F$15,T319*$F$15),"")</f>
        <v/>
      </c>
      <c r="Z320" s="11" t="str">
        <f t="shared" si="266"/>
        <v/>
      </c>
      <c r="AB320" s="8" t="str">
        <f t="shared" si="267"/>
        <v/>
      </c>
      <c r="AC320" s="8"/>
      <c r="AD320" s="11" t="str">
        <f>IF(AB320&lt;&gt;"",ROUND(IF($F$11="raty równe",-PMT(W320/12,$F$4-AB319+SUM($AC$28:AC320),AG319,2),AE320+AF320),2),"")</f>
        <v/>
      </c>
      <c r="AE320" s="11" t="str">
        <f>IF(AB320&lt;&gt;"",IF($F$11="raty malejące",AG319/($F$4-AB319+SUM($AC$28:AC319)),MIN(AD320-AF320,AG319)),"")</f>
        <v/>
      </c>
      <c r="AF320" s="11" t="str">
        <f t="shared" si="268"/>
        <v/>
      </c>
      <c r="AG320" s="9" t="str">
        <f t="shared" si="269"/>
        <v/>
      </c>
      <c r="AH320" s="11"/>
      <c r="AI320" s="33" t="str">
        <f>IF(AB320&lt;&gt;"",ROUND(IF($F$11="raty równe",-PMT(W320/12,($F$4-AB319+SUM($AC$27:AC319)),AG319,2),AG319/($F$4-AB319+SUM($AC$27:AC319))+AG319*W320/12),2),"")</f>
        <v/>
      </c>
      <c r="AJ320" s="33" t="str">
        <f t="shared" si="270"/>
        <v/>
      </c>
      <c r="AK320" s="33" t="str">
        <f t="shared" si="277"/>
        <v/>
      </c>
      <c r="AL320" s="33" t="str">
        <f>IF(AB320&lt;&gt;"",AK320-SUM($AJ$28:AJ320),"")</f>
        <v/>
      </c>
      <c r="AM320" s="11" t="str">
        <f t="shared" si="271"/>
        <v/>
      </c>
      <c r="AN320" s="11" t="str">
        <f>IF(AB320&lt;&gt;"",IF($B$16=listy!$K$8,'RZĄDOWY PROGRAM'!$F$3*'RZĄDOWY PROGRAM'!$F$15,AG319*$F$15),"")</f>
        <v/>
      </c>
      <c r="AO320" s="11" t="str">
        <f t="shared" si="272"/>
        <v/>
      </c>
      <c r="AQ320" s="8" t="str">
        <f t="shared" si="284"/>
        <v/>
      </c>
      <c r="AR320" s="8"/>
      <c r="AS320" s="78" t="str">
        <f>IF(AQ320&lt;&gt;"",ROUND(IF($F$11="raty równe",-PMT(W320/12,$F$4-AQ319+SUM($AR$28:AR320),AV319,2),AT320+AU320),2),"")</f>
        <v/>
      </c>
      <c r="AT320" s="78" t="str">
        <f>IF(AQ320&lt;&gt;"",IF($F$11="raty malejące",AV319/($F$4-AQ319+SUM($AR$28:AR319)),MIN(AS320-AU320,AV319)),"")</f>
        <v/>
      </c>
      <c r="AU320" s="78" t="str">
        <f t="shared" si="285"/>
        <v/>
      </c>
      <c r="AV320" s="79" t="str">
        <f t="shared" si="286"/>
        <v/>
      </c>
      <c r="AW320" s="11"/>
      <c r="AX320" s="33" t="str">
        <f>IF(AQ320&lt;&gt;"",ROUND(IF($F$11="raty równe",-PMT(W320/12,($F$4-AQ319+SUM($AR$27:AR319)),AV319,2),AV319/($F$4-AQ319+SUM($AR$27:AR319))+AV319*W320/12),2),"")</f>
        <v/>
      </c>
      <c r="AY320" s="33" t="str">
        <f t="shared" si="287"/>
        <v/>
      </c>
      <c r="AZ320" s="33" t="str">
        <f t="shared" si="294"/>
        <v/>
      </c>
      <c r="BA320" s="33" t="str">
        <f>IF(AQ320&lt;&gt;"",AZ320-SUM($AY$44:AY320),"")</f>
        <v/>
      </c>
      <c r="BB320" s="11" t="str">
        <f t="shared" si="288"/>
        <v/>
      </c>
      <c r="BC320" s="11" t="str">
        <f>IF(AQ320&lt;&gt;"",IF($B$16=listy!$K$8,'RZĄDOWY PROGRAM'!$F$3*'RZĄDOWY PROGRAM'!$F$15,AV319*$F$15),"")</f>
        <v/>
      </c>
      <c r="BD320" s="11" t="str">
        <f t="shared" si="289"/>
        <v/>
      </c>
      <c r="BF320" s="8" t="str">
        <f t="shared" si="298"/>
        <v/>
      </c>
      <c r="BG320" s="8"/>
      <c r="BH320" s="78" t="str">
        <f>IF(BF320&lt;&gt;"",ROUND(IF($F$11="raty równe",-PMT(W320/12,$F$4-BF319+SUM(BV$28:$BV320)-SUM($BM$29:BM320),BK319,2),BI320+BJ320),2),"")</f>
        <v/>
      </c>
      <c r="BI320" s="78" t="str">
        <f>IF(BF320&lt;&gt;"",IF($F$11="raty malejące",MIN(BK319/($F$4-BF319+SUM($BG$27:BG320)-SUM($BM$27:BM320)),BK319),MIN(BH320-BJ320,BK319)),"")</f>
        <v/>
      </c>
      <c r="BJ320" s="78" t="str">
        <f t="shared" si="299"/>
        <v/>
      </c>
      <c r="BK320" s="79" t="str">
        <f t="shared" si="300"/>
        <v/>
      </c>
      <c r="BL320" s="11"/>
      <c r="BM320" s="33"/>
      <c r="BN320" s="33" t="str">
        <f t="shared" si="295"/>
        <v/>
      </c>
      <c r="BO320" s="33" t="str">
        <f t="shared" si="296"/>
        <v/>
      </c>
      <c r="BP320" s="33" t="str">
        <f>IF(O320&lt;&gt;"",BO320-SUM($BN$44:BN320),"")</f>
        <v/>
      </c>
      <c r="BQ320" s="11" t="str">
        <f t="shared" si="301"/>
        <v/>
      </c>
      <c r="BR320" s="11" t="str">
        <f>IF(BF320&lt;&gt;"",IF($B$16=listy!$K$8,'RZĄDOWY PROGRAM'!$F$3*'RZĄDOWY PROGRAM'!$F$15,BK319*$F$15),"")</f>
        <v/>
      </c>
      <c r="BS320" s="11" t="str">
        <f t="shared" si="302"/>
        <v/>
      </c>
      <c r="BU320" s="8" t="str">
        <f t="shared" si="290"/>
        <v/>
      </c>
      <c r="BV320" s="8"/>
      <c r="BW320" s="78" t="str">
        <f>IF(BU320&lt;&gt;"",ROUND(IF($F$11="raty równe",-PMT(W320/12,$F$4-BU319+SUM($BV$28:BV320)-$CB$43,BZ319,2),BX320+BY320),2),"")</f>
        <v/>
      </c>
      <c r="BX320" s="78" t="str">
        <f>IF(BU320&lt;&gt;"",IF($F$11="raty malejące",MIN(BZ319/($F$4-BU319+SUM($BV$28:BV319)-SUM($CB$28:CB319)),BZ319),MIN(BW320-BY320,BZ319)),"")</f>
        <v/>
      </c>
      <c r="BY320" s="78" t="str">
        <f t="shared" si="303"/>
        <v/>
      </c>
      <c r="BZ320" s="79" t="str">
        <f t="shared" si="292"/>
        <v/>
      </c>
      <c r="CA320" s="11"/>
      <c r="CB320" s="33"/>
      <c r="CC320" s="33" t="str">
        <f t="shared" si="291"/>
        <v/>
      </c>
      <c r="CD320" s="33" t="str">
        <f t="shared" si="297"/>
        <v/>
      </c>
      <c r="CE320" s="33" t="str">
        <f>IF(O320&lt;&gt;"",CD320-SUM($CC$44:CC320),"")</f>
        <v/>
      </c>
      <c r="CF320" s="11" t="str">
        <f t="shared" si="304"/>
        <v/>
      </c>
      <c r="CG320" s="11" t="str">
        <f>IF(BU320&lt;&gt;"",IF($B$16=listy!$K$8,'RZĄDOWY PROGRAM'!$F$3*'RZĄDOWY PROGRAM'!$F$15,BZ319*$F$15),"")</f>
        <v/>
      </c>
      <c r="CH320" s="11" t="str">
        <f t="shared" si="305"/>
        <v/>
      </c>
      <c r="CJ320" s="48" t="str">
        <f t="shared" si="278"/>
        <v/>
      </c>
      <c r="CK320" s="18" t="str">
        <f t="shared" si="279"/>
        <v/>
      </c>
      <c r="CL320" s="11" t="str">
        <f t="shared" si="293"/>
        <v/>
      </c>
      <c r="CM320" s="11" t="str">
        <f t="shared" si="280"/>
        <v/>
      </c>
      <c r="CN320" s="11" t="str">
        <f>IF(AB320&lt;&gt;"",CM320-SUM($CL$28:CL320),"")</f>
        <v/>
      </c>
    </row>
    <row r="321" spans="1:92" x14ac:dyDescent="0.45">
      <c r="A321" s="68" t="str">
        <f t="shared" si="252"/>
        <v/>
      </c>
      <c r="B321" s="8" t="str">
        <f t="shared" si="273"/>
        <v/>
      </c>
      <c r="C321" s="11" t="str">
        <f t="shared" si="274"/>
        <v/>
      </c>
      <c r="D321" s="11" t="str">
        <f t="shared" si="275"/>
        <v/>
      </c>
      <c r="E321" s="11" t="str">
        <f t="shared" si="253"/>
        <v/>
      </c>
      <c r="F321" s="9" t="str">
        <f t="shared" si="254"/>
        <v/>
      </c>
      <c r="G321" s="10" t="str">
        <f t="shared" si="255"/>
        <v/>
      </c>
      <c r="H321" s="10" t="str">
        <f t="shared" si="256"/>
        <v/>
      </c>
      <c r="I321" s="48" t="str">
        <f t="shared" si="281"/>
        <v/>
      </c>
      <c r="J321" s="11" t="str">
        <f t="shared" si="276"/>
        <v/>
      </c>
      <c r="K321" s="11" t="str">
        <f>IF(B321&lt;&gt;"",IF($B$16=listy!$K$8,'RZĄDOWY PROGRAM'!$F$3*'RZĄDOWY PROGRAM'!$F$15,F320*$F$15),"")</f>
        <v/>
      </c>
      <c r="L321" s="11" t="str">
        <f t="shared" si="257"/>
        <v/>
      </c>
      <c r="N321" s="54" t="str">
        <f t="shared" si="260"/>
        <v/>
      </c>
      <c r="O321" s="8" t="str">
        <f t="shared" si="282"/>
        <v/>
      </c>
      <c r="P321" s="8"/>
      <c r="Q321" s="11" t="str">
        <f>IF(O321&lt;&gt;"",ROUND(IF($F$11="raty równe",-PMT(W321/12,$F$4-O320+SUM($P$28:P321),T320,2),R321+S321),2),"")</f>
        <v/>
      </c>
      <c r="R321" s="11" t="str">
        <f>IF(O321&lt;&gt;"",IF($F$11="raty malejące",T320/($F$4-O320+SUM($P$28:P321)),IF(Q321-S321&gt;T320,T320,Q321-S321)),"")</f>
        <v/>
      </c>
      <c r="S321" s="11" t="str">
        <f t="shared" si="261"/>
        <v/>
      </c>
      <c r="T321" s="9" t="str">
        <f t="shared" si="262"/>
        <v/>
      </c>
      <c r="U321" s="10" t="str">
        <f t="shared" si="263"/>
        <v/>
      </c>
      <c r="V321" s="10" t="str">
        <f t="shared" si="264"/>
        <v/>
      </c>
      <c r="W321" s="48" t="str">
        <f t="shared" si="283"/>
        <v/>
      </c>
      <c r="X321" s="11" t="str">
        <f t="shared" si="265"/>
        <v/>
      </c>
      <c r="Y321" s="11" t="str">
        <f>IF(O321&lt;&gt;"",IF($B$16=listy!$K$8,'RZĄDOWY PROGRAM'!$F$3*'RZĄDOWY PROGRAM'!$F$15,T320*$F$15),"")</f>
        <v/>
      </c>
      <c r="Z321" s="11" t="str">
        <f t="shared" si="266"/>
        <v/>
      </c>
      <c r="AB321" s="8" t="str">
        <f t="shared" si="267"/>
        <v/>
      </c>
      <c r="AC321" s="8"/>
      <c r="AD321" s="11" t="str">
        <f>IF(AB321&lt;&gt;"",ROUND(IF($F$11="raty równe",-PMT(W321/12,$F$4-AB320+SUM($AC$28:AC321),AG320,2),AE321+AF321),2),"")</f>
        <v/>
      </c>
      <c r="AE321" s="11" t="str">
        <f>IF(AB321&lt;&gt;"",IF($F$11="raty malejące",AG320/($F$4-AB320+SUM($AC$28:AC320)),MIN(AD321-AF321,AG320)),"")</f>
        <v/>
      </c>
      <c r="AF321" s="11" t="str">
        <f t="shared" si="268"/>
        <v/>
      </c>
      <c r="AG321" s="9" t="str">
        <f t="shared" si="269"/>
        <v/>
      </c>
      <c r="AH321" s="11"/>
      <c r="AI321" s="33" t="str">
        <f>IF(AB321&lt;&gt;"",ROUND(IF($F$11="raty równe",-PMT(W321/12,($F$4-AB320+SUM($AC$27:AC320)),AG320,2),AG320/($F$4-AB320+SUM($AC$27:AC320))+AG320*W321/12),2),"")</f>
        <v/>
      </c>
      <c r="AJ321" s="33" t="str">
        <f t="shared" si="270"/>
        <v/>
      </c>
      <c r="AK321" s="33" t="str">
        <f t="shared" si="277"/>
        <v/>
      </c>
      <c r="AL321" s="33" t="str">
        <f>IF(AB321&lt;&gt;"",AK321-SUM($AJ$28:AJ321),"")</f>
        <v/>
      </c>
      <c r="AM321" s="11" t="str">
        <f t="shared" si="271"/>
        <v/>
      </c>
      <c r="AN321" s="11" t="str">
        <f>IF(AB321&lt;&gt;"",IF($B$16=listy!$K$8,'RZĄDOWY PROGRAM'!$F$3*'RZĄDOWY PROGRAM'!$F$15,AG320*$F$15),"")</f>
        <v/>
      </c>
      <c r="AO321" s="11" t="str">
        <f t="shared" si="272"/>
        <v/>
      </c>
      <c r="AQ321" s="8" t="str">
        <f t="shared" si="284"/>
        <v/>
      </c>
      <c r="AR321" s="8"/>
      <c r="AS321" s="78" t="str">
        <f>IF(AQ321&lt;&gt;"",ROUND(IF($F$11="raty równe",-PMT(W321/12,$F$4-AQ320+SUM($AR$28:AR321),AV320,2),AT321+AU321),2),"")</f>
        <v/>
      </c>
      <c r="AT321" s="78" t="str">
        <f>IF(AQ321&lt;&gt;"",IF($F$11="raty malejące",AV320/($F$4-AQ320+SUM($AR$28:AR320)),MIN(AS321-AU321,AV320)),"")</f>
        <v/>
      </c>
      <c r="AU321" s="78" t="str">
        <f t="shared" si="285"/>
        <v/>
      </c>
      <c r="AV321" s="79" t="str">
        <f t="shared" si="286"/>
        <v/>
      </c>
      <c r="AW321" s="11"/>
      <c r="AX321" s="33" t="str">
        <f>IF(AQ321&lt;&gt;"",ROUND(IF($F$11="raty równe",-PMT(W321/12,($F$4-AQ320+SUM($AR$27:AR320)),AV320,2),AV320/($F$4-AQ320+SUM($AR$27:AR320))+AV320*W321/12),2),"")</f>
        <v/>
      </c>
      <c r="AY321" s="33" t="str">
        <f t="shared" si="287"/>
        <v/>
      </c>
      <c r="AZ321" s="33" t="str">
        <f t="shared" si="294"/>
        <v/>
      </c>
      <c r="BA321" s="33" t="str">
        <f>IF(AQ321&lt;&gt;"",AZ321-SUM($AY$44:AY321),"")</f>
        <v/>
      </c>
      <c r="BB321" s="11" t="str">
        <f t="shared" si="288"/>
        <v/>
      </c>
      <c r="BC321" s="11" t="str">
        <f>IF(AQ321&lt;&gt;"",IF($B$16=listy!$K$8,'RZĄDOWY PROGRAM'!$F$3*'RZĄDOWY PROGRAM'!$F$15,AV320*$F$15),"")</f>
        <v/>
      </c>
      <c r="BD321" s="11" t="str">
        <f t="shared" si="289"/>
        <v/>
      </c>
      <c r="BF321" s="8" t="str">
        <f>IFERROR(IF(BK320&lt;&gt;0,BF320+1,""),"")</f>
        <v/>
      </c>
      <c r="BG321" s="8"/>
      <c r="BH321" s="78" t="str">
        <f>IF(BF321&lt;&gt;"",ROUND(IF($F$11="raty równe",-PMT(W321/12,$F$4-BF320+SUM(BV$28:$BV321)-SUM($BM$29:BM321),BK320,2),BI321+BJ321),2),"")</f>
        <v/>
      </c>
      <c r="BI321" s="78" t="str">
        <f>IF(BF321&lt;&gt;"",IF($F$11="raty malejące",MIN(BK320/($F$4-BF320+SUM($BG$27:BG321)-SUM($BM$27:BM321)),BK320),MIN(BH321-BJ321,BK320)),"")</f>
        <v/>
      </c>
      <c r="BJ321" s="78" t="str">
        <f t="shared" si="299"/>
        <v/>
      </c>
      <c r="BK321" s="79" t="str">
        <f t="shared" si="300"/>
        <v/>
      </c>
      <c r="BL321" s="11"/>
      <c r="BM321" s="33"/>
      <c r="BN321" s="33" t="str">
        <f t="shared" si="295"/>
        <v/>
      </c>
      <c r="BO321" s="33" t="str">
        <f t="shared" si="296"/>
        <v/>
      </c>
      <c r="BP321" s="33" t="str">
        <f>IF(O321&lt;&gt;"",BO321-SUM($BN$44:BN321),"")</f>
        <v/>
      </c>
      <c r="BQ321" s="11" t="str">
        <f t="shared" si="301"/>
        <v/>
      </c>
      <c r="BR321" s="11" t="str">
        <f>IF(BF321&lt;&gt;"",IF($B$16=listy!$K$8,'RZĄDOWY PROGRAM'!$F$3*'RZĄDOWY PROGRAM'!$F$15,BK320*$F$15),"")</f>
        <v/>
      </c>
      <c r="BS321" s="11" t="str">
        <f t="shared" si="302"/>
        <v/>
      </c>
      <c r="BU321" s="8" t="str">
        <f t="shared" si="290"/>
        <v/>
      </c>
      <c r="BV321" s="8"/>
      <c r="BW321" s="78" t="str">
        <f>IF(BU321&lt;&gt;"",ROUND(IF($F$11="raty równe",-PMT(W321/12,$F$4-BU320+SUM($BV$28:BV321)-$CB$43,BZ320,2),BX321+BY321),2),"")</f>
        <v/>
      </c>
      <c r="BX321" s="78" t="str">
        <f>IF(BU321&lt;&gt;"",IF($F$11="raty malejące",MIN(BZ320/($F$4-BU320+SUM($BV$28:BV320)-SUM($CB$28:CB320)),BZ320),MIN(BW321-BY321,BZ320)),"")</f>
        <v/>
      </c>
      <c r="BY321" s="78" t="str">
        <f t="shared" si="303"/>
        <v/>
      </c>
      <c r="BZ321" s="79" t="str">
        <f t="shared" si="292"/>
        <v/>
      </c>
      <c r="CA321" s="11"/>
      <c r="CB321" s="33"/>
      <c r="CC321" s="33" t="str">
        <f t="shared" si="291"/>
        <v/>
      </c>
      <c r="CD321" s="33" t="str">
        <f t="shared" si="297"/>
        <v/>
      </c>
      <c r="CE321" s="33" t="str">
        <f>IF(O321&lt;&gt;"",CD321-SUM($CC$44:CC321),"")</f>
        <v/>
      </c>
      <c r="CF321" s="11" t="str">
        <f t="shared" si="304"/>
        <v/>
      </c>
      <c r="CG321" s="11" t="str">
        <f>IF(BU321&lt;&gt;"",IF($B$16=listy!$K$8,'RZĄDOWY PROGRAM'!$F$3*'RZĄDOWY PROGRAM'!$F$15,BZ320*$F$15),"")</f>
        <v/>
      </c>
      <c r="CH321" s="11" t="str">
        <f t="shared" si="305"/>
        <v/>
      </c>
      <c r="CJ321" s="48" t="str">
        <f t="shared" si="278"/>
        <v/>
      </c>
      <c r="CK321" s="18" t="str">
        <f t="shared" si="279"/>
        <v/>
      </c>
      <c r="CL321" s="11" t="str">
        <f t="shared" si="293"/>
        <v/>
      </c>
      <c r="CM321" s="11" t="str">
        <f t="shared" si="280"/>
        <v/>
      </c>
      <c r="CN321" s="11" t="str">
        <f>IF(AB321&lt;&gt;"",CM321-SUM($CL$28:CL321),"")</f>
        <v/>
      </c>
    </row>
    <row r="322" spans="1:92" x14ac:dyDescent="0.45">
      <c r="A322" s="68" t="str">
        <f t="shared" si="252"/>
        <v/>
      </c>
      <c r="B322" s="8" t="str">
        <f t="shared" si="273"/>
        <v/>
      </c>
      <c r="C322" s="11" t="str">
        <f t="shared" si="274"/>
        <v/>
      </c>
      <c r="D322" s="11" t="str">
        <f t="shared" si="275"/>
        <v/>
      </c>
      <c r="E322" s="11" t="str">
        <f t="shared" si="253"/>
        <v/>
      </c>
      <c r="F322" s="9" t="str">
        <f t="shared" si="254"/>
        <v/>
      </c>
      <c r="G322" s="10" t="str">
        <f t="shared" si="255"/>
        <v/>
      </c>
      <c r="H322" s="10" t="str">
        <f t="shared" si="256"/>
        <v/>
      </c>
      <c r="I322" s="48" t="str">
        <f t="shared" si="281"/>
        <v/>
      </c>
      <c r="J322" s="11" t="str">
        <f t="shared" si="276"/>
        <v/>
      </c>
      <c r="K322" s="11" t="str">
        <f>IF(B322&lt;&gt;"",IF($B$16=listy!$K$8,'RZĄDOWY PROGRAM'!$F$3*'RZĄDOWY PROGRAM'!$F$15,F321*$F$15),"")</f>
        <v/>
      </c>
      <c r="L322" s="11" t="str">
        <f t="shared" si="257"/>
        <v/>
      </c>
      <c r="N322" s="54" t="str">
        <f t="shared" si="260"/>
        <v/>
      </c>
      <c r="O322" s="8" t="str">
        <f t="shared" si="282"/>
        <v/>
      </c>
      <c r="P322" s="8"/>
      <c r="Q322" s="11" t="str">
        <f>IF(O322&lt;&gt;"",ROUND(IF($F$11="raty równe",-PMT(W322/12,$F$4-O321+SUM($P$28:P322),T321,2),R322+S322),2),"")</f>
        <v/>
      </c>
      <c r="R322" s="11" t="str">
        <f>IF(O322&lt;&gt;"",IF($F$11="raty malejące",T321/($F$4-O321+SUM($P$28:P322)),IF(Q322-S322&gt;T321,T321,Q322-S322)),"")</f>
        <v/>
      </c>
      <c r="S322" s="11" t="str">
        <f t="shared" si="261"/>
        <v/>
      </c>
      <c r="T322" s="9" t="str">
        <f t="shared" si="262"/>
        <v/>
      </c>
      <c r="U322" s="10" t="str">
        <f t="shared" si="263"/>
        <v/>
      </c>
      <c r="V322" s="10" t="str">
        <f t="shared" si="264"/>
        <v/>
      </c>
      <c r="W322" s="48" t="str">
        <f t="shared" si="283"/>
        <v/>
      </c>
      <c r="X322" s="11" t="str">
        <f t="shared" si="265"/>
        <v/>
      </c>
      <c r="Y322" s="11" t="str">
        <f>IF(O322&lt;&gt;"",IF($B$16=listy!$K$8,'RZĄDOWY PROGRAM'!$F$3*'RZĄDOWY PROGRAM'!$F$15,T321*$F$15),"")</f>
        <v/>
      </c>
      <c r="Z322" s="11" t="str">
        <f t="shared" si="266"/>
        <v/>
      </c>
      <c r="AB322" s="8" t="str">
        <f t="shared" si="267"/>
        <v/>
      </c>
      <c r="AC322" s="8"/>
      <c r="AD322" s="11" t="str">
        <f>IF(AB322&lt;&gt;"",ROUND(IF($F$11="raty równe",-PMT(W322/12,$F$4-AB321+SUM($AC$28:AC322),AG321,2),AE322+AF322),2),"")</f>
        <v/>
      </c>
      <c r="AE322" s="11" t="str">
        <f>IF(AB322&lt;&gt;"",IF($F$11="raty malejące",AG321/($F$4-AB321+SUM($AC$28:AC321)),MIN(AD322-AF322,AG321)),"")</f>
        <v/>
      </c>
      <c r="AF322" s="11" t="str">
        <f t="shared" si="268"/>
        <v/>
      </c>
      <c r="AG322" s="9" t="str">
        <f t="shared" si="269"/>
        <v/>
      </c>
      <c r="AH322" s="11"/>
      <c r="AI322" s="33" t="str">
        <f>IF(AB322&lt;&gt;"",ROUND(IF($F$11="raty równe",-PMT(W322/12,($F$4-AB321+SUM($AC$27:AC321)),AG321,2),AG321/($F$4-AB321+SUM($AC$27:AC321))+AG321*W322/12),2),"")</f>
        <v/>
      </c>
      <c r="AJ322" s="33" t="str">
        <f t="shared" si="270"/>
        <v/>
      </c>
      <c r="AK322" s="33" t="str">
        <f t="shared" si="277"/>
        <v/>
      </c>
      <c r="AL322" s="33" t="str">
        <f>IF(AB322&lt;&gt;"",AK322-SUM($AJ$28:AJ322),"")</f>
        <v/>
      </c>
      <c r="AM322" s="11" t="str">
        <f t="shared" si="271"/>
        <v/>
      </c>
      <c r="AN322" s="11" t="str">
        <f>IF(AB322&lt;&gt;"",IF($B$16=listy!$K$8,'RZĄDOWY PROGRAM'!$F$3*'RZĄDOWY PROGRAM'!$F$15,AG321*$F$15),"")</f>
        <v/>
      </c>
      <c r="AO322" s="11" t="str">
        <f t="shared" si="272"/>
        <v/>
      </c>
      <c r="AQ322" s="8" t="str">
        <f t="shared" si="284"/>
        <v/>
      </c>
      <c r="AR322" s="8"/>
      <c r="AS322" s="78" t="str">
        <f>IF(AQ322&lt;&gt;"",ROUND(IF($F$11="raty równe",-PMT(W322/12,$F$4-AQ321+SUM($AR$28:AR322),AV321,2),AT322+AU322),2),"")</f>
        <v/>
      </c>
      <c r="AT322" s="78" t="str">
        <f>IF(AQ322&lt;&gt;"",IF($F$11="raty malejące",AV321/($F$4-AQ321+SUM($AR$28:AR321)),MIN(AS322-AU322,AV321)),"")</f>
        <v/>
      </c>
      <c r="AU322" s="78" t="str">
        <f t="shared" si="285"/>
        <v/>
      </c>
      <c r="AV322" s="79" t="str">
        <f t="shared" si="286"/>
        <v/>
      </c>
      <c r="AW322" s="11"/>
      <c r="AX322" s="33" t="str">
        <f>IF(AQ322&lt;&gt;"",ROUND(IF($F$11="raty równe",-PMT(W322/12,($F$4-AQ321+SUM($AR$27:AR321)),AV321,2),AV321/($F$4-AQ321+SUM($AR$27:AR321))+AV321*W322/12),2),"")</f>
        <v/>
      </c>
      <c r="AY322" s="33" t="str">
        <f t="shared" si="287"/>
        <v/>
      </c>
      <c r="AZ322" s="33" t="str">
        <f t="shared" si="294"/>
        <v/>
      </c>
      <c r="BA322" s="33" t="str">
        <f>IF(AQ322&lt;&gt;"",AZ322-SUM($AY$44:AY322),"")</f>
        <v/>
      </c>
      <c r="BB322" s="11" t="str">
        <f t="shared" si="288"/>
        <v/>
      </c>
      <c r="BC322" s="11" t="str">
        <f>IF(AQ322&lt;&gt;"",IF($B$16=listy!$K$8,'RZĄDOWY PROGRAM'!$F$3*'RZĄDOWY PROGRAM'!$F$15,AV321*$F$15),"")</f>
        <v/>
      </c>
      <c r="BD322" s="11" t="str">
        <f t="shared" si="289"/>
        <v/>
      </c>
      <c r="BF322" s="8" t="str">
        <f t="shared" si="298"/>
        <v/>
      </c>
      <c r="BG322" s="8"/>
      <c r="BH322" s="78" t="str">
        <f>IF(BF322&lt;&gt;"",ROUND(IF($F$11="raty równe",-PMT(W322/12,$F$4-BF321+SUM(BV$28:$BV322)-SUM($BM$29:BM322),BK321,2),BI322+BJ322),2),"")</f>
        <v/>
      </c>
      <c r="BI322" s="78" t="str">
        <f>IF(BF322&lt;&gt;"",IF($F$11="raty malejące",MIN(BK321/($F$4-BF321+SUM($BG$27:BG322)-SUM($BM$27:BM322)),BK321),MIN(BH322-BJ322,BK321)),"")</f>
        <v/>
      </c>
      <c r="BJ322" s="78" t="str">
        <f t="shared" si="299"/>
        <v/>
      </c>
      <c r="BK322" s="79" t="str">
        <f t="shared" si="300"/>
        <v/>
      </c>
      <c r="BL322" s="11"/>
      <c r="BM322" s="33"/>
      <c r="BN322" s="33" t="str">
        <f t="shared" si="295"/>
        <v/>
      </c>
      <c r="BO322" s="33" t="str">
        <f t="shared" si="296"/>
        <v/>
      </c>
      <c r="BP322" s="33" t="str">
        <f>IF(O322&lt;&gt;"",BO322-SUM($BN$44:BN322),"")</f>
        <v/>
      </c>
      <c r="BQ322" s="11" t="str">
        <f t="shared" si="301"/>
        <v/>
      </c>
      <c r="BR322" s="11" t="str">
        <f>IF(BF322&lt;&gt;"",IF($B$16=listy!$K$8,'RZĄDOWY PROGRAM'!$F$3*'RZĄDOWY PROGRAM'!$F$15,BK321*$F$15),"")</f>
        <v/>
      </c>
      <c r="BS322" s="11" t="str">
        <f t="shared" si="302"/>
        <v/>
      </c>
      <c r="BU322" s="8" t="str">
        <f t="shared" si="290"/>
        <v/>
      </c>
      <c r="BV322" s="8"/>
      <c r="BW322" s="78" t="str">
        <f>IF(BU322&lt;&gt;"",ROUND(IF($F$11="raty równe",-PMT(W322/12,$F$4-BU321+SUM($BV$28:BV322)-$CB$43,BZ321,2),BX322+BY322),2),"")</f>
        <v/>
      </c>
      <c r="BX322" s="78" t="str">
        <f>IF(BU322&lt;&gt;"",IF($F$11="raty malejące",MIN(BZ321/($F$4-BU321+SUM($BV$28:BV321)-SUM($CB$28:CB321)),BZ321),MIN(BW322-BY322,BZ321)),"")</f>
        <v/>
      </c>
      <c r="BY322" s="78" t="str">
        <f t="shared" si="303"/>
        <v/>
      </c>
      <c r="BZ322" s="79" t="str">
        <f t="shared" si="292"/>
        <v/>
      </c>
      <c r="CA322" s="11"/>
      <c r="CB322" s="33"/>
      <c r="CC322" s="33" t="str">
        <f t="shared" si="291"/>
        <v/>
      </c>
      <c r="CD322" s="33" t="str">
        <f t="shared" si="297"/>
        <v/>
      </c>
      <c r="CE322" s="33" t="str">
        <f>IF(O322&lt;&gt;"",CD322-SUM($CC$44:CC322),"")</f>
        <v/>
      </c>
      <c r="CF322" s="11" t="str">
        <f t="shared" si="304"/>
        <v/>
      </c>
      <c r="CG322" s="11" t="str">
        <f>IF(BU322&lt;&gt;"",IF($B$16=listy!$K$8,'RZĄDOWY PROGRAM'!$F$3*'RZĄDOWY PROGRAM'!$F$15,BZ321*$F$15),"")</f>
        <v/>
      </c>
      <c r="CH322" s="11" t="str">
        <f t="shared" si="305"/>
        <v/>
      </c>
      <c r="CJ322" s="48" t="str">
        <f t="shared" si="278"/>
        <v/>
      </c>
      <c r="CK322" s="18" t="str">
        <f t="shared" si="279"/>
        <v/>
      </c>
      <c r="CL322" s="11" t="str">
        <f t="shared" si="293"/>
        <v/>
      </c>
      <c r="CM322" s="11" t="str">
        <f t="shared" si="280"/>
        <v/>
      </c>
      <c r="CN322" s="11" t="str">
        <f>IF(AB322&lt;&gt;"",CM322-SUM($CL$28:CL322),"")</f>
        <v/>
      </c>
    </row>
    <row r="323" spans="1:92" x14ac:dyDescent="0.45">
      <c r="A323" s="68" t="str">
        <f t="shared" si="252"/>
        <v/>
      </c>
      <c r="B323" s="8" t="str">
        <f t="shared" si="273"/>
        <v/>
      </c>
      <c r="C323" s="11" t="str">
        <f t="shared" si="274"/>
        <v/>
      </c>
      <c r="D323" s="11" t="str">
        <f t="shared" si="275"/>
        <v/>
      </c>
      <c r="E323" s="11" t="str">
        <f t="shared" si="253"/>
        <v/>
      </c>
      <c r="F323" s="9" t="str">
        <f t="shared" si="254"/>
        <v/>
      </c>
      <c r="G323" s="10" t="str">
        <f t="shared" si="255"/>
        <v/>
      </c>
      <c r="H323" s="10" t="str">
        <f t="shared" si="256"/>
        <v/>
      </c>
      <c r="I323" s="48" t="str">
        <f t="shared" si="281"/>
        <v/>
      </c>
      <c r="J323" s="11" t="str">
        <f t="shared" si="276"/>
        <v/>
      </c>
      <c r="K323" s="11" t="str">
        <f>IF(B323&lt;&gt;"",IF($B$16=listy!$K$8,'RZĄDOWY PROGRAM'!$F$3*'RZĄDOWY PROGRAM'!$F$15,F322*$F$15),"")</f>
        <v/>
      </c>
      <c r="L323" s="11" t="str">
        <f t="shared" si="257"/>
        <v/>
      </c>
      <c r="N323" s="54" t="str">
        <f t="shared" si="260"/>
        <v/>
      </c>
      <c r="O323" s="8" t="str">
        <f t="shared" si="282"/>
        <v/>
      </c>
      <c r="P323" s="8"/>
      <c r="Q323" s="11" t="str">
        <f>IF(O323&lt;&gt;"",ROUND(IF($F$11="raty równe",-PMT(W323/12,$F$4-O322+SUM($P$28:P323),T322,2),R323+S323),2),"")</f>
        <v/>
      </c>
      <c r="R323" s="11" t="str">
        <f>IF(O323&lt;&gt;"",IF($F$11="raty malejące",T322/($F$4-O322+SUM($P$28:P323)),IF(Q323-S323&gt;T322,T322,Q323-S323)),"")</f>
        <v/>
      </c>
      <c r="S323" s="11" t="str">
        <f t="shared" si="261"/>
        <v/>
      </c>
      <c r="T323" s="9" t="str">
        <f t="shared" si="262"/>
        <v/>
      </c>
      <c r="U323" s="10" t="str">
        <f t="shared" si="263"/>
        <v/>
      </c>
      <c r="V323" s="10" t="str">
        <f t="shared" si="264"/>
        <v/>
      </c>
      <c r="W323" s="48" t="str">
        <f t="shared" si="283"/>
        <v/>
      </c>
      <c r="X323" s="11" t="str">
        <f t="shared" si="265"/>
        <v/>
      </c>
      <c r="Y323" s="11" t="str">
        <f>IF(O323&lt;&gt;"",IF($B$16=listy!$K$8,'RZĄDOWY PROGRAM'!$F$3*'RZĄDOWY PROGRAM'!$F$15,T322*$F$15),"")</f>
        <v/>
      </c>
      <c r="Z323" s="11" t="str">
        <f t="shared" si="266"/>
        <v/>
      </c>
      <c r="AB323" s="8" t="str">
        <f t="shared" si="267"/>
        <v/>
      </c>
      <c r="AC323" s="8"/>
      <c r="AD323" s="11" t="str">
        <f>IF(AB323&lt;&gt;"",ROUND(IF($F$11="raty równe",-PMT(W323/12,$F$4-AB322+SUM($AC$28:AC323),AG322,2),AE323+AF323),2),"")</f>
        <v/>
      </c>
      <c r="AE323" s="11" t="str">
        <f>IF(AB323&lt;&gt;"",IF($F$11="raty malejące",AG322/($F$4-AB322+SUM($AC$28:AC322)),MIN(AD323-AF323,AG322)),"")</f>
        <v/>
      </c>
      <c r="AF323" s="11" t="str">
        <f t="shared" si="268"/>
        <v/>
      </c>
      <c r="AG323" s="9" t="str">
        <f t="shared" si="269"/>
        <v/>
      </c>
      <c r="AH323" s="11"/>
      <c r="AI323" s="33" t="str">
        <f>IF(AB323&lt;&gt;"",ROUND(IF($F$11="raty równe",-PMT(W323/12,($F$4-AB322+SUM($AC$27:AC322)),AG322,2),AG322/($F$4-AB322+SUM($AC$27:AC322))+AG322*W323/12),2),"")</f>
        <v/>
      </c>
      <c r="AJ323" s="33" t="str">
        <f t="shared" si="270"/>
        <v/>
      </c>
      <c r="AK323" s="33" t="str">
        <f t="shared" si="277"/>
        <v/>
      </c>
      <c r="AL323" s="33" t="str">
        <f>IF(AB323&lt;&gt;"",AK323-SUM($AJ$28:AJ323),"")</f>
        <v/>
      </c>
      <c r="AM323" s="11" t="str">
        <f t="shared" si="271"/>
        <v/>
      </c>
      <c r="AN323" s="11" t="str">
        <f>IF(AB323&lt;&gt;"",IF($B$16=listy!$K$8,'RZĄDOWY PROGRAM'!$F$3*'RZĄDOWY PROGRAM'!$F$15,AG322*$F$15),"")</f>
        <v/>
      </c>
      <c r="AO323" s="11" t="str">
        <f t="shared" si="272"/>
        <v/>
      </c>
      <c r="AQ323" s="8" t="str">
        <f t="shared" si="284"/>
        <v/>
      </c>
      <c r="AR323" s="8"/>
      <c r="AS323" s="78" t="str">
        <f>IF(AQ323&lt;&gt;"",ROUND(IF($F$11="raty równe",-PMT(W323/12,$F$4-AQ322+SUM($AR$28:AR323),AV322,2),AT323+AU323),2),"")</f>
        <v/>
      </c>
      <c r="AT323" s="78" t="str">
        <f>IF(AQ323&lt;&gt;"",IF($F$11="raty malejące",AV322/($F$4-AQ322+SUM($AR$28:AR322)),MIN(AS323-AU323,AV322)),"")</f>
        <v/>
      </c>
      <c r="AU323" s="78" t="str">
        <f t="shared" si="285"/>
        <v/>
      </c>
      <c r="AV323" s="79" t="str">
        <f t="shared" si="286"/>
        <v/>
      </c>
      <c r="AW323" s="11"/>
      <c r="AX323" s="33" t="str">
        <f>IF(AQ323&lt;&gt;"",ROUND(IF($F$11="raty równe",-PMT(W323/12,($F$4-AQ322+SUM($AR$27:AR322)),AV322,2),AV322/($F$4-AQ322+SUM($AR$27:AR322))+AV322*W323/12),2),"")</f>
        <v/>
      </c>
      <c r="AY323" s="33" t="str">
        <f t="shared" si="287"/>
        <v/>
      </c>
      <c r="AZ323" s="33" t="str">
        <f t="shared" si="294"/>
        <v/>
      </c>
      <c r="BA323" s="33" t="str">
        <f>IF(AQ323&lt;&gt;"",AZ323-SUM($AY$44:AY323),"")</f>
        <v/>
      </c>
      <c r="BB323" s="11" t="str">
        <f t="shared" si="288"/>
        <v/>
      </c>
      <c r="BC323" s="11" t="str">
        <f>IF(AQ323&lt;&gt;"",IF($B$16=listy!$K$8,'RZĄDOWY PROGRAM'!$F$3*'RZĄDOWY PROGRAM'!$F$15,AV322*$F$15),"")</f>
        <v/>
      </c>
      <c r="BD323" s="11" t="str">
        <f t="shared" si="289"/>
        <v/>
      </c>
      <c r="BF323" s="8" t="str">
        <f t="shared" si="298"/>
        <v/>
      </c>
      <c r="BG323" s="8"/>
      <c r="BH323" s="78" t="str">
        <f>IF(BF323&lt;&gt;"",ROUND(IF($F$11="raty równe",-PMT(W323/12,$F$4-BF322+SUM(BV$28:$BV323)-SUM($BM$29:BM323),BK322,2),BI323+BJ323),2),"")</f>
        <v/>
      </c>
      <c r="BI323" s="78" t="str">
        <f>IF(BF323&lt;&gt;"",IF($F$11="raty malejące",MIN(BK322/($F$4-BF322+SUM($BG$27:BG323)-SUM($BM$27:BM323)),BK322),MIN(BH323-BJ323,BK322)),"")</f>
        <v/>
      </c>
      <c r="BJ323" s="78" t="str">
        <f t="shared" si="299"/>
        <v/>
      </c>
      <c r="BK323" s="79" t="str">
        <f t="shared" si="300"/>
        <v/>
      </c>
      <c r="BL323" s="11"/>
      <c r="BM323" s="33"/>
      <c r="BN323" s="33" t="str">
        <f t="shared" si="295"/>
        <v/>
      </c>
      <c r="BO323" s="33" t="str">
        <f t="shared" si="296"/>
        <v/>
      </c>
      <c r="BP323" s="33" t="str">
        <f>IF(O323&lt;&gt;"",BO323-SUM($BN$44:BN323),"")</f>
        <v/>
      </c>
      <c r="BQ323" s="11" t="str">
        <f t="shared" si="301"/>
        <v/>
      </c>
      <c r="BR323" s="11" t="str">
        <f>IF(BF323&lt;&gt;"",IF($B$16=listy!$K$8,'RZĄDOWY PROGRAM'!$F$3*'RZĄDOWY PROGRAM'!$F$15,BK322*$F$15),"")</f>
        <v/>
      </c>
      <c r="BS323" s="11" t="str">
        <f t="shared" si="302"/>
        <v/>
      </c>
      <c r="BU323" s="8" t="str">
        <f t="shared" si="290"/>
        <v/>
      </c>
      <c r="BV323" s="8"/>
      <c r="BW323" s="78" t="str">
        <f>IF(BU323&lt;&gt;"",ROUND(IF($F$11="raty równe",-PMT(W323/12,$F$4-BU322+SUM($BV$28:BV323)-$CB$43,BZ322,2),BX323+BY323),2),"")</f>
        <v/>
      </c>
      <c r="BX323" s="78" t="str">
        <f>IF(BU323&lt;&gt;"",IF($F$11="raty malejące",MIN(BZ322/($F$4-BU322+SUM($BV$28:BV322)-SUM($CB$28:CB322)),BZ322),MIN(BW323-BY323,BZ322)),"")</f>
        <v/>
      </c>
      <c r="BY323" s="78" t="str">
        <f t="shared" si="303"/>
        <v/>
      </c>
      <c r="BZ323" s="79" t="str">
        <f t="shared" si="292"/>
        <v/>
      </c>
      <c r="CA323" s="11"/>
      <c r="CB323" s="33"/>
      <c r="CC323" s="33" t="str">
        <f t="shared" si="291"/>
        <v/>
      </c>
      <c r="CD323" s="33" t="str">
        <f t="shared" si="297"/>
        <v/>
      </c>
      <c r="CE323" s="33" t="str">
        <f>IF(O323&lt;&gt;"",CD323-SUM($CC$44:CC323),"")</f>
        <v/>
      </c>
      <c r="CF323" s="11" t="str">
        <f t="shared" si="304"/>
        <v/>
      </c>
      <c r="CG323" s="11" t="str">
        <f>IF(BU323&lt;&gt;"",IF($B$16=listy!$K$8,'RZĄDOWY PROGRAM'!$F$3*'RZĄDOWY PROGRAM'!$F$15,BZ322*$F$15),"")</f>
        <v/>
      </c>
      <c r="CH323" s="11" t="str">
        <f t="shared" si="305"/>
        <v/>
      </c>
      <c r="CJ323" s="48" t="str">
        <f t="shared" si="278"/>
        <v/>
      </c>
      <c r="CK323" s="18" t="str">
        <f t="shared" si="279"/>
        <v/>
      </c>
      <c r="CL323" s="11" t="str">
        <f t="shared" si="293"/>
        <v/>
      </c>
      <c r="CM323" s="11" t="str">
        <f t="shared" si="280"/>
        <v/>
      </c>
      <c r="CN323" s="11" t="str">
        <f>IF(AB323&lt;&gt;"",CM323-SUM($CL$28:CL323),"")</f>
        <v/>
      </c>
    </row>
    <row r="324" spans="1:92" x14ac:dyDescent="0.45">
      <c r="A324" s="68" t="str">
        <f t="shared" si="252"/>
        <v/>
      </c>
      <c r="B324" s="8" t="str">
        <f t="shared" si="273"/>
        <v/>
      </c>
      <c r="C324" s="11" t="str">
        <f t="shared" si="274"/>
        <v/>
      </c>
      <c r="D324" s="11" t="str">
        <f t="shared" si="275"/>
        <v/>
      </c>
      <c r="E324" s="11" t="str">
        <f t="shared" si="253"/>
        <v/>
      </c>
      <c r="F324" s="9" t="str">
        <f t="shared" si="254"/>
        <v/>
      </c>
      <c r="G324" s="10" t="str">
        <f t="shared" si="255"/>
        <v/>
      </c>
      <c r="H324" s="10" t="str">
        <f t="shared" si="256"/>
        <v/>
      </c>
      <c r="I324" s="48" t="str">
        <f t="shared" si="281"/>
        <v/>
      </c>
      <c r="J324" s="11" t="str">
        <f t="shared" si="276"/>
        <v/>
      </c>
      <c r="K324" s="11" t="str">
        <f>IF(B324&lt;&gt;"",IF($B$16=listy!$K$8,'RZĄDOWY PROGRAM'!$F$3*'RZĄDOWY PROGRAM'!$F$15,F323*$F$15),"")</f>
        <v/>
      </c>
      <c r="L324" s="11" t="str">
        <f t="shared" si="257"/>
        <v/>
      </c>
      <c r="N324" s="54" t="str">
        <f t="shared" si="260"/>
        <v/>
      </c>
      <c r="O324" s="8" t="str">
        <f t="shared" si="282"/>
        <v/>
      </c>
      <c r="P324" s="8"/>
      <c r="Q324" s="11" t="str">
        <f>IF(O324&lt;&gt;"",ROUND(IF($F$11="raty równe",-PMT(W324/12,$F$4-O323+SUM($P$28:P324),T323,2),R324+S324),2),"")</f>
        <v/>
      </c>
      <c r="R324" s="11" t="str">
        <f>IF(O324&lt;&gt;"",IF($F$11="raty malejące",T323/($F$4-O323+SUM($P$28:P324)),IF(Q324-S324&gt;T323,T323,Q324-S324)),"")</f>
        <v/>
      </c>
      <c r="S324" s="11" t="str">
        <f t="shared" si="261"/>
        <v/>
      </c>
      <c r="T324" s="9" t="str">
        <f t="shared" si="262"/>
        <v/>
      </c>
      <c r="U324" s="10" t="str">
        <f t="shared" si="263"/>
        <v/>
      </c>
      <c r="V324" s="10" t="str">
        <f t="shared" si="264"/>
        <v/>
      </c>
      <c r="W324" s="48" t="str">
        <f t="shared" si="283"/>
        <v/>
      </c>
      <c r="X324" s="11" t="str">
        <f t="shared" si="265"/>
        <v/>
      </c>
      <c r="Y324" s="11" t="str">
        <f>IF(O324&lt;&gt;"",IF($B$16=listy!$K$8,'RZĄDOWY PROGRAM'!$F$3*'RZĄDOWY PROGRAM'!$F$15,T323*$F$15),"")</f>
        <v/>
      </c>
      <c r="Z324" s="11" t="str">
        <f t="shared" si="266"/>
        <v/>
      </c>
      <c r="AB324" s="8" t="str">
        <f t="shared" si="267"/>
        <v/>
      </c>
      <c r="AC324" s="8"/>
      <c r="AD324" s="11" t="str">
        <f>IF(AB324&lt;&gt;"",ROUND(IF($F$11="raty równe",-PMT(W324/12,$F$4-AB323+SUM($AC$28:AC324),AG323,2),AE324+AF324),2),"")</f>
        <v/>
      </c>
      <c r="AE324" s="11" t="str">
        <f>IF(AB324&lt;&gt;"",IF($F$11="raty malejące",AG323/($F$4-AB323+SUM($AC$28:AC323)),MIN(AD324-AF324,AG323)),"")</f>
        <v/>
      </c>
      <c r="AF324" s="11" t="str">
        <f t="shared" si="268"/>
        <v/>
      </c>
      <c r="AG324" s="9" t="str">
        <f t="shared" si="269"/>
        <v/>
      </c>
      <c r="AH324" s="11"/>
      <c r="AI324" s="33" t="str">
        <f>IF(AB324&lt;&gt;"",ROUND(IF($F$11="raty równe",-PMT(W324/12,($F$4-AB323+SUM($AC$27:AC323)),AG323,2),AG323/($F$4-AB323+SUM($AC$27:AC323))+AG323*W324/12),2),"")</f>
        <v/>
      </c>
      <c r="AJ324" s="33" t="str">
        <f t="shared" si="270"/>
        <v/>
      </c>
      <c r="AK324" s="33" t="str">
        <f t="shared" si="277"/>
        <v/>
      </c>
      <c r="AL324" s="33" t="str">
        <f>IF(AB324&lt;&gt;"",AK324-SUM($AJ$28:AJ324),"")</f>
        <v/>
      </c>
      <c r="AM324" s="11" t="str">
        <f t="shared" si="271"/>
        <v/>
      </c>
      <c r="AN324" s="11" t="str">
        <f>IF(AB324&lt;&gt;"",IF($B$16=listy!$K$8,'RZĄDOWY PROGRAM'!$F$3*'RZĄDOWY PROGRAM'!$F$15,AG323*$F$15),"")</f>
        <v/>
      </c>
      <c r="AO324" s="11" t="str">
        <f t="shared" si="272"/>
        <v/>
      </c>
      <c r="AQ324" s="8" t="str">
        <f t="shared" si="284"/>
        <v/>
      </c>
      <c r="AR324" s="8"/>
      <c r="AS324" s="78" t="str">
        <f>IF(AQ324&lt;&gt;"",ROUND(IF($F$11="raty równe",-PMT(W324/12,$F$4-AQ323+SUM($AR$28:AR324),AV323,2),AT324+AU324),2),"")</f>
        <v/>
      </c>
      <c r="AT324" s="78" t="str">
        <f>IF(AQ324&lt;&gt;"",IF($F$11="raty malejące",AV323/($F$4-AQ323+SUM($AR$28:AR323)),MIN(AS324-AU324,AV323)),"")</f>
        <v/>
      </c>
      <c r="AU324" s="78" t="str">
        <f t="shared" si="285"/>
        <v/>
      </c>
      <c r="AV324" s="79" t="str">
        <f t="shared" si="286"/>
        <v/>
      </c>
      <c r="AW324" s="11"/>
      <c r="AX324" s="33" t="str">
        <f>IF(AQ324&lt;&gt;"",ROUND(IF($F$11="raty równe",-PMT(W324/12,($F$4-AQ323+SUM($AR$27:AR323)),AV323,2),AV323/($F$4-AQ323+SUM($AR$27:AR323))+AV323*W324/12),2),"")</f>
        <v/>
      </c>
      <c r="AY324" s="33" t="str">
        <f t="shared" si="287"/>
        <v/>
      </c>
      <c r="AZ324" s="33" t="str">
        <f t="shared" si="294"/>
        <v/>
      </c>
      <c r="BA324" s="33" t="str">
        <f>IF(AQ324&lt;&gt;"",AZ324-SUM($AY$44:AY324),"")</f>
        <v/>
      </c>
      <c r="BB324" s="11" t="str">
        <f t="shared" si="288"/>
        <v/>
      </c>
      <c r="BC324" s="11" t="str">
        <f>IF(AQ324&lt;&gt;"",IF($B$16=listy!$K$8,'RZĄDOWY PROGRAM'!$F$3*'RZĄDOWY PROGRAM'!$F$15,AV323*$F$15),"")</f>
        <v/>
      </c>
      <c r="BD324" s="11" t="str">
        <f t="shared" si="289"/>
        <v/>
      </c>
      <c r="BF324" s="8" t="str">
        <f t="shared" si="298"/>
        <v/>
      </c>
      <c r="BG324" s="8"/>
      <c r="BH324" s="78" t="str">
        <f>IF(BF324&lt;&gt;"",ROUND(IF($F$11="raty równe",-PMT(W324/12,$F$4-BF323+SUM(BV$28:$BV324)-SUM($BM$29:BM324),BK323,2),BI324+BJ324),2),"")</f>
        <v/>
      </c>
      <c r="BI324" s="78" t="str">
        <f>IF(BF324&lt;&gt;"",IF($F$11="raty malejące",MIN(BK323/($F$4-BF323+SUM($BG$27:BG324)-SUM($BM$27:BM324)),BK323),MIN(BH324-BJ324,BK323)),"")</f>
        <v/>
      </c>
      <c r="BJ324" s="78" t="str">
        <f t="shared" si="299"/>
        <v/>
      </c>
      <c r="BK324" s="79" t="str">
        <f t="shared" si="300"/>
        <v/>
      </c>
      <c r="BL324" s="11"/>
      <c r="BM324" s="33"/>
      <c r="BN324" s="33" t="str">
        <f t="shared" si="295"/>
        <v/>
      </c>
      <c r="BO324" s="33" t="str">
        <f t="shared" si="296"/>
        <v/>
      </c>
      <c r="BP324" s="33" t="str">
        <f>IF(O324&lt;&gt;"",BO324-SUM($BN$44:BN324),"")</f>
        <v/>
      </c>
      <c r="BQ324" s="11" t="str">
        <f t="shared" si="301"/>
        <v/>
      </c>
      <c r="BR324" s="11" t="str">
        <f>IF(BF324&lt;&gt;"",IF($B$16=listy!$K$8,'RZĄDOWY PROGRAM'!$F$3*'RZĄDOWY PROGRAM'!$F$15,BK323*$F$15),"")</f>
        <v/>
      </c>
      <c r="BS324" s="11" t="str">
        <f t="shared" si="302"/>
        <v/>
      </c>
      <c r="BU324" s="8" t="str">
        <f t="shared" si="290"/>
        <v/>
      </c>
      <c r="BV324" s="8"/>
      <c r="BW324" s="78" t="str">
        <f>IF(BU324&lt;&gt;"",ROUND(IF($F$11="raty równe",-PMT(W324/12,$F$4-BU323+SUM($BV$28:BV324)-$CB$43,BZ323,2),BX324+BY324),2),"")</f>
        <v/>
      </c>
      <c r="BX324" s="78" t="str">
        <f>IF(BU324&lt;&gt;"",IF($F$11="raty malejące",MIN(BZ323/($F$4-BU323+SUM($BV$28:BV323)-SUM($CB$28:CB323)),BZ323),MIN(BW324-BY324,BZ323)),"")</f>
        <v/>
      </c>
      <c r="BY324" s="78" t="str">
        <f t="shared" si="303"/>
        <v/>
      </c>
      <c r="BZ324" s="79" t="str">
        <f t="shared" si="292"/>
        <v/>
      </c>
      <c r="CA324" s="11"/>
      <c r="CB324" s="33"/>
      <c r="CC324" s="33" t="str">
        <f t="shared" si="291"/>
        <v/>
      </c>
      <c r="CD324" s="33" t="str">
        <f t="shared" si="297"/>
        <v/>
      </c>
      <c r="CE324" s="33" t="str">
        <f>IF(O324&lt;&gt;"",CD324-SUM($CC$44:CC324),"")</f>
        <v/>
      </c>
      <c r="CF324" s="11" t="str">
        <f t="shared" si="304"/>
        <v/>
      </c>
      <c r="CG324" s="11" t="str">
        <f>IF(BU324&lt;&gt;"",IF($B$16=listy!$K$8,'RZĄDOWY PROGRAM'!$F$3*'RZĄDOWY PROGRAM'!$F$15,BZ323*$F$15),"")</f>
        <v/>
      </c>
      <c r="CH324" s="11" t="str">
        <f t="shared" si="305"/>
        <v/>
      </c>
      <c r="CJ324" s="48" t="str">
        <f t="shared" si="278"/>
        <v/>
      </c>
      <c r="CK324" s="18" t="str">
        <f t="shared" si="279"/>
        <v/>
      </c>
      <c r="CL324" s="11" t="str">
        <f t="shared" si="293"/>
        <v/>
      </c>
      <c r="CM324" s="11" t="str">
        <f t="shared" si="280"/>
        <v/>
      </c>
      <c r="CN324" s="11" t="str">
        <f>IF(AB324&lt;&gt;"",CM324-SUM($CL$28:CL324),"")</f>
        <v/>
      </c>
    </row>
    <row r="325" spans="1:92" x14ac:dyDescent="0.45">
      <c r="A325" s="68" t="str">
        <f t="shared" si="252"/>
        <v/>
      </c>
      <c r="B325" s="8" t="str">
        <f t="shared" si="273"/>
        <v/>
      </c>
      <c r="C325" s="11" t="str">
        <f t="shared" si="274"/>
        <v/>
      </c>
      <c r="D325" s="11" t="str">
        <f t="shared" si="275"/>
        <v/>
      </c>
      <c r="E325" s="11" t="str">
        <f t="shared" si="253"/>
        <v/>
      </c>
      <c r="F325" s="9" t="str">
        <f t="shared" si="254"/>
        <v/>
      </c>
      <c r="G325" s="10" t="str">
        <f t="shared" si="255"/>
        <v/>
      </c>
      <c r="H325" s="10" t="str">
        <f t="shared" si="256"/>
        <v/>
      </c>
      <c r="I325" s="48" t="str">
        <f t="shared" si="281"/>
        <v/>
      </c>
      <c r="J325" s="11" t="str">
        <f t="shared" si="276"/>
        <v/>
      </c>
      <c r="K325" s="11" t="str">
        <f>IF(B325&lt;&gt;"",IF($B$16=listy!$K$8,'RZĄDOWY PROGRAM'!$F$3*'RZĄDOWY PROGRAM'!$F$15,F324*$F$15),"")</f>
        <v/>
      </c>
      <c r="L325" s="11" t="str">
        <f t="shared" si="257"/>
        <v/>
      </c>
      <c r="N325" s="54" t="str">
        <f t="shared" si="260"/>
        <v/>
      </c>
      <c r="O325" s="8" t="str">
        <f t="shared" si="282"/>
        <v/>
      </c>
      <c r="P325" s="8"/>
      <c r="Q325" s="11" t="str">
        <f>IF(O325&lt;&gt;"",ROUND(IF($F$11="raty równe",-PMT(W325/12,$F$4-O324+SUM($P$28:P325),T324,2),R325+S325),2),"")</f>
        <v/>
      </c>
      <c r="R325" s="11" t="str">
        <f>IF(O325&lt;&gt;"",IF($F$11="raty malejące",T324/($F$4-O324+SUM($P$28:P325)),IF(Q325-S325&gt;T324,T324,Q325-S325)),"")</f>
        <v/>
      </c>
      <c r="S325" s="11" t="str">
        <f t="shared" si="261"/>
        <v/>
      </c>
      <c r="T325" s="9" t="str">
        <f t="shared" si="262"/>
        <v/>
      </c>
      <c r="U325" s="10" t="str">
        <f t="shared" si="263"/>
        <v/>
      </c>
      <c r="V325" s="10" t="str">
        <f t="shared" si="264"/>
        <v/>
      </c>
      <c r="W325" s="48" t="str">
        <f t="shared" si="283"/>
        <v/>
      </c>
      <c r="X325" s="11" t="str">
        <f t="shared" si="265"/>
        <v/>
      </c>
      <c r="Y325" s="11" t="str">
        <f>IF(O325&lt;&gt;"",IF($B$16=listy!$K$8,'RZĄDOWY PROGRAM'!$F$3*'RZĄDOWY PROGRAM'!$F$15,T324*$F$15),"")</f>
        <v/>
      </c>
      <c r="Z325" s="11" t="str">
        <f t="shared" si="266"/>
        <v/>
      </c>
      <c r="AB325" s="8" t="str">
        <f t="shared" si="267"/>
        <v/>
      </c>
      <c r="AC325" s="8"/>
      <c r="AD325" s="11" t="str">
        <f>IF(AB325&lt;&gt;"",ROUND(IF($F$11="raty równe",-PMT(W325/12,$F$4-AB324+SUM($AC$28:AC325),AG324,2),AE325+AF325),2),"")</f>
        <v/>
      </c>
      <c r="AE325" s="11" t="str">
        <f>IF(AB325&lt;&gt;"",IF($F$11="raty malejące",AG324/($F$4-AB324+SUM($AC$28:AC324)),MIN(AD325-AF325,AG324)),"")</f>
        <v/>
      </c>
      <c r="AF325" s="11" t="str">
        <f t="shared" si="268"/>
        <v/>
      </c>
      <c r="AG325" s="9" t="str">
        <f t="shared" si="269"/>
        <v/>
      </c>
      <c r="AH325" s="11"/>
      <c r="AI325" s="33" t="str">
        <f>IF(AB325&lt;&gt;"",ROUND(IF($F$11="raty równe",-PMT(W325/12,($F$4-AB324+SUM($AC$27:AC324)),AG324,2),AG324/($F$4-AB324+SUM($AC$27:AC324))+AG324*W325/12),2),"")</f>
        <v/>
      </c>
      <c r="AJ325" s="33" t="str">
        <f t="shared" si="270"/>
        <v/>
      </c>
      <c r="AK325" s="33" t="str">
        <f t="shared" si="277"/>
        <v/>
      </c>
      <c r="AL325" s="33" t="str">
        <f>IF(AB325&lt;&gt;"",AK325-SUM($AJ$28:AJ325),"")</f>
        <v/>
      </c>
      <c r="AM325" s="11" t="str">
        <f t="shared" si="271"/>
        <v/>
      </c>
      <c r="AN325" s="11" t="str">
        <f>IF(AB325&lt;&gt;"",IF($B$16=listy!$K$8,'RZĄDOWY PROGRAM'!$F$3*'RZĄDOWY PROGRAM'!$F$15,AG324*$F$15),"")</f>
        <v/>
      </c>
      <c r="AO325" s="11" t="str">
        <f t="shared" si="272"/>
        <v/>
      </c>
      <c r="AQ325" s="8" t="str">
        <f t="shared" si="284"/>
        <v/>
      </c>
      <c r="AR325" s="8"/>
      <c r="AS325" s="78" t="str">
        <f>IF(AQ325&lt;&gt;"",ROUND(IF($F$11="raty równe",-PMT(W325/12,$F$4-AQ324+SUM($AR$28:AR325),AV324,2),AT325+AU325),2),"")</f>
        <v/>
      </c>
      <c r="AT325" s="78" t="str">
        <f>IF(AQ325&lt;&gt;"",IF($F$11="raty malejące",AV324/($F$4-AQ324+SUM($AR$28:AR324)),MIN(AS325-AU325,AV324)),"")</f>
        <v/>
      </c>
      <c r="AU325" s="78" t="str">
        <f t="shared" si="285"/>
        <v/>
      </c>
      <c r="AV325" s="79" t="str">
        <f t="shared" si="286"/>
        <v/>
      </c>
      <c r="AW325" s="11"/>
      <c r="AX325" s="33" t="str">
        <f>IF(AQ325&lt;&gt;"",ROUND(IF($F$11="raty równe",-PMT(W325/12,($F$4-AQ324+SUM($AR$27:AR324)),AV324,2),AV324/($F$4-AQ324+SUM($AR$27:AR324))+AV324*W325/12),2),"")</f>
        <v/>
      </c>
      <c r="AY325" s="33" t="str">
        <f t="shared" si="287"/>
        <v/>
      </c>
      <c r="AZ325" s="33" t="str">
        <f t="shared" si="294"/>
        <v/>
      </c>
      <c r="BA325" s="33" t="str">
        <f>IF(AQ325&lt;&gt;"",AZ325-SUM($AY$44:AY325),"")</f>
        <v/>
      </c>
      <c r="BB325" s="11" t="str">
        <f t="shared" si="288"/>
        <v/>
      </c>
      <c r="BC325" s="11" t="str">
        <f>IF(AQ325&lt;&gt;"",IF($B$16=listy!$K$8,'RZĄDOWY PROGRAM'!$F$3*'RZĄDOWY PROGRAM'!$F$15,AV324*$F$15),"")</f>
        <v/>
      </c>
      <c r="BD325" s="11" t="str">
        <f t="shared" si="289"/>
        <v/>
      </c>
      <c r="BF325" s="8" t="str">
        <f t="shared" si="298"/>
        <v/>
      </c>
      <c r="BG325" s="8"/>
      <c r="BH325" s="78" t="str">
        <f>IF(BF325&lt;&gt;"",ROUND(IF($F$11="raty równe",-PMT(W325/12,$F$4-BF324+SUM(BV$28:$BV325)-SUM($BM$29:BM325),BK324,2),BI325+BJ325),2),"")</f>
        <v/>
      </c>
      <c r="BI325" s="78" t="str">
        <f>IF(BF325&lt;&gt;"",IF($F$11="raty malejące",MIN(BK324/($F$4-BF324+SUM($BG$27:BG325)-SUM($BM$27:BM325)),BK324),MIN(BH325-BJ325,BK324)),"")</f>
        <v/>
      </c>
      <c r="BJ325" s="78" t="str">
        <f t="shared" si="299"/>
        <v/>
      </c>
      <c r="BK325" s="79" t="str">
        <f t="shared" si="300"/>
        <v/>
      </c>
      <c r="BL325" s="11"/>
      <c r="BM325" s="33"/>
      <c r="BN325" s="33" t="str">
        <f t="shared" si="295"/>
        <v/>
      </c>
      <c r="BO325" s="33" t="str">
        <f t="shared" si="296"/>
        <v/>
      </c>
      <c r="BP325" s="33" t="str">
        <f>IF(O325&lt;&gt;"",BO325-SUM($BN$44:BN325),"")</f>
        <v/>
      </c>
      <c r="BQ325" s="11" t="str">
        <f t="shared" si="301"/>
        <v/>
      </c>
      <c r="BR325" s="11" t="str">
        <f>IF(BF325&lt;&gt;"",IF($B$16=listy!$K$8,'RZĄDOWY PROGRAM'!$F$3*'RZĄDOWY PROGRAM'!$F$15,BK324*$F$15),"")</f>
        <v/>
      </c>
      <c r="BS325" s="11" t="str">
        <f t="shared" si="302"/>
        <v/>
      </c>
      <c r="BU325" s="8" t="str">
        <f t="shared" si="290"/>
        <v/>
      </c>
      <c r="BV325" s="8"/>
      <c r="BW325" s="78" t="str">
        <f>IF(BU325&lt;&gt;"",ROUND(IF($F$11="raty równe",-PMT(W325/12,$F$4-BU324+SUM($BV$28:BV325)-$CB$43,BZ324,2),BX325+BY325),2),"")</f>
        <v/>
      </c>
      <c r="BX325" s="78" t="str">
        <f>IF(BU325&lt;&gt;"",IF($F$11="raty malejące",MIN(BZ324/($F$4-BU324+SUM($BV$28:BV324)-SUM($CB$28:CB324)),BZ324),MIN(BW325-BY325,BZ324)),"")</f>
        <v/>
      </c>
      <c r="BY325" s="78" t="str">
        <f t="shared" si="303"/>
        <v/>
      </c>
      <c r="BZ325" s="79" t="str">
        <f t="shared" si="292"/>
        <v/>
      </c>
      <c r="CA325" s="11"/>
      <c r="CB325" s="33"/>
      <c r="CC325" s="33" t="str">
        <f t="shared" si="291"/>
        <v/>
      </c>
      <c r="CD325" s="33" t="str">
        <f t="shared" si="297"/>
        <v/>
      </c>
      <c r="CE325" s="33" t="str">
        <f>IF(O325&lt;&gt;"",CD325-SUM($CC$44:CC325),"")</f>
        <v/>
      </c>
      <c r="CF325" s="11" t="str">
        <f t="shared" si="304"/>
        <v/>
      </c>
      <c r="CG325" s="11" t="str">
        <f>IF(BU325&lt;&gt;"",IF($B$16=listy!$K$8,'RZĄDOWY PROGRAM'!$F$3*'RZĄDOWY PROGRAM'!$F$15,BZ324*$F$15),"")</f>
        <v/>
      </c>
      <c r="CH325" s="11" t="str">
        <f t="shared" si="305"/>
        <v/>
      </c>
      <c r="CJ325" s="48" t="str">
        <f t="shared" si="278"/>
        <v/>
      </c>
      <c r="CK325" s="18" t="str">
        <f t="shared" si="279"/>
        <v/>
      </c>
      <c r="CL325" s="11" t="str">
        <f t="shared" ref="CL325:CL356" si="306">IF(N325&lt;&gt;"",IF(ISNUMBER(C325),C325,0)-Q325,"")</f>
        <v/>
      </c>
      <c r="CM325" s="11" t="str">
        <f t="shared" si="280"/>
        <v/>
      </c>
      <c r="CN325" s="11" t="str">
        <f>IF(AB325&lt;&gt;"",CM325-SUM($CL$28:CL325),"")</f>
        <v/>
      </c>
    </row>
    <row r="326" spans="1:92" x14ac:dyDescent="0.45">
      <c r="A326" s="68" t="str">
        <f t="shared" si="252"/>
        <v/>
      </c>
      <c r="B326" s="8" t="str">
        <f t="shared" si="273"/>
        <v/>
      </c>
      <c r="C326" s="11" t="str">
        <f t="shared" si="274"/>
        <v/>
      </c>
      <c r="D326" s="11" t="str">
        <f t="shared" si="275"/>
        <v/>
      </c>
      <c r="E326" s="11" t="str">
        <f t="shared" si="253"/>
        <v/>
      </c>
      <c r="F326" s="9" t="str">
        <f t="shared" si="254"/>
        <v/>
      </c>
      <c r="G326" s="10" t="str">
        <f t="shared" si="255"/>
        <v/>
      </c>
      <c r="H326" s="10" t="str">
        <f t="shared" si="256"/>
        <v/>
      </c>
      <c r="I326" s="48" t="str">
        <f t="shared" si="281"/>
        <v/>
      </c>
      <c r="J326" s="11" t="str">
        <f t="shared" si="276"/>
        <v/>
      </c>
      <c r="K326" s="11" t="str">
        <f>IF(B326&lt;&gt;"",IF($B$16=listy!$K$8,'RZĄDOWY PROGRAM'!$F$3*'RZĄDOWY PROGRAM'!$F$15,F325*$F$15),"")</f>
        <v/>
      </c>
      <c r="L326" s="11" t="str">
        <f t="shared" si="257"/>
        <v/>
      </c>
      <c r="N326" s="54" t="str">
        <f t="shared" si="260"/>
        <v/>
      </c>
      <c r="O326" s="8" t="str">
        <f t="shared" si="282"/>
        <v/>
      </c>
      <c r="P326" s="8"/>
      <c r="Q326" s="11" t="str">
        <f>IF(O326&lt;&gt;"",ROUND(IF($F$11="raty równe",-PMT(W326/12,$F$4-O325+SUM($P$28:P326),T325,2),R326+S326),2),"")</f>
        <v/>
      </c>
      <c r="R326" s="11" t="str">
        <f>IF(O326&lt;&gt;"",IF($F$11="raty malejące",T325/($F$4-O325+SUM($P$28:P326)),IF(Q326-S326&gt;T325,T325,Q326-S326)),"")</f>
        <v/>
      </c>
      <c r="S326" s="11" t="str">
        <f t="shared" si="261"/>
        <v/>
      </c>
      <c r="T326" s="9" t="str">
        <f t="shared" si="262"/>
        <v/>
      </c>
      <c r="U326" s="10" t="str">
        <f t="shared" si="263"/>
        <v/>
      </c>
      <c r="V326" s="10" t="str">
        <f t="shared" si="264"/>
        <v/>
      </c>
      <c r="W326" s="48" t="str">
        <f t="shared" si="283"/>
        <v/>
      </c>
      <c r="X326" s="11" t="str">
        <f t="shared" si="265"/>
        <v/>
      </c>
      <c r="Y326" s="11" t="str">
        <f>IF(O326&lt;&gt;"",IF($B$16=listy!$K$8,'RZĄDOWY PROGRAM'!$F$3*'RZĄDOWY PROGRAM'!$F$15,T325*$F$15),"")</f>
        <v/>
      </c>
      <c r="Z326" s="11" t="str">
        <f t="shared" si="266"/>
        <v/>
      </c>
      <c r="AB326" s="8" t="str">
        <f t="shared" si="267"/>
        <v/>
      </c>
      <c r="AC326" s="8"/>
      <c r="AD326" s="11" t="str">
        <f>IF(AB326&lt;&gt;"",ROUND(IF($F$11="raty równe",-PMT(W326/12,$F$4-AB325+SUM($AC$28:AC326),AG325,2),AE326+AF326),2),"")</f>
        <v/>
      </c>
      <c r="AE326" s="11" t="str">
        <f>IF(AB326&lt;&gt;"",IF($F$11="raty malejące",AG325/($F$4-AB325+SUM($AC$28:AC325)),MIN(AD326-AF326,AG325)),"")</f>
        <v/>
      </c>
      <c r="AF326" s="11" t="str">
        <f t="shared" si="268"/>
        <v/>
      </c>
      <c r="AG326" s="9" t="str">
        <f t="shared" si="269"/>
        <v/>
      </c>
      <c r="AH326" s="11"/>
      <c r="AI326" s="33" t="str">
        <f>IF(AB326&lt;&gt;"",ROUND(IF($F$11="raty równe",-PMT(W326/12,($F$4-AB325+SUM($AC$27:AC325)),AG325,2),AG325/($F$4-AB325+SUM($AC$27:AC325))+AG325*W326/12),2),"")</f>
        <v/>
      </c>
      <c r="AJ326" s="33" t="str">
        <f t="shared" si="270"/>
        <v/>
      </c>
      <c r="AK326" s="33" t="str">
        <f t="shared" si="277"/>
        <v/>
      </c>
      <c r="AL326" s="33" t="str">
        <f>IF(AB326&lt;&gt;"",AK326-SUM($AJ$28:AJ326),"")</f>
        <v/>
      </c>
      <c r="AM326" s="11" t="str">
        <f t="shared" si="271"/>
        <v/>
      </c>
      <c r="AN326" s="11" t="str">
        <f>IF(AB326&lt;&gt;"",IF($B$16=listy!$K$8,'RZĄDOWY PROGRAM'!$F$3*'RZĄDOWY PROGRAM'!$F$15,AG325*$F$15),"")</f>
        <v/>
      </c>
      <c r="AO326" s="11" t="str">
        <f t="shared" si="272"/>
        <v/>
      </c>
      <c r="AQ326" s="8" t="str">
        <f t="shared" si="284"/>
        <v/>
      </c>
      <c r="AR326" s="8"/>
      <c r="AS326" s="78" t="str">
        <f>IF(AQ326&lt;&gt;"",ROUND(IF($F$11="raty równe",-PMT(W326/12,$F$4-AQ325+SUM($AR$28:AR326),AV325,2),AT326+AU326),2),"")</f>
        <v/>
      </c>
      <c r="AT326" s="78" t="str">
        <f>IF(AQ326&lt;&gt;"",IF($F$11="raty malejące",AV325/($F$4-AQ325+SUM($AR$28:AR325)),MIN(AS326-AU326,AV325)),"")</f>
        <v/>
      </c>
      <c r="AU326" s="78" t="str">
        <f t="shared" si="285"/>
        <v/>
      </c>
      <c r="AV326" s="79" t="str">
        <f t="shared" si="286"/>
        <v/>
      </c>
      <c r="AW326" s="11"/>
      <c r="AX326" s="33" t="str">
        <f>IF(AQ326&lt;&gt;"",ROUND(IF($F$11="raty równe",-PMT(W326/12,($F$4-AQ325+SUM($AR$27:AR325)),AV325,2),AV325/($F$4-AQ325+SUM($AR$27:AR325))+AV325*W326/12),2),"")</f>
        <v/>
      </c>
      <c r="AY326" s="33" t="str">
        <f t="shared" si="287"/>
        <v/>
      </c>
      <c r="AZ326" s="33" t="str">
        <f t="shared" si="294"/>
        <v/>
      </c>
      <c r="BA326" s="33" t="str">
        <f>IF(AQ326&lt;&gt;"",AZ326-SUM($AY$44:AY326),"")</f>
        <v/>
      </c>
      <c r="BB326" s="11" t="str">
        <f t="shared" si="288"/>
        <v/>
      </c>
      <c r="BC326" s="11" t="str">
        <f>IF(AQ326&lt;&gt;"",IF($B$16=listy!$K$8,'RZĄDOWY PROGRAM'!$F$3*'RZĄDOWY PROGRAM'!$F$15,AV325*$F$15),"")</f>
        <v/>
      </c>
      <c r="BD326" s="11" t="str">
        <f t="shared" si="289"/>
        <v/>
      </c>
      <c r="BF326" s="8" t="str">
        <f t="shared" si="298"/>
        <v/>
      </c>
      <c r="BG326" s="8"/>
      <c r="BH326" s="78" t="str">
        <f>IF(BF326&lt;&gt;"",ROUND(IF($F$11="raty równe",-PMT(W326/12,$F$4-BF325+SUM(BV$28:$BV326)-SUM($BM$29:BM326),BK325,2),BI326+BJ326),2),"")</f>
        <v/>
      </c>
      <c r="BI326" s="78" t="str">
        <f>IF(BF326&lt;&gt;"",IF($F$11="raty malejące",MIN(BK325/($F$4-BF325+SUM($BG$27:BG326)-SUM($BM$27:BM326)),BK325),MIN(BH326-BJ326,BK325)),"")</f>
        <v/>
      </c>
      <c r="BJ326" s="78" t="str">
        <f t="shared" si="299"/>
        <v/>
      </c>
      <c r="BK326" s="79" t="str">
        <f t="shared" si="300"/>
        <v/>
      </c>
      <c r="BL326" s="11"/>
      <c r="BM326" s="33"/>
      <c r="BN326" s="33" t="str">
        <f t="shared" si="295"/>
        <v/>
      </c>
      <c r="BO326" s="33" t="str">
        <f t="shared" si="296"/>
        <v/>
      </c>
      <c r="BP326" s="33" t="str">
        <f>IF(O326&lt;&gt;"",BO326-SUM($BN$44:BN326),"")</f>
        <v/>
      </c>
      <c r="BQ326" s="11" t="str">
        <f t="shared" si="301"/>
        <v/>
      </c>
      <c r="BR326" s="11" t="str">
        <f>IF(BF326&lt;&gt;"",IF($B$16=listy!$K$8,'RZĄDOWY PROGRAM'!$F$3*'RZĄDOWY PROGRAM'!$F$15,BK325*$F$15),"")</f>
        <v/>
      </c>
      <c r="BS326" s="11" t="str">
        <f t="shared" si="302"/>
        <v/>
      </c>
      <c r="BU326" s="8" t="str">
        <f t="shared" si="290"/>
        <v/>
      </c>
      <c r="BV326" s="8"/>
      <c r="BW326" s="78" t="str">
        <f>IF(BU326&lt;&gt;"",ROUND(IF($F$11="raty równe",-PMT(W326/12,$F$4-BU325+SUM($BV$28:BV326)-$CB$43,BZ325,2),BX326+BY326),2),"")</f>
        <v/>
      </c>
      <c r="BX326" s="78" t="str">
        <f>IF(BU326&lt;&gt;"",IF($F$11="raty malejące",MIN(BZ325/($F$4-BU325+SUM($BV$28:BV325)-SUM($CB$28:CB325)),BZ325),MIN(BW326-BY326,BZ325)),"")</f>
        <v/>
      </c>
      <c r="BY326" s="78" t="str">
        <f t="shared" si="303"/>
        <v/>
      </c>
      <c r="BZ326" s="79" t="str">
        <f t="shared" si="292"/>
        <v/>
      </c>
      <c r="CA326" s="11"/>
      <c r="CB326" s="33"/>
      <c r="CC326" s="33" t="str">
        <f t="shared" si="291"/>
        <v/>
      </c>
      <c r="CD326" s="33" t="str">
        <f t="shared" si="297"/>
        <v/>
      </c>
      <c r="CE326" s="33" t="str">
        <f>IF(O326&lt;&gt;"",CD326-SUM($CC$44:CC326),"")</f>
        <v/>
      </c>
      <c r="CF326" s="11" t="str">
        <f t="shared" si="304"/>
        <v/>
      </c>
      <c r="CG326" s="11" t="str">
        <f>IF(BU326&lt;&gt;"",IF($B$16=listy!$K$8,'RZĄDOWY PROGRAM'!$F$3*'RZĄDOWY PROGRAM'!$F$15,BZ325*$F$15),"")</f>
        <v/>
      </c>
      <c r="CH326" s="11" t="str">
        <f t="shared" si="305"/>
        <v/>
      </c>
      <c r="CJ326" s="48" t="str">
        <f t="shared" si="278"/>
        <v/>
      </c>
      <c r="CK326" s="18" t="str">
        <f t="shared" si="279"/>
        <v/>
      </c>
      <c r="CL326" s="11" t="str">
        <f t="shared" si="306"/>
        <v/>
      </c>
      <c r="CM326" s="11" t="str">
        <f t="shared" si="280"/>
        <v/>
      </c>
      <c r="CN326" s="11" t="str">
        <f>IF(AB326&lt;&gt;"",CM326-SUM($CL$28:CL326),"")</f>
        <v/>
      </c>
    </row>
    <row r="327" spans="1:92" x14ac:dyDescent="0.45">
      <c r="A327" s="68" t="str">
        <f t="shared" si="252"/>
        <v/>
      </c>
      <c r="B327" s="8" t="str">
        <f t="shared" si="273"/>
        <v/>
      </c>
      <c r="C327" s="11" t="str">
        <f t="shared" si="274"/>
        <v/>
      </c>
      <c r="D327" s="11" t="str">
        <f t="shared" si="275"/>
        <v/>
      </c>
      <c r="E327" s="11" t="str">
        <f t="shared" si="253"/>
        <v/>
      </c>
      <c r="F327" s="9" t="str">
        <f t="shared" si="254"/>
        <v/>
      </c>
      <c r="G327" s="10" t="str">
        <f t="shared" si="255"/>
        <v/>
      </c>
      <c r="H327" s="10" t="str">
        <f t="shared" si="256"/>
        <v/>
      </c>
      <c r="I327" s="48" t="str">
        <f t="shared" si="281"/>
        <v/>
      </c>
      <c r="J327" s="11" t="str">
        <f t="shared" si="276"/>
        <v/>
      </c>
      <c r="K327" s="11" t="str">
        <f>IF(B327&lt;&gt;"",IF($B$16=listy!$K$8,'RZĄDOWY PROGRAM'!$F$3*'RZĄDOWY PROGRAM'!$F$15,F326*$F$15),"")</f>
        <v/>
      </c>
      <c r="L327" s="11" t="str">
        <f t="shared" si="257"/>
        <v/>
      </c>
      <c r="N327" s="54" t="str">
        <f t="shared" si="260"/>
        <v/>
      </c>
      <c r="O327" s="8" t="str">
        <f t="shared" si="282"/>
        <v/>
      </c>
      <c r="P327" s="8"/>
      <c r="Q327" s="11" t="str">
        <f>IF(O327&lt;&gt;"",ROUND(IF($F$11="raty równe",-PMT(W327/12,$F$4-O326+SUM($P$28:P327),T326,2),R327+S327),2),"")</f>
        <v/>
      </c>
      <c r="R327" s="11" t="str">
        <f>IF(O327&lt;&gt;"",IF($F$11="raty malejące",T326/($F$4-O326+SUM($P$28:P327)),IF(Q327-S327&gt;T326,T326,Q327-S327)),"")</f>
        <v/>
      </c>
      <c r="S327" s="11" t="str">
        <f t="shared" si="261"/>
        <v/>
      </c>
      <c r="T327" s="9" t="str">
        <f t="shared" si="262"/>
        <v/>
      </c>
      <c r="U327" s="10" t="str">
        <f t="shared" si="263"/>
        <v/>
      </c>
      <c r="V327" s="10" t="str">
        <f t="shared" si="264"/>
        <v/>
      </c>
      <c r="W327" s="48" t="str">
        <f t="shared" si="283"/>
        <v/>
      </c>
      <c r="X327" s="11" t="str">
        <f t="shared" si="265"/>
        <v/>
      </c>
      <c r="Y327" s="11" t="str">
        <f>IF(O327&lt;&gt;"",IF($B$16=listy!$K$8,'RZĄDOWY PROGRAM'!$F$3*'RZĄDOWY PROGRAM'!$F$15,T326*$F$15),"")</f>
        <v/>
      </c>
      <c r="Z327" s="11" t="str">
        <f t="shared" si="266"/>
        <v/>
      </c>
      <c r="AB327" s="8" t="str">
        <f t="shared" si="267"/>
        <v/>
      </c>
      <c r="AC327" s="8"/>
      <c r="AD327" s="11" t="str">
        <f>IF(AB327&lt;&gt;"",ROUND(IF($F$11="raty równe",-PMT(W327/12,$F$4-AB326+SUM($AC$28:AC327),AG326,2),AE327+AF327),2),"")</f>
        <v/>
      </c>
      <c r="AE327" s="11" t="str">
        <f>IF(AB327&lt;&gt;"",IF($F$11="raty malejące",AG326/($F$4-AB326+SUM($AC$28:AC326)),MIN(AD327-AF327,AG326)),"")</f>
        <v/>
      </c>
      <c r="AF327" s="11" t="str">
        <f t="shared" si="268"/>
        <v/>
      </c>
      <c r="AG327" s="9" t="str">
        <f t="shared" si="269"/>
        <v/>
      </c>
      <c r="AH327" s="11"/>
      <c r="AI327" s="33" t="str">
        <f>IF(AB327&lt;&gt;"",ROUND(IF($F$11="raty równe",-PMT(W327/12,($F$4-AB326+SUM($AC$27:AC326)),AG326,2),AG326/($F$4-AB326+SUM($AC$27:AC326))+AG326*W327/12),2),"")</f>
        <v/>
      </c>
      <c r="AJ327" s="33" t="str">
        <f t="shared" si="270"/>
        <v/>
      </c>
      <c r="AK327" s="33" t="str">
        <f t="shared" si="277"/>
        <v/>
      </c>
      <c r="AL327" s="33" t="str">
        <f>IF(AB327&lt;&gt;"",AK327-SUM($AJ$28:AJ327),"")</f>
        <v/>
      </c>
      <c r="AM327" s="11" t="str">
        <f t="shared" si="271"/>
        <v/>
      </c>
      <c r="AN327" s="11" t="str">
        <f>IF(AB327&lt;&gt;"",IF($B$16=listy!$K$8,'RZĄDOWY PROGRAM'!$F$3*'RZĄDOWY PROGRAM'!$F$15,AG326*$F$15),"")</f>
        <v/>
      </c>
      <c r="AO327" s="11" t="str">
        <f t="shared" si="272"/>
        <v/>
      </c>
      <c r="AQ327" s="8" t="str">
        <f t="shared" si="284"/>
        <v/>
      </c>
      <c r="AR327" s="8"/>
      <c r="AS327" s="78" t="str">
        <f>IF(AQ327&lt;&gt;"",ROUND(IF($F$11="raty równe",-PMT(W327/12,$F$4-AQ326+SUM($AR$28:AR327),AV326,2),AT327+AU327),2),"")</f>
        <v/>
      </c>
      <c r="AT327" s="78" t="str">
        <f>IF(AQ327&lt;&gt;"",IF($F$11="raty malejące",AV326/($F$4-AQ326+SUM($AR$28:AR326)),MIN(AS327-AU327,AV326)),"")</f>
        <v/>
      </c>
      <c r="AU327" s="78" t="str">
        <f t="shared" si="285"/>
        <v/>
      </c>
      <c r="AV327" s="79" t="str">
        <f t="shared" si="286"/>
        <v/>
      </c>
      <c r="AW327" s="11"/>
      <c r="AX327" s="33" t="str">
        <f>IF(AQ327&lt;&gt;"",ROUND(IF($F$11="raty równe",-PMT(W327/12,($F$4-AQ326+SUM($AR$27:AR326)),AV326,2),AV326/($F$4-AQ326+SUM($AR$27:AR326))+AV326*W327/12),2),"")</f>
        <v/>
      </c>
      <c r="AY327" s="33" t="str">
        <f t="shared" si="287"/>
        <v/>
      </c>
      <c r="AZ327" s="33" t="str">
        <f t="shared" si="294"/>
        <v/>
      </c>
      <c r="BA327" s="33" t="str">
        <f>IF(AQ327&lt;&gt;"",AZ327-SUM($AY$44:AY327),"")</f>
        <v/>
      </c>
      <c r="BB327" s="11" t="str">
        <f t="shared" si="288"/>
        <v/>
      </c>
      <c r="BC327" s="11" t="str">
        <f>IF(AQ327&lt;&gt;"",IF($B$16=listy!$K$8,'RZĄDOWY PROGRAM'!$F$3*'RZĄDOWY PROGRAM'!$F$15,AV326*$F$15),"")</f>
        <v/>
      </c>
      <c r="BD327" s="11" t="str">
        <f t="shared" si="289"/>
        <v/>
      </c>
      <c r="BF327" s="8" t="str">
        <f t="shared" si="298"/>
        <v/>
      </c>
      <c r="BG327" s="8"/>
      <c r="BH327" s="78" t="str">
        <f>IF(BF327&lt;&gt;"",ROUND(IF($F$11="raty równe",-PMT(W327/12,$F$4-BF326+SUM(BV$28:$BV327)-SUM($BM$29:BM327),BK326,2),BI327+BJ327),2),"")</f>
        <v/>
      </c>
      <c r="BI327" s="78" t="str">
        <f>IF(BF327&lt;&gt;"",IF($F$11="raty malejące",MIN(BK326/($F$4-BF326+SUM($BG$27:BG327)-SUM($BM$27:BM327)),BK326),MIN(BH327-BJ327,BK326)),"")</f>
        <v/>
      </c>
      <c r="BJ327" s="78" t="str">
        <f t="shared" si="299"/>
        <v/>
      </c>
      <c r="BK327" s="79" t="str">
        <f t="shared" si="300"/>
        <v/>
      </c>
      <c r="BL327" s="11"/>
      <c r="BM327" s="33"/>
      <c r="BN327" s="33" t="str">
        <f t="shared" si="295"/>
        <v/>
      </c>
      <c r="BO327" s="33" t="str">
        <f t="shared" si="296"/>
        <v/>
      </c>
      <c r="BP327" s="33" t="str">
        <f>IF(O327&lt;&gt;"",BO327-SUM($BN$44:BN327),"")</f>
        <v/>
      </c>
      <c r="BQ327" s="11" t="str">
        <f t="shared" si="301"/>
        <v/>
      </c>
      <c r="BR327" s="11" t="str">
        <f>IF(BF327&lt;&gt;"",IF($B$16=listy!$K$8,'RZĄDOWY PROGRAM'!$F$3*'RZĄDOWY PROGRAM'!$F$15,BK326*$F$15),"")</f>
        <v/>
      </c>
      <c r="BS327" s="11" t="str">
        <f t="shared" si="302"/>
        <v/>
      </c>
      <c r="BU327" s="8" t="str">
        <f t="shared" si="290"/>
        <v/>
      </c>
      <c r="BV327" s="8"/>
      <c r="BW327" s="78" t="str">
        <f>IF(BU327&lt;&gt;"",ROUND(IF($F$11="raty równe",-PMT(W327/12,$F$4-BU326+SUM($BV$28:BV327)-$CB$43,BZ326,2),BX327+BY327),2),"")</f>
        <v/>
      </c>
      <c r="BX327" s="78" t="str">
        <f>IF(BU327&lt;&gt;"",IF($F$11="raty malejące",MIN(BZ326/($F$4-BU326+SUM($BV$28:BV326)-SUM($CB$28:CB326)),BZ326),MIN(BW327-BY327,BZ326)),"")</f>
        <v/>
      </c>
      <c r="BY327" s="78" t="str">
        <f t="shared" si="303"/>
        <v/>
      </c>
      <c r="BZ327" s="79" t="str">
        <f t="shared" si="292"/>
        <v/>
      </c>
      <c r="CA327" s="11"/>
      <c r="CB327" s="33"/>
      <c r="CC327" s="33" t="str">
        <f t="shared" si="291"/>
        <v/>
      </c>
      <c r="CD327" s="33" t="str">
        <f t="shared" si="297"/>
        <v/>
      </c>
      <c r="CE327" s="33" t="str">
        <f>IF(O327&lt;&gt;"",CD327-SUM($CC$44:CC327),"")</f>
        <v/>
      </c>
      <c r="CF327" s="11" t="str">
        <f t="shared" si="304"/>
        <v/>
      </c>
      <c r="CG327" s="11" t="str">
        <f>IF(BU327&lt;&gt;"",IF($B$16=listy!$K$8,'RZĄDOWY PROGRAM'!$F$3*'RZĄDOWY PROGRAM'!$F$15,BZ326*$F$15),"")</f>
        <v/>
      </c>
      <c r="CH327" s="11" t="str">
        <f t="shared" si="305"/>
        <v/>
      </c>
      <c r="CJ327" s="48" t="str">
        <f t="shared" si="278"/>
        <v/>
      </c>
      <c r="CK327" s="18" t="str">
        <f t="shared" si="279"/>
        <v/>
      </c>
      <c r="CL327" s="11" t="str">
        <f t="shared" si="306"/>
        <v/>
      </c>
      <c r="CM327" s="11" t="str">
        <f t="shared" si="280"/>
        <v/>
      </c>
      <c r="CN327" s="11" t="str">
        <f>IF(AB327&lt;&gt;"",CM327-SUM($CL$28:CL327),"")</f>
        <v/>
      </c>
    </row>
    <row r="328" spans="1:92" x14ac:dyDescent="0.45">
      <c r="A328" s="68" t="str">
        <f t="shared" si="252"/>
        <v/>
      </c>
      <c r="B328" s="8" t="str">
        <f t="shared" si="273"/>
        <v/>
      </c>
      <c r="C328" s="11" t="str">
        <f t="shared" si="274"/>
        <v/>
      </c>
      <c r="D328" s="11" t="str">
        <f t="shared" si="275"/>
        <v/>
      </c>
      <c r="E328" s="11" t="str">
        <f t="shared" si="253"/>
        <v/>
      </c>
      <c r="F328" s="9" t="str">
        <f t="shared" si="254"/>
        <v/>
      </c>
      <c r="G328" s="10" t="str">
        <f t="shared" si="255"/>
        <v/>
      </c>
      <c r="H328" s="10" t="str">
        <f t="shared" si="256"/>
        <v/>
      </c>
      <c r="I328" s="48" t="str">
        <f t="shared" si="281"/>
        <v/>
      </c>
      <c r="J328" s="11" t="str">
        <f t="shared" si="276"/>
        <v/>
      </c>
      <c r="K328" s="11" t="str">
        <f>IF(B328&lt;&gt;"",IF($B$16=listy!$K$8,'RZĄDOWY PROGRAM'!$F$3*'RZĄDOWY PROGRAM'!$F$15,F327*$F$15),"")</f>
        <v/>
      </c>
      <c r="L328" s="11" t="str">
        <f t="shared" si="257"/>
        <v/>
      </c>
      <c r="N328" s="54" t="str">
        <f t="shared" si="260"/>
        <v/>
      </c>
      <c r="O328" s="8" t="str">
        <f t="shared" si="282"/>
        <v/>
      </c>
      <c r="P328" s="8"/>
      <c r="Q328" s="11" t="str">
        <f>IF(O328&lt;&gt;"",ROUND(IF($F$11="raty równe",-PMT(W328/12,$F$4-O327+SUM($P$28:P328),T327,2),R328+S328),2),"")</f>
        <v/>
      </c>
      <c r="R328" s="11" t="str">
        <f>IF(O328&lt;&gt;"",IF($F$11="raty malejące",T327/($F$4-O327+SUM($P$28:P328)),IF(Q328-S328&gt;T327,T327,Q328-S328)),"")</f>
        <v/>
      </c>
      <c r="S328" s="11" t="str">
        <f t="shared" si="261"/>
        <v/>
      </c>
      <c r="T328" s="9" t="str">
        <f t="shared" si="262"/>
        <v/>
      </c>
      <c r="U328" s="10" t="str">
        <f t="shared" si="263"/>
        <v/>
      </c>
      <c r="V328" s="10" t="str">
        <f t="shared" si="264"/>
        <v/>
      </c>
      <c r="W328" s="48" t="str">
        <f t="shared" si="283"/>
        <v/>
      </c>
      <c r="X328" s="11" t="str">
        <f t="shared" si="265"/>
        <v/>
      </c>
      <c r="Y328" s="11" t="str">
        <f>IF(O328&lt;&gt;"",IF($B$16=listy!$K$8,'RZĄDOWY PROGRAM'!$F$3*'RZĄDOWY PROGRAM'!$F$15,T327*$F$15),"")</f>
        <v/>
      </c>
      <c r="Z328" s="11" t="str">
        <f t="shared" si="266"/>
        <v/>
      </c>
      <c r="AB328" s="8" t="str">
        <f t="shared" si="267"/>
        <v/>
      </c>
      <c r="AC328" s="8"/>
      <c r="AD328" s="11" t="str">
        <f>IF(AB328&lt;&gt;"",ROUND(IF($F$11="raty równe",-PMT(W328/12,$F$4-AB327+SUM($AC$28:AC328),AG327,2),AE328+AF328),2),"")</f>
        <v/>
      </c>
      <c r="AE328" s="11" t="str">
        <f>IF(AB328&lt;&gt;"",IF($F$11="raty malejące",AG327/($F$4-AB327+SUM($AC$28:AC327)),MIN(AD328-AF328,AG327)),"")</f>
        <v/>
      </c>
      <c r="AF328" s="11" t="str">
        <f t="shared" si="268"/>
        <v/>
      </c>
      <c r="AG328" s="9" t="str">
        <f t="shared" si="269"/>
        <v/>
      </c>
      <c r="AH328" s="11"/>
      <c r="AI328" s="33" t="str">
        <f>IF(AB328&lt;&gt;"",ROUND(IF($F$11="raty równe",-PMT(W328/12,($F$4-AB327+SUM($AC$27:AC327)),AG327,2),AG327/($F$4-AB327+SUM($AC$27:AC327))+AG327*W328/12),2),"")</f>
        <v/>
      </c>
      <c r="AJ328" s="33" t="str">
        <f t="shared" si="270"/>
        <v/>
      </c>
      <c r="AK328" s="33" t="str">
        <f t="shared" si="277"/>
        <v/>
      </c>
      <c r="AL328" s="33" t="str">
        <f>IF(AB328&lt;&gt;"",AK328-SUM($AJ$28:AJ328),"")</f>
        <v/>
      </c>
      <c r="AM328" s="11" t="str">
        <f t="shared" si="271"/>
        <v/>
      </c>
      <c r="AN328" s="11" t="str">
        <f>IF(AB328&lt;&gt;"",IF($B$16=listy!$K$8,'RZĄDOWY PROGRAM'!$F$3*'RZĄDOWY PROGRAM'!$F$15,AG327*$F$15),"")</f>
        <v/>
      </c>
      <c r="AO328" s="11" t="str">
        <f t="shared" si="272"/>
        <v/>
      </c>
      <c r="AQ328" s="8" t="str">
        <f t="shared" si="284"/>
        <v/>
      </c>
      <c r="AR328" s="8"/>
      <c r="AS328" s="78" t="str">
        <f>IF(AQ328&lt;&gt;"",ROUND(IF($F$11="raty równe",-PMT(W328/12,$F$4-AQ327+SUM($AR$28:AR328),AV327,2),AT328+AU328),2),"")</f>
        <v/>
      </c>
      <c r="AT328" s="78" t="str">
        <f>IF(AQ328&lt;&gt;"",IF($F$11="raty malejące",AV327/($F$4-AQ327+SUM($AR$28:AR327)),MIN(AS328-AU328,AV327)),"")</f>
        <v/>
      </c>
      <c r="AU328" s="78" t="str">
        <f t="shared" si="285"/>
        <v/>
      </c>
      <c r="AV328" s="79" t="str">
        <f t="shared" si="286"/>
        <v/>
      </c>
      <c r="AW328" s="11"/>
      <c r="AX328" s="33" t="str">
        <f>IF(AQ328&lt;&gt;"",ROUND(IF($F$11="raty równe",-PMT(W328/12,($F$4-AQ327+SUM($AR$27:AR327)),AV327,2),AV327/($F$4-AQ327+SUM($AR$27:AR327))+AV327*W328/12),2),"")</f>
        <v/>
      </c>
      <c r="AY328" s="33" t="str">
        <f t="shared" si="287"/>
        <v/>
      </c>
      <c r="AZ328" s="33" t="str">
        <f t="shared" si="294"/>
        <v/>
      </c>
      <c r="BA328" s="33" t="str">
        <f>IF(AQ328&lt;&gt;"",AZ328-SUM($AY$44:AY328),"")</f>
        <v/>
      </c>
      <c r="BB328" s="11" t="str">
        <f t="shared" si="288"/>
        <v/>
      </c>
      <c r="BC328" s="11" t="str">
        <f>IF(AQ328&lt;&gt;"",IF($B$16=listy!$K$8,'RZĄDOWY PROGRAM'!$F$3*'RZĄDOWY PROGRAM'!$F$15,AV327*$F$15),"")</f>
        <v/>
      </c>
      <c r="BD328" s="11" t="str">
        <f t="shared" si="289"/>
        <v/>
      </c>
      <c r="BF328" s="8" t="str">
        <f t="shared" si="298"/>
        <v/>
      </c>
      <c r="BG328" s="8"/>
      <c r="BH328" s="78" t="str">
        <f>IF(BF328&lt;&gt;"",ROUND(IF($F$11="raty równe",-PMT(W328/12,$F$4-BF327+SUM(BV$28:$BV328)-SUM($BM$29:BM328),BK327,2),BI328+BJ328),2),"")</f>
        <v/>
      </c>
      <c r="BI328" s="78" t="str">
        <f>IF(BF328&lt;&gt;"",IF($F$11="raty malejące",MIN(BK327/($F$4-BF327+SUM($BG$27:BG328)-SUM($BM$27:BM328)),BK327),MIN(BH328-BJ328,BK327)),"")</f>
        <v/>
      </c>
      <c r="BJ328" s="78" t="str">
        <f t="shared" si="299"/>
        <v/>
      </c>
      <c r="BK328" s="79" t="str">
        <f t="shared" si="300"/>
        <v/>
      </c>
      <c r="BL328" s="11"/>
      <c r="BM328" s="33"/>
      <c r="BN328" s="33" t="str">
        <f t="shared" si="295"/>
        <v/>
      </c>
      <c r="BO328" s="33" t="str">
        <f t="shared" si="296"/>
        <v/>
      </c>
      <c r="BP328" s="33" t="str">
        <f>IF(O328&lt;&gt;"",BO328-SUM($BN$44:BN328),"")</f>
        <v/>
      </c>
      <c r="BQ328" s="11" t="str">
        <f t="shared" si="301"/>
        <v/>
      </c>
      <c r="BR328" s="11" t="str">
        <f>IF(BF328&lt;&gt;"",IF($B$16=listy!$K$8,'RZĄDOWY PROGRAM'!$F$3*'RZĄDOWY PROGRAM'!$F$15,BK327*$F$15),"")</f>
        <v/>
      </c>
      <c r="BS328" s="11" t="str">
        <f t="shared" si="302"/>
        <v/>
      </c>
      <c r="BU328" s="8" t="str">
        <f t="shared" si="290"/>
        <v/>
      </c>
      <c r="BV328" s="8"/>
      <c r="BW328" s="78" t="str">
        <f>IF(BU328&lt;&gt;"",ROUND(IF($F$11="raty równe",-PMT(W328/12,$F$4-BU327+SUM($BV$28:BV328)-$CB$43,BZ327,2),BX328+BY328),2),"")</f>
        <v/>
      </c>
      <c r="BX328" s="78" t="str">
        <f>IF(BU328&lt;&gt;"",IF($F$11="raty malejące",MIN(BZ327/($F$4-BU327+SUM($BV$28:BV327)-SUM($CB$28:CB327)),BZ327),MIN(BW328-BY328,BZ327)),"")</f>
        <v/>
      </c>
      <c r="BY328" s="78" t="str">
        <f t="shared" si="303"/>
        <v/>
      </c>
      <c r="BZ328" s="79" t="str">
        <f t="shared" si="292"/>
        <v/>
      </c>
      <c r="CA328" s="11"/>
      <c r="CB328" s="33"/>
      <c r="CC328" s="33" t="str">
        <f t="shared" si="291"/>
        <v/>
      </c>
      <c r="CD328" s="33" t="str">
        <f t="shared" si="297"/>
        <v/>
      </c>
      <c r="CE328" s="33" t="str">
        <f>IF(O328&lt;&gt;"",CD328-SUM($CC$44:CC328),"")</f>
        <v/>
      </c>
      <c r="CF328" s="11" t="str">
        <f t="shared" si="304"/>
        <v/>
      </c>
      <c r="CG328" s="11" t="str">
        <f>IF(BU328&lt;&gt;"",IF($B$16=listy!$K$8,'RZĄDOWY PROGRAM'!$F$3*'RZĄDOWY PROGRAM'!$F$15,BZ327*$F$15),"")</f>
        <v/>
      </c>
      <c r="CH328" s="11" t="str">
        <f t="shared" si="305"/>
        <v/>
      </c>
      <c r="CJ328" s="48" t="str">
        <f t="shared" si="278"/>
        <v/>
      </c>
      <c r="CK328" s="18" t="str">
        <f t="shared" si="279"/>
        <v/>
      </c>
      <c r="CL328" s="11" t="str">
        <f t="shared" si="306"/>
        <v/>
      </c>
      <c r="CM328" s="11" t="str">
        <f t="shared" si="280"/>
        <v/>
      </c>
      <c r="CN328" s="11" t="str">
        <f>IF(AB328&lt;&gt;"",CM328-SUM($CL$28:CL328),"")</f>
        <v/>
      </c>
    </row>
    <row r="329" spans="1:92" x14ac:dyDescent="0.45">
      <c r="A329" s="68" t="str">
        <f t="shared" si="252"/>
        <v/>
      </c>
      <c r="B329" s="8" t="str">
        <f t="shared" si="273"/>
        <v/>
      </c>
      <c r="C329" s="11" t="str">
        <f t="shared" si="274"/>
        <v/>
      </c>
      <c r="D329" s="11" t="str">
        <f t="shared" si="275"/>
        <v/>
      </c>
      <c r="E329" s="11" t="str">
        <f t="shared" si="253"/>
        <v/>
      </c>
      <c r="F329" s="9" t="str">
        <f t="shared" si="254"/>
        <v/>
      </c>
      <c r="G329" s="10" t="str">
        <f t="shared" si="255"/>
        <v/>
      </c>
      <c r="H329" s="10" t="str">
        <f t="shared" si="256"/>
        <v/>
      </c>
      <c r="I329" s="48" t="str">
        <f t="shared" si="281"/>
        <v/>
      </c>
      <c r="J329" s="11" t="str">
        <f t="shared" si="276"/>
        <v/>
      </c>
      <c r="K329" s="11" t="str">
        <f>IF(B329&lt;&gt;"",IF($B$16=listy!$K$8,'RZĄDOWY PROGRAM'!$F$3*'RZĄDOWY PROGRAM'!$F$15,F328*$F$15),"")</f>
        <v/>
      </c>
      <c r="L329" s="11" t="str">
        <f t="shared" si="257"/>
        <v/>
      </c>
      <c r="N329" s="54" t="str">
        <f t="shared" si="260"/>
        <v/>
      </c>
      <c r="O329" s="8" t="str">
        <f t="shared" si="282"/>
        <v/>
      </c>
      <c r="P329" s="8"/>
      <c r="Q329" s="11" t="str">
        <f>IF(O329&lt;&gt;"",ROUND(IF($F$11="raty równe",-PMT(W329/12,$F$4-O328+SUM($P$28:P329),T328,2),R329+S329),2),"")</f>
        <v/>
      </c>
      <c r="R329" s="11" t="str">
        <f>IF(O329&lt;&gt;"",IF($F$11="raty malejące",T328/($F$4-O328+SUM($P$28:P329)),IF(Q329-S329&gt;T328,T328,Q329-S329)),"")</f>
        <v/>
      </c>
      <c r="S329" s="11" t="str">
        <f t="shared" si="261"/>
        <v/>
      </c>
      <c r="T329" s="9" t="str">
        <f t="shared" si="262"/>
        <v/>
      </c>
      <c r="U329" s="10" t="str">
        <f t="shared" si="263"/>
        <v/>
      </c>
      <c r="V329" s="10" t="str">
        <f t="shared" si="264"/>
        <v/>
      </c>
      <c r="W329" s="48" t="str">
        <f t="shared" si="283"/>
        <v/>
      </c>
      <c r="X329" s="11" t="str">
        <f t="shared" si="265"/>
        <v/>
      </c>
      <c r="Y329" s="11" t="str">
        <f>IF(O329&lt;&gt;"",IF($B$16=listy!$K$8,'RZĄDOWY PROGRAM'!$F$3*'RZĄDOWY PROGRAM'!$F$15,T328*$F$15),"")</f>
        <v/>
      </c>
      <c r="Z329" s="11" t="str">
        <f t="shared" si="266"/>
        <v/>
      </c>
      <c r="AB329" s="8" t="str">
        <f t="shared" si="267"/>
        <v/>
      </c>
      <c r="AC329" s="8"/>
      <c r="AD329" s="11" t="str">
        <f>IF(AB329&lt;&gt;"",ROUND(IF($F$11="raty równe",-PMT(W329/12,$F$4-AB328+SUM($AC$28:AC329),AG328,2),AE329+AF329),2),"")</f>
        <v/>
      </c>
      <c r="AE329" s="11" t="str">
        <f>IF(AB329&lt;&gt;"",IF($F$11="raty malejące",AG328/($F$4-AB328+SUM($AC$28:AC328)),MIN(AD329-AF329,AG328)),"")</f>
        <v/>
      </c>
      <c r="AF329" s="11" t="str">
        <f t="shared" si="268"/>
        <v/>
      </c>
      <c r="AG329" s="9" t="str">
        <f t="shared" si="269"/>
        <v/>
      </c>
      <c r="AH329" s="11"/>
      <c r="AI329" s="33" t="str">
        <f>IF(AB329&lt;&gt;"",ROUND(IF($F$11="raty równe",-PMT(W329/12,($F$4-AB328+SUM($AC$27:AC328)),AG328,2),AG328/($F$4-AB328+SUM($AC$27:AC328))+AG328*W329/12),2),"")</f>
        <v/>
      </c>
      <c r="AJ329" s="33" t="str">
        <f t="shared" si="270"/>
        <v/>
      </c>
      <c r="AK329" s="33" t="str">
        <f t="shared" si="277"/>
        <v/>
      </c>
      <c r="AL329" s="33" t="str">
        <f>IF(AB329&lt;&gt;"",AK329-SUM($AJ$28:AJ329),"")</f>
        <v/>
      </c>
      <c r="AM329" s="11" t="str">
        <f t="shared" si="271"/>
        <v/>
      </c>
      <c r="AN329" s="11" t="str">
        <f>IF(AB329&lt;&gt;"",IF($B$16=listy!$K$8,'RZĄDOWY PROGRAM'!$F$3*'RZĄDOWY PROGRAM'!$F$15,AG328*$F$15),"")</f>
        <v/>
      </c>
      <c r="AO329" s="11" t="str">
        <f t="shared" si="272"/>
        <v/>
      </c>
      <c r="AQ329" s="8" t="str">
        <f t="shared" si="284"/>
        <v/>
      </c>
      <c r="AR329" s="8"/>
      <c r="AS329" s="78" t="str">
        <f>IF(AQ329&lt;&gt;"",ROUND(IF($F$11="raty równe",-PMT(W329/12,$F$4-AQ328+SUM($AR$28:AR329),AV328,2),AT329+AU329),2),"")</f>
        <v/>
      </c>
      <c r="AT329" s="78" t="str">
        <f>IF(AQ329&lt;&gt;"",IF($F$11="raty malejące",AV328/($F$4-AQ328+SUM($AR$28:AR328)),MIN(AS329-AU329,AV328)),"")</f>
        <v/>
      </c>
      <c r="AU329" s="78" t="str">
        <f t="shared" si="285"/>
        <v/>
      </c>
      <c r="AV329" s="79" t="str">
        <f t="shared" si="286"/>
        <v/>
      </c>
      <c r="AW329" s="11"/>
      <c r="AX329" s="33" t="str">
        <f>IF(AQ329&lt;&gt;"",ROUND(IF($F$11="raty równe",-PMT(W329/12,($F$4-AQ328+SUM($AR$27:AR328)),AV328,2),AV328/($F$4-AQ328+SUM($AR$27:AR328))+AV328*W329/12),2),"")</f>
        <v/>
      </c>
      <c r="AY329" s="33" t="str">
        <f t="shared" si="287"/>
        <v/>
      </c>
      <c r="AZ329" s="33" t="str">
        <f t="shared" si="294"/>
        <v/>
      </c>
      <c r="BA329" s="33" t="str">
        <f>IF(AQ329&lt;&gt;"",AZ329-SUM($AY$44:AY329),"")</f>
        <v/>
      </c>
      <c r="BB329" s="11" t="str">
        <f t="shared" si="288"/>
        <v/>
      </c>
      <c r="BC329" s="11" t="str">
        <f>IF(AQ329&lt;&gt;"",IF($B$16=listy!$K$8,'RZĄDOWY PROGRAM'!$F$3*'RZĄDOWY PROGRAM'!$F$15,AV328*$F$15),"")</f>
        <v/>
      </c>
      <c r="BD329" s="11" t="str">
        <f t="shared" si="289"/>
        <v/>
      </c>
      <c r="BF329" s="8" t="str">
        <f t="shared" si="298"/>
        <v/>
      </c>
      <c r="BG329" s="8"/>
      <c r="BH329" s="78" t="str">
        <f>IF(BF329&lt;&gt;"",ROUND(IF($F$11="raty równe",-PMT(W329/12,$F$4-BF328+SUM(BV$28:$BV329)-SUM($BM$29:BM329),BK328,2),BI329+BJ329),2),"")</f>
        <v/>
      </c>
      <c r="BI329" s="78" t="str">
        <f>IF(BF329&lt;&gt;"",IF($F$11="raty malejące",MIN(BK328/($F$4-BF328+SUM($BG$27:BG329)-SUM($BM$27:BM329)),BK328),MIN(BH329-BJ329,BK328)),"")</f>
        <v/>
      </c>
      <c r="BJ329" s="78" t="str">
        <f t="shared" si="299"/>
        <v/>
      </c>
      <c r="BK329" s="79" t="str">
        <f t="shared" si="300"/>
        <v/>
      </c>
      <c r="BL329" s="11"/>
      <c r="BM329" s="33"/>
      <c r="BN329" s="33" t="str">
        <f t="shared" si="295"/>
        <v/>
      </c>
      <c r="BO329" s="33" t="str">
        <f t="shared" si="296"/>
        <v/>
      </c>
      <c r="BP329" s="33" t="str">
        <f>IF(O329&lt;&gt;"",BO329-SUM($BN$44:BN329),"")</f>
        <v/>
      </c>
      <c r="BQ329" s="11" t="str">
        <f t="shared" si="301"/>
        <v/>
      </c>
      <c r="BR329" s="11" t="str">
        <f>IF(BF329&lt;&gt;"",IF($B$16=listy!$K$8,'RZĄDOWY PROGRAM'!$F$3*'RZĄDOWY PROGRAM'!$F$15,BK328*$F$15),"")</f>
        <v/>
      </c>
      <c r="BS329" s="11" t="str">
        <f t="shared" si="302"/>
        <v/>
      </c>
      <c r="BU329" s="8" t="str">
        <f t="shared" si="290"/>
        <v/>
      </c>
      <c r="BV329" s="8"/>
      <c r="BW329" s="78" t="str">
        <f>IF(BU329&lt;&gt;"",ROUND(IF($F$11="raty równe",-PMT(W329/12,$F$4-BU328+SUM($BV$28:BV329)-$CB$43,BZ328,2),BX329+BY329),2),"")</f>
        <v/>
      </c>
      <c r="BX329" s="78" t="str">
        <f>IF(BU329&lt;&gt;"",IF($F$11="raty malejące",MIN(BZ328/($F$4-BU328+SUM($BV$28:BV328)-SUM($CB$28:CB328)),BZ328),MIN(BW329-BY329,BZ328)),"")</f>
        <v/>
      </c>
      <c r="BY329" s="78" t="str">
        <f t="shared" si="303"/>
        <v/>
      </c>
      <c r="BZ329" s="79" t="str">
        <f t="shared" si="292"/>
        <v/>
      </c>
      <c r="CA329" s="11"/>
      <c r="CB329" s="33"/>
      <c r="CC329" s="33" t="str">
        <f t="shared" si="291"/>
        <v/>
      </c>
      <c r="CD329" s="33" t="str">
        <f t="shared" si="297"/>
        <v/>
      </c>
      <c r="CE329" s="33" t="str">
        <f>IF(O329&lt;&gt;"",CD329-SUM($CC$44:CC329),"")</f>
        <v/>
      </c>
      <c r="CF329" s="11" t="str">
        <f t="shared" si="304"/>
        <v/>
      </c>
      <c r="CG329" s="11" t="str">
        <f>IF(BU329&lt;&gt;"",IF($B$16=listy!$K$8,'RZĄDOWY PROGRAM'!$F$3*'RZĄDOWY PROGRAM'!$F$15,BZ328*$F$15),"")</f>
        <v/>
      </c>
      <c r="CH329" s="11" t="str">
        <f t="shared" si="305"/>
        <v/>
      </c>
      <c r="CJ329" s="48" t="str">
        <f t="shared" si="278"/>
        <v/>
      </c>
      <c r="CK329" s="18" t="str">
        <f t="shared" si="279"/>
        <v/>
      </c>
      <c r="CL329" s="11" t="str">
        <f t="shared" si="306"/>
        <v/>
      </c>
      <c r="CM329" s="11" t="str">
        <f t="shared" si="280"/>
        <v/>
      </c>
      <c r="CN329" s="11" t="str">
        <f>IF(AB329&lt;&gt;"",CM329-SUM($CL$28:CL329),"")</f>
        <v/>
      </c>
    </row>
    <row r="330" spans="1:92" x14ac:dyDescent="0.45">
      <c r="A330" s="68" t="str">
        <f t="shared" si="252"/>
        <v/>
      </c>
      <c r="B330" s="8" t="str">
        <f t="shared" si="273"/>
        <v/>
      </c>
      <c r="C330" s="11" t="str">
        <f t="shared" si="274"/>
        <v/>
      </c>
      <c r="D330" s="11" t="str">
        <f t="shared" si="275"/>
        <v/>
      </c>
      <c r="E330" s="11" t="str">
        <f t="shared" si="253"/>
        <v/>
      </c>
      <c r="F330" s="9" t="str">
        <f t="shared" si="254"/>
        <v/>
      </c>
      <c r="G330" s="10" t="str">
        <f t="shared" si="255"/>
        <v/>
      </c>
      <c r="H330" s="10" t="str">
        <f t="shared" si="256"/>
        <v/>
      </c>
      <c r="I330" s="48" t="str">
        <f t="shared" si="281"/>
        <v/>
      </c>
      <c r="J330" s="11" t="str">
        <f t="shared" si="276"/>
        <v/>
      </c>
      <c r="K330" s="11" t="str">
        <f>IF(B330&lt;&gt;"",IF($B$16=listy!$K$8,'RZĄDOWY PROGRAM'!$F$3*'RZĄDOWY PROGRAM'!$F$15,F329*$F$15),"")</f>
        <v/>
      </c>
      <c r="L330" s="11" t="str">
        <f t="shared" si="257"/>
        <v/>
      </c>
      <c r="N330" s="54" t="str">
        <f t="shared" si="260"/>
        <v/>
      </c>
      <c r="O330" s="8" t="str">
        <f t="shared" si="282"/>
        <v/>
      </c>
      <c r="P330" s="8"/>
      <c r="Q330" s="11" t="str">
        <f>IF(O330&lt;&gt;"",ROUND(IF($F$11="raty równe",-PMT(W330/12,$F$4-O329+SUM($P$28:P330),T329,2),R330+S330),2),"")</f>
        <v/>
      </c>
      <c r="R330" s="11" t="str">
        <f>IF(O330&lt;&gt;"",IF($F$11="raty malejące",T329/($F$4-O329+SUM($P$28:P330)),IF(Q330-S330&gt;T329,T329,Q330-S330)),"")</f>
        <v/>
      </c>
      <c r="S330" s="11" t="str">
        <f t="shared" si="261"/>
        <v/>
      </c>
      <c r="T330" s="9" t="str">
        <f t="shared" si="262"/>
        <v/>
      </c>
      <c r="U330" s="10" t="str">
        <f t="shared" si="263"/>
        <v/>
      </c>
      <c r="V330" s="10" t="str">
        <f t="shared" si="264"/>
        <v/>
      </c>
      <c r="W330" s="48" t="str">
        <f t="shared" si="283"/>
        <v/>
      </c>
      <c r="X330" s="11" t="str">
        <f t="shared" si="265"/>
        <v/>
      </c>
      <c r="Y330" s="11" t="str">
        <f>IF(O330&lt;&gt;"",IF($B$16=listy!$K$8,'RZĄDOWY PROGRAM'!$F$3*'RZĄDOWY PROGRAM'!$F$15,T329*$F$15),"")</f>
        <v/>
      </c>
      <c r="Z330" s="11" t="str">
        <f t="shared" si="266"/>
        <v/>
      </c>
      <c r="AB330" s="8" t="str">
        <f t="shared" si="267"/>
        <v/>
      </c>
      <c r="AC330" s="8"/>
      <c r="AD330" s="11" t="str">
        <f>IF(AB330&lt;&gt;"",ROUND(IF($F$11="raty równe",-PMT(W330/12,$F$4-AB329+SUM($AC$28:AC330),AG329,2),AE330+AF330),2),"")</f>
        <v/>
      </c>
      <c r="AE330" s="11" t="str">
        <f>IF(AB330&lt;&gt;"",IF($F$11="raty malejące",AG329/($F$4-AB329+SUM($AC$28:AC329)),MIN(AD330-AF330,AG329)),"")</f>
        <v/>
      </c>
      <c r="AF330" s="11" t="str">
        <f t="shared" si="268"/>
        <v/>
      </c>
      <c r="AG330" s="9" t="str">
        <f t="shared" si="269"/>
        <v/>
      </c>
      <c r="AH330" s="11"/>
      <c r="AI330" s="33" t="str">
        <f>IF(AB330&lt;&gt;"",ROUND(IF($F$11="raty równe",-PMT(W330/12,($F$4-AB329+SUM($AC$27:AC329)),AG329,2),AG329/($F$4-AB329+SUM($AC$27:AC329))+AG329*W330/12),2),"")</f>
        <v/>
      </c>
      <c r="AJ330" s="33" t="str">
        <f t="shared" si="270"/>
        <v/>
      </c>
      <c r="AK330" s="33" t="str">
        <f t="shared" si="277"/>
        <v/>
      </c>
      <c r="AL330" s="33" t="str">
        <f>IF(AB330&lt;&gt;"",AK330-SUM($AJ$28:AJ330),"")</f>
        <v/>
      </c>
      <c r="AM330" s="11" t="str">
        <f t="shared" si="271"/>
        <v/>
      </c>
      <c r="AN330" s="11" t="str">
        <f>IF(AB330&lt;&gt;"",IF($B$16=listy!$K$8,'RZĄDOWY PROGRAM'!$F$3*'RZĄDOWY PROGRAM'!$F$15,AG329*$F$15),"")</f>
        <v/>
      </c>
      <c r="AO330" s="11" t="str">
        <f t="shared" si="272"/>
        <v/>
      </c>
      <c r="AQ330" s="8" t="str">
        <f t="shared" si="284"/>
        <v/>
      </c>
      <c r="AR330" s="8"/>
      <c r="AS330" s="78" t="str">
        <f>IF(AQ330&lt;&gt;"",ROUND(IF($F$11="raty równe",-PMT(W330/12,$F$4-AQ329+SUM($AR$28:AR330),AV329,2),AT330+AU330),2),"")</f>
        <v/>
      </c>
      <c r="AT330" s="78" t="str">
        <f>IF(AQ330&lt;&gt;"",IF($F$11="raty malejące",AV329/($F$4-AQ329+SUM($AR$28:AR329)),MIN(AS330-AU330,AV329)),"")</f>
        <v/>
      </c>
      <c r="AU330" s="78" t="str">
        <f t="shared" si="285"/>
        <v/>
      </c>
      <c r="AV330" s="79" t="str">
        <f t="shared" si="286"/>
        <v/>
      </c>
      <c r="AW330" s="11"/>
      <c r="AX330" s="33" t="str">
        <f>IF(AQ330&lt;&gt;"",ROUND(IF($F$11="raty równe",-PMT(W330/12,($F$4-AQ329+SUM($AR$27:AR329)),AV329,2),AV329/($F$4-AQ329+SUM($AR$27:AR329))+AV329*W330/12),2),"")</f>
        <v/>
      </c>
      <c r="AY330" s="33" t="str">
        <f t="shared" si="287"/>
        <v/>
      </c>
      <c r="AZ330" s="33" t="str">
        <f t="shared" si="294"/>
        <v/>
      </c>
      <c r="BA330" s="33" t="str">
        <f>IF(AQ330&lt;&gt;"",AZ330-SUM($AY$44:AY330),"")</f>
        <v/>
      </c>
      <c r="BB330" s="11" t="str">
        <f t="shared" si="288"/>
        <v/>
      </c>
      <c r="BC330" s="11" t="str">
        <f>IF(AQ330&lt;&gt;"",IF($B$16=listy!$K$8,'RZĄDOWY PROGRAM'!$F$3*'RZĄDOWY PROGRAM'!$F$15,AV329*$F$15),"")</f>
        <v/>
      </c>
      <c r="BD330" s="11" t="str">
        <f t="shared" si="289"/>
        <v/>
      </c>
      <c r="BF330" s="8" t="str">
        <f t="shared" si="298"/>
        <v/>
      </c>
      <c r="BG330" s="8"/>
      <c r="BH330" s="78" t="str">
        <f>IF(BF330&lt;&gt;"",ROUND(IF($F$11="raty równe",-PMT(W330/12,$F$4-BF329+SUM(BV$28:$BV330)-SUM($BM$29:BM330),BK329,2),BI330+BJ330),2),"")</f>
        <v/>
      </c>
      <c r="BI330" s="78" t="str">
        <f>IF(BF330&lt;&gt;"",IF($F$11="raty malejące",MIN(BK329/($F$4-BF329+SUM($BG$27:BG330)-SUM($BM$27:BM330)),BK329),MIN(BH330-BJ330,BK329)),"")</f>
        <v/>
      </c>
      <c r="BJ330" s="78" t="str">
        <f t="shared" si="299"/>
        <v/>
      </c>
      <c r="BK330" s="79" t="str">
        <f t="shared" si="300"/>
        <v/>
      </c>
      <c r="BL330" s="11"/>
      <c r="BM330" s="33"/>
      <c r="BN330" s="33" t="str">
        <f t="shared" si="295"/>
        <v/>
      </c>
      <c r="BO330" s="33" t="str">
        <f t="shared" si="296"/>
        <v/>
      </c>
      <c r="BP330" s="33" t="str">
        <f>IF(O330&lt;&gt;"",BO330-SUM($BN$44:BN330),"")</f>
        <v/>
      </c>
      <c r="BQ330" s="11" t="str">
        <f t="shared" si="301"/>
        <v/>
      </c>
      <c r="BR330" s="11" t="str">
        <f>IF(BF330&lt;&gt;"",IF($B$16=listy!$K$8,'RZĄDOWY PROGRAM'!$F$3*'RZĄDOWY PROGRAM'!$F$15,BK329*$F$15),"")</f>
        <v/>
      </c>
      <c r="BS330" s="11" t="str">
        <f t="shared" si="302"/>
        <v/>
      </c>
      <c r="BU330" s="8" t="str">
        <f t="shared" si="290"/>
        <v/>
      </c>
      <c r="BV330" s="8"/>
      <c r="BW330" s="78" t="str">
        <f>IF(BU330&lt;&gt;"",ROUND(IF($F$11="raty równe",-PMT(W330/12,$F$4-BU329+SUM($BV$28:BV330)-$CB$43,BZ329,2),BX330+BY330),2),"")</f>
        <v/>
      </c>
      <c r="BX330" s="78" t="str">
        <f>IF(BU330&lt;&gt;"",IF($F$11="raty malejące",MIN(BZ329/($F$4-BU329+SUM($BV$28:BV329)-SUM($CB$28:CB329)),BZ329),MIN(BW330-BY330,BZ329)),"")</f>
        <v/>
      </c>
      <c r="BY330" s="78" t="str">
        <f t="shared" si="303"/>
        <v/>
      </c>
      <c r="BZ330" s="79" t="str">
        <f t="shared" si="292"/>
        <v/>
      </c>
      <c r="CA330" s="11"/>
      <c r="CB330" s="33"/>
      <c r="CC330" s="33" t="str">
        <f t="shared" si="291"/>
        <v/>
      </c>
      <c r="CD330" s="33" t="str">
        <f t="shared" si="297"/>
        <v/>
      </c>
      <c r="CE330" s="33" t="str">
        <f>IF(O330&lt;&gt;"",CD330-SUM($CC$44:CC330),"")</f>
        <v/>
      </c>
      <c r="CF330" s="11" t="str">
        <f t="shared" si="304"/>
        <v/>
      </c>
      <c r="CG330" s="11" t="str">
        <f>IF(BU330&lt;&gt;"",IF($B$16=listy!$K$8,'RZĄDOWY PROGRAM'!$F$3*'RZĄDOWY PROGRAM'!$F$15,BZ329*$F$15),"")</f>
        <v/>
      </c>
      <c r="CH330" s="11" t="str">
        <f t="shared" si="305"/>
        <v/>
      </c>
      <c r="CJ330" s="48" t="str">
        <f t="shared" si="278"/>
        <v/>
      </c>
      <c r="CK330" s="18" t="str">
        <f t="shared" si="279"/>
        <v/>
      </c>
      <c r="CL330" s="11" t="str">
        <f t="shared" si="306"/>
        <v/>
      </c>
      <c r="CM330" s="11" t="str">
        <f t="shared" si="280"/>
        <v/>
      </c>
      <c r="CN330" s="11" t="str">
        <f>IF(AB330&lt;&gt;"",CM330-SUM($CL$28:CL330),"")</f>
        <v/>
      </c>
    </row>
    <row r="331" spans="1:92" x14ac:dyDescent="0.45">
      <c r="A331" s="68" t="str">
        <f t="shared" si="252"/>
        <v/>
      </c>
      <c r="B331" s="8" t="str">
        <f t="shared" si="273"/>
        <v/>
      </c>
      <c r="C331" s="11" t="str">
        <f t="shared" si="274"/>
        <v/>
      </c>
      <c r="D331" s="11" t="str">
        <f t="shared" si="275"/>
        <v/>
      </c>
      <c r="E331" s="11" t="str">
        <f t="shared" si="253"/>
        <v/>
      </c>
      <c r="F331" s="9" t="str">
        <f t="shared" si="254"/>
        <v/>
      </c>
      <c r="G331" s="10" t="str">
        <f t="shared" si="255"/>
        <v/>
      </c>
      <c r="H331" s="10" t="str">
        <f t="shared" si="256"/>
        <v/>
      </c>
      <c r="I331" s="48" t="str">
        <f t="shared" si="281"/>
        <v/>
      </c>
      <c r="J331" s="11" t="str">
        <f t="shared" si="276"/>
        <v/>
      </c>
      <c r="K331" s="11" t="str">
        <f>IF(B331&lt;&gt;"",IF($B$16=listy!$K$8,'RZĄDOWY PROGRAM'!$F$3*'RZĄDOWY PROGRAM'!$F$15,F330*$F$15),"")</f>
        <v/>
      </c>
      <c r="L331" s="11" t="str">
        <f t="shared" si="257"/>
        <v/>
      </c>
      <c r="N331" s="54" t="str">
        <f t="shared" si="260"/>
        <v/>
      </c>
      <c r="O331" s="8" t="str">
        <f t="shared" si="282"/>
        <v/>
      </c>
      <c r="P331" s="8"/>
      <c r="Q331" s="11" t="str">
        <f>IF(O331&lt;&gt;"",ROUND(IF($F$11="raty równe",-PMT(W331/12,$F$4-O330+SUM($P$28:P331),T330,2),R331+S331),2),"")</f>
        <v/>
      </c>
      <c r="R331" s="11" t="str">
        <f>IF(O331&lt;&gt;"",IF($F$11="raty malejące",T330/($F$4-O330+SUM($P$28:P331)),IF(Q331-S331&gt;T330,T330,Q331-S331)),"")</f>
        <v/>
      </c>
      <c r="S331" s="11" t="str">
        <f t="shared" si="261"/>
        <v/>
      </c>
      <c r="T331" s="9" t="str">
        <f t="shared" si="262"/>
        <v/>
      </c>
      <c r="U331" s="10" t="str">
        <f t="shared" si="263"/>
        <v/>
      </c>
      <c r="V331" s="10" t="str">
        <f t="shared" si="264"/>
        <v/>
      </c>
      <c r="W331" s="48" t="str">
        <f t="shared" si="283"/>
        <v/>
      </c>
      <c r="X331" s="11" t="str">
        <f t="shared" si="265"/>
        <v/>
      </c>
      <c r="Y331" s="11" t="str">
        <f>IF(O331&lt;&gt;"",IF($B$16=listy!$K$8,'RZĄDOWY PROGRAM'!$F$3*'RZĄDOWY PROGRAM'!$F$15,T330*$F$15),"")</f>
        <v/>
      </c>
      <c r="Z331" s="11" t="str">
        <f t="shared" si="266"/>
        <v/>
      </c>
      <c r="AB331" s="8" t="str">
        <f t="shared" si="267"/>
        <v/>
      </c>
      <c r="AC331" s="8"/>
      <c r="AD331" s="11" t="str">
        <f>IF(AB331&lt;&gt;"",ROUND(IF($F$11="raty równe",-PMT(W331/12,$F$4-AB330+SUM($AC$28:AC331),AG330,2),AE331+AF331),2),"")</f>
        <v/>
      </c>
      <c r="AE331" s="11" t="str">
        <f>IF(AB331&lt;&gt;"",IF($F$11="raty malejące",AG330/($F$4-AB330+SUM($AC$28:AC330)),MIN(AD331-AF331,AG330)),"")</f>
        <v/>
      </c>
      <c r="AF331" s="11" t="str">
        <f t="shared" si="268"/>
        <v/>
      </c>
      <c r="AG331" s="9" t="str">
        <f t="shared" si="269"/>
        <v/>
      </c>
      <c r="AH331" s="11"/>
      <c r="AI331" s="33" t="str">
        <f>IF(AB331&lt;&gt;"",ROUND(IF($F$11="raty równe",-PMT(W331/12,($F$4-AB330+SUM($AC$27:AC330)),AG330,2),AG330/($F$4-AB330+SUM($AC$27:AC330))+AG330*W331/12),2),"")</f>
        <v/>
      </c>
      <c r="AJ331" s="33" t="str">
        <f t="shared" si="270"/>
        <v/>
      </c>
      <c r="AK331" s="33" t="str">
        <f t="shared" si="277"/>
        <v/>
      </c>
      <c r="AL331" s="33" t="str">
        <f>IF(AB331&lt;&gt;"",AK331-SUM($AJ$28:AJ331),"")</f>
        <v/>
      </c>
      <c r="AM331" s="11" t="str">
        <f t="shared" si="271"/>
        <v/>
      </c>
      <c r="AN331" s="11" t="str">
        <f>IF(AB331&lt;&gt;"",IF($B$16=listy!$K$8,'RZĄDOWY PROGRAM'!$F$3*'RZĄDOWY PROGRAM'!$F$15,AG330*$F$15),"")</f>
        <v/>
      </c>
      <c r="AO331" s="11" t="str">
        <f t="shared" si="272"/>
        <v/>
      </c>
      <c r="AQ331" s="8" t="str">
        <f t="shared" si="284"/>
        <v/>
      </c>
      <c r="AR331" s="8"/>
      <c r="AS331" s="78" t="str">
        <f>IF(AQ331&lt;&gt;"",ROUND(IF($F$11="raty równe",-PMT(W331/12,$F$4-AQ330+SUM($AR$28:AR331),AV330,2),AT331+AU331),2),"")</f>
        <v/>
      </c>
      <c r="AT331" s="78" t="str">
        <f>IF(AQ331&lt;&gt;"",IF($F$11="raty malejące",AV330/($F$4-AQ330+SUM($AR$28:AR330)),MIN(AS331-AU331,AV330)),"")</f>
        <v/>
      </c>
      <c r="AU331" s="78" t="str">
        <f t="shared" si="285"/>
        <v/>
      </c>
      <c r="AV331" s="79" t="str">
        <f t="shared" si="286"/>
        <v/>
      </c>
      <c r="AW331" s="11"/>
      <c r="AX331" s="33" t="str">
        <f>IF(AQ331&lt;&gt;"",ROUND(IF($F$11="raty równe",-PMT(W331/12,($F$4-AQ330+SUM($AR$27:AR330)),AV330,2),AV330/($F$4-AQ330+SUM($AR$27:AR330))+AV330*W331/12),2),"")</f>
        <v/>
      </c>
      <c r="AY331" s="33" t="str">
        <f t="shared" si="287"/>
        <v/>
      </c>
      <c r="AZ331" s="33" t="str">
        <f t="shared" si="294"/>
        <v/>
      </c>
      <c r="BA331" s="33" t="str">
        <f>IF(AQ331&lt;&gt;"",AZ331-SUM($AY$44:AY331),"")</f>
        <v/>
      </c>
      <c r="BB331" s="11" t="str">
        <f t="shared" si="288"/>
        <v/>
      </c>
      <c r="BC331" s="11" t="str">
        <f>IF(AQ331&lt;&gt;"",IF($B$16=listy!$K$8,'RZĄDOWY PROGRAM'!$F$3*'RZĄDOWY PROGRAM'!$F$15,AV330*$F$15),"")</f>
        <v/>
      </c>
      <c r="BD331" s="11" t="str">
        <f t="shared" si="289"/>
        <v/>
      </c>
      <c r="BF331" s="8" t="str">
        <f t="shared" si="298"/>
        <v/>
      </c>
      <c r="BG331" s="8"/>
      <c r="BH331" s="78" t="str">
        <f>IF(BF331&lt;&gt;"",ROUND(IF($F$11="raty równe",-PMT(W331/12,$F$4-BF330+SUM(BV$28:$BV331)-SUM($BM$29:BM331),BK330,2),BI331+BJ331),2),"")</f>
        <v/>
      </c>
      <c r="BI331" s="78" t="str">
        <f>IF(BF331&lt;&gt;"",IF($F$11="raty malejące",MIN(BK330/($F$4-BF330+SUM($BG$27:BG331)-SUM($BM$27:BM331)),BK330),MIN(BH331-BJ331,BK330)),"")</f>
        <v/>
      </c>
      <c r="BJ331" s="78" t="str">
        <f t="shared" si="299"/>
        <v/>
      </c>
      <c r="BK331" s="79" t="str">
        <f t="shared" si="300"/>
        <v/>
      </c>
      <c r="BL331" s="11"/>
      <c r="BM331" s="33"/>
      <c r="BN331" s="33" t="str">
        <f t="shared" si="295"/>
        <v/>
      </c>
      <c r="BO331" s="33" t="str">
        <f t="shared" si="296"/>
        <v/>
      </c>
      <c r="BP331" s="33" t="str">
        <f>IF(O331&lt;&gt;"",BO331-SUM($BN$44:BN331),"")</f>
        <v/>
      </c>
      <c r="BQ331" s="11" t="str">
        <f t="shared" si="301"/>
        <v/>
      </c>
      <c r="BR331" s="11" t="str">
        <f>IF(BF331&lt;&gt;"",IF($B$16=listy!$K$8,'RZĄDOWY PROGRAM'!$F$3*'RZĄDOWY PROGRAM'!$F$15,BK330*$F$15),"")</f>
        <v/>
      </c>
      <c r="BS331" s="11" t="str">
        <f t="shared" si="302"/>
        <v/>
      </c>
      <c r="BU331" s="8" t="str">
        <f t="shared" si="290"/>
        <v/>
      </c>
      <c r="BV331" s="8"/>
      <c r="BW331" s="78" t="str">
        <f>IF(BU331&lt;&gt;"",ROUND(IF($F$11="raty równe",-PMT(W331/12,$F$4-BU330+SUM($BV$28:BV331)-$CB$43,BZ330,2),BX331+BY331),2),"")</f>
        <v/>
      </c>
      <c r="BX331" s="78" t="str">
        <f>IF(BU331&lt;&gt;"",IF($F$11="raty malejące",MIN(BZ330/($F$4-BU330+SUM($BV$28:BV330)-SUM($CB$28:CB330)),BZ330),MIN(BW331-BY331,BZ330)),"")</f>
        <v/>
      </c>
      <c r="BY331" s="78" t="str">
        <f t="shared" si="303"/>
        <v/>
      </c>
      <c r="BZ331" s="79" t="str">
        <f t="shared" si="292"/>
        <v/>
      </c>
      <c r="CA331" s="11"/>
      <c r="CB331" s="33"/>
      <c r="CC331" s="33" t="str">
        <f t="shared" si="291"/>
        <v/>
      </c>
      <c r="CD331" s="33" t="str">
        <f t="shared" si="297"/>
        <v/>
      </c>
      <c r="CE331" s="33" t="str">
        <f>IF(O331&lt;&gt;"",CD331-SUM($CC$44:CC331),"")</f>
        <v/>
      </c>
      <c r="CF331" s="11" t="str">
        <f t="shared" si="304"/>
        <v/>
      </c>
      <c r="CG331" s="11" t="str">
        <f>IF(BU331&lt;&gt;"",IF($B$16=listy!$K$8,'RZĄDOWY PROGRAM'!$F$3*'RZĄDOWY PROGRAM'!$F$15,BZ330*$F$15),"")</f>
        <v/>
      </c>
      <c r="CH331" s="11" t="str">
        <f t="shared" si="305"/>
        <v/>
      </c>
      <c r="CJ331" s="48" t="str">
        <f t="shared" si="278"/>
        <v/>
      </c>
      <c r="CK331" s="18" t="str">
        <f t="shared" si="279"/>
        <v/>
      </c>
      <c r="CL331" s="11" t="str">
        <f t="shared" si="306"/>
        <v/>
      </c>
      <c r="CM331" s="11" t="str">
        <f t="shared" si="280"/>
        <v/>
      </c>
      <c r="CN331" s="11" t="str">
        <f>IF(AB331&lt;&gt;"",CM331-SUM($CL$28:CL331),"")</f>
        <v/>
      </c>
    </row>
    <row r="332" spans="1:92" x14ac:dyDescent="0.45">
      <c r="A332" s="68" t="str">
        <f t="shared" ref="A332:A395" si="307">IF(B332&lt;&gt;"",EDATE(A331,1),"")</f>
        <v/>
      </c>
      <c r="B332" s="8" t="str">
        <f t="shared" si="273"/>
        <v/>
      </c>
      <c r="C332" s="11" t="str">
        <f t="shared" si="274"/>
        <v/>
      </c>
      <c r="D332" s="11" t="str">
        <f t="shared" si="275"/>
        <v/>
      </c>
      <c r="E332" s="11" t="str">
        <f t="shared" ref="E332:E395" si="308">IF(B332&lt;&gt;"",F331*I332/12,"")</f>
        <v/>
      </c>
      <c r="F332" s="9" t="str">
        <f t="shared" ref="F332:F395" si="309">IF(B332&lt;&gt;"",F331-D332,"")</f>
        <v/>
      </c>
      <c r="G332" s="10" t="str">
        <f t="shared" ref="G332:G395" si="310">IF(B332&lt;&gt;"",$F$5,"")</f>
        <v/>
      </c>
      <c r="H332" s="10" t="str">
        <f t="shared" ref="H332:H395" si="311">IF(B332&lt;&gt;"",$F$6,"")</f>
        <v/>
      </c>
      <c r="I332" s="48" t="str">
        <f t="shared" si="281"/>
        <v/>
      </c>
      <c r="J332" s="11" t="str">
        <f t="shared" si="276"/>
        <v/>
      </c>
      <c r="K332" s="11" t="str">
        <f>IF(B332&lt;&gt;"",IF($B$16=listy!$K$8,'RZĄDOWY PROGRAM'!$F$3*'RZĄDOWY PROGRAM'!$F$15,F331*$F$15),"")</f>
        <v/>
      </c>
      <c r="L332" s="11" t="str">
        <f t="shared" ref="L332:L395" si="312">IF(B332&lt;&gt;"",J332+K332,"")</f>
        <v/>
      </c>
      <c r="N332" s="54" t="str">
        <f t="shared" si="260"/>
        <v/>
      </c>
      <c r="O332" s="8" t="str">
        <f t="shared" si="282"/>
        <v/>
      </c>
      <c r="P332" s="8"/>
      <c r="Q332" s="11" t="str">
        <f>IF(O332&lt;&gt;"",ROUND(IF($F$11="raty równe",-PMT(W332/12,$F$4-O331+SUM($P$28:P332),T331,2),R332+S332),2),"")</f>
        <v/>
      </c>
      <c r="R332" s="11" t="str">
        <f>IF(O332&lt;&gt;"",IF($F$11="raty malejące",T331/($F$4-O331+SUM($P$28:P332)),IF(Q332-S332&gt;T331,T331,Q332-S332)),"")</f>
        <v/>
      </c>
      <c r="S332" s="11" t="str">
        <f t="shared" si="261"/>
        <v/>
      </c>
      <c r="T332" s="9" t="str">
        <f t="shared" si="262"/>
        <v/>
      </c>
      <c r="U332" s="10" t="str">
        <f t="shared" si="263"/>
        <v/>
      </c>
      <c r="V332" s="10" t="str">
        <f t="shared" si="264"/>
        <v/>
      </c>
      <c r="W332" s="48" t="str">
        <f t="shared" si="283"/>
        <v/>
      </c>
      <c r="X332" s="11" t="str">
        <f t="shared" si="265"/>
        <v/>
      </c>
      <c r="Y332" s="11" t="str">
        <f>IF(O332&lt;&gt;"",IF($B$16=listy!$K$8,'RZĄDOWY PROGRAM'!$F$3*'RZĄDOWY PROGRAM'!$F$15,T331*$F$15),"")</f>
        <v/>
      </c>
      <c r="Z332" s="11" t="str">
        <f t="shared" si="266"/>
        <v/>
      </c>
      <c r="AB332" s="8" t="str">
        <f t="shared" si="267"/>
        <v/>
      </c>
      <c r="AC332" s="8"/>
      <c r="AD332" s="11" t="str">
        <f>IF(AB332&lt;&gt;"",ROUND(IF($F$11="raty równe",-PMT(W332/12,$F$4-AB331+SUM($AC$28:AC332),AG331,2),AE332+AF332),2),"")</f>
        <v/>
      </c>
      <c r="AE332" s="11" t="str">
        <f>IF(AB332&lt;&gt;"",IF($F$11="raty malejące",AG331/($F$4-AB331+SUM($AC$28:AC331)),MIN(AD332-AF332,AG331)),"")</f>
        <v/>
      </c>
      <c r="AF332" s="11" t="str">
        <f t="shared" si="268"/>
        <v/>
      </c>
      <c r="AG332" s="9" t="str">
        <f t="shared" si="269"/>
        <v/>
      </c>
      <c r="AH332" s="11"/>
      <c r="AI332" s="33" t="str">
        <f>IF(AB332&lt;&gt;"",ROUND(IF($F$11="raty równe",-PMT(W332/12,($F$4-AB331+SUM($AC$27:AC331)),AG331,2),AG331/($F$4-AB331+SUM($AC$27:AC331))+AG331*W332/12),2),"")</f>
        <v/>
      </c>
      <c r="AJ332" s="33" t="str">
        <f t="shared" si="270"/>
        <v/>
      </c>
      <c r="AK332" s="33" t="str">
        <f t="shared" si="277"/>
        <v/>
      </c>
      <c r="AL332" s="33" t="str">
        <f>IF(AB332&lt;&gt;"",AK332-SUM($AJ$28:AJ332),"")</f>
        <v/>
      </c>
      <c r="AM332" s="11" t="str">
        <f t="shared" si="271"/>
        <v/>
      </c>
      <c r="AN332" s="11" t="str">
        <f>IF(AB332&lt;&gt;"",IF($B$16=listy!$K$8,'RZĄDOWY PROGRAM'!$F$3*'RZĄDOWY PROGRAM'!$F$15,AG331*$F$15),"")</f>
        <v/>
      </c>
      <c r="AO332" s="11" t="str">
        <f t="shared" si="272"/>
        <v/>
      </c>
      <c r="AQ332" s="8" t="str">
        <f t="shared" si="284"/>
        <v/>
      </c>
      <c r="AR332" s="8"/>
      <c r="AS332" s="78" t="str">
        <f>IF(AQ332&lt;&gt;"",ROUND(IF($F$11="raty równe",-PMT(W332/12,$F$4-AQ331+SUM($AR$28:AR332),AV331,2),AT332+AU332),2),"")</f>
        <v/>
      </c>
      <c r="AT332" s="78" t="str">
        <f>IF(AQ332&lt;&gt;"",IF($F$11="raty malejące",AV331/($F$4-AQ331+SUM($AR$28:AR331)),MIN(AS332-AU332,AV331)),"")</f>
        <v/>
      </c>
      <c r="AU332" s="78" t="str">
        <f t="shared" si="285"/>
        <v/>
      </c>
      <c r="AV332" s="79" t="str">
        <f t="shared" si="286"/>
        <v/>
      </c>
      <c r="AW332" s="11"/>
      <c r="AX332" s="33" t="str">
        <f>IF(AQ332&lt;&gt;"",ROUND(IF($F$11="raty równe",-PMT(W332/12,($F$4-AQ331+SUM($AR$27:AR331)),AV331,2),AV331/($F$4-AQ331+SUM($AR$27:AR331))+AV331*W332/12),2),"")</f>
        <v/>
      </c>
      <c r="AY332" s="33" t="str">
        <f t="shared" si="287"/>
        <v/>
      </c>
      <c r="AZ332" s="33" t="str">
        <f t="shared" si="294"/>
        <v/>
      </c>
      <c r="BA332" s="33" t="str">
        <f>IF(AQ332&lt;&gt;"",AZ332-SUM($AY$44:AY332),"")</f>
        <v/>
      </c>
      <c r="BB332" s="11" t="str">
        <f t="shared" si="288"/>
        <v/>
      </c>
      <c r="BC332" s="11" t="str">
        <f>IF(AQ332&lt;&gt;"",IF($B$16=listy!$K$8,'RZĄDOWY PROGRAM'!$F$3*'RZĄDOWY PROGRAM'!$F$15,AV331*$F$15),"")</f>
        <v/>
      </c>
      <c r="BD332" s="11" t="str">
        <f t="shared" si="289"/>
        <v/>
      </c>
      <c r="BF332" s="8" t="str">
        <f t="shared" si="298"/>
        <v/>
      </c>
      <c r="BG332" s="8"/>
      <c r="BH332" s="78" t="str">
        <f>IF(BF332&lt;&gt;"",ROUND(IF($F$11="raty równe",-PMT(W332/12,$F$4-BF331+SUM(BV$28:$BV332)-SUM($BM$29:BM332),BK331,2),BI332+BJ332),2),"")</f>
        <v/>
      </c>
      <c r="BI332" s="78" t="str">
        <f>IF(BF332&lt;&gt;"",IF($F$11="raty malejące",MIN(BK331/($F$4-BF331+SUM($BG$27:BG332)-SUM($BM$27:BM332)),BK331),MIN(BH332-BJ332,BK331)),"")</f>
        <v/>
      </c>
      <c r="BJ332" s="78" t="str">
        <f t="shared" si="299"/>
        <v/>
      </c>
      <c r="BK332" s="79" t="str">
        <f t="shared" si="300"/>
        <v/>
      </c>
      <c r="BL332" s="11"/>
      <c r="BM332" s="33"/>
      <c r="BN332" s="33" t="str">
        <f t="shared" si="295"/>
        <v/>
      </c>
      <c r="BO332" s="33" t="str">
        <f t="shared" si="296"/>
        <v/>
      </c>
      <c r="BP332" s="33" t="str">
        <f>IF(O332&lt;&gt;"",BO332-SUM($BN$44:BN332),"")</f>
        <v/>
      </c>
      <c r="BQ332" s="11" t="str">
        <f t="shared" si="301"/>
        <v/>
      </c>
      <c r="BR332" s="11" t="str">
        <f>IF(BF332&lt;&gt;"",IF($B$16=listy!$K$8,'RZĄDOWY PROGRAM'!$F$3*'RZĄDOWY PROGRAM'!$F$15,BK331*$F$15),"")</f>
        <v/>
      </c>
      <c r="BS332" s="11" t="str">
        <f t="shared" si="302"/>
        <v/>
      </c>
      <c r="BU332" s="8" t="str">
        <f t="shared" si="290"/>
        <v/>
      </c>
      <c r="BV332" s="8"/>
      <c r="BW332" s="78" t="str">
        <f>IF(BU332&lt;&gt;"",ROUND(IF($F$11="raty równe",-PMT(W332/12,$F$4-BU331+SUM($BV$28:BV332)-$CB$43,BZ331,2),BX332+BY332),2),"")</f>
        <v/>
      </c>
      <c r="BX332" s="78" t="str">
        <f>IF(BU332&lt;&gt;"",IF($F$11="raty malejące",MIN(BZ331/($F$4-BU331+SUM($BV$28:BV331)-SUM($CB$28:CB331)),BZ331),MIN(BW332-BY332,BZ331)),"")</f>
        <v/>
      </c>
      <c r="BY332" s="78" t="str">
        <f t="shared" si="303"/>
        <v/>
      </c>
      <c r="BZ332" s="79" t="str">
        <f t="shared" si="292"/>
        <v/>
      </c>
      <c r="CA332" s="11"/>
      <c r="CB332" s="33"/>
      <c r="CC332" s="33" t="str">
        <f t="shared" si="291"/>
        <v/>
      </c>
      <c r="CD332" s="33" t="str">
        <f t="shared" si="297"/>
        <v/>
      </c>
      <c r="CE332" s="33" t="str">
        <f>IF(O332&lt;&gt;"",CD332-SUM($CC$44:CC332),"")</f>
        <v/>
      </c>
      <c r="CF332" s="11" t="str">
        <f t="shared" si="304"/>
        <v/>
      </c>
      <c r="CG332" s="11" t="str">
        <f>IF(BU332&lt;&gt;"",IF($B$16=listy!$K$8,'RZĄDOWY PROGRAM'!$F$3*'RZĄDOWY PROGRAM'!$F$15,BZ331*$F$15),"")</f>
        <v/>
      </c>
      <c r="CH332" s="11" t="str">
        <f t="shared" si="305"/>
        <v/>
      </c>
      <c r="CJ332" s="48" t="str">
        <f t="shared" si="278"/>
        <v/>
      </c>
      <c r="CK332" s="18" t="str">
        <f t="shared" si="279"/>
        <v/>
      </c>
      <c r="CL332" s="11" t="str">
        <f t="shared" si="306"/>
        <v/>
      </c>
      <c r="CM332" s="11" t="str">
        <f t="shared" si="280"/>
        <v/>
      </c>
      <c r="CN332" s="11" t="str">
        <f>IF(AB332&lt;&gt;"",CM332-SUM($CL$28:CL332),"")</f>
        <v/>
      </c>
    </row>
    <row r="333" spans="1:92" x14ac:dyDescent="0.45">
      <c r="A333" s="68" t="str">
        <f t="shared" si="307"/>
        <v/>
      </c>
      <c r="B333" s="8" t="str">
        <f t="shared" si="273"/>
        <v/>
      </c>
      <c r="C333" s="11" t="str">
        <f t="shared" si="274"/>
        <v/>
      </c>
      <c r="D333" s="11" t="str">
        <f t="shared" si="275"/>
        <v/>
      </c>
      <c r="E333" s="11" t="str">
        <f t="shared" si="308"/>
        <v/>
      </c>
      <c r="F333" s="9" t="str">
        <f t="shared" si="309"/>
        <v/>
      </c>
      <c r="G333" s="10" t="str">
        <f t="shared" si="310"/>
        <v/>
      </c>
      <c r="H333" s="10" t="str">
        <f t="shared" si="311"/>
        <v/>
      </c>
      <c r="I333" s="48" t="str">
        <f t="shared" si="281"/>
        <v/>
      </c>
      <c r="J333" s="11" t="str">
        <f t="shared" si="276"/>
        <v/>
      </c>
      <c r="K333" s="11" t="str">
        <f>IF(B333&lt;&gt;"",IF($B$16=listy!$K$8,'RZĄDOWY PROGRAM'!$F$3*'RZĄDOWY PROGRAM'!$F$15,F332*$F$15),"")</f>
        <v/>
      </c>
      <c r="L333" s="11" t="str">
        <f t="shared" si="312"/>
        <v/>
      </c>
      <c r="N333" s="54" t="str">
        <f t="shared" si="260"/>
        <v/>
      </c>
      <c r="O333" s="8" t="str">
        <f t="shared" si="282"/>
        <v/>
      </c>
      <c r="P333" s="8"/>
      <c r="Q333" s="11" t="str">
        <f>IF(O333&lt;&gt;"",ROUND(IF($F$11="raty równe",-PMT(W333/12,$F$4-O332+SUM($P$28:P333),T332,2),R333+S333),2),"")</f>
        <v/>
      </c>
      <c r="R333" s="11" t="str">
        <f>IF(O333&lt;&gt;"",IF($F$11="raty malejące",T332/($F$4-O332+SUM($P$28:P333)),IF(Q333-S333&gt;T332,T332,Q333-S333)),"")</f>
        <v/>
      </c>
      <c r="S333" s="11" t="str">
        <f t="shared" si="261"/>
        <v/>
      </c>
      <c r="T333" s="9" t="str">
        <f t="shared" si="262"/>
        <v/>
      </c>
      <c r="U333" s="10" t="str">
        <f t="shared" si="263"/>
        <v/>
      </c>
      <c r="V333" s="10" t="str">
        <f t="shared" si="264"/>
        <v/>
      </c>
      <c r="W333" s="48" t="str">
        <f t="shared" si="283"/>
        <v/>
      </c>
      <c r="X333" s="11" t="str">
        <f t="shared" si="265"/>
        <v/>
      </c>
      <c r="Y333" s="11" t="str">
        <f>IF(O333&lt;&gt;"",IF($B$16=listy!$K$8,'RZĄDOWY PROGRAM'!$F$3*'RZĄDOWY PROGRAM'!$F$15,T332*$F$15),"")</f>
        <v/>
      </c>
      <c r="Z333" s="11" t="str">
        <f t="shared" si="266"/>
        <v/>
      </c>
      <c r="AB333" s="8" t="str">
        <f t="shared" si="267"/>
        <v/>
      </c>
      <c r="AC333" s="8"/>
      <c r="AD333" s="11" t="str">
        <f>IF(AB333&lt;&gt;"",ROUND(IF($F$11="raty równe",-PMT(W333/12,$F$4-AB332+SUM($AC$28:AC333),AG332,2),AE333+AF333),2),"")</f>
        <v/>
      </c>
      <c r="AE333" s="11" t="str">
        <f>IF(AB333&lt;&gt;"",IF($F$11="raty malejące",AG332/($F$4-AB332+SUM($AC$28:AC332)),MIN(AD333-AF333,AG332)),"")</f>
        <v/>
      </c>
      <c r="AF333" s="11" t="str">
        <f t="shared" si="268"/>
        <v/>
      </c>
      <c r="AG333" s="9" t="str">
        <f t="shared" si="269"/>
        <v/>
      </c>
      <c r="AH333" s="11"/>
      <c r="AI333" s="33" t="str">
        <f>IF(AB333&lt;&gt;"",ROUND(IF($F$11="raty równe",-PMT(W333/12,($F$4-AB332+SUM($AC$27:AC332)),AG332,2),AG332/($F$4-AB332+SUM($AC$27:AC332))+AG332*W333/12),2),"")</f>
        <v/>
      </c>
      <c r="AJ333" s="33" t="str">
        <f t="shared" si="270"/>
        <v/>
      </c>
      <c r="AK333" s="33" t="str">
        <f t="shared" si="277"/>
        <v/>
      </c>
      <c r="AL333" s="33" t="str">
        <f>IF(AB333&lt;&gt;"",AK333-SUM($AJ$28:AJ333),"")</f>
        <v/>
      </c>
      <c r="AM333" s="11" t="str">
        <f t="shared" si="271"/>
        <v/>
      </c>
      <c r="AN333" s="11" t="str">
        <f>IF(AB333&lt;&gt;"",IF($B$16=listy!$K$8,'RZĄDOWY PROGRAM'!$F$3*'RZĄDOWY PROGRAM'!$F$15,AG332*$F$15),"")</f>
        <v/>
      </c>
      <c r="AO333" s="11" t="str">
        <f t="shared" si="272"/>
        <v/>
      </c>
      <c r="AQ333" s="8" t="str">
        <f t="shared" si="284"/>
        <v/>
      </c>
      <c r="AR333" s="8"/>
      <c r="AS333" s="78" t="str">
        <f>IF(AQ333&lt;&gt;"",ROUND(IF($F$11="raty równe",-PMT(W333/12,$F$4-AQ332+SUM($AR$28:AR333),AV332,2),AT333+AU333),2),"")</f>
        <v/>
      </c>
      <c r="AT333" s="78" t="str">
        <f>IF(AQ333&lt;&gt;"",IF($F$11="raty malejące",AV332/($F$4-AQ332+SUM($AR$28:AR332)),MIN(AS333-AU333,AV332)),"")</f>
        <v/>
      </c>
      <c r="AU333" s="78" t="str">
        <f t="shared" si="285"/>
        <v/>
      </c>
      <c r="AV333" s="79" t="str">
        <f t="shared" si="286"/>
        <v/>
      </c>
      <c r="AW333" s="11"/>
      <c r="AX333" s="33" t="str">
        <f>IF(AQ333&lt;&gt;"",ROUND(IF($F$11="raty równe",-PMT(W333/12,($F$4-AQ332+SUM($AR$27:AR332)),AV332,2),AV332/($F$4-AQ332+SUM($AR$27:AR332))+AV332*W333/12),2),"")</f>
        <v/>
      </c>
      <c r="AY333" s="33" t="str">
        <f t="shared" si="287"/>
        <v/>
      </c>
      <c r="AZ333" s="33" t="str">
        <f t="shared" si="294"/>
        <v/>
      </c>
      <c r="BA333" s="33" t="str">
        <f>IF(AQ333&lt;&gt;"",AZ333-SUM($AY$44:AY333),"")</f>
        <v/>
      </c>
      <c r="BB333" s="11" t="str">
        <f t="shared" si="288"/>
        <v/>
      </c>
      <c r="BC333" s="11" t="str">
        <f>IF(AQ333&lt;&gt;"",IF($B$16=listy!$K$8,'RZĄDOWY PROGRAM'!$F$3*'RZĄDOWY PROGRAM'!$F$15,AV332*$F$15),"")</f>
        <v/>
      </c>
      <c r="BD333" s="11" t="str">
        <f t="shared" si="289"/>
        <v/>
      </c>
      <c r="BF333" s="8" t="str">
        <f t="shared" si="298"/>
        <v/>
      </c>
      <c r="BG333" s="8"/>
      <c r="BH333" s="78" t="str">
        <f>IF(BF333&lt;&gt;"",ROUND(IF($F$11="raty równe",-PMT(W333/12,$F$4-BF332+SUM(BV$28:$BV333)-SUM($BM$29:BM333),BK332,2),BI333+BJ333),2),"")</f>
        <v/>
      </c>
      <c r="BI333" s="78" t="str">
        <f>IF(BF333&lt;&gt;"",IF($F$11="raty malejące",MIN(BK332/($F$4-BF332+SUM($BG$27:BG333)-SUM($BM$27:BM333)),BK332),MIN(BH333-BJ333,BK332)),"")</f>
        <v/>
      </c>
      <c r="BJ333" s="78" t="str">
        <f t="shared" si="299"/>
        <v/>
      </c>
      <c r="BK333" s="79" t="str">
        <f t="shared" si="300"/>
        <v/>
      </c>
      <c r="BL333" s="11"/>
      <c r="BM333" s="33"/>
      <c r="BN333" s="33" t="str">
        <f t="shared" si="295"/>
        <v/>
      </c>
      <c r="BO333" s="33" t="str">
        <f t="shared" si="296"/>
        <v/>
      </c>
      <c r="BP333" s="33" t="str">
        <f>IF(O333&lt;&gt;"",BO333-SUM($BN$44:BN333),"")</f>
        <v/>
      </c>
      <c r="BQ333" s="11" t="str">
        <f t="shared" si="301"/>
        <v/>
      </c>
      <c r="BR333" s="11" t="str">
        <f>IF(BF333&lt;&gt;"",IF($B$16=listy!$K$8,'RZĄDOWY PROGRAM'!$F$3*'RZĄDOWY PROGRAM'!$F$15,BK332*$F$15),"")</f>
        <v/>
      </c>
      <c r="BS333" s="11" t="str">
        <f t="shared" si="302"/>
        <v/>
      </c>
      <c r="BU333" s="8" t="str">
        <f t="shared" si="290"/>
        <v/>
      </c>
      <c r="BV333" s="8"/>
      <c r="BW333" s="78" t="str">
        <f>IF(BU333&lt;&gt;"",ROUND(IF($F$11="raty równe",-PMT(W333/12,$F$4-BU332+SUM($BV$28:BV333)-$CB$43,BZ332,2),BX333+BY333),2),"")</f>
        <v/>
      </c>
      <c r="BX333" s="78" t="str">
        <f>IF(BU333&lt;&gt;"",IF($F$11="raty malejące",MIN(BZ332/($F$4-BU332+SUM($BV$28:BV332)-SUM($CB$28:CB332)),BZ332),MIN(BW333-BY333,BZ332)),"")</f>
        <v/>
      </c>
      <c r="BY333" s="78" t="str">
        <f t="shared" si="303"/>
        <v/>
      </c>
      <c r="BZ333" s="79" t="str">
        <f t="shared" si="292"/>
        <v/>
      </c>
      <c r="CA333" s="11"/>
      <c r="CB333" s="33"/>
      <c r="CC333" s="33" t="str">
        <f t="shared" si="291"/>
        <v/>
      </c>
      <c r="CD333" s="33" t="str">
        <f t="shared" si="297"/>
        <v/>
      </c>
      <c r="CE333" s="33" t="str">
        <f>IF(O333&lt;&gt;"",CD333-SUM($CC$44:CC333),"")</f>
        <v/>
      </c>
      <c r="CF333" s="11" t="str">
        <f t="shared" si="304"/>
        <v/>
      </c>
      <c r="CG333" s="11" t="str">
        <f>IF(BU333&lt;&gt;"",IF($B$16=listy!$K$8,'RZĄDOWY PROGRAM'!$F$3*'RZĄDOWY PROGRAM'!$F$15,BZ332*$F$15),"")</f>
        <v/>
      </c>
      <c r="CH333" s="11" t="str">
        <f t="shared" si="305"/>
        <v/>
      </c>
      <c r="CJ333" s="48" t="str">
        <f t="shared" si="278"/>
        <v/>
      </c>
      <c r="CK333" s="18" t="str">
        <f t="shared" si="279"/>
        <v/>
      </c>
      <c r="CL333" s="11" t="str">
        <f t="shared" si="306"/>
        <v/>
      </c>
      <c r="CM333" s="11" t="str">
        <f t="shared" si="280"/>
        <v/>
      </c>
      <c r="CN333" s="11" t="str">
        <f>IF(AB333&lt;&gt;"",CM333-SUM($CL$28:CL333),"")</f>
        <v/>
      </c>
    </row>
    <row r="334" spans="1:92" x14ac:dyDescent="0.45">
      <c r="A334" s="68" t="str">
        <f t="shared" si="307"/>
        <v/>
      </c>
      <c r="B334" s="8" t="str">
        <f t="shared" si="273"/>
        <v/>
      </c>
      <c r="C334" s="11" t="str">
        <f t="shared" si="274"/>
        <v/>
      </c>
      <c r="D334" s="11" t="str">
        <f t="shared" si="275"/>
        <v/>
      </c>
      <c r="E334" s="11" t="str">
        <f t="shared" si="308"/>
        <v/>
      </c>
      <c r="F334" s="9" t="str">
        <f t="shared" si="309"/>
        <v/>
      </c>
      <c r="G334" s="10" t="str">
        <f t="shared" si="310"/>
        <v/>
      </c>
      <c r="H334" s="10" t="str">
        <f t="shared" si="311"/>
        <v/>
      </c>
      <c r="I334" s="48" t="str">
        <f t="shared" si="281"/>
        <v/>
      </c>
      <c r="J334" s="11" t="str">
        <f t="shared" si="276"/>
        <v/>
      </c>
      <c r="K334" s="11" t="str">
        <f>IF(B334&lt;&gt;"",IF($B$16=listy!$K$8,'RZĄDOWY PROGRAM'!$F$3*'RZĄDOWY PROGRAM'!$F$15,F333*$F$15),"")</f>
        <v/>
      </c>
      <c r="L334" s="11" t="str">
        <f t="shared" si="312"/>
        <v/>
      </c>
      <c r="N334" s="54" t="str">
        <f t="shared" si="260"/>
        <v/>
      </c>
      <c r="O334" s="8" t="str">
        <f t="shared" si="282"/>
        <v/>
      </c>
      <c r="P334" s="8"/>
      <c r="Q334" s="11" t="str">
        <f>IF(O334&lt;&gt;"",ROUND(IF($F$11="raty równe",-PMT(W334/12,$F$4-O333+SUM($P$28:P334),T333,2),R334+S334),2),"")</f>
        <v/>
      </c>
      <c r="R334" s="11" t="str">
        <f>IF(O334&lt;&gt;"",IF($F$11="raty malejące",T333/($F$4-O333+SUM($P$28:P334)),IF(Q334-S334&gt;T333,T333,Q334-S334)),"")</f>
        <v/>
      </c>
      <c r="S334" s="11" t="str">
        <f t="shared" si="261"/>
        <v/>
      </c>
      <c r="T334" s="9" t="str">
        <f t="shared" si="262"/>
        <v/>
      </c>
      <c r="U334" s="10" t="str">
        <f t="shared" si="263"/>
        <v/>
      </c>
      <c r="V334" s="10" t="str">
        <f t="shared" si="264"/>
        <v/>
      </c>
      <c r="W334" s="48" t="str">
        <f t="shared" si="283"/>
        <v/>
      </c>
      <c r="X334" s="11" t="str">
        <f t="shared" si="265"/>
        <v/>
      </c>
      <c r="Y334" s="11" t="str">
        <f>IF(O334&lt;&gt;"",IF($B$16=listy!$K$8,'RZĄDOWY PROGRAM'!$F$3*'RZĄDOWY PROGRAM'!$F$15,T333*$F$15),"")</f>
        <v/>
      </c>
      <c r="Z334" s="11" t="str">
        <f t="shared" si="266"/>
        <v/>
      </c>
      <c r="AB334" s="8" t="str">
        <f t="shared" si="267"/>
        <v/>
      </c>
      <c r="AC334" s="8"/>
      <c r="AD334" s="11" t="str">
        <f>IF(AB334&lt;&gt;"",ROUND(IF($F$11="raty równe",-PMT(W334/12,$F$4-AB333+SUM($AC$28:AC334),AG333,2),AE334+AF334),2),"")</f>
        <v/>
      </c>
      <c r="AE334" s="11" t="str">
        <f>IF(AB334&lt;&gt;"",IF($F$11="raty malejące",AG333/($F$4-AB333+SUM($AC$28:AC333)),MIN(AD334-AF334,AG333)),"")</f>
        <v/>
      </c>
      <c r="AF334" s="11" t="str">
        <f t="shared" si="268"/>
        <v/>
      </c>
      <c r="AG334" s="9" t="str">
        <f t="shared" si="269"/>
        <v/>
      </c>
      <c r="AH334" s="11"/>
      <c r="AI334" s="33" t="str">
        <f>IF(AB334&lt;&gt;"",ROUND(IF($F$11="raty równe",-PMT(W334/12,($F$4-AB333+SUM($AC$27:AC333)),AG333,2),AG333/($F$4-AB333+SUM($AC$27:AC333))+AG333*W334/12),2),"")</f>
        <v/>
      </c>
      <c r="AJ334" s="33" t="str">
        <f t="shared" si="270"/>
        <v/>
      </c>
      <c r="AK334" s="33" t="str">
        <f t="shared" si="277"/>
        <v/>
      </c>
      <c r="AL334" s="33" t="str">
        <f>IF(AB334&lt;&gt;"",AK334-SUM($AJ$28:AJ334),"")</f>
        <v/>
      </c>
      <c r="AM334" s="11" t="str">
        <f t="shared" si="271"/>
        <v/>
      </c>
      <c r="AN334" s="11" t="str">
        <f>IF(AB334&lt;&gt;"",IF($B$16=listy!$K$8,'RZĄDOWY PROGRAM'!$F$3*'RZĄDOWY PROGRAM'!$F$15,AG333*$F$15),"")</f>
        <v/>
      </c>
      <c r="AO334" s="11" t="str">
        <f t="shared" si="272"/>
        <v/>
      </c>
      <c r="AQ334" s="8" t="str">
        <f t="shared" si="284"/>
        <v/>
      </c>
      <c r="AR334" s="8"/>
      <c r="AS334" s="78" t="str">
        <f>IF(AQ334&lt;&gt;"",ROUND(IF($F$11="raty równe",-PMT(W334/12,$F$4-AQ333+SUM($AR$28:AR334),AV333,2),AT334+AU334),2),"")</f>
        <v/>
      </c>
      <c r="AT334" s="78" t="str">
        <f>IF(AQ334&lt;&gt;"",IF($F$11="raty malejące",AV333/($F$4-AQ333+SUM($AR$28:AR333)),MIN(AS334-AU334,AV333)),"")</f>
        <v/>
      </c>
      <c r="AU334" s="78" t="str">
        <f t="shared" si="285"/>
        <v/>
      </c>
      <c r="AV334" s="79" t="str">
        <f t="shared" si="286"/>
        <v/>
      </c>
      <c r="AW334" s="11"/>
      <c r="AX334" s="33" t="str">
        <f>IF(AQ334&lt;&gt;"",ROUND(IF($F$11="raty równe",-PMT(W334/12,($F$4-AQ333+SUM($AR$27:AR333)),AV333,2),AV333/($F$4-AQ333+SUM($AR$27:AR333))+AV333*W334/12),2),"")</f>
        <v/>
      </c>
      <c r="AY334" s="33" t="str">
        <f t="shared" si="287"/>
        <v/>
      </c>
      <c r="AZ334" s="33" t="str">
        <f t="shared" si="294"/>
        <v/>
      </c>
      <c r="BA334" s="33" t="str">
        <f>IF(AQ334&lt;&gt;"",AZ334-SUM($AY$44:AY334),"")</f>
        <v/>
      </c>
      <c r="BB334" s="11" t="str">
        <f t="shared" si="288"/>
        <v/>
      </c>
      <c r="BC334" s="11" t="str">
        <f>IF(AQ334&lt;&gt;"",IF($B$16=listy!$K$8,'RZĄDOWY PROGRAM'!$F$3*'RZĄDOWY PROGRAM'!$F$15,AV333*$F$15),"")</f>
        <v/>
      </c>
      <c r="BD334" s="11" t="str">
        <f t="shared" si="289"/>
        <v/>
      </c>
      <c r="BF334" s="8" t="str">
        <f t="shared" si="298"/>
        <v/>
      </c>
      <c r="BG334" s="8"/>
      <c r="BH334" s="78" t="str">
        <f>IF(BF334&lt;&gt;"",ROUND(IF($F$11="raty równe",-PMT(W334/12,$F$4-BF333+SUM(BV$28:$BV334)-SUM($BM$29:BM334),BK333,2),BI334+BJ334),2),"")</f>
        <v/>
      </c>
      <c r="BI334" s="78" t="str">
        <f>IF(BF334&lt;&gt;"",IF($F$11="raty malejące",MIN(BK333/($F$4-BF333+SUM($BG$27:BG334)-SUM($BM$27:BM334)),BK333),MIN(BH334-BJ334,BK333)),"")</f>
        <v/>
      </c>
      <c r="BJ334" s="78" t="str">
        <f t="shared" si="299"/>
        <v/>
      </c>
      <c r="BK334" s="79" t="str">
        <f t="shared" si="300"/>
        <v/>
      </c>
      <c r="BL334" s="11"/>
      <c r="BM334" s="33"/>
      <c r="BN334" s="33" t="str">
        <f t="shared" si="295"/>
        <v/>
      </c>
      <c r="BO334" s="33" t="str">
        <f t="shared" si="296"/>
        <v/>
      </c>
      <c r="BP334" s="33" t="str">
        <f>IF(O334&lt;&gt;"",BO334-SUM($BN$44:BN334),"")</f>
        <v/>
      </c>
      <c r="BQ334" s="11" t="str">
        <f t="shared" si="301"/>
        <v/>
      </c>
      <c r="BR334" s="11" t="str">
        <f>IF(BF334&lt;&gt;"",IF($B$16=listy!$K$8,'RZĄDOWY PROGRAM'!$F$3*'RZĄDOWY PROGRAM'!$F$15,BK333*$F$15),"")</f>
        <v/>
      </c>
      <c r="BS334" s="11" t="str">
        <f t="shared" si="302"/>
        <v/>
      </c>
      <c r="BU334" s="8" t="str">
        <f t="shared" si="290"/>
        <v/>
      </c>
      <c r="BV334" s="8"/>
      <c r="BW334" s="78" t="str">
        <f>IF(BU334&lt;&gt;"",ROUND(IF($F$11="raty równe",-PMT(W334/12,$F$4-BU333+SUM($BV$28:BV334)-$CB$43,BZ333,2),BX334+BY334),2),"")</f>
        <v/>
      </c>
      <c r="BX334" s="78" t="str">
        <f>IF(BU334&lt;&gt;"",IF($F$11="raty malejące",MIN(BZ333/($F$4-BU333+SUM($BV$28:BV333)-SUM($CB$28:CB333)),BZ333),MIN(BW334-BY334,BZ333)),"")</f>
        <v/>
      </c>
      <c r="BY334" s="78" t="str">
        <f t="shared" si="303"/>
        <v/>
      </c>
      <c r="BZ334" s="79" t="str">
        <f t="shared" si="292"/>
        <v/>
      </c>
      <c r="CA334" s="11"/>
      <c r="CB334" s="33"/>
      <c r="CC334" s="33" t="str">
        <f t="shared" si="291"/>
        <v/>
      </c>
      <c r="CD334" s="33" t="str">
        <f t="shared" si="297"/>
        <v/>
      </c>
      <c r="CE334" s="33" t="str">
        <f>IF(O334&lt;&gt;"",CD334-SUM($CC$44:CC334),"")</f>
        <v/>
      </c>
      <c r="CF334" s="11" t="str">
        <f t="shared" si="304"/>
        <v/>
      </c>
      <c r="CG334" s="11" t="str">
        <f>IF(BU334&lt;&gt;"",IF($B$16=listy!$K$8,'RZĄDOWY PROGRAM'!$F$3*'RZĄDOWY PROGRAM'!$F$15,BZ333*$F$15),"")</f>
        <v/>
      </c>
      <c r="CH334" s="11" t="str">
        <f t="shared" si="305"/>
        <v/>
      </c>
      <c r="CJ334" s="48" t="str">
        <f t="shared" si="278"/>
        <v/>
      </c>
      <c r="CK334" s="18" t="str">
        <f t="shared" si="279"/>
        <v/>
      </c>
      <c r="CL334" s="11" t="str">
        <f t="shared" si="306"/>
        <v/>
      </c>
      <c r="CM334" s="11" t="str">
        <f t="shared" si="280"/>
        <v/>
      </c>
      <c r="CN334" s="11" t="str">
        <f>IF(AB334&lt;&gt;"",CM334-SUM($CL$28:CL334),"")</f>
        <v/>
      </c>
    </row>
    <row r="335" spans="1:92" x14ac:dyDescent="0.45">
      <c r="A335" s="68" t="str">
        <f t="shared" si="307"/>
        <v/>
      </c>
      <c r="B335" s="8" t="str">
        <f t="shared" si="273"/>
        <v/>
      </c>
      <c r="C335" s="11" t="str">
        <f t="shared" si="274"/>
        <v/>
      </c>
      <c r="D335" s="11" t="str">
        <f t="shared" si="275"/>
        <v/>
      </c>
      <c r="E335" s="11" t="str">
        <f t="shared" si="308"/>
        <v/>
      </c>
      <c r="F335" s="9" t="str">
        <f t="shared" si="309"/>
        <v/>
      </c>
      <c r="G335" s="10" t="str">
        <f t="shared" si="310"/>
        <v/>
      </c>
      <c r="H335" s="10" t="str">
        <f t="shared" si="311"/>
        <v/>
      </c>
      <c r="I335" s="48" t="str">
        <f t="shared" si="281"/>
        <v/>
      </c>
      <c r="J335" s="11" t="str">
        <f t="shared" si="276"/>
        <v/>
      </c>
      <c r="K335" s="11" t="str">
        <f>IF(B335&lt;&gt;"",IF($B$16=listy!$K$8,'RZĄDOWY PROGRAM'!$F$3*'RZĄDOWY PROGRAM'!$F$15,F334*$F$15),"")</f>
        <v/>
      </c>
      <c r="L335" s="11" t="str">
        <f t="shared" si="312"/>
        <v/>
      </c>
      <c r="N335" s="54" t="str">
        <f t="shared" si="260"/>
        <v/>
      </c>
      <c r="O335" s="8" t="str">
        <f t="shared" si="282"/>
        <v/>
      </c>
      <c r="P335" s="8"/>
      <c r="Q335" s="11" t="str">
        <f>IF(O335&lt;&gt;"",ROUND(IF($F$11="raty równe",-PMT(W335/12,$F$4-O334+SUM($P$28:P335),T334,2),R335+S335),2),"")</f>
        <v/>
      </c>
      <c r="R335" s="11" t="str">
        <f>IF(O335&lt;&gt;"",IF($F$11="raty malejące",T334/($F$4-O334+SUM($P$28:P335)),IF(Q335-S335&gt;T334,T334,Q335-S335)),"")</f>
        <v/>
      </c>
      <c r="S335" s="11" t="str">
        <f t="shared" si="261"/>
        <v/>
      </c>
      <c r="T335" s="9" t="str">
        <f t="shared" si="262"/>
        <v/>
      </c>
      <c r="U335" s="10" t="str">
        <f t="shared" si="263"/>
        <v/>
      </c>
      <c r="V335" s="10" t="str">
        <f t="shared" si="264"/>
        <v/>
      </c>
      <c r="W335" s="48" t="str">
        <f t="shared" si="283"/>
        <v/>
      </c>
      <c r="X335" s="11" t="str">
        <f t="shared" si="265"/>
        <v/>
      </c>
      <c r="Y335" s="11" t="str">
        <f>IF(O335&lt;&gt;"",IF($B$16=listy!$K$8,'RZĄDOWY PROGRAM'!$F$3*'RZĄDOWY PROGRAM'!$F$15,T334*$F$15),"")</f>
        <v/>
      </c>
      <c r="Z335" s="11" t="str">
        <f t="shared" si="266"/>
        <v/>
      </c>
      <c r="AB335" s="8" t="str">
        <f t="shared" si="267"/>
        <v/>
      </c>
      <c r="AC335" s="8"/>
      <c r="AD335" s="11" t="str">
        <f>IF(AB335&lt;&gt;"",ROUND(IF($F$11="raty równe",-PMT(W335/12,$F$4-AB334+SUM($AC$28:AC335),AG334,2),AE335+AF335),2),"")</f>
        <v/>
      </c>
      <c r="AE335" s="11" t="str">
        <f>IF(AB335&lt;&gt;"",IF($F$11="raty malejące",AG334/($F$4-AB334+SUM($AC$28:AC334)),MIN(AD335-AF335,AG334)),"")</f>
        <v/>
      </c>
      <c r="AF335" s="11" t="str">
        <f t="shared" si="268"/>
        <v/>
      </c>
      <c r="AG335" s="9" t="str">
        <f t="shared" si="269"/>
        <v/>
      </c>
      <c r="AH335" s="11"/>
      <c r="AI335" s="33" t="str">
        <f>IF(AB335&lt;&gt;"",ROUND(IF($F$11="raty równe",-PMT(W335/12,($F$4-AB334+SUM($AC$27:AC334)),AG334,2),AG334/($F$4-AB334+SUM($AC$27:AC334))+AG334*W335/12),2),"")</f>
        <v/>
      </c>
      <c r="AJ335" s="33" t="str">
        <f t="shared" si="270"/>
        <v/>
      </c>
      <c r="AK335" s="33" t="str">
        <f t="shared" si="277"/>
        <v/>
      </c>
      <c r="AL335" s="33" t="str">
        <f>IF(AB335&lt;&gt;"",AK335-SUM($AJ$28:AJ335),"")</f>
        <v/>
      </c>
      <c r="AM335" s="11" t="str">
        <f t="shared" si="271"/>
        <v/>
      </c>
      <c r="AN335" s="11" t="str">
        <f>IF(AB335&lt;&gt;"",IF($B$16=listy!$K$8,'RZĄDOWY PROGRAM'!$F$3*'RZĄDOWY PROGRAM'!$F$15,AG334*$F$15),"")</f>
        <v/>
      </c>
      <c r="AO335" s="11" t="str">
        <f t="shared" si="272"/>
        <v/>
      </c>
      <c r="AQ335" s="8" t="str">
        <f t="shared" si="284"/>
        <v/>
      </c>
      <c r="AR335" s="8"/>
      <c r="AS335" s="78" t="str">
        <f>IF(AQ335&lt;&gt;"",ROUND(IF($F$11="raty równe",-PMT(W335/12,$F$4-AQ334+SUM($AR$28:AR335),AV334,2),AT335+AU335),2),"")</f>
        <v/>
      </c>
      <c r="AT335" s="78" t="str">
        <f>IF(AQ335&lt;&gt;"",IF($F$11="raty malejące",AV334/($F$4-AQ334+SUM($AR$28:AR334)),MIN(AS335-AU335,AV334)),"")</f>
        <v/>
      </c>
      <c r="AU335" s="78" t="str">
        <f t="shared" si="285"/>
        <v/>
      </c>
      <c r="AV335" s="79" t="str">
        <f t="shared" si="286"/>
        <v/>
      </c>
      <c r="AW335" s="11"/>
      <c r="AX335" s="33" t="str">
        <f>IF(AQ335&lt;&gt;"",ROUND(IF($F$11="raty równe",-PMT(W335/12,($F$4-AQ334+SUM($AR$27:AR334)),AV334,2),AV334/($F$4-AQ334+SUM($AR$27:AR334))+AV334*W335/12),2),"")</f>
        <v/>
      </c>
      <c r="AY335" s="33" t="str">
        <f t="shared" si="287"/>
        <v/>
      </c>
      <c r="AZ335" s="33" t="str">
        <f t="shared" si="294"/>
        <v/>
      </c>
      <c r="BA335" s="33" t="str">
        <f>IF(AQ335&lt;&gt;"",AZ335-SUM($AY$44:AY335),"")</f>
        <v/>
      </c>
      <c r="BB335" s="11" t="str">
        <f t="shared" si="288"/>
        <v/>
      </c>
      <c r="BC335" s="11" t="str">
        <f>IF(AQ335&lt;&gt;"",IF($B$16=listy!$K$8,'RZĄDOWY PROGRAM'!$F$3*'RZĄDOWY PROGRAM'!$F$15,AV334*$F$15),"")</f>
        <v/>
      </c>
      <c r="BD335" s="11" t="str">
        <f t="shared" si="289"/>
        <v/>
      </c>
      <c r="BF335" s="8" t="str">
        <f t="shared" si="298"/>
        <v/>
      </c>
      <c r="BG335" s="8"/>
      <c r="BH335" s="78" t="str">
        <f>IF(BF335&lt;&gt;"",ROUND(IF($F$11="raty równe",-PMT(W335/12,$F$4-BF334+SUM(BV$28:$BV335)-SUM($BM$29:BM335),BK334,2),BI335+BJ335),2),"")</f>
        <v/>
      </c>
      <c r="BI335" s="78" t="str">
        <f>IF(BF335&lt;&gt;"",IF($F$11="raty malejące",MIN(BK334/($F$4-BF334+SUM($BG$27:BG335)-SUM($BM$27:BM335)),BK334),MIN(BH335-BJ335,BK334)),"")</f>
        <v/>
      </c>
      <c r="BJ335" s="78" t="str">
        <f t="shared" si="299"/>
        <v/>
      </c>
      <c r="BK335" s="79" t="str">
        <f t="shared" si="300"/>
        <v/>
      </c>
      <c r="BL335" s="11"/>
      <c r="BM335" s="33"/>
      <c r="BN335" s="33" t="str">
        <f t="shared" si="295"/>
        <v/>
      </c>
      <c r="BO335" s="33" t="str">
        <f t="shared" si="296"/>
        <v/>
      </c>
      <c r="BP335" s="33" t="str">
        <f>IF(O335&lt;&gt;"",BO335-SUM($BN$44:BN335),"")</f>
        <v/>
      </c>
      <c r="BQ335" s="11" t="str">
        <f t="shared" si="301"/>
        <v/>
      </c>
      <c r="BR335" s="11" t="str">
        <f>IF(BF335&lt;&gt;"",IF($B$16=listy!$K$8,'RZĄDOWY PROGRAM'!$F$3*'RZĄDOWY PROGRAM'!$F$15,BK334*$F$15),"")</f>
        <v/>
      </c>
      <c r="BS335" s="11" t="str">
        <f t="shared" si="302"/>
        <v/>
      </c>
      <c r="BU335" s="8" t="str">
        <f t="shared" si="290"/>
        <v/>
      </c>
      <c r="BV335" s="8"/>
      <c r="BW335" s="78" t="str">
        <f>IF(BU335&lt;&gt;"",ROUND(IF($F$11="raty równe",-PMT(W335/12,$F$4-BU334+SUM($BV$28:BV335)-$CB$43,BZ334,2),BX335+BY335),2),"")</f>
        <v/>
      </c>
      <c r="BX335" s="78" t="str">
        <f>IF(BU335&lt;&gt;"",IF($F$11="raty malejące",MIN(BZ334/($F$4-BU334+SUM($BV$28:BV334)-SUM($CB$28:CB334)),BZ334),MIN(BW335-BY335,BZ334)),"")</f>
        <v/>
      </c>
      <c r="BY335" s="78" t="str">
        <f t="shared" si="303"/>
        <v/>
      </c>
      <c r="BZ335" s="79" t="str">
        <f t="shared" si="292"/>
        <v/>
      </c>
      <c r="CA335" s="11"/>
      <c r="CB335" s="33"/>
      <c r="CC335" s="33" t="str">
        <f t="shared" si="291"/>
        <v/>
      </c>
      <c r="CD335" s="33" t="str">
        <f t="shared" si="297"/>
        <v/>
      </c>
      <c r="CE335" s="33" t="str">
        <f>IF(O335&lt;&gt;"",CD335-SUM($CC$44:CC335),"")</f>
        <v/>
      </c>
      <c r="CF335" s="11" t="str">
        <f t="shared" si="304"/>
        <v/>
      </c>
      <c r="CG335" s="11" t="str">
        <f>IF(BU335&lt;&gt;"",IF($B$16=listy!$K$8,'RZĄDOWY PROGRAM'!$F$3*'RZĄDOWY PROGRAM'!$F$15,BZ334*$F$15),"")</f>
        <v/>
      </c>
      <c r="CH335" s="11" t="str">
        <f t="shared" si="305"/>
        <v/>
      </c>
      <c r="CJ335" s="48" t="str">
        <f t="shared" si="278"/>
        <v/>
      </c>
      <c r="CK335" s="18" t="str">
        <f t="shared" si="279"/>
        <v/>
      </c>
      <c r="CL335" s="11" t="str">
        <f t="shared" si="306"/>
        <v/>
      </c>
      <c r="CM335" s="11" t="str">
        <f t="shared" si="280"/>
        <v/>
      </c>
      <c r="CN335" s="11" t="str">
        <f>IF(AB335&lt;&gt;"",CM335-SUM($CL$28:CL335),"")</f>
        <v/>
      </c>
    </row>
    <row r="336" spans="1:92" x14ac:dyDescent="0.45">
      <c r="A336" s="68" t="str">
        <f t="shared" si="307"/>
        <v/>
      </c>
      <c r="B336" s="8" t="str">
        <f t="shared" si="273"/>
        <v/>
      </c>
      <c r="C336" s="11" t="str">
        <f t="shared" si="274"/>
        <v/>
      </c>
      <c r="D336" s="11" t="str">
        <f t="shared" si="275"/>
        <v/>
      </c>
      <c r="E336" s="11" t="str">
        <f t="shared" si="308"/>
        <v/>
      </c>
      <c r="F336" s="9" t="str">
        <f t="shared" si="309"/>
        <v/>
      </c>
      <c r="G336" s="10" t="str">
        <f t="shared" si="310"/>
        <v/>
      </c>
      <c r="H336" s="10" t="str">
        <f t="shared" si="311"/>
        <v/>
      </c>
      <c r="I336" s="48" t="str">
        <f t="shared" si="281"/>
        <v/>
      </c>
      <c r="J336" s="11" t="str">
        <f t="shared" si="276"/>
        <v/>
      </c>
      <c r="K336" s="11" t="str">
        <f>IF(B336&lt;&gt;"",IF($B$16=listy!$K$8,'RZĄDOWY PROGRAM'!$F$3*'RZĄDOWY PROGRAM'!$F$15,F335*$F$15),"")</f>
        <v/>
      </c>
      <c r="L336" s="11" t="str">
        <f t="shared" si="312"/>
        <v/>
      </c>
      <c r="N336" s="54" t="str">
        <f t="shared" si="260"/>
        <v/>
      </c>
      <c r="O336" s="8" t="str">
        <f t="shared" si="282"/>
        <v/>
      </c>
      <c r="P336" s="8"/>
      <c r="Q336" s="11" t="str">
        <f>IF(O336&lt;&gt;"",ROUND(IF($F$11="raty równe",-PMT(W336/12,$F$4-O335+SUM($P$28:P336),T335,2),R336+S336),2),"")</f>
        <v/>
      </c>
      <c r="R336" s="11" t="str">
        <f>IF(O336&lt;&gt;"",IF($F$11="raty malejące",T335/($F$4-O335+SUM($P$28:P336)),IF(Q336-S336&gt;T335,T335,Q336-S336)),"")</f>
        <v/>
      </c>
      <c r="S336" s="11" t="str">
        <f t="shared" si="261"/>
        <v/>
      </c>
      <c r="T336" s="9" t="str">
        <f t="shared" si="262"/>
        <v/>
      </c>
      <c r="U336" s="10" t="str">
        <f t="shared" si="263"/>
        <v/>
      </c>
      <c r="V336" s="10" t="str">
        <f t="shared" si="264"/>
        <v/>
      </c>
      <c r="W336" s="48" t="str">
        <f t="shared" si="283"/>
        <v/>
      </c>
      <c r="X336" s="11" t="str">
        <f t="shared" si="265"/>
        <v/>
      </c>
      <c r="Y336" s="11" t="str">
        <f>IF(O336&lt;&gt;"",IF($B$16=listy!$K$8,'RZĄDOWY PROGRAM'!$F$3*'RZĄDOWY PROGRAM'!$F$15,T335*$F$15),"")</f>
        <v/>
      </c>
      <c r="Z336" s="11" t="str">
        <f t="shared" si="266"/>
        <v/>
      </c>
      <c r="AB336" s="8" t="str">
        <f t="shared" si="267"/>
        <v/>
      </c>
      <c r="AC336" s="8"/>
      <c r="AD336" s="11" t="str">
        <f>IF(AB336&lt;&gt;"",ROUND(IF($F$11="raty równe",-PMT(W336/12,$F$4-AB335+SUM($AC$28:AC336),AG335,2),AE336+AF336),2),"")</f>
        <v/>
      </c>
      <c r="AE336" s="11" t="str">
        <f>IF(AB336&lt;&gt;"",IF($F$11="raty malejące",AG335/($F$4-AB335+SUM($AC$28:AC335)),MIN(AD336-AF336,AG335)),"")</f>
        <v/>
      </c>
      <c r="AF336" s="11" t="str">
        <f t="shared" si="268"/>
        <v/>
      </c>
      <c r="AG336" s="9" t="str">
        <f t="shared" si="269"/>
        <v/>
      </c>
      <c r="AH336" s="11"/>
      <c r="AI336" s="33" t="str">
        <f>IF(AB336&lt;&gt;"",ROUND(IF($F$11="raty równe",-PMT(W336/12,($F$4-AB335+SUM($AC$27:AC335)),AG335,2),AG335/($F$4-AB335+SUM($AC$27:AC335))+AG335*W336/12),2),"")</f>
        <v/>
      </c>
      <c r="AJ336" s="33" t="str">
        <f t="shared" si="270"/>
        <v/>
      </c>
      <c r="AK336" s="33" t="str">
        <f t="shared" si="277"/>
        <v/>
      </c>
      <c r="AL336" s="33" t="str">
        <f>IF(AB336&lt;&gt;"",AK336-SUM($AJ$28:AJ336),"")</f>
        <v/>
      </c>
      <c r="AM336" s="11" t="str">
        <f t="shared" si="271"/>
        <v/>
      </c>
      <c r="AN336" s="11" t="str">
        <f>IF(AB336&lt;&gt;"",IF($B$16=listy!$K$8,'RZĄDOWY PROGRAM'!$F$3*'RZĄDOWY PROGRAM'!$F$15,AG335*$F$15),"")</f>
        <v/>
      </c>
      <c r="AO336" s="11" t="str">
        <f t="shared" si="272"/>
        <v/>
      </c>
      <c r="AQ336" s="8" t="str">
        <f t="shared" si="284"/>
        <v/>
      </c>
      <c r="AR336" s="8"/>
      <c r="AS336" s="78" t="str">
        <f>IF(AQ336&lt;&gt;"",ROUND(IF($F$11="raty równe",-PMT(W336/12,$F$4-AQ335+SUM($AR$28:AR336),AV335,2),AT336+AU336),2),"")</f>
        <v/>
      </c>
      <c r="AT336" s="78" t="str">
        <f>IF(AQ336&lt;&gt;"",IF($F$11="raty malejące",AV335/($F$4-AQ335+SUM($AR$28:AR335)),MIN(AS336-AU336,AV335)),"")</f>
        <v/>
      </c>
      <c r="AU336" s="78" t="str">
        <f t="shared" si="285"/>
        <v/>
      </c>
      <c r="AV336" s="79" t="str">
        <f t="shared" si="286"/>
        <v/>
      </c>
      <c r="AW336" s="11"/>
      <c r="AX336" s="33" t="str">
        <f>IF(AQ336&lt;&gt;"",ROUND(IF($F$11="raty równe",-PMT(W336/12,($F$4-AQ335+SUM($AR$27:AR335)),AV335,2),AV335/($F$4-AQ335+SUM($AR$27:AR335))+AV335*W336/12),2),"")</f>
        <v/>
      </c>
      <c r="AY336" s="33" t="str">
        <f t="shared" si="287"/>
        <v/>
      </c>
      <c r="AZ336" s="33" t="str">
        <f t="shared" si="294"/>
        <v/>
      </c>
      <c r="BA336" s="33" t="str">
        <f>IF(AQ336&lt;&gt;"",AZ336-SUM($AY$44:AY336),"")</f>
        <v/>
      </c>
      <c r="BB336" s="11" t="str">
        <f t="shared" si="288"/>
        <v/>
      </c>
      <c r="BC336" s="11" t="str">
        <f>IF(AQ336&lt;&gt;"",IF($B$16=listy!$K$8,'RZĄDOWY PROGRAM'!$F$3*'RZĄDOWY PROGRAM'!$F$15,AV335*$F$15),"")</f>
        <v/>
      </c>
      <c r="BD336" s="11" t="str">
        <f t="shared" si="289"/>
        <v/>
      </c>
      <c r="BF336" s="8" t="str">
        <f t="shared" si="298"/>
        <v/>
      </c>
      <c r="BG336" s="8"/>
      <c r="BH336" s="78" t="str">
        <f>IF(BF336&lt;&gt;"",ROUND(IF($F$11="raty równe",-PMT(W336/12,$F$4-BF335+SUM(BV$28:$BV336)-SUM($BM$29:BM336),BK335,2),BI336+BJ336),2),"")</f>
        <v/>
      </c>
      <c r="BI336" s="78" t="str">
        <f>IF(BF336&lt;&gt;"",IF($F$11="raty malejące",MIN(BK335/($F$4-BF335+SUM($BG$27:BG336)-SUM($BM$27:BM336)),BK335),MIN(BH336-BJ336,BK335)),"")</f>
        <v/>
      </c>
      <c r="BJ336" s="78" t="str">
        <f t="shared" si="299"/>
        <v/>
      </c>
      <c r="BK336" s="79" t="str">
        <f t="shared" si="300"/>
        <v/>
      </c>
      <c r="BL336" s="11"/>
      <c r="BM336" s="33"/>
      <c r="BN336" s="33" t="str">
        <f t="shared" si="295"/>
        <v/>
      </c>
      <c r="BO336" s="33" t="str">
        <f t="shared" si="296"/>
        <v/>
      </c>
      <c r="BP336" s="33" t="str">
        <f>IF(O336&lt;&gt;"",BO336-SUM($BN$44:BN336),"")</f>
        <v/>
      </c>
      <c r="BQ336" s="11" t="str">
        <f t="shared" si="301"/>
        <v/>
      </c>
      <c r="BR336" s="11" t="str">
        <f>IF(BF336&lt;&gt;"",IF($B$16=listy!$K$8,'RZĄDOWY PROGRAM'!$F$3*'RZĄDOWY PROGRAM'!$F$15,BK335*$F$15),"")</f>
        <v/>
      </c>
      <c r="BS336" s="11" t="str">
        <f t="shared" si="302"/>
        <v/>
      </c>
      <c r="BU336" s="8" t="str">
        <f t="shared" si="290"/>
        <v/>
      </c>
      <c r="BV336" s="8"/>
      <c r="BW336" s="78" t="str">
        <f>IF(BU336&lt;&gt;"",ROUND(IF($F$11="raty równe",-PMT(W336/12,$F$4-BU335+SUM($BV$28:BV336)-$CB$43,BZ335,2),BX336+BY336),2),"")</f>
        <v/>
      </c>
      <c r="BX336" s="78" t="str">
        <f>IF(BU336&lt;&gt;"",IF($F$11="raty malejące",MIN(BZ335/($F$4-BU335+SUM($BV$28:BV335)-SUM($CB$28:CB335)),BZ335),MIN(BW336-BY336,BZ335)),"")</f>
        <v/>
      </c>
      <c r="BY336" s="78" t="str">
        <f t="shared" si="303"/>
        <v/>
      </c>
      <c r="BZ336" s="79" t="str">
        <f t="shared" si="292"/>
        <v/>
      </c>
      <c r="CA336" s="11"/>
      <c r="CB336" s="33"/>
      <c r="CC336" s="33" t="str">
        <f t="shared" si="291"/>
        <v/>
      </c>
      <c r="CD336" s="33" t="str">
        <f t="shared" si="297"/>
        <v/>
      </c>
      <c r="CE336" s="33" t="str">
        <f>IF(O336&lt;&gt;"",CD336-SUM($CC$44:CC336),"")</f>
        <v/>
      </c>
      <c r="CF336" s="11" t="str">
        <f t="shared" si="304"/>
        <v/>
      </c>
      <c r="CG336" s="11" t="str">
        <f>IF(BU336&lt;&gt;"",IF($B$16=listy!$K$8,'RZĄDOWY PROGRAM'!$F$3*'RZĄDOWY PROGRAM'!$F$15,BZ335*$F$15),"")</f>
        <v/>
      </c>
      <c r="CH336" s="11" t="str">
        <f t="shared" si="305"/>
        <v/>
      </c>
      <c r="CJ336" s="48" t="str">
        <f t="shared" si="278"/>
        <v/>
      </c>
      <c r="CK336" s="18" t="str">
        <f t="shared" si="279"/>
        <v/>
      </c>
      <c r="CL336" s="11" t="str">
        <f t="shared" si="306"/>
        <v/>
      </c>
      <c r="CM336" s="11" t="str">
        <f t="shared" si="280"/>
        <v/>
      </c>
      <c r="CN336" s="11" t="str">
        <f>IF(AB336&lt;&gt;"",CM336-SUM($CL$28:CL336),"")</f>
        <v/>
      </c>
    </row>
    <row r="337" spans="1:92" x14ac:dyDescent="0.45">
      <c r="A337" s="68" t="str">
        <f t="shared" si="307"/>
        <v/>
      </c>
      <c r="B337" s="8" t="str">
        <f t="shared" si="273"/>
        <v/>
      </c>
      <c r="C337" s="11" t="str">
        <f t="shared" si="274"/>
        <v/>
      </c>
      <c r="D337" s="11" t="str">
        <f t="shared" si="275"/>
        <v/>
      </c>
      <c r="E337" s="11" t="str">
        <f t="shared" si="308"/>
        <v/>
      </c>
      <c r="F337" s="9" t="str">
        <f t="shared" si="309"/>
        <v/>
      </c>
      <c r="G337" s="10" t="str">
        <f t="shared" si="310"/>
        <v/>
      </c>
      <c r="H337" s="10" t="str">
        <f t="shared" si="311"/>
        <v/>
      </c>
      <c r="I337" s="48" t="str">
        <f t="shared" si="281"/>
        <v/>
      </c>
      <c r="J337" s="11" t="str">
        <f t="shared" si="276"/>
        <v/>
      </c>
      <c r="K337" s="11" t="str">
        <f>IF(B337&lt;&gt;"",IF($B$16=listy!$K$8,'RZĄDOWY PROGRAM'!$F$3*'RZĄDOWY PROGRAM'!$F$15,F336*$F$15),"")</f>
        <v/>
      </c>
      <c r="L337" s="11" t="str">
        <f t="shared" si="312"/>
        <v/>
      </c>
      <c r="N337" s="54" t="str">
        <f t="shared" si="260"/>
        <v/>
      </c>
      <c r="O337" s="8" t="str">
        <f t="shared" si="282"/>
        <v/>
      </c>
      <c r="P337" s="8"/>
      <c r="Q337" s="11" t="str">
        <f>IF(O337&lt;&gt;"",ROUND(IF($F$11="raty równe",-PMT(W337/12,$F$4-O336+SUM($P$28:P337),T336,2),R337+S337),2),"")</f>
        <v/>
      </c>
      <c r="R337" s="11" t="str">
        <f>IF(O337&lt;&gt;"",IF($F$11="raty malejące",T336/($F$4-O336+SUM($P$28:P337)),IF(Q337-S337&gt;T336,T336,Q337-S337)),"")</f>
        <v/>
      </c>
      <c r="S337" s="11" t="str">
        <f t="shared" si="261"/>
        <v/>
      </c>
      <c r="T337" s="9" t="str">
        <f t="shared" si="262"/>
        <v/>
      </c>
      <c r="U337" s="10" t="str">
        <f t="shared" si="263"/>
        <v/>
      </c>
      <c r="V337" s="10" t="str">
        <f t="shared" si="264"/>
        <v/>
      </c>
      <c r="W337" s="48" t="str">
        <f t="shared" si="283"/>
        <v/>
      </c>
      <c r="X337" s="11" t="str">
        <f t="shared" si="265"/>
        <v/>
      </c>
      <c r="Y337" s="11" t="str">
        <f>IF(O337&lt;&gt;"",IF($B$16=listy!$K$8,'RZĄDOWY PROGRAM'!$F$3*'RZĄDOWY PROGRAM'!$F$15,T336*$F$15),"")</f>
        <v/>
      </c>
      <c r="Z337" s="11" t="str">
        <f t="shared" si="266"/>
        <v/>
      </c>
      <c r="AB337" s="8" t="str">
        <f t="shared" si="267"/>
        <v/>
      </c>
      <c r="AC337" s="8"/>
      <c r="AD337" s="11" t="str">
        <f>IF(AB337&lt;&gt;"",ROUND(IF($F$11="raty równe",-PMT(W337/12,$F$4-AB336+SUM($AC$28:AC337),AG336,2),AE337+AF337),2),"")</f>
        <v/>
      </c>
      <c r="AE337" s="11" t="str">
        <f>IF(AB337&lt;&gt;"",IF($F$11="raty malejące",AG336/($F$4-AB336+SUM($AC$28:AC336)),MIN(AD337-AF337,AG336)),"")</f>
        <v/>
      </c>
      <c r="AF337" s="11" t="str">
        <f t="shared" si="268"/>
        <v/>
      </c>
      <c r="AG337" s="9" t="str">
        <f t="shared" si="269"/>
        <v/>
      </c>
      <c r="AH337" s="11"/>
      <c r="AI337" s="33" t="str">
        <f>IF(AB337&lt;&gt;"",ROUND(IF($F$11="raty równe",-PMT(W337/12,($F$4-AB336+SUM($AC$27:AC336)),AG336,2),AG336/($F$4-AB336+SUM($AC$27:AC336))+AG336*W337/12),2),"")</f>
        <v/>
      </c>
      <c r="AJ337" s="33" t="str">
        <f t="shared" si="270"/>
        <v/>
      </c>
      <c r="AK337" s="33" t="str">
        <f t="shared" si="277"/>
        <v/>
      </c>
      <c r="AL337" s="33" t="str">
        <f>IF(AB337&lt;&gt;"",AK337-SUM($AJ$28:AJ337),"")</f>
        <v/>
      </c>
      <c r="AM337" s="11" t="str">
        <f t="shared" si="271"/>
        <v/>
      </c>
      <c r="AN337" s="11" t="str">
        <f>IF(AB337&lt;&gt;"",IF($B$16=listy!$K$8,'RZĄDOWY PROGRAM'!$F$3*'RZĄDOWY PROGRAM'!$F$15,AG336*$F$15),"")</f>
        <v/>
      </c>
      <c r="AO337" s="11" t="str">
        <f t="shared" si="272"/>
        <v/>
      </c>
      <c r="AQ337" s="8" t="str">
        <f t="shared" si="284"/>
        <v/>
      </c>
      <c r="AR337" s="8"/>
      <c r="AS337" s="78" t="str">
        <f>IF(AQ337&lt;&gt;"",ROUND(IF($F$11="raty równe",-PMT(W337/12,$F$4-AQ336+SUM($AR$28:AR337),AV336,2),AT337+AU337),2),"")</f>
        <v/>
      </c>
      <c r="AT337" s="78" t="str">
        <f>IF(AQ337&lt;&gt;"",IF($F$11="raty malejące",AV336/($F$4-AQ336+SUM($AR$28:AR336)),MIN(AS337-AU337,AV336)),"")</f>
        <v/>
      </c>
      <c r="AU337" s="78" t="str">
        <f t="shared" si="285"/>
        <v/>
      </c>
      <c r="AV337" s="79" t="str">
        <f t="shared" si="286"/>
        <v/>
      </c>
      <c r="AW337" s="11"/>
      <c r="AX337" s="33" t="str">
        <f>IF(AQ337&lt;&gt;"",ROUND(IF($F$11="raty równe",-PMT(W337/12,($F$4-AQ336+SUM($AR$27:AR336)),AV336,2),AV336/($F$4-AQ336+SUM($AR$27:AR336))+AV336*W337/12),2),"")</f>
        <v/>
      </c>
      <c r="AY337" s="33" t="str">
        <f t="shared" si="287"/>
        <v/>
      </c>
      <c r="AZ337" s="33" t="str">
        <f t="shared" si="294"/>
        <v/>
      </c>
      <c r="BA337" s="33" t="str">
        <f>IF(AQ337&lt;&gt;"",AZ337-SUM($AY$44:AY337),"")</f>
        <v/>
      </c>
      <c r="BB337" s="11" t="str">
        <f t="shared" si="288"/>
        <v/>
      </c>
      <c r="BC337" s="11" t="str">
        <f>IF(AQ337&lt;&gt;"",IF($B$16=listy!$K$8,'RZĄDOWY PROGRAM'!$F$3*'RZĄDOWY PROGRAM'!$F$15,AV336*$F$15),"")</f>
        <v/>
      </c>
      <c r="BD337" s="11" t="str">
        <f t="shared" si="289"/>
        <v/>
      </c>
      <c r="BF337" s="8" t="str">
        <f t="shared" si="298"/>
        <v/>
      </c>
      <c r="BG337" s="8"/>
      <c r="BH337" s="78" t="str">
        <f>IF(BF337&lt;&gt;"",ROUND(IF($F$11="raty równe",-PMT(W337/12,$F$4-BF336+SUM(BV$28:$BV337)-SUM($BM$29:BM337),BK336,2),BI337+BJ337),2),"")</f>
        <v/>
      </c>
      <c r="BI337" s="78" t="str">
        <f>IF(BF337&lt;&gt;"",IF($F$11="raty malejące",MIN(BK336/($F$4-BF336+SUM($BG$27:BG337)-SUM($BM$27:BM337)),BK336),MIN(BH337-BJ337,BK336)),"")</f>
        <v/>
      </c>
      <c r="BJ337" s="78" t="str">
        <f t="shared" si="299"/>
        <v/>
      </c>
      <c r="BK337" s="79" t="str">
        <f t="shared" si="300"/>
        <v/>
      </c>
      <c r="BL337" s="11"/>
      <c r="BM337" s="33"/>
      <c r="BN337" s="33" t="str">
        <f t="shared" si="295"/>
        <v/>
      </c>
      <c r="BO337" s="33" t="str">
        <f t="shared" si="296"/>
        <v/>
      </c>
      <c r="BP337" s="33" t="str">
        <f>IF(O337&lt;&gt;"",BO337-SUM($BN$44:BN337),"")</f>
        <v/>
      </c>
      <c r="BQ337" s="11" t="str">
        <f t="shared" si="301"/>
        <v/>
      </c>
      <c r="BR337" s="11" t="str">
        <f>IF(BF337&lt;&gt;"",IF($B$16=listy!$K$8,'RZĄDOWY PROGRAM'!$F$3*'RZĄDOWY PROGRAM'!$F$15,BK336*$F$15),"")</f>
        <v/>
      </c>
      <c r="BS337" s="11" t="str">
        <f t="shared" si="302"/>
        <v/>
      </c>
      <c r="BU337" s="8" t="str">
        <f t="shared" si="290"/>
        <v/>
      </c>
      <c r="BV337" s="8"/>
      <c r="BW337" s="78" t="str">
        <f>IF(BU337&lt;&gt;"",ROUND(IF($F$11="raty równe",-PMT(W337/12,$F$4-BU336+SUM($BV$28:BV337)-$CB$43,BZ336,2),BX337+BY337),2),"")</f>
        <v/>
      </c>
      <c r="BX337" s="78" t="str">
        <f>IF(BU337&lt;&gt;"",IF($F$11="raty malejące",MIN(BZ336/($F$4-BU336+SUM($BV$28:BV336)-SUM($CB$28:CB336)),BZ336),MIN(BW337-BY337,BZ336)),"")</f>
        <v/>
      </c>
      <c r="BY337" s="78" t="str">
        <f t="shared" si="303"/>
        <v/>
      </c>
      <c r="BZ337" s="79" t="str">
        <f t="shared" si="292"/>
        <v/>
      </c>
      <c r="CA337" s="11"/>
      <c r="CB337" s="33"/>
      <c r="CC337" s="33" t="str">
        <f t="shared" si="291"/>
        <v/>
      </c>
      <c r="CD337" s="33" t="str">
        <f t="shared" si="297"/>
        <v/>
      </c>
      <c r="CE337" s="33" t="str">
        <f>IF(O337&lt;&gt;"",CD337-SUM($CC$44:CC337),"")</f>
        <v/>
      </c>
      <c r="CF337" s="11" t="str">
        <f t="shared" si="304"/>
        <v/>
      </c>
      <c r="CG337" s="11" t="str">
        <f>IF(BU337&lt;&gt;"",IF($B$16=listy!$K$8,'RZĄDOWY PROGRAM'!$F$3*'RZĄDOWY PROGRAM'!$F$15,BZ336*$F$15),"")</f>
        <v/>
      </c>
      <c r="CH337" s="11" t="str">
        <f t="shared" si="305"/>
        <v/>
      </c>
      <c r="CJ337" s="48" t="str">
        <f t="shared" si="278"/>
        <v/>
      </c>
      <c r="CK337" s="18" t="str">
        <f t="shared" si="279"/>
        <v/>
      </c>
      <c r="CL337" s="11" t="str">
        <f t="shared" si="306"/>
        <v/>
      </c>
      <c r="CM337" s="11" t="str">
        <f t="shared" si="280"/>
        <v/>
      </c>
      <c r="CN337" s="11" t="str">
        <f>IF(AB337&lt;&gt;"",CM337-SUM($CL$28:CL337),"")</f>
        <v/>
      </c>
    </row>
    <row r="338" spans="1:92" x14ac:dyDescent="0.45">
      <c r="A338" s="68" t="str">
        <f t="shared" si="307"/>
        <v/>
      </c>
      <c r="B338" s="8" t="str">
        <f t="shared" si="273"/>
        <v/>
      </c>
      <c r="C338" s="11" t="str">
        <f t="shared" si="274"/>
        <v/>
      </c>
      <c r="D338" s="11" t="str">
        <f t="shared" si="275"/>
        <v/>
      </c>
      <c r="E338" s="11" t="str">
        <f t="shared" si="308"/>
        <v/>
      </c>
      <c r="F338" s="9" t="str">
        <f t="shared" si="309"/>
        <v/>
      </c>
      <c r="G338" s="10" t="str">
        <f t="shared" si="310"/>
        <v/>
      </c>
      <c r="H338" s="10" t="str">
        <f t="shared" si="311"/>
        <v/>
      </c>
      <c r="I338" s="48" t="str">
        <f t="shared" si="281"/>
        <v/>
      </c>
      <c r="J338" s="11" t="str">
        <f t="shared" si="276"/>
        <v/>
      </c>
      <c r="K338" s="11" t="str">
        <f>IF(B338&lt;&gt;"",IF($B$16=listy!$K$8,'RZĄDOWY PROGRAM'!$F$3*'RZĄDOWY PROGRAM'!$F$15,F337*$F$15),"")</f>
        <v/>
      </c>
      <c r="L338" s="11" t="str">
        <f t="shared" si="312"/>
        <v/>
      </c>
      <c r="N338" s="54" t="str">
        <f t="shared" si="260"/>
        <v/>
      </c>
      <c r="O338" s="8" t="str">
        <f t="shared" si="282"/>
        <v/>
      </c>
      <c r="P338" s="8"/>
      <c r="Q338" s="11" t="str">
        <f>IF(O338&lt;&gt;"",ROUND(IF($F$11="raty równe",-PMT(W338/12,$F$4-O337+SUM($P$28:P338),T337,2),R338+S338),2),"")</f>
        <v/>
      </c>
      <c r="R338" s="11" t="str">
        <f>IF(O338&lt;&gt;"",IF($F$11="raty malejące",T337/($F$4-O337+SUM($P$28:P338)),IF(Q338-S338&gt;T337,T337,Q338-S338)),"")</f>
        <v/>
      </c>
      <c r="S338" s="11" t="str">
        <f t="shared" si="261"/>
        <v/>
      </c>
      <c r="T338" s="9" t="str">
        <f t="shared" si="262"/>
        <v/>
      </c>
      <c r="U338" s="10" t="str">
        <f t="shared" si="263"/>
        <v/>
      </c>
      <c r="V338" s="10" t="str">
        <f t="shared" si="264"/>
        <v/>
      </c>
      <c r="W338" s="48" t="str">
        <f t="shared" si="283"/>
        <v/>
      </c>
      <c r="X338" s="11" t="str">
        <f t="shared" si="265"/>
        <v/>
      </c>
      <c r="Y338" s="11" t="str">
        <f>IF(O338&lt;&gt;"",IF($B$16=listy!$K$8,'RZĄDOWY PROGRAM'!$F$3*'RZĄDOWY PROGRAM'!$F$15,T337*$F$15),"")</f>
        <v/>
      </c>
      <c r="Z338" s="11" t="str">
        <f t="shared" si="266"/>
        <v/>
      </c>
      <c r="AB338" s="8" t="str">
        <f t="shared" si="267"/>
        <v/>
      </c>
      <c r="AC338" s="8"/>
      <c r="AD338" s="11" t="str">
        <f>IF(AB338&lt;&gt;"",ROUND(IF($F$11="raty równe",-PMT(W338/12,$F$4-AB337+SUM($AC$28:AC338),AG337,2),AE338+AF338),2),"")</f>
        <v/>
      </c>
      <c r="AE338" s="11" t="str">
        <f>IF(AB338&lt;&gt;"",IF($F$11="raty malejące",AG337/($F$4-AB337+SUM($AC$28:AC337)),MIN(AD338-AF338,AG337)),"")</f>
        <v/>
      </c>
      <c r="AF338" s="11" t="str">
        <f t="shared" si="268"/>
        <v/>
      </c>
      <c r="AG338" s="9" t="str">
        <f t="shared" si="269"/>
        <v/>
      </c>
      <c r="AH338" s="11"/>
      <c r="AI338" s="33" t="str">
        <f>IF(AB338&lt;&gt;"",ROUND(IF($F$11="raty równe",-PMT(W338/12,($F$4-AB337+SUM($AC$27:AC337)),AG337,2),AG337/($F$4-AB337+SUM($AC$27:AC337))+AG337*W338/12),2),"")</f>
        <v/>
      </c>
      <c r="AJ338" s="33" t="str">
        <f t="shared" si="270"/>
        <v/>
      </c>
      <c r="AK338" s="33" t="str">
        <f t="shared" si="277"/>
        <v/>
      </c>
      <c r="AL338" s="33" t="str">
        <f>IF(AB338&lt;&gt;"",AK338-SUM($AJ$28:AJ338),"")</f>
        <v/>
      </c>
      <c r="AM338" s="11" t="str">
        <f t="shared" si="271"/>
        <v/>
      </c>
      <c r="AN338" s="11" t="str">
        <f>IF(AB338&lt;&gt;"",IF($B$16=listy!$K$8,'RZĄDOWY PROGRAM'!$F$3*'RZĄDOWY PROGRAM'!$F$15,AG337*$F$15),"")</f>
        <v/>
      </c>
      <c r="AO338" s="11" t="str">
        <f t="shared" si="272"/>
        <v/>
      </c>
      <c r="AQ338" s="8" t="str">
        <f t="shared" si="284"/>
        <v/>
      </c>
      <c r="AR338" s="8"/>
      <c r="AS338" s="78" t="str">
        <f>IF(AQ338&lt;&gt;"",ROUND(IF($F$11="raty równe",-PMT(W338/12,$F$4-AQ337+SUM($AR$28:AR338),AV337,2),AT338+AU338),2),"")</f>
        <v/>
      </c>
      <c r="AT338" s="78" t="str">
        <f>IF(AQ338&lt;&gt;"",IF($F$11="raty malejące",AV337/($F$4-AQ337+SUM($AR$28:AR337)),MIN(AS338-AU338,AV337)),"")</f>
        <v/>
      </c>
      <c r="AU338" s="78" t="str">
        <f t="shared" si="285"/>
        <v/>
      </c>
      <c r="AV338" s="79" t="str">
        <f t="shared" si="286"/>
        <v/>
      </c>
      <c r="AW338" s="11"/>
      <c r="AX338" s="33" t="str">
        <f>IF(AQ338&lt;&gt;"",ROUND(IF($F$11="raty równe",-PMT(W338/12,($F$4-AQ337+SUM($AR$27:AR337)),AV337,2),AV337/($F$4-AQ337+SUM($AR$27:AR337))+AV337*W338/12),2),"")</f>
        <v/>
      </c>
      <c r="AY338" s="33" t="str">
        <f t="shared" si="287"/>
        <v/>
      </c>
      <c r="AZ338" s="33" t="str">
        <f t="shared" si="294"/>
        <v/>
      </c>
      <c r="BA338" s="33" t="str">
        <f>IF(AQ338&lt;&gt;"",AZ338-SUM($AY$44:AY338),"")</f>
        <v/>
      </c>
      <c r="BB338" s="11" t="str">
        <f t="shared" si="288"/>
        <v/>
      </c>
      <c r="BC338" s="11" t="str">
        <f>IF(AQ338&lt;&gt;"",IF($B$16=listy!$K$8,'RZĄDOWY PROGRAM'!$F$3*'RZĄDOWY PROGRAM'!$F$15,AV337*$F$15),"")</f>
        <v/>
      </c>
      <c r="BD338" s="11" t="str">
        <f t="shared" si="289"/>
        <v/>
      </c>
      <c r="BF338" s="8" t="str">
        <f t="shared" si="298"/>
        <v/>
      </c>
      <c r="BG338" s="8"/>
      <c r="BH338" s="78" t="str">
        <f>IF(BF338&lt;&gt;"",ROUND(IF($F$11="raty równe",-PMT(W338/12,$F$4-BF337+SUM(BV$28:$BV338)-SUM($BM$29:BM338),BK337,2),BI338+BJ338),2),"")</f>
        <v/>
      </c>
      <c r="BI338" s="78" t="str">
        <f>IF(BF338&lt;&gt;"",IF($F$11="raty malejące",MIN(BK337/($F$4-BF337+SUM($BG$27:BG338)-SUM($BM$27:BM338)),BK337),MIN(BH338-BJ338,BK337)),"")</f>
        <v/>
      </c>
      <c r="BJ338" s="78" t="str">
        <f t="shared" si="299"/>
        <v/>
      </c>
      <c r="BK338" s="79" t="str">
        <f t="shared" si="300"/>
        <v/>
      </c>
      <c r="BL338" s="11"/>
      <c r="BM338" s="33"/>
      <c r="BN338" s="33" t="str">
        <f t="shared" si="295"/>
        <v/>
      </c>
      <c r="BO338" s="33" t="str">
        <f t="shared" si="296"/>
        <v/>
      </c>
      <c r="BP338" s="33" t="str">
        <f>IF(O338&lt;&gt;"",BO338-SUM($BN$44:BN338),"")</f>
        <v/>
      </c>
      <c r="BQ338" s="11" t="str">
        <f t="shared" si="301"/>
        <v/>
      </c>
      <c r="BR338" s="11" t="str">
        <f>IF(BF338&lt;&gt;"",IF($B$16=listy!$K$8,'RZĄDOWY PROGRAM'!$F$3*'RZĄDOWY PROGRAM'!$F$15,BK337*$F$15),"")</f>
        <v/>
      </c>
      <c r="BS338" s="11" t="str">
        <f t="shared" si="302"/>
        <v/>
      </c>
      <c r="BU338" s="8" t="str">
        <f t="shared" si="290"/>
        <v/>
      </c>
      <c r="BV338" s="8"/>
      <c r="BW338" s="78" t="str">
        <f>IF(BU338&lt;&gt;"",ROUND(IF($F$11="raty równe",-PMT(W338/12,$F$4-BU337+SUM($BV$28:BV338)-$CB$43,BZ337,2),BX338+BY338),2),"")</f>
        <v/>
      </c>
      <c r="BX338" s="78" t="str">
        <f>IF(BU338&lt;&gt;"",IF($F$11="raty malejące",MIN(BZ337/($F$4-BU337+SUM($BV$28:BV337)-SUM($CB$28:CB337)),BZ337),MIN(BW338-BY338,BZ337)),"")</f>
        <v/>
      </c>
      <c r="BY338" s="78" t="str">
        <f t="shared" si="303"/>
        <v/>
      </c>
      <c r="BZ338" s="79" t="str">
        <f t="shared" si="292"/>
        <v/>
      </c>
      <c r="CA338" s="11"/>
      <c r="CB338" s="33"/>
      <c r="CC338" s="33" t="str">
        <f t="shared" si="291"/>
        <v/>
      </c>
      <c r="CD338" s="33" t="str">
        <f t="shared" si="297"/>
        <v/>
      </c>
      <c r="CE338" s="33" t="str">
        <f>IF(O338&lt;&gt;"",CD338-SUM($CC$44:CC338),"")</f>
        <v/>
      </c>
      <c r="CF338" s="11" t="str">
        <f t="shared" si="304"/>
        <v/>
      </c>
      <c r="CG338" s="11" t="str">
        <f>IF(BU338&lt;&gt;"",IF($B$16=listy!$K$8,'RZĄDOWY PROGRAM'!$F$3*'RZĄDOWY PROGRAM'!$F$15,BZ337*$F$15),"")</f>
        <v/>
      </c>
      <c r="CH338" s="11" t="str">
        <f t="shared" si="305"/>
        <v/>
      </c>
      <c r="CJ338" s="48" t="str">
        <f t="shared" si="278"/>
        <v/>
      </c>
      <c r="CK338" s="18" t="str">
        <f t="shared" si="279"/>
        <v/>
      </c>
      <c r="CL338" s="11" t="str">
        <f t="shared" si="306"/>
        <v/>
      </c>
      <c r="CM338" s="11" t="str">
        <f t="shared" si="280"/>
        <v/>
      </c>
      <c r="CN338" s="11" t="str">
        <f>IF(AB338&lt;&gt;"",CM338-SUM($CL$28:CL338),"")</f>
        <v/>
      </c>
    </row>
    <row r="339" spans="1:92" x14ac:dyDescent="0.45">
      <c r="A339" s="68" t="str">
        <f t="shared" si="307"/>
        <v/>
      </c>
      <c r="B339" s="8" t="str">
        <f t="shared" si="273"/>
        <v/>
      </c>
      <c r="C339" s="11" t="str">
        <f t="shared" si="274"/>
        <v/>
      </c>
      <c r="D339" s="11" t="str">
        <f t="shared" si="275"/>
        <v/>
      </c>
      <c r="E339" s="11" t="str">
        <f t="shared" si="308"/>
        <v/>
      </c>
      <c r="F339" s="9" t="str">
        <f t="shared" si="309"/>
        <v/>
      </c>
      <c r="G339" s="10" t="str">
        <f t="shared" si="310"/>
        <v/>
      </c>
      <c r="H339" s="10" t="str">
        <f t="shared" si="311"/>
        <v/>
      </c>
      <c r="I339" s="48" t="str">
        <f t="shared" si="281"/>
        <v/>
      </c>
      <c r="J339" s="11" t="str">
        <f t="shared" si="276"/>
        <v/>
      </c>
      <c r="K339" s="11" t="str">
        <f>IF(B339&lt;&gt;"",IF($B$16=listy!$K$8,'RZĄDOWY PROGRAM'!$F$3*'RZĄDOWY PROGRAM'!$F$15,F338*$F$15),"")</f>
        <v/>
      </c>
      <c r="L339" s="11" t="str">
        <f t="shared" si="312"/>
        <v/>
      </c>
      <c r="N339" s="54" t="str">
        <f t="shared" si="260"/>
        <v/>
      </c>
      <c r="O339" s="8" t="str">
        <f t="shared" si="282"/>
        <v/>
      </c>
      <c r="P339" s="8"/>
      <c r="Q339" s="11" t="str">
        <f>IF(O339&lt;&gt;"",ROUND(IF($F$11="raty równe",-PMT(W339/12,$F$4-O338+SUM($P$28:P339),T338,2),R339+S339),2),"")</f>
        <v/>
      </c>
      <c r="R339" s="11" t="str">
        <f>IF(O339&lt;&gt;"",IF($F$11="raty malejące",T338/($F$4-O338+SUM($P$28:P339)),IF(Q339-S339&gt;T338,T338,Q339-S339)),"")</f>
        <v/>
      </c>
      <c r="S339" s="11" t="str">
        <f t="shared" si="261"/>
        <v/>
      </c>
      <c r="T339" s="9" t="str">
        <f t="shared" si="262"/>
        <v/>
      </c>
      <c r="U339" s="10" t="str">
        <f t="shared" si="263"/>
        <v/>
      </c>
      <c r="V339" s="10" t="str">
        <f t="shared" si="264"/>
        <v/>
      </c>
      <c r="W339" s="48" t="str">
        <f t="shared" si="283"/>
        <v/>
      </c>
      <c r="X339" s="11" t="str">
        <f t="shared" si="265"/>
        <v/>
      </c>
      <c r="Y339" s="11" t="str">
        <f>IF(O339&lt;&gt;"",IF($B$16=listy!$K$8,'RZĄDOWY PROGRAM'!$F$3*'RZĄDOWY PROGRAM'!$F$15,T338*$F$15),"")</f>
        <v/>
      </c>
      <c r="Z339" s="11" t="str">
        <f t="shared" si="266"/>
        <v/>
      </c>
      <c r="AB339" s="8" t="str">
        <f t="shared" si="267"/>
        <v/>
      </c>
      <c r="AC339" s="8"/>
      <c r="AD339" s="11" t="str">
        <f>IF(AB339&lt;&gt;"",ROUND(IF($F$11="raty równe",-PMT(W339/12,$F$4-AB338+SUM($AC$28:AC339),AG338,2),AE339+AF339),2),"")</f>
        <v/>
      </c>
      <c r="AE339" s="11" t="str">
        <f>IF(AB339&lt;&gt;"",IF($F$11="raty malejące",AG338/($F$4-AB338+SUM($AC$28:AC338)),MIN(AD339-AF339,AG338)),"")</f>
        <v/>
      </c>
      <c r="AF339" s="11" t="str">
        <f t="shared" si="268"/>
        <v/>
      </c>
      <c r="AG339" s="9" t="str">
        <f t="shared" si="269"/>
        <v/>
      </c>
      <c r="AH339" s="11"/>
      <c r="AI339" s="33" t="str">
        <f>IF(AB339&lt;&gt;"",ROUND(IF($F$11="raty równe",-PMT(W339/12,($F$4-AB338+SUM($AC$27:AC338)),AG338,2),AG338/($F$4-AB338+SUM($AC$27:AC338))+AG338*W339/12),2),"")</f>
        <v/>
      </c>
      <c r="AJ339" s="33" t="str">
        <f t="shared" si="270"/>
        <v/>
      </c>
      <c r="AK339" s="33" t="str">
        <f t="shared" si="277"/>
        <v/>
      </c>
      <c r="AL339" s="33" t="str">
        <f>IF(AB339&lt;&gt;"",AK339-SUM($AJ$28:AJ339),"")</f>
        <v/>
      </c>
      <c r="AM339" s="11" t="str">
        <f t="shared" si="271"/>
        <v/>
      </c>
      <c r="AN339" s="11" t="str">
        <f>IF(AB339&lt;&gt;"",IF($B$16=listy!$K$8,'RZĄDOWY PROGRAM'!$F$3*'RZĄDOWY PROGRAM'!$F$15,AG338*$F$15),"")</f>
        <v/>
      </c>
      <c r="AO339" s="11" t="str">
        <f t="shared" si="272"/>
        <v/>
      </c>
      <c r="AQ339" s="8" t="str">
        <f t="shared" si="284"/>
        <v/>
      </c>
      <c r="AR339" s="8"/>
      <c r="AS339" s="78" t="str">
        <f>IF(AQ339&lt;&gt;"",ROUND(IF($F$11="raty równe",-PMT(W339/12,$F$4-AQ338+SUM($AR$28:AR339),AV338,2),AT339+AU339),2),"")</f>
        <v/>
      </c>
      <c r="AT339" s="78" t="str">
        <f>IF(AQ339&lt;&gt;"",IF($F$11="raty malejące",AV338/($F$4-AQ338+SUM($AR$28:AR338)),MIN(AS339-AU339,AV338)),"")</f>
        <v/>
      </c>
      <c r="AU339" s="78" t="str">
        <f t="shared" si="285"/>
        <v/>
      </c>
      <c r="AV339" s="79" t="str">
        <f t="shared" si="286"/>
        <v/>
      </c>
      <c r="AW339" s="11"/>
      <c r="AX339" s="33" t="str">
        <f>IF(AQ339&lt;&gt;"",ROUND(IF($F$11="raty równe",-PMT(W339/12,($F$4-AQ338+SUM($AR$27:AR338)),AV338,2),AV338/($F$4-AQ338+SUM($AR$27:AR338))+AV338*W339/12),2),"")</f>
        <v/>
      </c>
      <c r="AY339" s="33" t="str">
        <f t="shared" si="287"/>
        <v/>
      </c>
      <c r="AZ339" s="33" t="str">
        <f t="shared" si="294"/>
        <v/>
      </c>
      <c r="BA339" s="33" t="str">
        <f>IF(AQ339&lt;&gt;"",AZ339-SUM($AY$44:AY339),"")</f>
        <v/>
      </c>
      <c r="BB339" s="11" t="str">
        <f t="shared" si="288"/>
        <v/>
      </c>
      <c r="BC339" s="11" t="str">
        <f>IF(AQ339&lt;&gt;"",IF($B$16=listy!$K$8,'RZĄDOWY PROGRAM'!$F$3*'RZĄDOWY PROGRAM'!$F$15,AV338*$F$15),"")</f>
        <v/>
      </c>
      <c r="BD339" s="11" t="str">
        <f t="shared" si="289"/>
        <v/>
      </c>
      <c r="BF339" s="8" t="str">
        <f t="shared" si="298"/>
        <v/>
      </c>
      <c r="BG339" s="8"/>
      <c r="BH339" s="78" t="str">
        <f>IF(BF339&lt;&gt;"",ROUND(IF($F$11="raty równe",-PMT(W339/12,$F$4-BF338+SUM(BV$28:$BV339)-SUM($BM$29:BM339),BK338,2),BI339+BJ339),2),"")</f>
        <v/>
      </c>
      <c r="BI339" s="78" t="str">
        <f>IF(BF339&lt;&gt;"",IF($F$11="raty malejące",MIN(BK338/($F$4-BF338+SUM($BG$27:BG339)-SUM($BM$27:BM339)),BK338),MIN(BH339-BJ339,BK338)),"")</f>
        <v/>
      </c>
      <c r="BJ339" s="78" t="str">
        <f t="shared" si="299"/>
        <v/>
      </c>
      <c r="BK339" s="79" t="str">
        <f t="shared" si="300"/>
        <v/>
      </c>
      <c r="BL339" s="11"/>
      <c r="BM339" s="33"/>
      <c r="BN339" s="33" t="str">
        <f t="shared" si="295"/>
        <v/>
      </c>
      <c r="BO339" s="33" t="str">
        <f t="shared" si="296"/>
        <v/>
      </c>
      <c r="BP339" s="33" t="str">
        <f>IF(O339&lt;&gt;"",BO339-SUM($BN$44:BN339),"")</f>
        <v/>
      </c>
      <c r="BQ339" s="11" t="str">
        <f t="shared" si="301"/>
        <v/>
      </c>
      <c r="BR339" s="11" t="str">
        <f>IF(BF339&lt;&gt;"",IF($B$16=listy!$K$8,'RZĄDOWY PROGRAM'!$F$3*'RZĄDOWY PROGRAM'!$F$15,BK338*$F$15),"")</f>
        <v/>
      </c>
      <c r="BS339" s="11" t="str">
        <f t="shared" si="302"/>
        <v/>
      </c>
      <c r="BU339" s="8" t="str">
        <f t="shared" si="290"/>
        <v/>
      </c>
      <c r="BV339" s="8"/>
      <c r="BW339" s="78" t="str">
        <f>IF(BU339&lt;&gt;"",ROUND(IF($F$11="raty równe",-PMT(W339/12,$F$4-BU338+SUM($BV$28:BV339)-$CB$43,BZ338,2),BX339+BY339),2),"")</f>
        <v/>
      </c>
      <c r="BX339" s="78" t="str">
        <f>IF(BU339&lt;&gt;"",IF($F$11="raty malejące",MIN(BZ338/($F$4-BU338+SUM($BV$28:BV338)-SUM($CB$28:CB338)),BZ338),MIN(BW339-BY339,BZ338)),"")</f>
        <v/>
      </c>
      <c r="BY339" s="78" t="str">
        <f t="shared" si="303"/>
        <v/>
      </c>
      <c r="BZ339" s="79" t="str">
        <f t="shared" si="292"/>
        <v/>
      </c>
      <c r="CA339" s="11"/>
      <c r="CB339" s="33"/>
      <c r="CC339" s="33" t="str">
        <f t="shared" si="291"/>
        <v/>
      </c>
      <c r="CD339" s="33" t="str">
        <f t="shared" si="297"/>
        <v/>
      </c>
      <c r="CE339" s="33" t="str">
        <f>IF(O339&lt;&gt;"",CD339-SUM($CC$44:CC339),"")</f>
        <v/>
      </c>
      <c r="CF339" s="11" t="str">
        <f t="shared" si="304"/>
        <v/>
      </c>
      <c r="CG339" s="11" t="str">
        <f>IF(BU339&lt;&gt;"",IF($B$16=listy!$K$8,'RZĄDOWY PROGRAM'!$F$3*'RZĄDOWY PROGRAM'!$F$15,BZ338*$F$15),"")</f>
        <v/>
      </c>
      <c r="CH339" s="11" t="str">
        <f t="shared" si="305"/>
        <v/>
      </c>
      <c r="CJ339" s="48" t="str">
        <f t="shared" si="278"/>
        <v/>
      </c>
      <c r="CK339" s="18" t="str">
        <f t="shared" si="279"/>
        <v/>
      </c>
      <c r="CL339" s="11" t="str">
        <f t="shared" si="306"/>
        <v/>
      </c>
      <c r="CM339" s="11" t="str">
        <f t="shared" si="280"/>
        <v/>
      </c>
      <c r="CN339" s="11" t="str">
        <f>IF(AB339&lt;&gt;"",CM339-SUM($CL$28:CL339),"")</f>
        <v/>
      </c>
    </row>
    <row r="340" spans="1:92" x14ac:dyDescent="0.45">
      <c r="A340" s="68" t="str">
        <f t="shared" si="307"/>
        <v/>
      </c>
      <c r="B340" s="8" t="str">
        <f t="shared" si="273"/>
        <v/>
      </c>
      <c r="C340" s="11" t="str">
        <f t="shared" si="274"/>
        <v/>
      </c>
      <c r="D340" s="11" t="str">
        <f t="shared" si="275"/>
        <v/>
      </c>
      <c r="E340" s="11" t="str">
        <f t="shared" si="308"/>
        <v/>
      </c>
      <c r="F340" s="9" t="str">
        <f t="shared" si="309"/>
        <v/>
      </c>
      <c r="G340" s="10" t="str">
        <f t="shared" si="310"/>
        <v/>
      </c>
      <c r="H340" s="10" t="str">
        <f t="shared" si="311"/>
        <v/>
      </c>
      <c r="I340" s="48" t="str">
        <f t="shared" si="281"/>
        <v/>
      </c>
      <c r="J340" s="11" t="str">
        <f t="shared" si="276"/>
        <v/>
      </c>
      <c r="K340" s="11" t="str">
        <f>IF(B340&lt;&gt;"",IF($B$16=listy!$K$8,'RZĄDOWY PROGRAM'!$F$3*'RZĄDOWY PROGRAM'!$F$15,F339*$F$15),"")</f>
        <v/>
      </c>
      <c r="L340" s="11" t="str">
        <f t="shared" si="312"/>
        <v/>
      </c>
      <c r="N340" s="54" t="str">
        <f t="shared" ref="N340:N395" si="313">IF(O340&lt;&gt;"",EDATE(N339,1),"")</f>
        <v/>
      </c>
      <c r="O340" s="8" t="str">
        <f t="shared" si="282"/>
        <v/>
      </c>
      <c r="P340" s="8"/>
      <c r="Q340" s="11" t="str">
        <f>IF(O340&lt;&gt;"",ROUND(IF($F$11="raty równe",-PMT(W340/12,$F$4-O339+SUM($P$28:P340),T339,2),R340+S340),2),"")</f>
        <v/>
      </c>
      <c r="R340" s="11" t="str">
        <f>IF(O340&lt;&gt;"",IF($F$11="raty malejące",T339/($F$4-O339+SUM($P$28:P340)),IF(Q340-S340&gt;T339,T339,Q340-S340)),"")</f>
        <v/>
      </c>
      <c r="S340" s="11" t="str">
        <f t="shared" ref="S340:S395" si="314">IF(O340&lt;&gt;"",T339*W340/12,"")</f>
        <v/>
      </c>
      <c r="T340" s="9" t="str">
        <f t="shared" ref="T340:T395" si="315">IF(O340&lt;&gt;"",T339-R340,"")</f>
        <v/>
      </c>
      <c r="U340" s="10" t="str">
        <f t="shared" ref="U340:U395" si="316">IF(O340&lt;&gt;"",$F$5,"")</f>
        <v/>
      </c>
      <c r="V340" s="10" t="str">
        <f t="shared" ref="V340:V395" si="317">IF(O340&lt;&gt;"",$F$6,"")</f>
        <v/>
      </c>
      <c r="W340" s="48" t="str">
        <f t="shared" si="283"/>
        <v/>
      </c>
      <c r="X340" s="11" t="str">
        <f t="shared" ref="X340:X371" si="318">IF(O340&lt;&gt;"",$F$14,"")</f>
        <v/>
      </c>
      <c r="Y340" s="11" t="str">
        <f>IF(O340&lt;&gt;"",IF($B$16=listy!$K$8,'RZĄDOWY PROGRAM'!$F$3*'RZĄDOWY PROGRAM'!$F$15,T339*$F$15),"")</f>
        <v/>
      </c>
      <c r="Z340" s="11" t="str">
        <f t="shared" ref="Z340:Z395" si="319">IF(O340&lt;&gt;"",X340+Y340,"")</f>
        <v/>
      </c>
      <c r="AB340" s="8" t="str">
        <f t="shared" ref="AB340:AB395" si="320">IFERROR(IF(AG339&gt;0,AB339+1,""),"")</f>
        <v/>
      </c>
      <c r="AC340" s="8"/>
      <c r="AD340" s="11" t="str">
        <f>IF(AB340&lt;&gt;"",ROUND(IF($F$11="raty równe",-PMT(W340/12,$F$4-AB339+SUM($AC$28:AC340),AG339,2),AE340+AF340),2),"")</f>
        <v/>
      </c>
      <c r="AE340" s="11" t="str">
        <f>IF(AB340&lt;&gt;"",IF($F$11="raty malejące",AG339/($F$4-AB339+SUM($AC$28:AC339)),MIN(AD340-AF340,AG339)),"")</f>
        <v/>
      </c>
      <c r="AF340" s="11" t="str">
        <f t="shared" ref="AF340:AF395" si="321">IF(AB340&lt;&gt;"",AG339*W340/12,"")</f>
        <v/>
      </c>
      <c r="AG340" s="9" t="str">
        <f t="shared" ref="AG340:AG395" si="322">IF(AB340&lt;&gt;"",IF(AH340&lt;&gt;"",AG339-AE340-AH340,AG339-AE340),"")</f>
        <v/>
      </c>
      <c r="AH340" s="11"/>
      <c r="AI340" s="33" t="str">
        <f>IF(AB340&lt;&gt;"",ROUND(IF($F$11="raty równe",-PMT(W340/12,($F$4-AB339+SUM($AC$27:AC339)),AG339,2),AG339/($F$4-AB339+SUM($AC$27:AC339))+AG339*W340/12),2),"")</f>
        <v/>
      </c>
      <c r="AJ340" s="33" t="str">
        <f t="shared" ref="AJ340:AJ395" si="323">IF(AB340&lt;&gt;"",IF(B340&lt;&gt;"",C340-AD340-AH340,-(AD340+AH340)),"")</f>
        <v/>
      </c>
      <c r="AK340" s="33" t="str">
        <f t="shared" si="277"/>
        <v/>
      </c>
      <c r="AL340" s="33" t="str">
        <f>IF(AB340&lt;&gt;"",AK340-SUM($AJ$28:AJ340),"")</f>
        <v/>
      </c>
      <c r="AM340" s="11" t="str">
        <f t="shared" ref="AM340:AM371" si="324">IF(AB340&lt;&gt;"",$F$14,"")</f>
        <v/>
      </c>
      <c r="AN340" s="11" t="str">
        <f>IF(AB340&lt;&gt;"",IF($B$16=listy!$K$8,'RZĄDOWY PROGRAM'!$F$3*'RZĄDOWY PROGRAM'!$F$15,AG339*$F$15),"")</f>
        <v/>
      </c>
      <c r="AO340" s="11" t="str">
        <f t="shared" ref="AO340:AO395" si="325">IF(AD340&lt;&gt;"",AM340+AN340,"")</f>
        <v/>
      </c>
      <c r="AQ340" s="8" t="str">
        <f t="shared" si="284"/>
        <v/>
      </c>
      <c r="AR340" s="8"/>
      <c r="AS340" s="78" t="str">
        <f>IF(AQ340&lt;&gt;"",ROUND(IF($F$11="raty równe",-PMT(W340/12,$F$4-AQ339+SUM($AR$28:AR340),AV339,2),AT340+AU340),2),"")</f>
        <v/>
      </c>
      <c r="AT340" s="78" t="str">
        <f>IF(AQ340&lt;&gt;"",IF($F$11="raty malejące",AV339/($F$4-AQ339+SUM($AR$28:AR339)),MIN(AS340-AU340,AV339)),"")</f>
        <v/>
      </c>
      <c r="AU340" s="78" t="str">
        <f t="shared" si="285"/>
        <v/>
      </c>
      <c r="AV340" s="79" t="str">
        <f t="shared" si="286"/>
        <v/>
      </c>
      <c r="AW340" s="11"/>
      <c r="AX340" s="33" t="str">
        <f>IF(AQ340&lt;&gt;"",ROUND(IF($F$11="raty równe",-PMT(W340/12,($F$4-AQ339+SUM($AR$27:AR339)),AV339,2),AV339/($F$4-AQ339+SUM($AR$27:AR339))+AV339*W340/12),2),"")</f>
        <v/>
      </c>
      <c r="AY340" s="33" t="str">
        <f t="shared" si="287"/>
        <v/>
      </c>
      <c r="AZ340" s="33" t="str">
        <f t="shared" si="294"/>
        <v/>
      </c>
      <c r="BA340" s="33" t="str">
        <f>IF(AQ340&lt;&gt;"",AZ340-SUM($AY$44:AY340),"")</f>
        <v/>
      </c>
      <c r="BB340" s="11" t="str">
        <f t="shared" si="288"/>
        <v/>
      </c>
      <c r="BC340" s="11" t="str">
        <f>IF(AQ340&lt;&gt;"",IF($B$16=listy!$K$8,'RZĄDOWY PROGRAM'!$F$3*'RZĄDOWY PROGRAM'!$F$15,AV339*$F$15),"")</f>
        <v/>
      </c>
      <c r="BD340" s="11" t="str">
        <f t="shared" si="289"/>
        <v/>
      </c>
      <c r="BF340" s="8" t="str">
        <f t="shared" si="298"/>
        <v/>
      </c>
      <c r="BG340" s="8"/>
      <c r="BH340" s="78" t="str">
        <f>IF(BF340&lt;&gt;"",ROUND(IF($F$11="raty równe",-PMT(W340/12,$F$4-BF339+SUM(BV$28:$BV340)-SUM($BM$29:BM340),BK339,2),BI340+BJ340),2),"")</f>
        <v/>
      </c>
      <c r="BI340" s="78" t="str">
        <f>IF(BF340&lt;&gt;"",IF($F$11="raty malejące",MIN(BK339/($F$4-BF339+SUM($BG$27:BG340)-SUM($BM$27:BM340)),BK339),MIN(BH340-BJ340,BK339)),"")</f>
        <v/>
      </c>
      <c r="BJ340" s="78" t="str">
        <f t="shared" si="299"/>
        <v/>
      </c>
      <c r="BK340" s="79" t="str">
        <f t="shared" si="300"/>
        <v/>
      </c>
      <c r="BL340" s="11"/>
      <c r="BM340" s="33"/>
      <c r="BN340" s="33" t="str">
        <f t="shared" si="295"/>
        <v/>
      </c>
      <c r="BO340" s="33" t="str">
        <f t="shared" si="296"/>
        <v/>
      </c>
      <c r="BP340" s="33" t="str">
        <f>IF(O340&lt;&gt;"",BO340-SUM($BN$44:BN340),"")</f>
        <v/>
      </c>
      <c r="BQ340" s="11" t="str">
        <f t="shared" si="301"/>
        <v/>
      </c>
      <c r="BR340" s="11" t="str">
        <f>IF(BF340&lt;&gt;"",IF($B$16=listy!$K$8,'RZĄDOWY PROGRAM'!$F$3*'RZĄDOWY PROGRAM'!$F$15,BK339*$F$15),"")</f>
        <v/>
      </c>
      <c r="BS340" s="11" t="str">
        <f t="shared" si="302"/>
        <v/>
      </c>
      <c r="BU340" s="8" t="str">
        <f t="shared" si="290"/>
        <v/>
      </c>
      <c r="BV340" s="8"/>
      <c r="BW340" s="78" t="str">
        <f>IF(BU340&lt;&gt;"",ROUND(IF($F$11="raty równe",-PMT(W340/12,$F$4-BU339+SUM($BV$28:BV340)-$CB$43,BZ339,2),BX340+BY340),2),"")</f>
        <v/>
      </c>
      <c r="BX340" s="78" t="str">
        <f>IF(BU340&lt;&gt;"",IF($F$11="raty malejące",MIN(BZ339/($F$4-BU339+SUM($BV$28:BV339)-SUM($CB$28:CB339)),BZ339),MIN(BW340-BY340,BZ339)),"")</f>
        <v/>
      </c>
      <c r="BY340" s="78" t="str">
        <f t="shared" si="303"/>
        <v/>
      </c>
      <c r="BZ340" s="79" t="str">
        <f t="shared" si="292"/>
        <v/>
      </c>
      <c r="CA340" s="11"/>
      <c r="CB340" s="33"/>
      <c r="CC340" s="33" t="str">
        <f t="shared" si="291"/>
        <v/>
      </c>
      <c r="CD340" s="33" t="str">
        <f t="shared" si="297"/>
        <v/>
      </c>
      <c r="CE340" s="33" t="str">
        <f>IF(O340&lt;&gt;"",CD340-SUM($CC$44:CC340),"")</f>
        <v/>
      </c>
      <c r="CF340" s="11" t="str">
        <f t="shared" si="304"/>
        <v/>
      </c>
      <c r="CG340" s="11" t="str">
        <f>IF(BU340&lt;&gt;"",IF($B$16=listy!$K$8,'RZĄDOWY PROGRAM'!$F$3*'RZĄDOWY PROGRAM'!$F$15,BZ339*$F$15),"")</f>
        <v/>
      </c>
      <c r="CH340" s="11" t="str">
        <f t="shared" si="305"/>
        <v/>
      </c>
      <c r="CJ340" s="48" t="str">
        <f t="shared" si="278"/>
        <v/>
      </c>
      <c r="CK340" s="18" t="str">
        <f t="shared" si="279"/>
        <v/>
      </c>
      <c r="CL340" s="11" t="str">
        <f t="shared" si="306"/>
        <v/>
      </c>
      <c r="CM340" s="11" t="str">
        <f t="shared" si="280"/>
        <v/>
      </c>
      <c r="CN340" s="11" t="str">
        <f>IF(AB340&lt;&gt;"",CM340-SUM($CL$28:CL340),"")</f>
        <v/>
      </c>
    </row>
    <row r="341" spans="1:92" x14ac:dyDescent="0.45">
      <c r="A341" s="68" t="str">
        <f t="shared" si="307"/>
        <v/>
      </c>
      <c r="B341" s="8" t="str">
        <f t="shared" si="273"/>
        <v/>
      </c>
      <c r="C341" s="11" t="str">
        <f t="shared" si="274"/>
        <v/>
      </c>
      <c r="D341" s="11" t="str">
        <f t="shared" si="275"/>
        <v/>
      </c>
      <c r="E341" s="11" t="str">
        <f t="shared" si="308"/>
        <v/>
      </c>
      <c r="F341" s="9" t="str">
        <f t="shared" si="309"/>
        <v/>
      </c>
      <c r="G341" s="10" t="str">
        <f t="shared" si="310"/>
        <v/>
      </c>
      <c r="H341" s="10" t="str">
        <f t="shared" si="311"/>
        <v/>
      </c>
      <c r="I341" s="48" t="str">
        <f t="shared" si="281"/>
        <v/>
      </c>
      <c r="J341" s="11" t="str">
        <f t="shared" si="276"/>
        <v/>
      </c>
      <c r="K341" s="11" t="str">
        <f>IF(B341&lt;&gt;"",IF($B$16=listy!$K$8,'RZĄDOWY PROGRAM'!$F$3*'RZĄDOWY PROGRAM'!$F$15,F340*$F$15),"")</f>
        <v/>
      </c>
      <c r="L341" s="11" t="str">
        <f t="shared" si="312"/>
        <v/>
      </c>
      <c r="N341" s="54" t="str">
        <f t="shared" si="313"/>
        <v/>
      </c>
      <c r="O341" s="8" t="str">
        <f t="shared" si="282"/>
        <v/>
      </c>
      <c r="P341" s="8"/>
      <c r="Q341" s="11" t="str">
        <f>IF(O341&lt;&gt;"",ROUND(IF($F$11="raty równe",-PMT(W341/12,$F$4-O340+SUM($P$28:P341),T340,2),R341+S341),2),"")</f>
        <v/>
      </c>
      <c r="R341" s="11" t="str">
        <f>IF(O341&lt;&gt;"",IF($F$11="raty malejące",T340/($F$4-O340+SUM($P$28:P341)),IF(Q341-S341&gt;T340,T340,Q341-S341)),"")</f>
        <v/>
      </c>
      <c r="S341" s="11" t="str">
        <f t="shared" si="314"/>
        <v/>
      </c>
      <c r="T341" s="9" t="str">
        <f t="shared" si="315"/>
        <v/>
      </c>
      <c r="U341" s="10" t="str">
        <f t="shared" si="316"/>
        <v/>
      </c>
      <c r="V341" s="10" t="str">
        <f t="shared" si="317"/>
        <v/>
      </c>
      <c r="W341" s="48" t="str">
        <f t="shared" si="283"/>
        <v/>
      </c>
      <c r="X341" s="11" t="str">
        <f t="shared" si="318"/>
        <v/>
      </c>
      <c r="Y341" s="11" t="str">
        <f>IF(O341&lt;&gt;"",IF($B$16=listy!$K$8,'RZĄDOWY PROGRAM'!$F$3*'RZĄDOWY PROGRAM'!$F$15,T340*$F$15),"")</f>
        <v/>
      </c>
      <c r="Z341" s="11" t="str">
        <f t="shared" si="319"/>
        <v/>
      </c>
      <c r="AB341" s="8" t="str">
        <f t="shared" si="320"/>
        <v/>
      </c>
      <c r="AC341" s="8"/>
      <c r="AD341" s="11" t="str">
        <f>IF(AB341&lt;&gt;"",ROUND(IF($F$11="raty równe",-PMT(W341/12,$F$4-AB340+SUM($AC$28:AC341),AG340,2),AE341+AF341),2),"")</f>
        <v/>
      </c>
      <c r="AE341" s="11" t="str">
        <f>IF(AB341&lt;&gt;"",IF($F$11="raty malejące",AG340/($F$4-AB340+SUM($AC$28:AC340)),MIN(AD341-AF341,AG340)),"")</f>
        <v/>
      </c>
      <c r="AF341" s="11" t="str">
        <f t="shared" si="321"/>
        <v/>
      </c>
      <c r="AG341" s="9" t="str">
        <f t="shared" si="322"/>
        <v/>
      </c>
      <c r="AH341" s="11"/>
      <c r="AI341" s="33" t="str">
        <f>IF(AB341&lt;&gt;"",ROUND(IF($F$11="raty równe",-PMT(W341/12,($F$4-AB340+SUM($AC$27:AC340)),AG340,2),AG340/($F$4-AB340+SUM($AC$27:AC340))+AG340*W341/12),2),"")</f>
        <v/>
      </c>
      <c r="AJ341" s="33" t="str">
        <f t="shared" si="323"/>
        <v/>
      </c>
      <c r="AK341" s="33" t="str">
        <f t="shared" si="277"/>
        <v/>
      </c>
      <c r="AL341" s="33" t="str">
        <f>IF(AB341&lt;&gt;"",AK341-SUM($AJ$28:AJ341),"")</f>
        <v/>
      </c>
      <c r="AM341" s="11" t="str">
        <f t="shared" si="324"/>
        <v/>
      </c>
      <c r="AN341" s="11" t="str">
        <f>IF(AB341&lt;&gt;"",IF($B$16=listy!$K$8,'RZĄDOWY PROGRAM'!$F$3*'RZĄDOWY PROGRAM'!$F$15,AG340*$F$15),"")</f>
        <v/>
      </c>
      <c r="AO341" s="11" t="str">
        <f t="shared" si="325"/>
        <v/>
      </c>
      <c r="AQ341" s="8" t="str">
        <f t="shared" si="284"/>
        <v/>
      </c>
      <c r="AR341" s="8"/>
      <c r="AS341" s="78" t="str">
        <f>IF(AQ341&lt;&gt;"",ROUND(IF($F$11="raty równe",-PMT(W341/12,$F$4-AQ340+SUM($AR$28:AR341),AV340,2),AT341+AU341),2),"")</f>
        <v/>
      </c>
      <c r="AT341" s="78" t="str">
        <f>IF(AQ341&lt;&gt;"",IF($F$11="raty malejące",AV340/($F$4-AQ340+SUM($AR$28:AR340)),MIN(AS341-AU341,AV340)),"")</f>
        <v/>
      </c>
      <c r="AU341" s="78" t="str">
        <f t="shared" si="285"/>
        <v/>
      </c>
      <c r="AV341" s="79" t="str">
        <f t="shared" si="286"/>
        <v/>
      </c>
      <c r="AW341" s="11"/>
      <c r="AX341" s="33" t="str">
        <f>IF(AQ341&lt;&gt;"",ROUND(IF($F$11="raty równe",-PMT(W341/12,($F$4-AQ340+SUM($AR$27:AR340)),AV340,2),AV340/($F$4-AQ340+SUM($AR$27:AR340))+AV340*W341/12),2),"")</f>
        <v/>
      </c>
      <c r="AY341" s="33" t="str">
        <f t="shared" si="287"/>
        <v/>
      </c>
      <c r="AZ341" s="33" t="str">
        <f t="shared" si="294"/>
        <v/>
      </c>
      <c r="BA341" s="33" t="str">
        <f>IF(AQ341&lt;&gt;"",AZ341-SUM($AY$44:AY341),"")</f>
        <v/>
      </c>
      <c r="BB341" s="11" t="str">
        <f t="shared" si="288"/>
        <v/>
      </c>
      <c r="BC341" s="11" t="str">
        <f>IF(AQ341&lt;&gt;"",IF($B$16=listy!$K$8,'RZĄDOWY PROGRAM'!$F$3*'RZĄDOWY PROGRAM'!$F$15,AV340*$F$15),"")</f>
        <v/>
      </c>
      <c r="BD341" s="11" t="str">
        <f t="shared" si="289"/>
        <v/>
      </c>
      <c r="BF341" s="8" t="str">
        <f t="shared" si="298"/>
        <v/>
      </c>
      <c r="BG341" s="8"/>
      <c r="BH341" s="78" t="str">
        <f>IF(BF341&lt;&gt;"",ROUND(IF($F$11="raty równe",-PMT(W341/12,$F$4-BF340+SUM(BV$28:$BV341)-SUM($BM$29:BM341),BK340,2),BI341+BJ341),2),"")</f>
        <v/>
      </c>
      <c r="BI341" s="78" t="str">
        <f>IF(BF341&lt;&gt;"",IF($F$11="raty malejące",MIN(BK340/($F$4-BF340+SUM($BG$27:BG341)-SUM($BM$27:BM341)),BK340),MIN(BH341-BJ341,BK340)),"")</f>
        <v/>
      </c>
      <c r="BJ341" s="78" t="str">
        <f t="shared" si="299"/>
        <v/>
      </c>
      <c r="BK341" s="79" t="str">
        <f t="shared" si="300"/>
        <v/>
      </c>
      <c r="BL341" s="11"/>
      <c r="BM341" s="33"/>
      <c r="BN341" s="33" t="str">
        <f t="shared" si="295"/>
        <v/>
      </c>
      <c r="BO341" s="33" t="str">
        <f t="shared" si="296"/>
        <v/>
      </c>
      <c r="BP341" s="33" t="str">
        <f>IF(O341&lt;&gt;"",BO341-SUM($BN$44:BN341),"")</f>
        <v/>
      </c>
      <c r="BQ341" s="11" t="str">
        <f t="shared" si="301"/>
        <v/>
      </c>
      <c r="BR341" s="11" t="str">
        <f>IF(BF341&lt;&gt;"",IF($B$16=listy!$K$8,'RZĄDOWY PROGRAM'!$F$3*'RZĄDOWY PROGRAM'!$F$15,BK340*$F$15),"")</f>
        <v/>
      </c>
      <c r="BS341" s="11" t="str">
        <f t="shared" si="302"/>
        <v/>
      </c>
      <c r="BU341" s="8" t="str">
        <f t="shared" si="290"/>
        <v/>
      </c>
      <c r="BV341" s="8"/>
      <c r="BW341" s="78" t="str">
        <f>IF(BU341&lt;&gt;"",ROUND(IF($F$11="raty równe",-PMT(W341/12,$F$4-BU340+SUM($BV$28:BV341)-$CB$43,BZ340,2),BX341+BY341),2),"")</f>
        <v/>
      </c>
      <c r="BX341" s="78" t="str">
        <f>IF(BU341&lt;&gt;"",IF($F$11="raty malejące",MIN(BZ340/($F$4-BU340+SUM($BV$28:BV340)-SUM($CB$28:CB340)),BZ340),MIN(BW341-BY341,BZ340)),"")</f>
        <v/>
      </c>
      <c r="BY341" s="78" t="str">
        <f t="shared" si="303"/>
        <v/>
      </c>
      <c r="BZ341" s="79" t="str">
        <f t="shared" si="292"/>
        <v/>
      </c>
      <c r="CA341" s="11"/>
      <c r="CB341" s="33"/>
      <c r="CC341" s="33" t="str">
        <f t="shared" si="291"/>
        <v/>
      </c>
      <c r="CD341" s="33" t="str">
        <f t="shared" si="297"/>
        <v/>
      </c>
      <c r="CE341" s="33" t="str">
        <f>IF(O341&lt;&gt;"",CD341-SUM($CC$44:CC341),"")</f>
        <v/>
      </c>
      <c r="CF341" s="11" t="str">
        <f t="shared" si="304"/>
        <v/>
      </c>
      <c r="CG341" s="11" t="str">
        <f>IF(BU341&lt;&gt;"",IF($B$16=listy!$K$8,'RZĄDOWY PROGRAM'!$F$3*'RZĄDOWY PROGRAM'!$F$15,BZ340*$F$15),"")</f>
        <v/>
      </c>
      <c r="CH341" s="11" t="str">
        <f t="shared" si="305"/>
        <v/>
      </c>
      <c r="CJ341" s="48" t="str">
        <f t="shared" si="278"/>
        <v/>
      </c>
      <c r="CK341" s="18" t="str">
        <f t="shared" si="279"/>
        <v/>
      </c>
      <c r="CL341" s="11" t="str">
        <f t="shared" si="306"/>
        <v/>
      </c>
      <c r="CM341" s="11" t="str">
        <f t="shared" si="280"/>
        <v/>
      </c>
      <c r="CN341" s="11" t="str">
        <f>IF(AB341&lt;&gt;"",CM341-SUM($CL$28:CL341),"")</f>
        <v/>
      </c>
    </row>
    <row r="342" spans="1:92" x14ac:dyDescent="0.45">
      <c r="A342" s="68" t="str">
        <f t="shared" si="307"/>
        <v/>
      </c>
      <c r="B342" s="8" t="str">
        <f t="shared" si="273"/>
        <v/>
      </c>
      <c r="C342" s="11" t="str">
        <f t="shared" si="274"/>
        <v/>
      </c>
      <c r="D342" s="11" t="str">
        <f t="shared" si="275"/>
        <v/>
      </c>
      <c r="E342" s="11" t="str">
        <f t="shared" si="308"/>
        <v/>
      </c>
      <c r="F342" s="9" t="str">
        <f t="shared" si="309"/>
        <v/>
      </c>
      <c r="G342" s="10" t="str">
        <f t="shared" si="310"/>
        <v/>
      </c>
      <c r="H342" s="10" t="str">
        <f t="shared" si="311"/>
        <v/>
      </c>
      <c r="I342" s="48" t="str">
        <f t="shared" si="281"/>
        <v/>
      </c>
      <c r="J342" s="11" t="str">
        <f t="shared" si="276"/>
        <v/>
      </c>
      <c r="K342" s="11" t="str">
        <f>IF(B342&lt;&gt;"",IF($B$16=listy!$K$8,'RZĄDOWY PROGRAM'!$F$3*'RZĄDOWY PROGRAM'!$F$15,F341*$F$15),"")</f>
        <v/>
      </c>
      <c r="L342" s="11" t="str">
        <f t="shared" si="312"/>
        <v/>
      </c>
      <c r="N342" s="54" t="str">
        <f t="shared" si="313"/>
        <v/>
      </c>
      <c r="O342" s="8" t="str">
        <f t="shared" si="282"/>
        <v/>
      </c>
      <c r="P342" s="8"/>
      <c r="Q342" s="11" t="str">
        <f>IF(O342&lt;&gt;"",ROUND(IF($F$11="raty równe",-PMT(W342/12,$F$4-O341+SUM($P$28:P342),T341,2),R342+S342),2),"")</f>
        <v/>
      </c>
      <c r="R342" s="11" t="str">
        <f>IF(O342&lt;&gt;"",IF($F$11="raty malejące",T341/($F$4-O341+SUM($P$28:P342)),IF(Q342-S342&gt;T341,T341,Q342-S342)),"")</f>
        <v/>
      </c>
      <c r="S342" s="11" t="str">
        <f t="shared" si="314"/>
        <v/>
      </c>
      <c r="T342" s="9" t="str">
        <f t="shared" si="315"/>
        <v/>
      </c>
      <c r="U342" s="10" t="str">
        <f t="shared" si="316"/>
        <v/>
      </c>
      <c r="V342" s="10" t="str">
        <f t="shared" si="317"/>
        <v/>
      </c>
      <c r="W342" s="48" t="str">
        <f t="shared" si="283"/>
        <v/>
      </c>
      <c r="X342" s="11" t="str">
        <f t="shared" si="318"/>
        <v/>
      </c>
      <c r="Y342" s="11" t="str">
        <f>IF(O342&lt;&gt;"",IF($B$16=listy!$K$8,'RZĄDOWY PROGRAM'!$F$3*'RZĄDOWY PROGRAM'!$F$15,T341*$F$15),"")</f>
        <v/>
      </c>
      <c r="Z342" s="11" t="str">
        <f t="shared" si="319"/>
        <v/>
      </c>
      <c r="AB342" s="8" t="str">
        <f t="shared" si="320"/>
        <v/>
      </c>
      <c r="AC342" s="8"/>
      <c r="AD342" s="11" t="str">
        <f>IF(AB342&lt;&gt;"",ROUND(IF($F$11="raty równe",-PMT(W342/12,$F$4-AB341+SUM($AC$28:AC342),AG341,2),AE342+AF342),2),"")</f>
        <v/>
      </c>
      <c r="AE342" s="11" t="str">
        <f>IF(AB342&lt;&gt;"",IF($F$11="raty malejące",AG341/($F$4-AB341+SUM($AC$28:AC341)),MIN(AD342-AF342,AG341)),"")</f>
        <v/>
      </c>
      <c r="AF342" s="11" t="str">
        <f t="shared" si="321"/>
        <v/>
      </c>
      <c r="AG342" s="9" t="str">
        <f t="shared" si="322"/>
        <v/>
      </c>
      <c r="AH342" s="11"/>
      <c r="AI342" s="33" t="str">
        <f>IF(AB342&lt;&gt;"",ROUND(IF($F$11="raty równe",-PMT(W342/12,($F$4-AB341+SUM($AC$27:AC341)),AG341,2),AG341/($F$4-AB341+SUM($AC$27:AC341))+AG341*W342/12),2),"")</f>
        <v/>
      </c>
      <c r="AJ342" s="33" t="str">
        <f t="shared" si="323"/>
        <v/>
      </c>
      <c r="AK342" s="33" t="str">
        <f t="shared" si="277"/>
        <v/>
      </c>
      <c r="AL342" s="33" t="str">
        <f>IF(AB342&lt;&gt;"",AK342-SUM($AJ$28:AJ342),"")</f>
        <v/>
      </c>
      <c r="AM342" s="11" t="str">
        <f t="shared" si="324"/>
        <v/>
      </c>
      <c r="AN342" s="11" t="str">
        <f>IF(AB342&lt;&gt;"",IF($B$16=listy!$K$8,'RZĄDOWY PROGRAM'!$F$3*'RZĄDOWY PROGRAM'!$F$15,AG341*$F$15),"")</f>
        <v/>
      </c>
      <c r="AO342" s="11" t="str">
        <f t="shared" si="325"/>
        <v/>
      </c>
      <c r="AQ342" s="8" t="str">
        <f t="shared" si="284"/>
        <v/>
      </c>
      <c r="AR342" s="8"/>
      <c r="AS342" s="78" t="str">
        <f>IF(AQ342&lt;&gt;"",ROUND(IF($F$11="raty równe",-PMT(W342/12,$F$4-AQ341+SUM($AR$28:AR342),AV341,2),AT342+AU342),2),"")</f>
        <v/>
      </c>
      <c r="AT342" s="78" t="str">
        <f>IF(AQ342&lt;&gt;"",IF($F$11="raty malejące",AV341/($F$4-AQ341+SUM($AR$28:AR341)),MIN(AS342-AU342,AV341)),"")</f>
        <v/>
      </c>
      <c r="AU342" s="78" t="str">
        <f t="shared" si="285"/>
        <v/>
      </c>
      <c r="AV342" s="79" t="str">
        <f t="shared" si="286"/>
        <v/>
      </c>
      <c r="AW342" s="11"/>
      <c r="AX342" s="33" t="str">
        <f>IF(AQ342&lt;&gt;"",ROUND(IF($F$11="raty równe",-PMT(W342/12,($F$4-AQ341+SUM($AR$27:AR341)),AV341,2),AV341/($F$4-AQ341+SUM($AR$27:AR341))+AV341*W342/12),2),"")</f>
        <v/>
      </c>
      <c r="AY342" s="33" t="str">
        <f t="shared" si="287"/>
        <v/>
      </c>
      <c r="AZ342" s="33" t="str">
        <f t="shared" si="294"/>
        <v/>
      </c>
      <c r="BA342" s="33" t="str">
        <f>IF(AQ342&lt;&gt;"",AZ342-SUM($AY$44:AY342),"")</f>
        <v/>
      </c>
      <c r="BB342" s="11" t="str">
        <f t="shared" si="288"/>
        <v/>
      </c>
      <c r="BC342" s="11" t="str">
        <f>IF(AQ342&lt;&gt;"",IF($B$16=listy!$K$8,'RZĄDOWY PROGRAM'!$F$3*'RZĄDOWY PROGRAM'!$F$15,AV341*$F$15),"")</f>
        <v/>
      </c>
      <c r="BD342" s="11" t="str">
        <f t="shared" si="289"/>
        <v/>
      </c>
      <c r="BF342" s="8" t="str">
        <f t="shared" si="298"/>
        <v/>
      </c>
      <c r="BG342" s="8"/>
      <c r="BH342" s="78" t="str">
        <f>IF(BF342&lt;&gt;"",ROUND(IF($F$11="raty równe",-PMT(W342/12,$F$4-BF341+SUM(BV$28:$BV342)-SUM($BM$29:BM342),BK341,2),BI342+BJ342),2),"")</f>
        <v/>
      </c>
      <c r="BI342" s="78" t="str">
        <f>IF(BF342&lt;&gt;"",IF($F$11="raty malejące",MIN(BK341/($F$4-BF341+SUM($BG$27:BG342)-SUM($BM$27:BM342)),BK341),MIN(BH342-BJ342,BK341)),"")</f>
        <v/>
      </c>
      <c r="BJ342" s="78" t="str">
        <f t="shared" si="299"/>
        <v/>
      </c>
      <c r="BK342" s="79" t="str">
        <f t="shared" si="300"/>
        <v/>
      </c>
      <c r="BL342" s="11"/>
      <c r="BM342" s="33"/>
      <c r="BN342" s="33" t="str">
        <f t="shared" si="295"/>
        <v/>
      </c>
      <c r="BO342" s="33" t="str">
        <f t="shared" si="296"/>
        <v/>
      </c>
      <c r="BP342" s="33" t="str">
        <f>IF(O342&lt;&gt;"",BO342-SUM($BN$44:BN342),"")</f>
        <v/>
      </c>
      <c r="BQ342" s="11" t="str">
        <f t="shared" si="301"/>
        <v/>
      </c>
      <c r="BR342" s="11" t="str">
        <f>IF(BF342&lt;&gt;"",IF($B$16=listy!$K$8,'RZĄDOWY PROGRAM'!$F$3*'RZĄDOWY PROGRAM'!$F$15,BK341*$F$15),"")</f>
        <v/>
      </c>
      <c r="BS342" s="11" t="str">
        <f t="shared" si="302"/>
        <v/>
      </c>
      <c r="BU342" s="8" t="str">
        <f t="shared" si="290"/>
        <v/>
      </c>
      <c r="BV342" s="8"/>
      <c r="BW342" s="78" t="str">
        <f>IF(BU342&lt;&gt;"",ROUND(IF($F$11="raty równe",-PMT(W342/12,$F$4-BU341+SUM($BV$28:BV342)-$CB$43,BZ341,2),BX342+BY342),2),"")</f>
        <v/>
      </c>
      <c r="BX342" s="78" t="str">
        <f>IF(BU342&lt;&gt;"",IF($F$11="raty malejące",MIN(BZ341/($F$4-BU341+SUM($BV$28:BV341)-SUM($CB$28:CB341)),BZ341),MIN(BW342-BY342,BZ341)),"")</f>
        <v/>
      </c>
      <c r="BY342" s="78" t="str">
        <f t="shared" si="303"/>
        <v/>
      </c>
      <c r="BZ342" s="79" t="str">
        <f t="shared" si="292"/>
        <v/>
      </c>
      <c r="CA342" s="11"/>
      <c r="CB342" s="33"/>
      <c r="CC342" s="33" t="str">
        <f t="shared" si="291"/>
        <v/>
      </c>
      <c r="CD342" s="33" t="str">
        <f t="shared" si="297"/>
        <v/>
      </c>
      <c r="CE342" s="33" t="str">
        <f>IF(O342&lt;&gt;"",CD342-SUM($CC$44:CC342),"")</f>
        <v/>
      </c>
      <c r="CF342" s="11" t="str">
        <f t="shared" si="304"/>
        <v/>
      </c>
      <c r="CG342" s="11" t="str">
        <f>IF(BU342&lt;&gt;"",IF($B$16=listy!$K$8,'RZĄDOWY PROGRAM'!$F$3*'RZĄDOWY PROGRAM'!$F$15,BZ341*$F$15),"")</f>
        <v/>
      </c>
      <c r="CH342" s="11" t="str">
        <f t="shared" si="305"/>
        <v/>
      </c>
      <c r="CJ342" s="48" t="str">
        <f t="shared" si="278"/>
        <v/>
      </c>
      <c r="CK342" s="18" t="str">
        <f t="shared" si="279"/>
        <v/>
      </c>
      <c r="CL342" s="11" t="str">
        <f t="shared" si="306"/>
        <v/>
      </c>
      <c r="CM342" s="11" t="str">
        <f t="shared" si="280"/>
        <v/>
      </c>
      <c r="CN342" s="11" t="str">
        <f>IF(AB342&lt;&gt;"",CM342-SUM($CL$28:CL342),"")</f>
        <v/>
      </c>
    </row>
    <row r="343" spans="1:92" x14ac:dyDescent="0.45">
      <c r="A343" s="68" t="str">
        <f t="shared" si="307"/>
        <v/>
      </c>
      <c r="B343" s="8" t="str">
        <f t="shared" si="273"/>
        <v/>
      </c>
      <c r="C343" s="11" t="str">
        <f t="shared" si="274"/>
        <v/>
      </c>
      <c r="D343" s="11" t="str">
        <f t="shared" si="275"/>
        <v/>
      </c>
      <c r="E343" s="11" t="str">
        <f t="shared" si="308"/>
        <v/>
      </c>
      <c r="F343" s="9" t="str">
        <f t="shared" si="309"/>
        <v/>
      </c>
      <c r="G343" s="10" t="str">
        <f t="shared" si="310"/>
        <v/>
      </c>
      <c r="H343" s="10" t="str">
        <f t="shared" si="311"/>
        <v/>
      </c>
      <c r="I343" s="48" t="str">
        <f t="shared" si="281"/>
        <v/>
      </c>
      <c r="J343" s="11" t="str">
        <f t="shared" si="276"/>
        <v/>
      </c>
      <c r="K343" s="11" t="str">
        <f>IF(B343&lt;&gt;"",IF($B$16=listy!$K$8,'RZĄDOWY PROGRAM'!$F$3*'RZĄDOWY PROGRAM'!$F$15,F342*$F$15),"")</f>
        <v/>
      </c>
      <c r="L343" s="11" t="str">
        <f t="shared" si="312"/>
        <v/>
      </c>
      <c r="N343" s="54" t="str">
        <f t="shared" si="313"/>
        <v/>
      </c>
      <c r="O343" s="8" t="str">
        <f t="shared" si="282"/>
        <v/>
      </c>
      <c r="P343" s="8"/>
      <c r="Q343" s="11" t="str">
        <f>IF(O343&lt;&gt;"",ROUND(IF($F$11="raty równe",-PMT(W343/12,$F$4-O342+SUM($P$28:P343),T342,2),R343+S343),2),"")</f>
        <v/>
      </c>
      <c r="R343" s="11" t="str">
        <f>IF(O343&lt;&gt;"",IF($F$11="raty malejące",T342/($F$4-O342+SUM($P$28:P343)),IF(Q343-S343&gt;T342,T342,Q343-S343)),"")</f>
        <v/>
      </c>
      <c r="S343" s="11" t="str">
        <f t="shared" si="314"/>
        <v/>
      </c>
      <c r="T343" s="9" t="str">
        <f t="shared" si="315"/>
        <v/>
      </c>
      <c r="U343" s="10" t="str">
        <f t="shared" si="316"/>
        <v/>
      </c>
      <c r="V343" s="10" t="str">
        <f t="shared" si="317"/>
        <v/>
      </c>
      <c r="W343" s="48" t="str">
        <f t="shared" si="283"/>
        <v/>
      </c>
      <c r="X343" s="11" t="str">
        <f t="shared" si="318"/>
        <v/>
      </c>
      <c r="Y343" s="11" t="str">
        <f>IF(O343&lt;&gt;"",IF($B$16=listy!$K$8,'RZĄDOWY PROGRAM'!$F$3*'RZĄDOWY PROGRAM'!$F$15,T342*$F$15),"")</f>
        <v/>
      </c>
      <c r="Z343" s="11" t="str">
        <f t="shared" si="319"/>
        <v/>
      </c>
      <c r="AB343" s="8" t="str">
        <f t="shared" si="320"/>
        <v/>
      </c>
      <c r="AC343" s="8"/>
      <c r="AD343" s="11" t="str">
        <f>IF(AB343&lt;&gt;"",ROUND(IF($F$11="raty równe",-PMT(W343/12,$F$4-AB342+SUM($AC$28:AC343),AG342,2),AE343+AF343),2),"")</f>
        <v/>
      </c>
      <c r="AE343" s="11" t="str">
        <f>IF(AB343&lt;&gt;"",IF($F$11="raty malejące",AG342/($F$4-AB342+SUM($AC$28:AC342)),MIN(AD343-AF343,AG342)),"")</f>
        <v/>
      </c>
      <c r="AF343" s="11" t="str">
        <f t="shared" si="321"/>
        <v/>
      </c>
      <c r="AG343" s="9" t="str">
        <f t="shared" si="322"/>
        <v/>
      </c>
      <c r="AH343" s="11"/>
      <c r="AI343" s="33" t="str">
        <f>IF(AB343&lt;&gt;"",ROUND(IF($F$11="raty równe",-PMT(W343/12,($F$4-AB342+SUM($AC$27:AC342)),AG342,2),AG342/($F$4-AB342+SUM($AC$27:AC342))+AG342*W343/12),2),"")</f>
        <v/>
      </c>
      <c r="AJ343" s="33" t="str">
        <f t="shared" si="323"/>
        <v/>
      </c>
      <c r="AK343" s="33" t="str">
        <f t="shared" si="277"/>
        <v/>
      </c>
      <c r="AL343" s="33" t="str">
        <f>IF(AB343&lt;&gt;"",AK343-SUM($AJ$28:AJ343),"")</f>
        <v/>
      </c>
      <c r="AM343" s="11" t="str">
        <f t="shared" si="324"/>
        <v/>
      </c>
      <c r="AN343" s="11" t="str">
        <f>IF(AB343&lt;&gt;"",IF($B$16=listy!$K$8,'RZĄDOWY PROGRAM'!$F$3*'RZĄDOWY PROGRAM'!$F$15,AG342*$F$15),"")</f>
        <v/>
      </c>
      <c r="AO343" s="11" t="str">
        <f t="shared" si="325"/>
        <v/>
      </c>
      <c r="AQ343" s="8" t="str">
        <f t="shared" si="284"/>
        <v/>
      </c>
      <c r="AR343" s="8"/>
      <c r="AS343" s="78" t="str">
        <f>IF(AQ343&lt;&gt;"",ROUND(IF($F$11="raty równe",-PMT(W343/12,$F$4-AQ342+SUM($AR$28:AR343),AV342,2),AT343+AU343),2),"")</f>
        <v/>
      </c>
      <c r="AT343" s="78" t="str">
        <f>IF(AQ343&lt;&gt;"",IF($F$11="raty malejące",AV342/($F$4-AQ342+SUM($AR$28:AR342)),MIN(AS343-AU343,AV342)),"")</f>
        <v/>
      </c>
      <c r="AU343" s="78" t="str">
        <f t="shared" si="285"/>
        <v/>
      </c>
      <c r="AV343" s="79" t="str">
        <f t="shared" si="286"/>
        <v/>
      </c>
      <c r="AW343" s="11"/>
      <c r="AX343" s="33" t="str">
        <f>IF(AQ343&lt;&gt;"",ROUND(IF($F$11="raty równe",-PMT(W343/12,($F$4-AQ342+SUM($AR$27:AR342)),AV342,2),AV342/($F$4-AQ342+SUM($AR$27:AR342))+AV342*W343/12),2),"")</f>
        <v/>
      </c>
      <c r="AY343" s="33" t="str">
        <f t="shared" si="287"/>
        <v/>
      </c>
      <c r="AZ343" s="33" t="str">
        <f t="shared" si="294"/>
        <v/>
      </c>
      <c r="BA343" s="33" t="str">
        <f>IF(AQ343&lt;&gt;"",AZ343-SUM($AY$44:AY343),"")</f>
        <v/>
      </c>
      <c r="BB343" s="11" t="str">
        <f t="shared" si="288"/>
        <v/>
      </c>
      <c r="BC343" s="11" t="str">
        <f>IF(AQ343&lt;&gt;"",IF($B$16=listy!$K$8,'RZĄDOWY PROGRAM'!$F$3*'RZĄDOWY PROGRAM'!$F$15,AV342*$F$15),"")</f>
        <v/>
      </c>
      <c r="BD343" s="11" t="str">
        <f t="shared" si="289"/>
        <v/>
      </c>
      <c r="BF343" s="8" t="str">
        <f t="shared" si="298"/>
        <v/>
      </c>
      <c r="BG343" s="8"/>
      <c r="BH343" s="78" t="str">
        <f>IF(BF343&lt;&gt;"",ROUND(IF($F$11="raty równe",-PMT(W343/12,$F$4-BF342+SUM(BV$28:$BV343)-SUM($BM$29:BM343),BK342,2),BI343+BJ343),2),"")</f>
        <v/>
      </c>
      <c r="BI343" s="78" t="str">
        <f>IF(BF343&lt;&gt;"",IF($F$11="raty malejące",MIN(BK342/($F$4-BF342+SUM($BG$27:BG343)-SUM($BM$27:BM343)),BK342),MIN(BH343-BJ343,BK342)),"")</f>
        <v/>
      </c>
      <c r="BJ343" s="78" t="str">
        <f t="shared" si="299"/>
        <v/>
      </c>
      <c r="BK343" s="79" t="str">
        <f t="shared" si="300"/>
        <v/>
      </c>
      <c r="BL343" s="11"/>
      <c r="BM343" s="33"/>
      <c r="BN343" s="33" t="str">
        <f t="shared" si="295"/>
        <v/>
      </c>
      <c r="BO343" s="33" t="str">
        <f t="shared" si="296"/>
        <v/>
      </c>
      <c r="BP343" s="33" t="str">
        <f>IF(O343&lt;&gt;"",BO343-SUM($BN$44:BN343),"")</f>
        <v/>
      </c>
      <c r="BQ343" s="11" t="str">
        <f t="shared" si="301"/>
        <v/>
      </c>
      <c r="BR343" s="11" t="str">
        <f>IF(BF343&lt;&gt;"",IF($B$16=listy!$K$8,'RZĄDOWY PROGRAM'!$F$3*'RZĄDOWY PROGRAM'!$F$15,BK342*$F$15),"")</f>
        <v/>
      </c>
      <c r="BS343" s="11" t="str">
        <f t="shared" si="302"/>
        <v/>
      </c>
      <c r="BU343" s="8" t="str">
        <f t="shared" si="290"/>
        <v/>
      </c>
      <c r="BV343" s="8"/>
      <c r="BW343" s="78" t="str">
        <f>IF(BU343&lt;&gt;"",ROUND(IF($F$11="raty równe",-PMT(W343/12,$F$4-BU342+SUM($BV$28:BV343)-$CB$43,BZ342,2),BX343+BY343),2),"")</f>
        <v/>
      </c>
      <c r="BX343" s="78" t="str">
        <f>IF(BU343&lt;&gt;"",IF($F$11="raty malejące",MIN(BZ342/($F$4-BU342+SUM($BV$28:BV342)-SUM($CB$28:CB342)),BZ342),MIN(BW343-BY343,BZ342)),"")</f>
        <v/>
      </c>
      <c r="BY343" s="78" t="str">
        <f t="shared" si="303"/>
        <v/>
      </c>
      <c r="BZ343" s="79" t="str">
        <f t="shared" si="292"/>
        <v/>
      </c>
      <c r="CA343" s="11"/>
      <c r="CB343" s="33"/>
      <c r="CC343" s="33" t="str">
        <f t="shared" si="291"/>
        <v/>
      </c>
      <c r="CD343" s="33" t="str">
        <f t="shared" si="297"/>
        <v/>
      </c>
      <c r="CE343" s="33" t="str">
        <f>IF(O343&lt;&gt;"",CD343-SUM($CC$44:CC343),"")</f>
        <v/>
      </c>
      <c r="CF343" s="11" t="str">
        <f t="shared" si="304"/>
        <v/>
      </c>
      <c r="CG343" s="11" t="str">
        <f>IF(BU343&lt;&gt;"",IF($B$16=listy!$K$8,'RZĄDOWY PROGRAM'!$F$3*'RZĄDOWY PROGRAM'!$F$15,BZ342*$F$15),"")</f>
        <v/>
      </c>
      <c r="CH343" s="11" t="str">
        <f t="shared" si="305"/>
        <v/>
      </c>
      <c r="CJ343" s="48" t="str">
        <f t="shared" si="278"/>
        <v/>
      </c>
      <c r="CK343" s="18" t="str">
        <f t="shared" si="279"/>
        <v/>
      </c>
      <c r="CL343" s="11" t="str">
        <f t="shared" si="306"/>
        <v/>
      </c>
      <c r="CM343" s="11" t="str">
        <f t="shared" si="280"/>
        <v/>
      </c>
      <c r="CN343" s="11" t="str">
        <f>IF(AB343&lt;&gt;"",CM343-SUM($CL$28:CL343),"")</f>
        <v/>
      </c>
    </row>
    <row r="344" spans="1:92" x14ac:dyDescent="0.45">
      <c r="A344" s="68" t="str">
        <f t="shared" si="307"/>
        <v/>
      </c>
      <c r="B344" s="8" t="str">
        <f t="shared" si="273"/>
        <v/>
      </c>
      <c r="C344" s="11" t="str">
        <f t="shared" si="274"/>
        <v/>
      </c>
      <c r="D344" s="11" t="str">
        <f t="shared" si="275"/>
        <v/>
      </c>
      <c r="E344" s="11" t="str">
        <f t="shared" si="308"/>
        <v/>
      </c>
      <c r="F344" s="9" t="str">
        <f t="shared" si="309"/>
        <v/>
      </c>
      <c r="G344" s="10" t="str">
        <f t="shared" si="310"/>
        <v/>
      </c>
      <c r="H344" s="10" t="str">
        <f t="shared" si="311"/>
        <v/>
      </c>
      <c r="I344" s="48" t="str">
        <f t="shared" si="281"/>
        <v/>
      </c>
      <c r="J344" s="11" t="str">
        <f t="shared" si="276"/>
        <v/>
      </c>
      <c r="K344" s="11" t="str">
        <f>IF(B344&lt;&gt;"",IF($B$16=listy!$K$8,'RZĄDOWY PROGRAM'!$F$3*'RZĄDOWY PROGRAM'!$F$15,F343*$F$15),"")</f>
        <v/>
      </c>
      <c r="L344" s="11" t="str">
        <f t="shared" si="312"/>
        <v/>
      </c>
      <c r="N344" s="54" t="str">
        <f t="shared" si="313"/>
        <v/>
      </c>
      <c r="O344" s="8" t="str">
        <f t="shared" si="282"/>
        <v/>
      </c>
      <c r="P344" s="8"/>
      <c r="Q344" s="11" t="str">
        <f>IF(O344&lt;&gt;"",ROUND(IF($F$11="raty równe",-PMT(W344/12,$F$4-O343+SUM($P$28:P344),T343,2),R344+S344),2),"")</f>
        <v/>
      </c>
      <c r="R344" s="11" t="str">
        <f>IF(O344&lt;&gt;"",IF($F$11="raty malejące",T343/($F$4-O343+SUM($P$28:P344)),IF(Q344-S344&gt;T343,T343,Q344-S344)),"")</f>
        <v/>
      </c>
      <c r="S344" s="11" t="str">
        <f t="shared" si="314"/>
        <v/>
      </c>
      <c r="T344" s="9" t="str">
        <f t="shared" si="315"/>
        <v/>
      </c>
      <c r="U344" s="10" t="str">
        <f t="shared" si="316"/>
        <v/>
      </c>
      <c r="V344" s="10" t="str">
        <f t="shared" si="317"/>
        <v/>
      </c>
      <c r="W344" s="48" t="str">
        <f t="shared" si="283"/>
        <v/>
      </c>
      <c r="X344" s="11" t="str">
        <f t="shared" si="318"/>
        <v/>
      </c>
      <c r="Y344" s="11" t="str">
        <f>IF(O344&lt;&gt;"",IF($B$16=listy!$K$8,'RZĄDOWY PROGRAM'!$F$3*'RZĄDOWY PROGRAM'!$F$15,T343*$F$15),"")</f>
        <v/>
      </c>
      <c r="Z344" s="11" t="str">
        <f t="shared" si="319"/>
        <v/>
      </c>
      <c r="AB344" s="8" t="str">
        <f t="shared" si="320"/>
        <v/>
      </c>
      <c r="AC344" s="8"/>
      <c r="AD344" s="11" t="str">
        <f>IF(AB344&lt;&gt;"",ROUND(IF($F$11="raty równe",-PMT(W344/12,$F$4-AB343+SUM($AC$28:AC344),AG343,2),AE344+AF344),2),"")</f>
        <v/>
      </c>
      <c r="AE344" s="11" t="str">
        <f>IF(AB344&lt;&gt;"",IF($F$11="raty malejące",AG343/($F$4-AB343+SUM($AC$28:AC343)),MIN(AD344-AF344,AG343)),"")</f>
        <v/>
      </c>
      <c r="AF344" s="11" t="str">
        <f t="shared" si="321"/>
        <v/>
      </c>
      <c r="AG344" s="9" t="str">
        <f t="shared" si="322"/>
        <v/>
      </c>
      <c r="AH344" s="11"/>
      <c r="AI344" s="33" t="str">
        <f>IF(AB344&lt;&gt;"",ROUND(IF($F$11="raty równe",-PMT(W344/12,($F$4-AB343+SUM($AC$27:AC343)),AG343,2),AG343/($F$4-AB343+SUM($AC$27:AC343))+AG343*W344/12),2),"")</f>
        <v/>
      </c>
      <c r="AJ344" s="33" t="str">
        <f t="shared" si="323"/>
        <v/>
      </c>
      <c r="AK344" s="33" t="str">
        <f t="shared" si="277"/>
        <v/>
      </c>
      <c r="AL344" s="33" t="str">
        <f>IF(AB344&lt;&gt;"",AK344-SUM($AJ$28:AJ344),"")</f>
        <v/>
      </c>
      <c r="AM344" s="11" t="str">
        <f t="shared" si="324"/>
        <v/>
      </c>
      <c r="AN344" s="11" t="str">
        <f>IF(AB344&lt;&gt;"",IF($B$16=listy!$K$8,'RZĄDOWY PROGRAM'!$F$3*'RZĄDOWY PROGRAM'!$F$15,AG343*$F$15),"")</f>
        <v/>
      </c>
      <c r="AO344" s="11" t="str">
        <f t="shared" si="325"/>
        <v/>
      </c>
      <c r="AQ344" s="8" t="str">
        <f t="shared" si="284"/>
        <v/>
      </c>
      <c r="AR344" s="8"/>
      <c r="AS344" s="78" t="str">
        <f>IF(AQ344&lt;&gt;"",ROUND(IF($F$11="raty równe",-PMT(W344/12,$F$4-AQ343+SUM($AR$28:AR344),AV343,2),AT344+AU344),2),"")</f>
        <v/>
      </c>
      <c r="AT344" s="78" t="str">
        <f>IF(AQ344&lt;&gt;"",IF($F$11="raty malejące",AV343/($F$4-AQ343+SUM($AR$28:AR343)),MIN(AS344-AU344,AV343)),"")</f>
        <v/>
      </c>
      <c r="AU344" s="78" t="str">
        <f t="shared" si="285"/>
        <v/>
      </c>
      <c r="AV344" s="79" t="str">
        <f t="shared" si="286"/>
        <v/>
      </c>
      <c r="AW344" s="11"/>
      <c r="AX344" s="33" t="str">
        <f>IF(AQ344&lt;&gt;"",ROUND(IF($F$11="raty równe",-PMT(W344/12,($F$4-AQ343+SUM($AR$27:AR343)),AV343,2),AV343/($F$4-AQ343+SUM($AR$27:AR343))+AV343*W344/12),2),"")</f>
        <v/>
      </c>
      <c r="AY344" s="33" t="str">
        <f t="shared" si="287"/>
        <v/>
      </c>
      <c r="AZ344" s="33" t="str">
        <f t="shared" si="294"/>
        <v/>
      </c>
      <c r="BA344" s="33" t="str">
        <f>IF(AQ344&lt;&gt;"",AZ344-SUM($AY$44:AY344),"")</f>
        <v/>
      </c>
      <c r="BB344" s="11" t="str">
        <f t="shared" si="288"/>
        <v/>
      </c>
      <c r="BC344" s="11" t="str">
        <f>IF(AQ344&lt;&gt;"",IF($B$16=listy!$K$8,'RZĄDOWY PROGRAM'!$F$3*'RZĄDOWY PROGRAM'!$F$15,AV343*$F$15),"")</f>
        <v/>
      </c>
      <c r="BD344" s="11" t="str">
        <f t="shared" si="289"/>
        <v/>
      </c>
      <c r="BF344" s="8" t="str">
        <f t="shared" si="298"/>
        <v/>
      </c>
      <c r="BG344" s="8"/>
      <c r="BH344" s="78" t="str">
        <f>IF(BF344&lt;&gt;"",ROUND(IF($F$11="raty równe",-PMT(W344/12,$F$4-BF343+SUM(BV$28:$BV344)-SUM($BM$29:BM344),BK343,2),BI344+BJ344),2),"")</f>
        <v/>
      </c>
      <c r="BI344" s="78" t="str">
        <f>IF(BF344&lt;&gt;"",IF($F$11="raty malejące",MIN(BK343/($F$4-BF343+SUM($BG$27:BG344)-SUM($BM$27:BM344)),BK343),MIN(BH344-BJ344,BK343)),"")</f>
        <v/>
      </c>
      <c r="BJ344" s="78" t="str">
        <f t="shared" si="299"/>
        <v/>
      </c>
      <c r="BK344" s="79" t="str">
        <f t="shared" si="300"/>
        <v/>
      </c>
      <c r="BL344" s="11"/>
      <c r="BM344" s="33"/>
      <c r="BN344" s="33" t="str">
        <f t="shared" si="295"/>
        <v/>
      </c>
      <c r="BO344" s="33" t="str">
        <f t="shared" si="296"/>
        <v/>
      </c>
      <c r="BP344" s="33" t="str">
        <f>IF(O344&lt;&gt;"",BO344-SUM($BN$44:BN344),"")</f>
        <v/>
      </c>
      <c r="BQ344" s="11" t="str">
        <f t="shared" si="301"/>
        <v/>
      </c>
      <c r="BR344" s="11" t="str">
        <f>IF(BF344&lt;&gt;"",IF($B$16=listy!$K$8,'RZĄDOWY PROGRAM'!$F$3*'RZĄDOWY PROGRAM'!$F$15,BK343*$F$15),"")</f>
        <v/>
      </c>
      <c r="BS344" s="11" t="str">
        <f t="shared" si="302"/>
        <v/>
      </c>
      <c r="BU344" s="8" t="str">
        <f t="shared" si="290"/>
        <v/>
      </c>
      <c r="BV344" s="8"/>
      <c r="BW344" s="78" t="str">
        <f>IF(BU344&lt;&gt;"",ROUND(IF($F$11="raty równe",-PMT(W344/12,$F$4-BU343+SUM($BV$28:BV344)-$CB$43,BZ343,2),BX344+BY344),2),"")</f>
        <v/>
      </c>
      <c r="BX344" s="78" t="str">
        <f>IF(BU344&lt;&gt;"",IF($F$11="raty malejące",MIN(BZ343/($F$4-BU343+SUM($BV$28:BV343)-SUM($CB$28:CB343)),BZ343),MIN(BW344-BY344,BZ343)),"")</f>
        <v/>
      </c>
      <c r="BY344" s="78" t="str">
        <f t="shared" si="303"/>
        <v/>
      </c>
      <c r="BZ344" s="79" t="str">
        <f t="shared" si="292"/>
        <v/>
      </c>
      <c r="CA344" s="11"/>
      <c r="CB344" s="33"/>
      <c r="CC344" s="33" t="str">
        <f t="shared" si="291"/>
        <v/>
      </c>
      <c r="CD344" s="33" t="str">
        <f t="shared" si="297"/>
        <v/>
      </c>
      <c r="CE344" s="33" t="str">
        <f>IF(O344&lt;&gt;"",CD344-SUM($CC$44:CC344),"")</f>
        <v/>
      </c>
      <c r="CF344" s="11" t="str">
        <f t="shared" si="304"/>
        <v/>
      </c>
      <c r="CG344" s="11" t="str">
        <f>IF(BU344&lt;&gt;"",IF($B$16=listy!$K$8,'RZĄDOWY PROGRAM'!$F$3*'RZĄDOWY PROGRAM'!$F$15,BZ343*$F$15),"")</f>
        <v/>
      </c>
      <c r="CH344" s="11" t="str">
        <f t="shared" si="305"/>
        <v/>
      </c>
      <c r="CJ344" s="48" t="str">
        <f t="shared" si="278"/>
        <v/>
      </c>
      <c r="CK344" s="18" t="str">
        <f t="shared" si="279"/>
        <v/>
      </c>
      <c r="CL344" s="11" t="str">
        <f t="shared" si="306"/>
        <v/>
      </c>
      <c r="CM344" s="11" t="str">
        <f t="shared" si="280"/>
        <v/>
      </c>
      <c r="CN344" s="11" t="str">
        <f>IF(AB344&lt;&gt;"",CM344-SUM($CL$28:CL344),"")</f>
        <v/>
      </c>
    </row>
    <row r="345" spans="1:92" x14ac:dyDescent="0.45">
      <c r="A345" s="68" t="str">
        <f t="shared" si="307"/>
        <v/>
      </c>
      <c r="B345" s="8" t="str">
        <f t="shared" si="273"/>
        <v/>
      </c>
      <c r="C345" s="11" t="str">
        <f t="shared" si="274"/>
        <v/>
      </c>
      <c r="D345" s="11" t="str">
        <f t="shared" si="275"/>
        <v/>
      </c>
      <c r="E345" s="11" t="str">
        <f t="shared" si="308"/>
        <v/>
      </c>
      <c r="F345" s="9" t="str">
        <f t="shared" si="309"/>
        <v/>
      </c>
      <c r="G345" s="10" t="str">
        <f t="shared" si="310"/>
        <v/>
      </c>
      <c r="H345" s="10" t="str">
        <f t="shared" si="311"/>
        <v/>
      </c>
      <c r="I345" s="48" t="str">
        <f t="shared" si="281"/>
        <v/>
      </c>
      <c r="J345" s="11" t="str">
        <f t="shared" si="276"/>
        <v/>
      </c>
      <c r="K345" s="11" t="str">
        <f>IF(B345&lt;&gt;"",IF($B$16=listy!$K$8,'RZĄDOWY PROGRAM'!$F$3*'RZĄDOWY PROGRAM'!$F$15,F344*$F$15),"")</f>
        <v/>
      </c>
      <c r="L345" s="11" t="str">
        <f t="shared" si="312"/>
        <v/>
      </c>
      <c r="N345" s="54" t="str">
        <f t="shared" si="313"/>
        <v/>
      </c>
      <c r="O345" s="8" t="str">
        <f t="shared" si="282"/>
        <v/>
      </c>
      <c r="P345" s="8"/>
      <c r="Q345" s="11" t="str">
        <f>IF(O345&lt;&gt;"",ROUND(IF($F$11="raty równe",-PMT(W345/12,$F$4-O344+SUM($P$28:P345),T344,2),R345+S345),2),"")</f>
        <v/>
      </c>
      <c r="R345" s="11" t="str">
        <f>IF(O345&lt;&gt;"",IF($F$11="raty malejące",T344/($F$4-O344+SUM($P$28:P345)),IF(Q345-S345&gt;T344,T344,Q345-S345)),"")</f>
        <v/>
      </c>
      <c r="S345" s="11" t="str">
        <f t="shared" si="314"/>
        <v/>
      </c>
      <c r="T345" s="9" t="str">
        <f t="shared" si="315"/>
        <v/>
      </c>
      <c r="U345" s="10" t="str">
        <f t="shared" si="316"/>
        <v/>
      </c>
      <c r="V345" s="10" t="str">
        <f t="shared" si="317"/>
        <v/>
      </c>
      <c r="W345" s="48" t="str">
        <f t="shared" si="283"/>
        <v/>
      </c>
      <c r="X345" s="11" t="str">
        <f t="shared" si="318"/>
        <v/>
      </c>
      <c r="Y345" s="11" t="str">
        <f>IF(O345&lt;&gt;"",IF($B$16=listy!$K$8,'RZĄDOWY PROGRAM'!$F$3*'RZĄDOWY PROGRAM'!$F$15,T344*$F$15),"")</f>
        <v/>
      </c>
      <c r="Z345" s="11" t="str">
        <f t="shared" si="319"/>
        <v/>
      </c>
      <c r="AB345" s="8" t="str">
        <f t="shared" si="320"/>
        <v/>
      </c>
      <c r="AC345" s="8"/>
      <c r="AD345" s="11" t="str">
        <f>IF(AB345&lt;&gt;"",ROUND(IF($F$11="raty równe",-PMT(W345/12,$F$4-AB344+SUM($AC$28:AC345),AG344,2),AE345+AF345),2),"")</f>
        <v/>
      </c>
      <c r="AE345" s="11" t="str">
        <f>IF(AB345&lt;&gt;"",IF($F$11="raty malejące",AG344/($F$4-AB344+SUM($AC$28:AC344)),MIN(AD345-AF345,AG344)),"")</f>
        <v/>
      </c>
      <c r="AF345" s="11" t="str">
        <f t="shared" si="321"/>
        <v/>
      </c>
      <c r="AG345" s="9" t="str">
        <f t="shared" si="322"/>
        <v/>
      </c>
      <c r="AH345" s="11"/>
      <c r="AI345" s="33" t="str">
        <f>IF(AB345&lt;&gt;"",ROUND(IF($F$11="raty równe",-PMT(W345/12,($F$4-AB344+SUM($AC$27:AC344)),AG344,2),AG344/($F$4-AB344+SUM($AC$27:AC344))+AG344*W345/12),2),"")</f>
        <v/>
      </c>
      <c r="AJ345" s="33" t="str">
        <f t="shared" si="323"/>
        <v/>
      </c>
      <c r="AK345" s="33" t="str">
        <f t="shared" si="277"/>
        <v/>
      </c>
      <c r="AL345" s="33" t="str">
        <f>IF(AB345&lt;&gt;"",AK345-SUM($AJ$28:AJ345),"")</f>
        <v/>
      </c>
      <c r="AM345" s="11" t="str">
        <f t="shared" si="324"/>
        <v/>
      </c>
      <c r="AN345" s="11" t="str">
        <f>IF(AB345&lt;&gt;"",IF($B$16=listy!$K$8,'RZĄDOWY PROGRAM'!$F$3*'RZĄDOWY PROGRAM'!$F$15,AG344*$F$15),"")</f>
        <v/>
      </c>
      <c r="AO345" s="11" t="str">
        <f t="shared" si="325"/>
        <v/>
      </c>
      <c r="AQ345" s="8" t="str">
        <f t="shared" si="284"/>
        <v/>
      </c>
      <c r="AR345" s="8"/>
      <c r="AS345" s="78" t="str">
        <f>IF(AQ345&lt;&gt;"",ROUND(IF($F$11="raty równe",-PMT(W345/12,$F$4-AQ344+SUM($AR$28:AR345),AV344,2),AT345+AU345),2),"")</f>
        <v/>
      </c>
      <c r="AT345" s="78" t="str">
        <f>IF(AQ345&lt;&gt;"",IF($F$11="raty malejące",AV344/($F$4-AQ344+SUM($AR$28:AR344)),MIN(AS345-AU345,AV344)),"")</f>
        <v/>
      </c>
      <c r="AU345" s="78" t="str">
        <f t="shared" si="285"/>
        <v/>
      </c>
      <c r="AV345" s="79" t="str">
        <f t="shared" si="286"/>
        <v/>
      </c>
      <c r="AW345" s="11"/>
      <c r="AX345" s="33" t="str">
        <f>IF(AQ345&lt;&gt;"",ROUND(IF($F$11="raty równe",-PMT(W345/12,($F$4-AQ344+SUM($AR$27:AR344)),AV344,2),AV344/($F$4-AQ344+SUM($AR$27:AR344))+AV344*W345/12),2),"")</f>
        <v/>
      </c>
      <c r="AY345" s="33" t="str">
        <f t="shared" si="287"/>
        <v/>
      </c>
      <c r="AZ345" s="33" t="str">
        <f t="shared" si="294"/>
        <v/>
      </c>
      <c r="BA345" s="33" t="str">
        <f>IF(AQ345&lt;&gt;"",AZ345-SUM($AY$44:AY345),"")</f>
        <v/>
      </c>
      <c r="BB345" s="11" t="str">
        <f t="shared" si="288"/>
        <v/>
      </c>
      <c r="BC345" s="11" t="str">
        <f>IF(AQ345&lt;&gt;"",IF($B$16=listy!$K$8,'RZĄDOWY PROGRAM'!$F$3*'RZĄDOWY PROGRAM'!$F$15,AV344*$F$15),"")</f>
        <v/>
      </c>
      <c r="BD345" s="11" t="str">
        <f t="shared" si="289"/>
        <v/>
      </c>
      <c r="BF345" s="8" t="str">
        <f t="shared" si="298"/>
        <v/>
      </c>
      <c r="BG345" s="8"/>
      <c r="BH345" s="78" t="str">
        <f>IF(BF345&lt;&gt;"",ROUND(IF($F$11="raty równe",-PMT(W345/12,$F$4-BF344+SUM(BV$28:$BV345)-SUM($BM$29:BM345),BK344,2),BI345+BJ345),2),"")</f>
        <v/>
      </c>
      <c r="BI345" s="78" t="str">
        <f>IF(BF345&lt;&gt;"",IF($F$11="raty malejące",MIN(BK344/($F$4-BF344+SUM($BG$27:BG345)-SUM($BM$27:BM345)),BK344),MIN(BH345-BJ345,BK344)),"")</f>
        <v/>
      </c>
      <c r="BJ345" s="78" t="str">
        <f t="shared" si="299"/>
        <v/>
      </c>
      <c r="BK345" s="79" t="str">
        <f t="shared" si="300"/>
        <v/>
      </c>
      <c r="BL345" s="11"/>
      <c r="BM345" s="33"/>
      <c r="BN345" s="33" t="str">
        <f t="shared" si="295"/>
        <v/>
      </c>
      <c r="BO345" s="33" t="str">
        <f t="shared" si="296"/>
        <v/>
      </c>
      <c r="BP345" s="33" t="str">
        <f>IF(O345&lt;&gt;"",BO345-SUM($BN$44:BN345),"")</f>
        <v/>
      </c>
      <c r="BQ345" s="11" t="str">
        <f t="shared" si="301"/>
        <v/>
      </c>
      <c r="BR345" s="11" t="str">
        <f>IF(BF345&lt;&gt;"",IF($B$16=listy!$K$8,'RZĄDOWY PROGRAM'!$F$3*'RZĄDOWY PROGRAM'!$F$15,BK344*$F$15),"")</f>
        <v/>
      </c>
      <c r="BS345" s="11" t="str">
        <f t="shared" si="302"/>
        <v/>
      </c>
      <c r="BU345" s="8" t="str">
        <f t="shared" si="290"/>
        <v/>
      </c>
      <c r="BV345" s="8"/>
      <c r="BW345" s="78" t="str">
        <f>IF(BU345&lt;&gt;"",ROUND(IF($F$11="raty równe",-PMT(W345/12,$F$4-BU344+SUM($BV$28:BV345)-$CB$43,BZ344,2),BX345+BY345),2),"")</f>
        <v/>
      </c>
      <c r="BX345" s="78" t="str">
        <f>IF(BU345&lt;&gt;"",IF($F$11="raty malejące",MIN(BZ344/($F$4-BU344+SUM($BV$28:BV344)-SUM($CB$28:CB344)),BZ344),MIN(BW345-BY345,BZ344)),"")</f>
        <v/>
      </c>
      <c r="BY345" s="78" t="str">
        <f t="shared" si="303"/>
        <v/>
      </c>
      <c r="BZ345" s="79" t="str">
        <f t="shared" si="292"/>
        <v/>
      </c>
      <c r="CA345" s="11"/>
      <c r="CB345" s="33"/>
      <c r="CC345" s="33" t="str">
        <f t="shared" si="291"/>
        <v/>
      </c>
      <c r="CD345" s="33" t="str">
        <f t="shared" si="297"/>
        <v/>
      </c>
      <c r="CE345" s="33" t="str">
        <f>IF(O345&lt;&gt;"",CD345-SUM($CC$44:CC345),"")</f>
        <v/>
      </c>
      <c r="CF345" s="11" t="str">
        <f t="shared" si="304"/>
        <v/>
      </c>
      <c r="CG345" s="11" t="str">
        <f>IF(BU345&lt;&gt;"",IF($B$16=listy!$K$8,'RZĄDOWY PROGRAM'!$F$3*'RZĄDOWY PROGRAM'!$F$15,BZ344*$F$15),"")</f>
        <v/>
      </c>
      <c r="CH345" s="11" t="str">
        <f t="shared" si="305"/>
        <v/>
      </c>
      <c r="CJ345" s="48" t="str">
        <f t="shared" si="278"/>
        <v/>
      </c>
      <c r="CK345" s="18" t="str">
        <f t="shared" si="279"/>
        <v/>
      </c>
      <c r="CL345" s="11" t="str">
        <f t="shared" si="306"/>
        <v/>
      </c>
      <c r="CM345" s="11" t="str">
        <f t="shared" si="280"/>
        <v/>
      </c>
      <c r="CN345" s="11" t="str">
        <f>IF(AB345&lt;&gt;"",CM345-SUM($CL$28:CL345),"")</f>
        <v/>
      </c>
    </row>
    <row r="346" spans="1:92" x14ac:dyDescent="0.45">
      <c r="A346" s="68" t="str">
        <f t="shared" si="307"/>
        <v/>
      </c>
      <c r="B346" s="8" t="str">
        <f t="shared" si="273"/>
        <v/>
      </c>
      <c r="C346" s="11" t="str">
        <f t="shared" si="274"/>
        <v/>
      </c>
      <c r="D346" s="11" t="str">
        <f t="shared" si="275"/>
        <v/>
      </c>
      <c r="E346" s="11" t="str">
        <f t="shared" si="308"/>
        <v/>
      </c>
      <c r="F346" s="9" t="str">
        <f t="shared" si="309"/>
        <v/>
      </c>
      <c r="G346" s="10" t="str">
        <f t="shared" si="310"/>
        <v/>
      </c>
      <c r="H346" s="10" t="str">
        <f t="shared" si="311"/>
        <v/>
      </c>
      <c r="I346" s="48" t="str">
        <f t="shared" si="281"/>
        <v/>
      </c>
      <c r="J346" s="11" t="str">
        <f t="shared" si="276"/>
        <v/>
      </c>
      <c r="K346" s="11" t="str">
        <f>IF(B346&lt;&gt;"",IF($B$16=listy!$K$8,'RZĄDOWY PROGRAM'!$F$3*'RZĄDOWY PROGRAM'!$F$15,F345*$F$15),"")</f>
        <v/>
      </c>
      <c r="L346" s="11" t="str">
        <f t="shared" si="312"/>
        <v/>
      </c>
      <c r="N346" s="54" t="str">
        <f t="shared" si="313"/>
        <v/>
      </c>
      <c r="O346" s="8" t="str">
        <f t="shared" si="282"/>
        <v/>
      </c>
      <c r="P346" s="8"/>
      <c r="Q346" s="11" t="str">
        <f>IF(O346&lt;&gt;"",ROUND(IF($F$11="raty równe",-PMT(W346/12,$F$4-O345+SUM($P$28:P346),T345,2),R346+S346),2),"")</f>
        <v/>
      </c>
      <c r="R346" s="11" t="str">
        <f>IF(O346&lt;&gt;"",IF($F$11="raty malejące",T345/($F$4-O345+SUM($P$28:P346)),IF(Q346-S346&gt;T345,T345,Q346-S346)),"")</f>
        <v/>
      </c>
      <c r="S346" s="11" t="str">
        <f t="shared" si="314"/>
        <v/>
      </c>
      <c r="T346" s="9" t="str">
        <f t="shared" si="315"/>
        <v/>
      </c>
      <c r="U346" s="10" t="str">
        <f t="shared" si="316"/>
        <v/>
      </c>
      <c r="V346" s="10" t="str">
        <f t="shared" si="317"/>
        <v/>
      </c>
      <c r="W346" s="48" t="str">
        <f t="shared" si="283"/>
        <v/>
      </c>
      <c r="X346" s="11" t="str">
        <f t="shared" si="318"/>
        <v/>
      </c>
      <c r="Y346" s="11" t="str">
        <f>IF(O346&lt;&gt;"",IF($B$16=listy!$K$8,'RZĄDOWY PROGRAM'!$F$3*'RZĄDOWY PROGRAM'!$F$15,T345*$F$15),"")</f>
        <v/>
      </c>
      <c r="Z346" s="11" t="str">
        <f t="shared" si="319"/>
        <v/>
      </c>
      <c r="AB346" s="8" t="str">
        <f t="shared" si="320"/>
        <v/>
      </c>
      <c r="AC346" s="8"/>
      <c r="AD346" s="11" t="str">
        <f>IF(AB346&lt;&gt;"",ROUND(IF($F$11="raty równe",-PMT(W346/12,$F$4-AB345+SUM($AC$28:AC346),AG345,2),AE346+AF346),2),"")</f>
        <v/>
      </c>
      <c r="AE346" s="11" t="str">
        <f>IF(AB346&lt;&gt;"",IF($F$11="raty malejące",AG345/($F$4-AB345+SUM($AC$28:AC345)),MIN(AD346-AF346,AG345)),"")</f>
        <v/>
      </c>
      <c r="AF346" s="11" t="str">
        <f t="shared" si="321"/>
        <v/>
      </c>
      <c r="AG346" s="9" t="str">
        <f t="shared" si="322"/>
        <v/>
      </c>
      <c r="AH346" s="11"/>
      <c r="AI346" s="33" t="str">
        <f>IF(AB346&lt;&gt;"",ROUND(IF($F$11="raty równe",-PMT(W346/12,($F$4-AB345+SUM($AC$27:AC345)),AG345,2),AG345/($F$4-AB345+SUM($AC$27:AC345))+AG345*W346/12),2),"")</f>
        <v/>
      </c>
      <c r="AJ346" s="33" t="str">
        <f t="shared" si="323"/>
        <v/>
      </c>
      <c r="AK346" s="33" t="str">
        <f t="shared" si="277"/>
        <v/>
      </c>
      <c r="AL346" s="33" t="str">
        <f>IF(AB346&lt;&gt;"",AK346-SUM($AJ$28:AJ346),"")</f>
        <v/>
      </c>
      <c r="AM346" s="11" t="str">
        <f t="shared" si="324"/>
        <v/>
      </c>
      <c r="AN346" s="11" t="str">
        <f>IF(AB346&lt;&gt;"",IF($B$16=listy!$K$8,'RZĄDOWY PROGRAM'!$F$3*'RZĄDOWY PROGRAM'!$F$15,AG345*$F$15),"")</f>
        <v/>
      </c>
      <c r="AO346" s="11" t="str">
        <f t="shared" si="325"/>
        <v/>
      </c>
      <c r="AQ346" s="8" t="str">
        <f t="shared" si="284"/>
        <v/>
      </c>
      <c r="AR346" s="8"/>
      <c r="AS346" s="78" t="str">
        <f>IF(AQ346&lt;&gt;"",ROUND(IF($F$11="raty równe",-PMT(W346/12,$F$4-AQ345+SUM($AR$28:AR346),AV345,2),AT346+AU346),2),"")</f>
        <v/>
      </c>
      <c r="AT346" s="78" t="str">
        <f>IF(AQ346&lt;&gt;"",IF($F$11="raty malejące",AV345/($F$4-AQ345+SUM($AR$28:AR345)),MIN(AS346-AU346,AV345)),"")</f>
        <v/>
      </c>
      <c r="AU346" s="78" t="str">
        <f t="shared" si="285"/>
        <v/>
      </c>
      <c r="AV346" s="79" t="str">
        <f t="shared" si="286"/>
        <v/>
      </c>
      <c r="AW346" s="11"/>
      <c r="AX346" s="33" t="str">
        <f>IF(AQ346&lt;&gt;"",ROUND(IF($F$11="raty równe",-PMT(W346/12,($F$4-AQ345+SUM($AR$27:AR345)),AV345,2),AV345/($F$4-AQ345+SUM($AR$27:AR345))+AV345*W346/12),2),"")</f>
        <v/>
      </c>
      <c r="AY346" s="33" t="str">
        <f t="shared" si="287"/>
        <v/>
      </c>
      <c r="AZ346" s="33" t="str">
        <f t="shared" si="294"/>
        <v/>
      </c>
      <c r="BA346" s="33" t="str">
        <f>IF(AQ346&lt;&gt;"",AZ346-SUM($AY$44:AY346),"")</f>
        <v/>
      </c>
      <c r="BB346" s="11" t="str">
        <f t="shared" si="288"/>
        <v/>
      </c>
      <c r="BC346" s="11" t="str">
        <f>IF(AQ346&lt;&gt;"",IF($B$16=listy!$K$8,'RZĄDOWY PROGRAM'!$F$3*'RZĄDOWY PROGRAM'!$F$15,AV345*$F$15),"")</f>
        <v/>
      </c>
      <c r="BD346" s="11" t="str">
        <f t="shared" si="289"/>
        <v/>
      </c>
      <c r="BF346" s="8" t="str">
        <f t="shared" si="298"/>
        <v/>
      </c>
      <c r="BG346" s="8"/>
      <c r="BH346" s="78" t="str">
        <f>IF(BF346&lt;&gt;"",ROUND(IF($F$11="raty równe",-PMT(W346/12,$F$4-BF345+SUM(BV$28:$BV346)-SUM($BM$29:BM346),BK345,2),BI346+BJ346),2),"")</f>
        <v/>
      </c>
      <c r="BI346" s="78" t="str">
        <f>IF(BF346&lt;&gt;"",IF($F$11="raty malejące",MIN(BK345/($F$4-BF345+SUM($BG$27:BG346)-SUM($BM$27:BM346)),BK345),MIN(BH346-BJ346,BK345)),"")</f>
        <v/>
      </c>
      <c r="BJ346" s="78" t="str">
        <f t="shared" si="299"/>
        <v/>
      </c>
      <c r="BK346" s="79" t="str">
        <f t="shared" si="300"/>
        <v/>
      </c>
      <c r="BL346" s="11"/>
      <c r="BM346" s="33"/>
      <c r="BN346" s="33" t="str">
        <f t="shared" si="295"/>
        <v/>
      </c>
      <c r="BO346" s="33" t="str">
        <f t="shared" si="296"/>
        <v/>
      </c>
      <c r="BP346" s="33" t="str">
        <f>IF(O346&lt;&gt;"",BO346-SUM($BN$44:BN346),"")</f>
        <v/>
      </c>
      <c r="BQ346" s="11" t="str">
        <f t="shared" si="301"/>
        <v/>
      </c>
      <c r="BR346" s="11" t="str">
        <f>IF(BF346&lt;&gt;"",IF($B$16=listy!$K$8,'RZĄDOWY PROGRAM'!$F$3*'RZĄDOWY PROGRAM'!$F$15,BK345*$F$15),"")</f>
        <v/>
      </c>
      <c r="BS346" s="11" t="str">
        <f t="shared" si="302"/>
        <v/>
      </c>
      <c r="BU346" s="8" t="str">
        <f t="shared" si="290"/>
        <v/>
      </c>
      <c r="BV346" s="8"/>
      <c r="BW346" s="78" t="str">
        <f>IF(BU346&lt;&gt;"",ROUND(IF($F$11="raty równe",-PMT(W346/12,$F$4-BU345+SUM($BV$28:BV346)-$CB$43,BZ345,2),BX346+BY346),2),"")</f>
        <v/>
      </c>
      <c r="BX346" s="78" t="str">
        <f>IF(BU346&lt;&gt;"",IF($F$11="raty malejące",MIN(BZ345/($F$4-BU345+SUM($BV$28:BV345)-SUM($CB$28:CB345)),BZ345),MIN(BW346-BY346,BZ345)),"")</f>
        <v/>
      </c>
      <c r="BY346" s="78" t="str">
        <f t="shared" si="303"/>
        <v/>
      </c>
      <c r="BZ346" s="79" t="str">
        <f t="shared" si="292"/>
        <v/>
      </c>
      <c r="CA346" s="11"/>
      <c r="CB346" s="33"/>
      <c r="CC346" s="33" t="str">
        <f t="shared" si="291"/>
        <v/>
      </c>
      <c r="CD346" s="33" t="str">
        <f t="shared" si="297"/>
        <v/>
      </c>
      <c r="CE346" s="33" t="str">
        <f>IF(O346&lt;&gt;"",CD346-SUM($CC$44:CC346),"")</f>
        <v/>
      </c>
      <c r="CF346" s="11" t="str">
        <f t="shared" si="304"/>
        <v/>
      </c>
      <c r="CG346" s="11" t="str">
        <f>IF(BU346&lt;&gt;"",IF($B$16=listy!$K$8,'RZĄDOWY PROGRAM'!$F$3*'RZĄDOWY PROGRAM'!$F$15,BZ345*$F$15),"")</f>
        <v/>
      </c>
      <c r="CH346" s="11" t="str">
        <f t="shared" si="305"/>
        <v/>
      </c>
      <c r="CJ346" s="48" t="str">
        <f t="shared" si="278"/>
        <v/>
      </c>
      <c r="CK346" s="18" t="str">
        <f t="shared" si="279"/>
        <v/>
      </c>
      <c r="CL346" s="11" t="str">
        <f t="shared" si="306"/>
        <v/>
      </c>
      <c r="CM346" s="11" t="str">
        <f t="shared" si="280"/>
        <v/>
      </c>
      <c r="CN346" s="11" t="str">
        <f>IF(AB346&lt;&gt;"",CM346-SUM($CL$28:CL346),"")</f>
        <v/>
      </c>
    </row>
    <row r="347" spans="1:92" x14ac:dyDescent="0.45">
      <c r="A347" s="68" t="str">
        <f t="shared" si="307"/>
        <v/>
      </c>
      <c r="B347" s="8" t="str">
        <f t="shared" si="273"/>
        <v/>
      </c>
      <c r="C347" s="11" t="str">
        <f t="shared" si="274"/>
        <v/>
      </c>
      <c r="D347" s="11" t="str">
        <f t="shared" si="275"/>
        <v/>
      </c>
      <c r="E347" s="11" t="str">
        <f t="shared" si="308"/>
        <v/>
      </c>
      <c r="F347" s="9" t="str">
        <f t="shared" si="309"/>
        <v/>
      </c>
      <c r="G347" s="10" t="str">
        <f t="shared" si="310"/>
        <v/>
      </c>
      <c r="H347" s="10" t="str">
        <f t="shared" si="311"/>
        <v/>
      </c>
      <c r="I347" s="48" t="str">
        <f t="shared" si="281"/>
        <v/>
      </c>
      <c r="J347" s="11" t="str">
        <f t="shared" si="276"/>
        <v/>
      </c>
      <c r="K347" s="11" t="str">
        <f>IF(B347&lt;&gt;"",IF($B$16=listy!$K$8,'RZĄDOWY PROGRAM'!$F$3*'RZĄDOWY PROGRAM'!$F$15,F346*$F$15),"")</f>
        <v/>
      </c>
      <c r="L347" s="11" t="str">
        <f t="shared" si="312"/>
        <v/>
      </c>
      <c r="N347" s="54" t="str">
        <f t="shared" si="313"/>
        <v/>
      </c>
      <c r="O347" s="8" t="str">
        <f t="shared" si="282"/>
        <v/>
      </c>
      <c r="P347" s="8"/>
      <c r="Q347" s="11" t="str">
        <f>IF(O347&lt;&gt;"",ROUND(IF($F$11="raty równe",-PMT(W347/12,$F$4-O346+SUM($P$28:P347),T346,2),R347+S347),2),"")</f>
        <v/>
      </c>
      <c r="R347" s="11" t="str">
        <f>IF(O347&lt;&gt;"",IF($F$11="raty malejące",T346/($F$4-O346+SUM($P$28:P347)),IF(Q347-S347&gt;T346,T346,Q347-S347)),"")</f>
        <v/>
      </c>
      <c r="S347" s="11" t="str">
        <f t="shared" si="314"/>
        <v/>
      </c>
      <c r="T347" s="9" t="str">
        <f t="shared" si="315"/>
        <v/>
      </c>
      <c r="U347" s="10" t="str">
        <f t="shared" si="316"/>
        <v/>
      </c>
      <c r="V347" s="10" t="str">
        <f t="shared" si="317"/>
        <v/>
      </c>
      <c r="W347" s="48" t="str">
        <f t="shared" si="283"/>
        <v/>
      </c>
      <c r="X347" s="11" t="str">
        <f t="shared" si="318"/>
        <v/>
      </c>
      <c r="Y347" s="11" t="str">
        <f>IF(O347&lt;&gt;"",IF($B$16=listy!$K$8,'RZĄDOWY PROGRAM'!$F$3*'RZĄDOWY PROGRAM'!$F$15,T346*$F$15),"")</f>
        <v/>
      </c>
      <c r="Z347" s="11" t="str">
        <f t="shared" si="319"/>
        <v/>
      </c>
      <c r="AB347" s="8" t="str">
        <f t="shared" si="320"/>
        <v/>
      </c>
      <c r="AC347" s="8"/>
      <c r="AD347" s="11" t="str">
        <f>IF(AB347&lt;&gt;"",ROUND(IF($F$11="raty równe",-PMT(W347/12,$F$4-AB346+SUM($AC$28:AC347),AG346,2),AE347+AF347),2),"")</f>
        <v/>
      </c>
      <c r="AE347" s="11" t="str">
        <f>IF(AB347&lt;&gt;"",IF($F$11="raty malejące",AG346/($F$4-AB346+SUM($AC$28:AC346)),MIN(AD347-AF347,AG346)),"")</f>
        <v/>
      </c>
      <c r="AF347" s="11" t="str">
        <f t="shared" si="321"/>
        <v/>
      </c>
      <c r="AG347" s="9" t="str">
        <f t="shared" si="322"/>
        <v/>
      </c>
      <c r="AH347" s="11"/>
      <c r="AI347" s="33" t="str">
        <f>IF(AB347&lt;&gt;"",ROUND(IF($F$11="raty równe",-PMT(W347/12,($F$4-AB346+SUM($AC$27:AC346)),AG346,2),AG346/($F$4-AB346+SUM($AC$27:AC346))+AG346*W347/12),2),"")</f>
        <v/>
      </c>
      <c r="AJ347" s="33" t="str">
        <f t="shared" si="323"/>
        <v/>
      </c>
      <c r="AK347" s="33" t="str">
        <f t="shared" si="277"/>
        <v/>
      </c>
      <c r="AL347" s="33" t="str">
        <f>IF(AB347&lt;&gt;"",AK347-SUM($AJ$28:AJ347),"")</f>
        <v/>
      </c>
      <c r="AM347" s="11" t="str">
        <f t="shared" si="324"/>
        <v/>
      </c>
      <c r="AN347" s="11" t="str">
        <f>IF(AB347&lt;&gt;"",IF($B$16=listy!$K$8,'RZĄDOWY PROGRAM'!$F$3*'RZĄDOWY PROGRAM'!$F$15,AG346*$F$15),"")</f>
        <v/>
      </c>
      <c r="AO347" s="11" t="str">
        <f t="shared" si="325"/>
        <v/>
      </c>
      <c r="AQ347" s="8" t="str">
        <f t="shared" si="284"/>
        <v/>
      </c>
      <c r="AR347" s="8"/>
      <c r="AS347" s="78" t="str">
        <f>IF(AQ347&lt;&gt;"",ROUND(IF($F$11="raty równe",-PMT(W347/12,$F$4-AQ346+SUM($AR$28:AR347),AV346,2),AT347+AU347),2),"")</f>
        <v/>
      </c>
      <c r="AT347" s="78" t="str">
        <f>IF(AQ347&lt;&gt;"",IF($F$11="raty malejące",AV346/($F$4-AQ346+SUM($AR$28:AR346)),MIN(AS347-AU347,AV346)),"")</f>
        <v/>
      </c>
      <c r="AU347" s="78" t="str">
        <f t="shared" si="285"/>
        <v/>
      </c>
      <c r="AV347" s="79" t="str">
        <f t="shared" si="286"/>
        <v/>
      </c>
      <c r="AW347" s="11"/>
      <c r="AX347" s="33" t="str">
        <f>IF(AQ347&lt;&gt;"",ROUND(IF($F$11="raty równe",-PMT(W347/12,($F$4-AQ346+SUM($AR$27:AR346)),AV346,2),AV346/($F$4-AQ346+SUM($AR$27:AR346))+AV346*W347/12),2),"")</f>
        <v/>
      </c>
      <c r="AY347" s="33" t="str">
        <f t="shared" si="287"/>
        <v/>
      </c>
      <c r="AZ347" s="33" t="str">
        <f t="shared" si="294"/>
        <v/>
      </c>
      <c r="BA347" s="33" t="str">
        <f>IF(AQ347&lt;&gt;"",AZ347-SUM($AY$44:AY347),"")</f>
        <v/>
      </c>
      <c r="BB347" s="11" t="str">
        <f t="shared" si="288"/>
        <v/>
      </c>
      <c r="BC347" s="11" t="str">
        <f>IF(AQ347&lt;&gt;"",IF($B$16=listy!$K$8,'RZĄDOWY PROGRAM'!$F$3*'RZĄDOWY PROGRAM'!$F$15,AV346*$F$15),"")</f>
        <v/>
      </c>
      <c r="BD347" s="11" t="str">
        <f t="shared" si="289"/>
        <v/>
      </c>
      <c r="BF347" s="8" t="str">
        <f t="shared" si="298"/>
        <v/>
      </c>
      <c r="BG347" s="8"/>
      <c r="BH347" s="78" t="str">
        <f>IF(BF347&lt;&gt;"",ROUND(IF($F$11="raty równe",-PMT(W347/12,$F$4-BF346+SUM(BV$28:$BV347)-SUM($BM$29:BM347),BK346,2),BI347+BJ347),2),"")</f>
        <v/>
      </c>
      <c r="BI347" s="78" t="str">
        <f>IF(BF347&lt;&gt;"",IF($F$11="raty malejące",MIN(BK346/($F$4-BF346+SUM($BG$27:BG347)-SUM($BM$27:BM347)),BK346),MIN(BH347-BJ347,BK346)),"")</f>
        <v/>
      </c>
      <c r="BJ347" s="78" t="str">
        <f t="shared" si="299"/>
        <v/>
      </c>
      <c r="BK347" s="79" t="str">
        <f t="shared" si="300"/>
        <v/>
      </c>
      <c r="BL347" s="11"/>
      <c r="BM347" s="33"/>
      <c r="BN347" s="33" t="str">
        <f t="shared" si="295"/>
        <v/>
      </c>
      <c r="BO347" s="33" t="str">
        <f t="shared" si="296"/>
        <v/>
      </c>
      <c r="BP347" s="33" t="str">
        <f>IF(O347&lt;&gt;"",BO347-SUM($BN$44:BN347),"")</f>
        <v/>
      </c>
      <c r="BQ347" s="11" t="str">
        <f t="shared" si="301"/>
        <v/>
      </c>
      <c r="BR347" s="11" t="str">
        <f>IF(BF347&lt;&gt;"",IF($B$16=listy!$K$8,'RZĄDOWY PROGRAM'!$F$3*'RZĄDOWY PROGRAM'!$F$15,BK346*$F$15),"")</f>
        <v/>
      </c>
      <c r="BS347" s="11" t="str">
        <f t="shared" si="302"/>
        <v/>
      </c>
      <c r="BU347" s="8" t="str">
        <f t="shared" si="290"/>
        <v/>
      </c>
      <c r="BV347" s="8"/>
      <c r="BW347" s="78" t="str">
        <f>IF(BU347&lt;&gt;"",ROUND(IF($F$11="raty równe",-PMT(W347/12,$F$4-BU346+SUM($BV$28:BV347)-$CB$43,BZ346,2),BX347+BY347),2),"")</f>
        <v/>
      </c>
      <c r="BX347" s="78" t="str">
        <f>IF(BU347&lt;&gt;"",IF($F$11="raty malejące",MIN(BZ346/($F$4-BU346+SUM($BV$28:BV346)-SUM($CB$28:CB346)),BZ346),MIN(BW347-BY347,BZ346)),"")</f>
        <v/>
      </c>
      <c r="BY347" s="78" t="str">
        <f t="shared" si="303"/>
        <v/>
      </c>
      <c r="BZ347" s="79" t="str">
        <f t="shared" si="292"/>
        <v/>
      </c>
      <c r="CA347" s="11"/>
      <c r="CB347" s="33"/>
      <c r="CC347" s="33" t="str">
        <f t="shared" si="291"/>
        <v/>
      </c>
      <c r="CD347" s="33" t="str">
        <f t="shared" si="297"/>
        <v/>
      </c>
      <c r="CE347" s="33" t="str">
        <f>IF(O347&lt;&gt;"",CD347-SUM($CC$44:CC347),"")</f>
        <v/>
      </c>
      <c r="CF347" s="11" t="str">
        <f t="shared" si="304"/>
        <v/>
      </c>
      <c r="CG347" s="11" t="str">
        <f>IF(BU347&lt;&gt;"",IF($B$16=listy!$K$8,'RZĄDOWY PROGRAM'!$F$3*'RZĄDOWY PROGRAM'!$F$15,BZ346*$F$15),"")</f>
        <v/>
      </c>
      <c r="CH347" s="11" t="str">
        <f t="shared" si="305"/>
        <v/>
      </c>
      <c r="CJ347" s="48" t="str">
        <f t="shared" si="278"/>
        <v/>
      </c>
      <c r="CK347" s="18" t="str">
        <f t="shared" si="279"/>
        <v/>
      </c>
      <c r="CL347" s="11" t="str">
        <f t="shared" si="306"/>
        <v/>
      </c>
      <c r="CM347" s="11" t="str">
        <f t="shared" si="280"/>
        <v/>
      </c>
      <c r="CN347" s="11" t="str">
        <f>IF(AB347&lt;&gt;"",CM347-SUM($CL$28:CL347),"")</f>
        <v/>
      </c>
    </row>
    <row r="348" spans="1:92" x14ac:dyDescent="0.45">
      <c r="A348" s="68" t="str">
        <f t="shared" si="307"/>
        <v/>
      </c>
      <c r="B348" s="8" t="str">
        <f t="shared" ref="B348:B395" si="326">IFERROR(IF(B347+1&lt;=$F$4,B347+1,""),"")</f>
        <v/>
      </c>
      <c r="C348" s="11" t="str">
        <f t="shared" ref="C348:C395" si="327">IF(B348&lt;&gt;"",ROUND(IF($F$11="raty równe",-PMT(I348/12,$F$4-B347,F347,2),D348+E348),2),"")</f>
        <v/>
      </c>
      <c r="D348" s="11" t="str">
        <f t="shared" ref="D348:D395" si="328">IF(B348&lt;&gt;"",IF($F$11="raty malejące",F347/($F$4-B347),IF(C348-E348&gt;F347,F347,C348-E348)),"")</f>
        <v/>
      </c>
      <c r="E348" s="11" t="str">
        <f t="shared" si="308"/>
        <v/>
      </c>
      <c r="F348" s="9" t="str">
        <f t="shared" si="309"/>
        <v/>
      </c>
      <c r="G348" s="10" t="str">
        <f t="shared" si="310"/>
        <v/>
      </c>
      <c r="H348" s="10" t="str">
        <f t="shared" si="311"/>
        <v/>
      </c>
      <c r="I348" s="48" t="str">
        <f t="shared" si="281"/>
        <v/>
      </c>
      <c r="J348" s="11" t="str">
        <f t="shared" ref="J348:J395" si="329">IF(B348&lt;=$F$4,$F$14,"")</f>
        <v/>
      </c>
      <c r="K348" s="11" t="str">
        <f>IF(B348&lt;&gt;"",IF($B$16=listy!$K$8,'RZĄDOWY PROGRAM'!$F$3*'RZĄDOWY PROGRAM'!$F$15,F347*$F$15),"")</f>
        <v/>
      </c>
      <c r="L348" s="11" t="str">
        <f t="shared" si="312"/>
        <v/>
      </c>
      <c r="N348" s="54" t="str">
        <f t="shared" si="313"/>
        <v/>
      </c>
      <c r="O348" s="8" t="str">
        <f t="shared" si="282"/>
        <v/>
      </c>
      <c r="P348" s="8"/>
      <c r="Q348" s="11" t="str">
        <f>IF(O348&lt;&gt;"",ROUND(IF($F$11="raty równe",-PMT(W348/12,$F$4-O347+SUM($P$28:P348),T347,2),R348+S348),2),"")</f>
        <v/>
      </c>
      <c r="R348" s="11" t="str">
        <f>IF(O348&lt;&gt;"",IF($F$11="raty malejące",T347/($F$4-O347+SUM($P$28:P348)),IF(Q348-S348&gt;T347,T347,Q348-S348)),"")</f>
        <v/>
      </c>
      <c r="S348" s="11" t="str">
        <f t="shared" si="314"/>
        <v/>
      </c>
      <c r="T348" s="9" t="str">
        <f t="shared" si="315"/>
        <v/>
      </c>
      <c r="U348" s="10" t="str">
        <f t="shared" si="316"/>
        <v/>
      </c>
      <c r="V348" s="10" t="str">
        <f t="shared" si="317"/>
        <v/>
      </c>
      <c r="W348" s="48" t="str">
        <f t="shared" si="283"/>
        <v/>
      </c>
      <c r="X348" s="11" t="str">
        <f t="shared" si="318"/>
        <v/>
      </c>
      <c r="Y348" s="11" t="str">
        <f>IF(O348&lt;&gt;"",IF($B$16=listy!$K$8,'RZĄDOWY PROGRAM'!$F$3*'RZĄDOWY PROGRAM'!$F$15,T347*$F$15),"")</f>
        <v/>
      </c>
      <c r="Z348" s="11" t="str">
        <f t="shared" si="319"/>
        <v/>
      </c>
      <c r="AB348" s="8" t="str">
        <f t="shared" si="320"/>
        <v/>
      </c>
      <c r="AC348" s="8"/>
      <c r="AD348" s="11" t="str">
        <f>IF(AB348&lt;&gt;"",ROUND(IF($F$11="raty równe",-PMT(W348/12,$F$4-AB347+SUM($AC$28:AC348),AG347,2),AE348+AF348),2),"")</f>
        <v/>
      </c>
      <c r="AE348" s="11" t="str">
        <f>IF(AB348&lt;&gt;"",IF($F$11="raty malejące",AG347/($F$4-AB347+SUM($AC$28:AC347)),MIN(AD348-AF348,AG347)),"")</f>
        <v/>
      </c>
      <c r="AF348" s="11" t="str">
        <f t="shared" si="321"/>
        <v/>
      </c>
      <c r="AG348" s="9" t="str">
        <f t="shared" si="322"/>
        <v/>
      </c>
      <c r="AH348" s="11"/>
      <c r="AI348" s="33" t="str">
        <f>IF(AB348&lt;&gt;"",ROUND(IF($F$11="raty równe",-PMT(W348/12,($F$4-AB347+SUM($AC$27:AC347)),AG347,2),AG347/($F$4-AB347+SUM($AC$27:AC347))+AG347*W348/12),2),"")</f>
        <v/>
      </c>
      <c r="AJ348" s="33" t="str">
        <f t="shared" si="323"/>
        <v/>
      </c>
      <c r="AK348" s="33" t="str">
        <f t="shared" ref="AK348:AK395" si="330">IF(AB348&lt;&gt;"",IF($F$21="co miesiąc",AK347*(1+(1-$F$20)*CK348)+AJ348,(AK347*(1+CK348)+AJ348)),"")</f>
        <v/>
      </c>
      <c r="AL348" s="33" t="str">
        <f>IF(AB348&lt;&gt;"",AK348-SUM($AJ$28:AJ348),"")</f>
        <v/>
      </c>
      <c r="AM348" s="11" t="str">
        <f t="shared" si="324"/>
        <v/>
      </c>
      <c r="AN348" s="11" t="str">
        <f>IF(AB348&lt;&gt;"",IF($B$16=listy!$K$8,'RZĄDOWY PROGRAM'!$F$3*'RZĄDOWY PROGRAM'!$F$15,AG347*$F$15),"")</f>
        <v/>
      </c>
      <c r="AO348" s="11" t="str">
        <f t="shared" si="325"/>
        <v/>
      </c>
      <c r="AQ348" s="8" t="str">
        <f t="shared" si="284"/>
        <v/>
      </c>
      <c r="AR348" s="8"/>
      <c r="AS348" s="78" t="str">
        <f>IF(AQ348&lt;&gt;"",ROUND(IF($F$11="raty równe",-PMT(W348/12,$F$4-AQ347+SUM($AR$28:AR348),AV347,2),AT348+AU348),2),"")</f>
        <v/>
      </c>
      <c r="AT348" s="78" t="str">
        <f>IF(AQ348&lt;&gt;"",IF($F$11="raty malejące",AV347/($F$4-AQ347+SUM($AR$28:AR347)),MIN(AS348-AU348,AV347)),"")</f>
        <v/>
      </c>
      <c r="AU348" s="78" t="str">
        <f t="shared" si="285"/>
        <v/>
      </c>
      <c r="AV348" s="79" t="str">
        <f t="shared" si="286"/>
        <v/>
      </c>
      <c r="AW348" s="11"/>
      <c r="AX348" s="33" t="str">
        <f>IF(AQ348&lt;&gt;"",ROUND(IF($F$11="raty równe",-PMT(W348/12,($F$4-AQ347+SUM($AR$27:AR347)),AV347,2),AV347/($F$4-AQ347+SUM($AR$27:AR347))+AV347*W348/12),2),"")</f>
        <v/>
      </c>
      <c r="AY348" s="33" t="str">
        <f t="shared" si="287"/>
        <v/>
      </c>
      <c r="AZ348" s="33" t="str">
        <f t="shared" si="294"/>
        <v/>
      </c>
      <c r="BA348" s="33" t="str">
        <f>IF(AQ348&lt;&gt;"",AZ348-SUM($AY$44:AY348),"")</f>
        <v/>
      </c>
      <c r="BB348" s="11" t="str">
        <f t="shared" si="288"/>
        <v/>
      </c>
      <c r="BC348" s="11" t="str">
        <f>IF(AQ348&lt;&gt;"",IF($B$16=listy!$K$8,'RZĄDOWY PROGRAM'!$F$3*'RZĄDOWY PROGRAM'!$F$15,AV347*$F$15),"")</f>
        <v/>
      </c>
      <c r="BD348" s="11" t="str">
        <f t="shared" si="289"/>
        <v/>
      </c>
      <c r="BF348" s="8" t="str">
        <f t="shared" si="298"/>
        <v/>
      </c>
      <c r="BG348" s="8"/>
      <c r="BH348" s="78" t="str">
        <f>IF(BF348&lt;&gt;"",ROUND(IF($F$11="raty równe",-PMT(W348/12,$F$4-BF347+SUM(BV$28:$BV348)-SUM($BM$29:BM348),BK347,2),BI348+BJ348),2),"")</f>
        <v/>
      </c>
      <c r="BI348" s="78" t="str">
        <f>IF(BF348&lt;&gt;"",IF($F$11="raty malejące",MIN(BK347/($F$4-BF347+SUM($BG$27:BG348)-SUM($BM$27:BM348)),BK347),MIN(BH348-BJ348,BK347)),"")</f>
        <v/>
      </c>
      <c r="BJ348" s="78" t="str">
        <f t="shared" si="299"/>
        <v/>
      </c>
      <c r="BK348" s="79" t="str">
        <f t="shared" si="300"/>
        <v/>
      </c>
      <c r="BL348" s="11"/>
      <c r="BM348" s="33"/>
      <c r="BN348" s="33" t="str">
        <f t="shared" si="295"/>
        <v/>
      </c>
      <c r="BO348" s="33" t="str">
        <f t="shared" si="296"/>
        <v/>
      </c>
      <c r="BP348" s="33" t="str">
        <f>IF(O348&lt;&gt;"",BO348-SUM($BN$44:BN348),"")</f>
        <v/>
      </c>
      <c r="BQ348" s="11" t="str">
        <f t="shared" si="301"/>
        <v/>
      </c>
      <c r="BR348" s="11" t="str">
        <f>IF(BF348&lt;&gt;"",IF($B$16=listy!$K$8,'RZĄDOWY PROGRAM'!$F$3*'RZĄDOWY PROGRAM'!$F$15,BK347*$F$15),"")</f>
        <v/>
      </c>
      <c r="BS348" s="11" t="str">
        <f t="shared" si="302"/>
        <v/>
      </c>
      <c r="BU348" s="8" t="str">
        <f t="shared" si="290"/>
        <v/>
      </c>
      <c r="BV348" s="8"/>
      <c r="BW348" s="78" t="str">
        <f>IF(BU348&lt;&gt;"",ROUND(IF($F$11="raty równe",-PMT(W348/12,$F$4-BU347+SUM($BV$28:BV348)-$CB$43,BZ347,2),BX348+BY348),2),"")</f>
        <v/>
      </c>
      <c r="BX348" s="78" t="str">
        <f>IF(BU348&lt;&gt;"",IF($F$11="raty malejące",MIN(BZ347/($F$4-BU347+SUM($BV$28:BV347)-SUM($CB$28:CB347)),BZ347),MIN(BW348-BY348,BZ347)),"")</f>
        <v/>
      </c>
      <c r="BY348" s="78" t="str">
        <f t="shared" si="303"/>
        <v/>
      </c>
      <c r="BZ348" s="79" t="str">
        <f t="shared" si="292"/>
        <v/>
      </c>
      <c r="CA348" s="11"/>
      <c r="CB348" s="33"/>
      <c r="CC348" s="33" t="str">
        <f t="shared" si="291"/>
        <v/>
      </c>
      <c r="CD348" s="33" t="str">
        <f t="shared" si="297"/>
        <v/>
      </c>
      <c r="CE348" s="33" t="str">
        <f>IF(O348&lt;&gt;"",CD348-SUM($CC$44:CC348),"")</f>
        <v/>
      </c>
      <c r="CF348" s="11" t="str">
        <f t="shared" si="304"/>
        <v/>
      </c>
      <c r="CG348" s="11" t="str">
        <f>IF(BU348&lt;&gt;"",IF($B$16=listy!$K$8,'RZĄDOWY PROGRAM'!$F$3*'RZĄDOWY PROGRAM'!$F$15,BZ347*$F$15),"")</f>
        <v/>
      </c>
      <c r="CH348" s="11" t="str">
        <f t="shared" si="305"/>
        <v/>
      </c>
      <c r="CJ348" s="48" t="str">
        <f t="shared" ref="CJ348:CJ395" si="331">IF(AB348&lt;&gt;"",$F$19,"")</f>
        <v/>
      </c>
      <c r="CK348" s="18" t="str">
        <f t="shared" ref="CK348:CK395" si="332">IF(AB348&lt;&gt;"",(1+CJ348)^(1/12)-1,"")</f>
        <v/>
      </c>
      <c r="CL348" s="11" t="str">
        <f t="shared" si="306"/>
        <v/>
      </c>
      <c r="CM348" s="11" t="str">
        <f t="shared" ref="CM348:CM395" si="333">IF(AB348&lt;&gt;"",IF($F$21="co miesiąc",CM347*(1+(1-$F$20)*CK348)+CL348,(CM347*(1+CK348)+CL348)),"")</f>
        <v/>
      </c>
      <c r="CN348" s="11" t="str">
        <f>IF(AB348&lt;&gt;"",CM348-SUM($CL$28:CL348),"")</f>
        <v/>
      </c>
    </row>
    <row r="349" spans="1:92" x14ac:dyDescent="0.45">
      <c r="A349" s="68" t="str">
        <f t="shared" si="307"/>
        <v/>
      </c>
      <c r="B349" s="8" t="str">
        <f t="shared" si="326"/>
        <v/>
      </c>
      <c r="C349" s="11" t="str">
        <f t="shared" si="327"/>
        <v/>
      </c>
      <c r="D349" s="11" t="str">
        <f t="shared" si="328"/>
        <v/>
      </c>
      <c r="E349" s="11" t="str">
        <f t="shared" si="308"/>
        <v/>
      </c>
      <c r="F349" s="9" t="str">
        <f t="shared" si="309"/>
        <v/>
      </c>
      <c r="G349" s="10" t="str">
        <f t="shared" si="310"/>
        <v/>
      </c>
      <c r="H349" s="10" t="str">
        <f t="shared" si="311"/>
        <v/>
      </c>
      <c r="I349" s="48" t="str">
        <f t="shared" ref="I349:I395" si="334">IF($B349&lt;&gt;"",IF(AND($F$8="TAK",$B349&lt;=$F$10),$F$9,G349+H349),"")</f>
        <v/>
      </c>
      <c r="J349" s="11" t="str">
        <f t="shared" si="329"/>
        <v/>
      </c>
      <c r="K349" s="11" t="str">
        <f>IF(B349&lt;&gt;"",IF($B$16=listy!$K$8,'RZĄDOWY PROGRAM'!$F$3*'RZĄDOWY PROGRAM'!$F$15,F348*$F$15),"")</f>
        <v/>
      </c>
      <c r="L349" s="11" t="str">
        <f t="shared" si="312"/>
        <v/>
      </c>
      <c r="N349" s="54" t="str">
        <f t="shared" si="313"/>
        <v/>
      </c>
      <c r="O349" s="8" t="str">
        <f t="shared" ref="O349:O395" si="335">IFERROR(IF(O348+1&lt;=$F$4+8,O348+1,""),"")</f>
        <v/>
      </c>
      <c r="P349" s="8"/>
      <c r="Q349" s="11" t="str">
        <f>IF(O349&lt;&gt;"",ROUND(IF($F$11="raty równe",-PMT(W349/12,$F$4-O348+SUM($P$28:P349),T348,2),R349+S349),2),"")</f>
        <v/>
      </c>
      <c r="R349" s="11" t="str">
        <f>IF(O349&lt;&gt;"",IF($F$11="raty malejące",T348/($F$4-O348+SUM($P$28:P349)),IF(Q349-S349&gt;T348,T348,Q349-S349)),"")</f>
        <v/>
      </c>
      <c r="S349" s="11" t="str">
        <f t="shared" si="314"/>
        <v/>
      </c>
      <c r="T349" s="9" t="str">
        <f t="shared" si="315"/>
        <v/>
      </c>
      <c r="U349" s="10" t="str">
        <f t="shared" si="316"/>
        <v/>
      </c>
      <c r="V349" s="10" t="str">
        <f t="shared" si="317"/>
        <v/>
      </c>
      <c r="W349" s="48" t="str">
        <f t="shared" ref="W349:W395" si="336">IF(O349&lt;&gt;"",IF(AND($F$8="TAK",$B349&lt;=$F$10),$F$9,U349+V349),"")</f>
        <v/>
      </c>
      <c r="X349" s="11" t="str">
        <f t="shared" si="318"/>
        <v/>
      </c>
      <c r="Y349" s="11" t="str">
        <f>IF(O349&lt;&gt;"",IF($B$16=listy!$K$8,'RZĄDOWY PROGRAM'!$F$3*'RZĄDOWY PROGRAM'!$F$15,T348*$F$15),"")</f>
        <v/>
      </c>
      <c r="Z349" s="11" t="str">
        <f t="shared" si="319"/>
        <v/>
      </c>
      <c r="AB349" s="8" t="str">
        <f t="shared" si="320"/>
        <v/>
      </c>
      <c r="AC349" s="8"/>
      <c r="AD349" s="11" t="str">
        <f>IF(AB349&lt;&gt;"",ROUND(IF($F$11="raty równe",-PMT(W349/12,$F$4-AB348+SUM($AC$28:AC349),AG348,2),AE349+AF349),2),"")</f>
        <v/>
      </c>
      <c r="AE349" s="11" t="str">
        <f>IF(AB349&lt;&gt;"",IF($F$11="raty malejące",AG348/($F$4-AB348+SUM($AC$28:AC348)),MIN(AD349-AF349,AG348)),"")</f>
        <v/>
      </c>
      <c r="AF349" s="11" t="str">
        <f t="shared" si="321"/>
        <v/>
      </c>
      <c r="AG349" s="9" t="str">
        <f t="shared" si="322"/>
        <v/>
      </c>
      <c r="AH349" s="11"/>
      <c r="AI349" s="33" t="str">
        <f>IF(AB349&lt;&gt;"",ROUND(IF($F$11="raty równe",-PMT(W349/12,($F$4-AB348+SUM($AC$27:AC348)),AG348,2),AG348/($F$4-AB348+SUM($AC$27:AC348))+AG348*W349/12),2),"")</f>
        <v/>
      </c>
      <c r="AJ349" s="33" t="str">
        <f t="shared" si="323"/>
        <v/>
      </c>
      <c r="AK349" s="33" t="str">
        <f t="shared" si="330"/>
        <v/>
      </c>
      <c r="AL349" s="33" t="str">
        <f>IF(AB349&lt;&gt;"",AK349-SUM($AJ$28:AJ349),"")</f>
        <v/>
      </c>
      <c r="AM349" s="11" t="str">
        <f t="shared" si="324"/>
        <v/>
      </c>
      <c r="AN349" s="11" t="str">
        <f>IF(AB349&lt;&gt;"",IF($B$16=listy!$K$8,'RZĄDOWY PROGRAM'!$F$3*'RZĄDOWY PROGRAM'!$F$15,AG348*$F$15),"")</f>
        <v/>
      </c>
      <c r="AO349" s="11" t="str">
        <f t="shared" si="325"/>
        <v/>
      </c>
      <c r="AQ349" s="8" t="str">
        <f t="shared" ref="AQ349:AQ395" si="337">IFERROR(IF(AV348&lt;&gt;0,AQ348+1,""),"")</f>
        <v/>
      </c>
      <c r="AR349" s="8"/>
      <c r="AS349" s="78" t="str">
        <f>IF(AQ349&lt;&gt;"",ROUND(IF($F$11="raty równe",-PMT(W349/12,$F$4-AQ348+SUM($AR$28:AR349),AV348,2),AT349+AU349),2),"")</f>
        <v/>
      </c>
      <c r="AT349" s="78" t="str">
        <f>IF(AQ349&lt;&gt;"",IF($F$11="raty malejące",AV348/($F$4-AQ348+SUM($AR$28:AR348)),MIN(AS349-AU349,AV348)),"")</f>
        <v/>
      </c>
      <c r="AU349" s="78" t="str">
        <f t="shared" ref="AU349:AU395" si="338">IF(AQ349&lt;&gt;"",AV348*W349/12,"")</f>
        <v/>
      </c>
      <c r="AV349" s="79" t="str">
        <f t="shared" ref="AV349:AV395" si="339">IF(AQ349&lt;&gt;"",IF(AW349&lt;&gt;"",AV348-AT349-AW349,AV348-AT349),"")</f>
        <v/>
      </c>
      <c r="AW349" s="11"/>
      <c r="AX349" s="33" t="str">
        <f>IF(AQ349&lt;&gt;"",ROUND(IF($F$11="raty równe",-PMT(W349/12,($F$4-AQ348+SUM($AR$27:AR348)),AV348,2),AV348/($F$4-AQ348+SUM($AR$27:AR348))+AV348*W349/12),2),"")</f>
        <v/>
      </c>
      <c r="AY349" s="33" t="str">
        <f t="shared" ref="AY349:AY395" si="340">IF(AQ349&lt;&gt;"",IF(B349&lt;&gt;"",C349-AS349,-AS349),"")</f>
        <v/>
      </c>
      <c r="AZ349" s="33" t="str">
        <f t="shared" si="294"/>
        <v/>
      </c>
      <c r="BA349" s="33" t="str">
        <f>IF(AQ349&lt;&gt;"",AZ349-SUM($AY$44:AY349),"")</f>
        <v/>
      </c>
      <c r="BB349" s="11" t="str">
        <f t="shared" ref="BB349:BB395" si="341">IF(AQ349&lt;&gt;"",$F$14,"")</f>
        <v/>
      </c>
      <c r="BC349" s="11" t="str">
        <f>IF(AQ349&lt;&gt;"",IF($B$16=listy!$K$8,'RZĄDOWY PROGRAM'!$F$3*'RZĄDOWY PROGRAM'!$F$15,AV348*$F$15),"")</f>
        <v/>
      </c>
      <c r="BD349" s="11" t="str">
        <f t="shared" ref="BD349:BD395" si="342">IF(AS349&lt;&gt;"",BB349+BC349,"")</f>
        <v/>
      </c>
      <c r="BF349" s="8" t="str">
        <f t="shared" si="298"/>
        <v/>
      </c>
      <c r="BG349" s="8"/>
      <c r="BH349" s="78" t="str">
        <f>IF(BF349&lt;&gt;"",ROUND(IF($F$11="raty równe",-PMT(W349/12,$F$4-BF348+SUM(BV$28:$BV349)-SUM($BM$29:BM349),BK348,2),BI349+BJ349),2),"")</f>
        <v/>
      </c>
      <c r="BI349" s="78" t="str">
        <f>IF(BF349&lt;&gt;"",IF($F$11="raty malejące",MIN(BK348/($F$4-BF348+SUM($BG$27:BG349)-SUM($BM$27:BM349)),BK348),MIN(BH349-BJ349,BK348)),"")</f>
        <v/>
      </c>
      <c r="BJ349" s="78" t="str">
        <f t="shared" si="299"/>
        <v/>
      </c>
      <c r="BK349" s="79" t="str">
        <f t="shared" si="300"/>
        <v/>
      </c>
      <c r="BL349" s="11"/>
      <c r="BM349" s="33"/>
      <c r="BN349" s="33" t="str">
        <f t="shared" si="295"/>
        <v/>
      </c>
      <c r="BO349" s="33" t="str">
        <f t="shared" si="296"/>
        <v/>
      </c>
      <c r="BP349" s="33" t="str">
        <f>IF(O349&lt;&gt;"",BO349-SUM($BN$44:BN349),"")</f>
        <v/>
      </c>
      <c r="BQ349" s="11" t="str">
        <f t="shared" si="301"/>
        <v/>
      </c>
      <c r="BR349" s="11" t="str">
        <f>IF(BF349&lt;&gt;"",IF($B$16=listy!$K$8,'RZĄDOWY PROGRAM'!$F$3*'RZĄDOWY PROGRAM'!$F$15,BK348*$F$15),"")</f>
        <v/>
      </c>
      <c r="BS349" s="11" t="str">
        <f t="shared" si="302"/>
        <v/>
      </c>
      <c r="BU349" s="8" t="str">
        <f t="shared" ref="BU349:BU395" si="343">IFERROR(IF(BZ348&lt;&gt;0,BU348+1,""),"")</f>
        <v/>
      </c>
      <c r="BV349" s="8"/>
      <c r="BW349" s="78" t="str">
        <f>IF(BU349&lt;&gt;"",ROUND(IF($F$11="raty równe",-PMT(W349/12,$F$4-BU348+SUM($BV$28:BV349)-$CB$43,BZ348,2),BX349+BY349),2),"")</f>
        <v/>
      </c>
      <c r="BX349" s="78" t="str">
        <f>IF(BU349&lt;&gt;"",IF($F$11="raty malejące",MIN(BZ348/($F$4-BU348+SUM($BV$28:BV348)-SUM($CB$28:CB348)),BZ348),MIN(BW349-BY349,BZ348)),"")</f>
        <v/>
      </c>
      <c r="BY349" s="78" t="str">
        <f t="shared" si="303"/>
        <v/>
      </c>
      <c r="BZ349" s="79" t="str">
        <f t="shared" si="292"/>
        <v/>
      </c>
      <c r="CA349" s="11"/>
      <c r="CB349" s="33"/>
      <c r="CC349" s="33" t="str">
        <f t="shared" ref="CC349:CC395" si="344">IF(O349&lt;&gt;"",IF(ISNUMBER(C349),C349,0)-IF(ISNUMBER(BW349),BW349,0),"")</f>
        <v/>
      </c>
      <c r="CD349" s="33" t="str">
        <f t="shared" si="297"/>
        <v/>
      </c>
      <c r="CE349" s="33" t="str">
        <f>IF(O349&lt;&gt;"",CD349-SUM($CC$44:CC349),"")</f>
        <v/>
      </c>
      <c r="CF349" s="11" t="str">
        <f t="shared" si="304"/>
        <v/>
      </c>
      <c r="CG349" s="11" t="str">
        <f>IF(BU349&lt;&gt;"",IF($B$16=listy!$K$8,'RZĄDOWY PROGRAM'!$F$3*'RZĄDOWY PROGRAM'!$F$15,BZ348*$F$15),"")</f>
        <v/>
      </c>
      <c r="CH349" s="11" t="str">
        <f t="shared" si="305"/>
        <v/>
      </c>
      <c r="CJ349" s="48" t="str">
        <f t="shared" si="331"/>
        <v/>
      </c>
      <c r="CK349" s="18" t="str">
        <f t="shared" si="332"/>
        <v/>
      </c>
      <c r="CL349" s="11" t="str">
        <f t="shared" si="306"/>
        <v/>
      </c>
      <c r="CM349" s="11" t="str">
        <f t="shared" si="333"/>
        <v/>
      </c>
      <c r="CN349" s="11" t="str">
        <f>IF(AB349&lt;&gt;"",CM349-SUM($CL$28:CL349),"")</f>
        <v/>
      </c>
    </row>
    <row r="350" spans="1:92" x14ac:dyDescent="0.45">
      <c r="A350" s="68" t="str">
        <f t="shared" si="307"/>
        <v/>
      </c>
      <c r="B350" s="8" t="str">
        <f t="shared" si="326"/>
        <v/>
      </c>
      <c r="C350" s="11" t="str">
        <f t="shared" si="327"/>
        <v/>
      </c>
      <c r="D350" s="11" t="str">
        <f t="shared" si="328"/>
        <v/>
      </c>
      <c r="E350" s="11" t="str">
        <f t="shared" si="308"/>
        <v/>
      </c>
      <c r="F350" s="9" t="str">
        <f t="shared" si="309"/>
        <v/>
      </c>
      <c r="G350" s="10" t="str">
        <f t="shared" si="310"/>
        <v/>
      </c>
      <c r="H350" s="10" t="str">
        <f t="shared" si="311"/>
        <v/>
      </c>
      <c r="I350" s="48" t="str">
        <f t="shared" si="334"/>
        <v/>
      </c>
      <c r="J350" s="11" t="str">
        <f t="shared" si="329"/>
        <v/>
      </c>
      <c r="K350" s="11" t="str">
        <f>IF(B350&lt;&gt;"",IF($B$16=listy!$K$8,'RZĄDOWY PROGRAM'!$F$3*'RZĄDOWY PROGRAM'!$F$15,F349*$F$15),"")</f>
        <v/>
      </c>
      <c r="L350" s="11" t="str">
        <f t="shared" si="312"/>
        <v/>
      </c>
      <c r="N350" s="54" t="str">
        <f t="shared" si="313"/>
        <v/>
      </c>
      <c r="O350" s="8" t="str">
        <f t="shared" si="335"/>
        <v/>
      </c>
      <c r="P350" s="8"/>
      <c r="Q350" s="11" t="str">
        <f>IF(O350&lt;&gt;"",ROUND(IF($F$11="raty równe",-PMT(W350/12,$F$4-O349+SUM($P$28:P350),T349,2),R350+S350),2),"")</f>
        <v/>
      </c>
      <c r="R350" s="11" t="str">
        <f>IF(O350&lt;&gt;"",IF($F$11="raty malejące",T349/($F$4-O349+SUM($P$28:P350)),IF(Q350-S350&gt;T349,T349,Q350-S350)),"")</f>
        <v/>
      </c>
      <c r="S350" s="11" t="str">
        <f t="shared" si="314"/>
        <v/>
      </c>
      <c r="T350" s="9" t="str">
        <f t="shared" si="315"/>
        <v/>
      </c>
      <c r="U350" s="10" t="str">
        <f t="shared" si="316"/>
        <v/>
      </c>
      <c r="V350" s="10" t="str">
        <f t="shared" si="317"/>
        <v/>
      </c>
      <c r="W350" s="48" t="str">
        <f t="shared" si="336"/>
        <v/>
      </c>
      <c r="X350" s="11" t="str">
        <f t="shared" si="318"/>
        <v/>
      </c>
      <c r="Y350" s="11" t="str">
        <f>IF(O350&lt;&gt;"",IF($B$16=listy!$K$8,'RZĄDOWY PROGRAM'!$F$3*'RZĄDOWY PROGRAM'!$F$15,T349*$F$15),"")</f>
        <v/>
      </c>
      <c r="Z350" s="11" t="str">
        <f t="shared" si="319"/>
        <v/>
      </c>
      <c r="AB350" s="8" t="str">
        <f t="shared" si="320"/>
        <v/>
      </c>
      <c r="AC350" s="8"/>
      <c r="AD350" s="11" t="str">
        <f>IF(AB350&lt;&gt;"",ROUND(IF($F$11="raty równe",-PMT(W350/12,$F$4-AB349+SUM($AC$28:AC350),AG349,2),AE350+AF350),2),"")</f>
        <v/>
      </c>
      <c r="AE350" s="11" t="str">
        <f>IF(AB350&lt;&gt;"",IF($F$11="raty malejące",AG349/($F$4-AB349+SUM($AC$28:AC349)),MIN(AD350-AF350,AG349)),"")</f>
        <v/>
      </c>
      <c r="AF350" s="11" t="str">
        <f t="shared" si="321"/>
        <v/>
      </c>
      <c r="AG350" s="9" t="str">
        <f t="shared" si="322"/>
        <v/>
      </c>
      <c r="AH350" s="11"/>
      <c r="AI350" s="33" t="str">
        <f>IF(AB350&lt;&gt;"",ROUND(IF($F$11="raty równe",-PMT(W350/12,($F$4-AB349+SUM($AC$27:AC349)),AG349,2),AG349/($F$4-AB349+SUM($AC$27:AC349))+AG349*W350/12),2),"")</f>
        <v/>
      </c>
      <c r="AJ350" s="33" t="str">
        <f t="shared" si="323"/>
        <v/>
      </c>
      <c r="AK350" s="33" t="str">
        <f t="shared" si="330"/>
        <v/>
      </c>
      <c r="AL350" s="33" t="str">
        <f>IF(AB350&lt;&gt;"",AK350-SUM($AJ$28:AJ350),"")</f>
        <v/>
      </c>
      <c r="AM350" s="11" t="str">
        <f t="shared" si="324"/>
        <v/>
      </c>
      <c r="AN350" s="11" t="str">
        <f>IF(AB350&lt;&gt;"",IF($B$16=listy!$K$8,'RZĄDOWY PROGRAM'!$F$3*'RZĄDOWY PROGRAM'!$F$15,AG349*$F$15),"")</f>
        <v/>
      </c>
      <c r="AO350" s="11" t="str">
        <f t="shared" si="325"/>
        <v/>
      </c>
      <c r="AQ350" s="8" t="str">
        <f t="shared" si="337"/>
        <v/>
      </c>
      <c r="AR350" s="8"/>
      <c r="AS350" s="78" t="str">
        <f>IF(AQ350&lt;&gt;"",ROUND(IF($F$11="raty równe",-PMT(W350/12,$F$4-AQ349+SUM($AR$28:AR350),AV349,2),AT350+AU350),2),"")</f>
        <v/>
      </c>
      <c r="AT350" s="78" t="str">
        <f>IF(AQ350&lt;&gt;"",IF($F$11="raty malejące",AV349/($F$4-AQ349+SUM($AR$28:AR349)),MIN(AS350-AU350,AV349)),"")</f>
        <v/>
      </c>
      <c r="AU350" s="78" t="str">
        <f t="shared" si="338"/>
        <v/>
      </c>
      <c r="AV350" s="79" t="str">
        <f t="shared" si="339"/>
        <v/>
      </c>
      <c r="AW350" s="11"/>
      <c r="AX350" s="33" t="str">
        <f>IF(AQ350&lt;&gt;"",ROUND(IF($F$11="raty równe",-PMT(W350/12,($F$4-AQ349+SUM($AR$27:AR349)),AV349,2),AV349/($F$4-AQ349+SUM($AR$27:AR349))+AV349*W350/12),2),"")</f>
        <v/>
      </c>
      <c r="AY350" s="33" t="str">
        <f t="shared" si="340"/>
        <v/>
      </c>
      <c r="AZ350" s="33" t="str">
        <f t="shared" si="294"/>
        <v/>
      </c>
      <c r="BA350" s="33" t="str">
        <f>IF(AQ350&lt;&gt;"",AZ350-SUM($AY$44:AY350),"")</f>
        <v/>
      </c>
      <c r="BB350" s="11" t="str">
        <f t="shared" si="341"/>
        <v/>
      </c>
      <c r="BC350" s="11" t="str">
        <f>IF(AQ350&lt;&gt;"",IF($B$16=listy!$K$8,'RZĄDOWY PROGRAM'!$F$3*'RZĄDOWY PROGRAM'!$F$15,AV349*$F$15),"")</f>
        <v/>
      </c>
      <c r="BD350" s="11" t="str">
        <f t="shared" si="342"/>
        <v/>
      </c>
      <c r="BF350" s="8" t="str">
        <f t="shared" si="298"/>
        <v/>
      </c>
      <c r="BG350" s="8"/>
      <c r="BH350" s="78" t="str">
        <f>IF(BF350&lt;&gt;"",ROUND(IF($F$11="raty równe",-PMT(W350/12,$F$4-BF349+SUM(BV$28:$BV350)-SUM($BM$29:BM350),BK349,2),BI350+BJ350),2),"")</f>
        <v/>
      </c>
      <c r="BI350" s="78" t="str">
        <f>IF(BF350&lt;&gt;"",IF($F$11="raty malejące",MIN(BK349/($F$4-BF349+SUM($BG$27:BG350)-SUM($BM$27:BM350)),BK349),MIN(BH350-BJ350,BK349)),"")</f>
        <v/>
      </c>
      <c r="BJ350" s="78" t="str">
        <f t="shared" si="299"/>
        <v/>
      </c>
      <c r="BK350" s="79" t="str">
        <f t="shared" si="300"/>
        <v/>
      </c>
      <c r="BL350" s="11"/>
      <c r="BM350" s="33"/>
      <c r="BN350" s="33" t="str">
        <f t="shared" si="295"/>
        <v/>
      </c>
      <c r="BO350" s="33" t="str">
        <f t="shared" si="296"/>
        <v/>
      </c>
      <c r="BP350" s="33" t="str">
        <f>IF(O350&lt;&gt;"",BO350-SUM($BN$44:BN350),"")</f>
        <v/>
      </c>
      <c r="BQ350" s="11" t="str">
        <f t="shared" si="301"/>
        <v/>
      </c>
      <c r="BR350" s="11" t="str">
        <f>IF(BF350&lt;&gt;"",IF($B$16=listy!$K$8,'RZĄDOWY PROGRAM'!$F$3*'RZĄDOWY PROGRAM'!$F$15,BK349*$F$15),"")</f>
        <v/>
      </c>
      <c r="BS350" s="11" t="str">
        <f t="shared" si="302"/>
        <v/>
      </c>
      <c r="BU350" s="8" t="str">
        <f t="shared" si="343"/>
        <v/>
      </c>
      <c r="BV350" s="8"/>
      <c r="BW350" s="78" t="str">
        <f>IF(BU350&lt;&gt;"",ROUND(IF($F$11="raty równe",-PMT(W350/12,$F$4-BU349+SUM($BV$28:BV350)-$CB$43,BZ349,2),BX350+BY350),2),"")</f>
        <v/>
      </c>
      <c r="BX350" s="78" t="str">
        <f>IF(BU350&lt;&gt;"",IF($F$11="raty malejące",MIN(BZ349/($F$4-BU349+SUM($BV$28:BV349)-SUM($CB$28:CB349)),BZ349),MIN(BW350-BY350,BZ349)),"")</f>
        <v/>
      </c>
      <c r="BY350" s="78" t="str">
        <f t="shared" si="303"/>
        <v/>
      </c>
      <c r="BZ350" s="79" t="str">
        <f t="shared" si="292"/>
        <v/>
      </c>
      <c r="CA350" s="11"/>
      <c r="CB350" s="33"/>
      <c r="CC350" s="33" t="str">
        <f t="shared" si="344"/>
        <v/>
      </c>
      <c r="CD350" s="33" t="str">
        <f t="shared" si="297"/>
        <v/>
      </c>
      <c r="CE350" s="33" t="str">
        <f>IF(O350&lt;&gt;"",CD350-SUM($CC$44:CC350),"")</f>
        <v/>
      </c>
      <c r="CF350" s="11" t="str">
        <f t="shared" si="304"/>
        <v/>
      </c>
      <c r="CG350" s="11" t="str">
        <f>IF(BU350&lt;&gt;"",IF($B$16=listy!$K$8,'RZĄDOWY PROGRAM'!$F$3*'RZĄDOWY PROGRAM'!$F$15,BZ349*$F$15),"")</f>
        <v/>
      </c>
      <c r="CH350" s="11" t="str">
        <f t="shared" si="305"/>
        <v/>
      </c>
      <c r="CJ350" s="48" t="str">
        <f t="shared" si="331"/>
        <v/>
      </c>
      <c r="CK350" s="18" t="str">
        <f t="shared" si="332"/>
        <v/>
      </c>
      <c r="CL350" s="11" t="str">
        <f t="shared" si="306"/>
        <v/>
      </c>
      <c r="CM350" s="11" t="str">
        <f t="shared" si="333"/>
        <v/>
      </c>
      <c r="CN350" s="11" t="str">
        <f>IF(AB350&lt;&gt;"",CM350-SUM($CL$28:CL350),"")</f>
        <v/>
      </c>
    </row>
    <row r="351" spans="1:92" x14ac:dyDescent="0.45">
      <c r="A351" s="68" t="str">
        <f t="shared" si="307"/>
        <v/>
      </c>
      <c r="B351" s="8" t="str">
        <f t="shared" si="326"/>
        <v/>
      </c>
      <c r="C351" s="11" t="str">
        <f t="shared" si="327"/>
        <v/>
      </c>
      <c r="D351" s="11" t="str">
        <f t="shared" si="328"/>
        <v/>
      </c>
      <c r="E351" s="11" t="str">
        <f t="shared" si="308"/>
        <v/>
      </c>
      <c r="F351" s="9" t="str">
        <f t="shared" si="309"/>
        <v/>
      </c>
      <c r="G351" s="10" t="str">
        <f t="shared" si="310"/>
        <v/>
      </c>
      <c r="H351" s="10" t="str">
        <f t="shared" si="311"/>
        <v/>
      </c>
      <c r="I351" s="48" t="str">
        <f t="shared" si="334"/>
        <v/>
      </c>
      <c r="J351" s="11" t="str">
        <f t="shared" si="329"/>
        <v/>
      </c>
      <c r="K351" s="11" t="str">
        <f>IF(B351&lt;&gt;"",IF($B$16=listy!$K$8,'RZĄDOWY PROGRAM'!$F$3*'RZĄDOWY PROGRAM'!$F$15,F350*$F$15),"")</f>
        <v/>
      </c>
      <c r="L351" s="11" t="str">
        <f t="shared" si="312"/>
        <v/>
      </c>
      <c r="N351" s="54" t="str">
        <f t="shared" si="313"/>
        <v/>
      </c>
      <c r="O351" s="8" t="str">
        <f t="shared" si="335"/>
        <v/>
      </c>
      <c r="P351" s="8"/>
      <c r="Q351" s="11" t="str">
        <f>IF(O351&lt;&gt;"",ROUND(IF($F$11="raty równe",-PMT(W351/12,$F$4-O350+SUM($P$28:P351),T350,2),R351+S351),2),"")</f>
        <v/>
      </c>
      <c r="R351" s="11" t="str">
        <f>IF(O351&lt;&gt;"",IF($F$11="raty malejące",T350/($F$4-O350+SUM($P$28:P351)),IF(Q351-S351&gt;T350,T350,Q351-S351)),"")</f>
        <v/>
      </c>
      <c r="S351" s="11" t="str">
        <f t="shared" si="314"/>
        <v/>
      </c>
      <c r="T351" s="9" t="str">
        <f t="shared" si="315"/>
        <v/>
      </c>
      <c r="U351" s="10" t="str">
        <f t="shared" si="316"/>
        <v/>
      </c>
      <c r="V351" s="10" t="str">
        <f t="shared" si="317"/>
        <v/>
      </c>
      <c r="W351" s="48" t="str">
        <f t="shared" si="336"/>
        <v/>
      </c>
      <c r="X351" s="11" t="str">
        <f t="shared" si="318"/>
        <v/>
      </c>
      <c r="Y351" s="11" t="str">
        <f>IF(O351&lt;&gt;"",IF($B$16=listy!$K$8,'RZĄDOWY PROGRAM'!$F$3*'RZĄDOWY PROGRAM'!$F$15,T350*$F$15),"")</f>
        <v/>
      </c>
      <c r="Z351" s="11" t="str">
        <f t="shared" si="319"/>
        <v/>
      </c>
      <c r="AB351" s="8" t="str">
        <f t="shared" si="320"/>
        <v/>
      </c>
      <c r="AC351" s="8"/>
      <c r="AD351" s="11" t="str">
        <f>IF(AB351&lt;&gt;"",ROUND(IF($F$11="raty równe",-PMT(W351/12,$F$4-AB350+SUM($AC$28:AC351),AG350,2),AE351+AF351),2),"")</f>
        <v/>
      </c>
      <c r="AE351" s="11" t="str">
        <f>IF(AB351&lt;&gt;"",IF($F$11="raty malejące",AG350/($F$4-AB350+SUM($AC$28:AC350)),MIN(AD351-AF351,AG350)),"")</f>
        <v/>
      </c>
      <c r="AF351" s="11" t="str">
        <f t="shared" si="321"/>
        <v/>
      </c>
      <c r="AG351" s="9" t="str">
        <f t="shared" si="322"/>
        <v/>
      </c>
      <c r="AH351" s="11"/>
      <c r="AI351" s="33" t="str">
        <f>IF(AB351&lt;&gt;"",ROUND(IF($F$11="raty równe",-PMT(W351/12,($F$4-AB350+SUM($AC$27:AC350)),AG350,2),AG350/($F$4-AB350+SUM($AC$27:AC350))+AG350*W351/12),2),"")</f>
        <v/>
      </c>
      <c r="AJ351" s="33" t="str">
        <f t="shared" si="323"/>
        <v/>
      </c>
      <c r="AK351" s="33" t="str">
        <f t="shared" si="330"/>
        <v/>
      </c>
      <c r="AL351" s="33" t="str">
        <f>IF(AB351&lt;&gt;"",AK351-SUM($AJ$28:AJ351),"")</f>
        <v/>
      </c>
      <c r="AM351" s="11" t="str">
        <f t="shared" si="324"/>
        <v/>
      </c>
      <c r="AN351" s="11" t="str">
        <f>IF(AB351&lt;&gt;"",IF($B$16=listy!$K$8,'RZĄDOWY PROGRAM'!$F$3*'RZĄDOWY PROGRAM'!$F$15,AG350*$F$15),"")</f>
        <v/>
      </c>
      <c r="AO351" s="11" t="str">
        <f t="shared" si="325"/>
        <v/>
      </c>
      <c r="AQ351" s="8" t="str">
        <f t="shared" si="337"/>
        <v/>
      </c>
      <c r="AR351" s="8"/>
      <c r="AS351" s="78" t="str">
        <f>IF(AQ351&lt;&gt;"",ROUND(IF($F$11="raty równe",-PMT(W351/12,$F$4-AQ350+SUM($AR$28:AR351),AV350,2),AT351+AU351),2),"")</f>
        <v/>
      </c>
      <c r="AT351" s="78" t="str">
        <f>IF(AQ351&lt;&gt;"",IF($F$11="raty malejące",AV350/($F$4-AQ350+SUM($AR$28:AR350)),MIN(AS351-AU351,AV350)),"")</f>
        <v/>
      </c>
      <c r="AU351" s="78" t="str">
        <f t="shared" si="338"/>
        <v/>
      </c>
      <c r="AV351" s="79" t="str">
        <f t="shared" si="339"/>
        <v/>
      </c>
      <c r="AW351" s="11"/>
      <c r="AX351" s="33" t="str">
        <f>IF(AQ351&lt;&gt;"",ROUND(IF($F$11="raty równe",-PMT(W351/12,($F$4-AQ350+SUM($AR$27:AR350)),AV350,2),AV350/($F$4-AQ350+SUM($AR$27:AR350))+AV350*W351/12),2),"")</f>
        <v/>
      </c>
      <c r="AY351" s="33" t="str">
        <f t="shared" si="340"/>
        <v/>
      </c>
      <c r="AZ351" s="33" t="str">
        <f t="shared" si="294"/>
        <v/>
      </c>
      <c r="BA351" s="33" t="str">
        <f>IF(AQ351&lt;&gt;"",AZ351-SUM($AY$44:AY351),"")</f>
        <v/>
      </c>
      <c r="BB351" s="11" t="str">
        <f t="shared" si="341"/>
        <v/>
      </c>
      <c r="BC351" s="11" t="str">
        <f>IF(AQ351&lt;&gt;"",IF($B$16=listy!$K$8,'RZĄDOWY PROGRAM'!$F$3*'RZĄDOWY PROGRAM'!$F$15,AV350*$F$15),"")</f>
        <v/>
      </c>
      <c r="BD351" s="11" t="str">
        <f t="shared" si="342"/>
        <v/>
      </c>
      <c r="BF351" s="8" t="str">
        <f t="shared" si="298"/>
        <v/>
      </c>
      <c r="BG351" s="8"/>
      <c r="BH351" s="78" t="str">
        <f>IF(BF351&lt;&gt;"",ROUND(IF($F$11="raty równe",-PMT(W351/12,$F$4-BF350+SUM(BV$28:$BV351)-SUM($BM$29:BM351),BK350,2),BI351+BJ351),2),"")</f>
        <v/>
      </c>
      <c r="BI351" s="78" t="str">
        <f>IF(BF351&lt;&gt;"",IF($F$11="raty malejące",MIN(BK350/($F$4-BF350+SUM($BG$27:BG351)-SUM($BM$27:BM351)),BK350),MIN(BH351-BJ351,BK350)),"")</f>
        <v/>
      </c>
      <c r="BJ351" s="78" t="str">
        <f t="shared" si="299"/>
        <v/>
      </c>
      <c r="BK351" s="79" t="str">
        <f t="shared" si="300"/>
        <v/>
      </c>
      <c r="BL351" s="11"/>
      <c r="BM351" s="33"/>
      <c r="BN351" s="33" t="str">
        <f t="shared" si="295"/>
        <v/>
      </c>
      <c r="BO351" s="33" t="str">
        <f t="shared" si="296"/>
        <v/>
      </c>
      <c r="BP351" s="33" t="str">
        <f>IF(O351&lt;&gt;"",BO351-SUM($BN$44:BN351),"")</f>
        <v/>
      </c>
      <c r="BQ351" s="11" t="str">
        <f t="shared" si="301"/>
        <v/>
      </c>
      <c r="BR351" s="11" t="str">
        <f>IF(BF351&lt;&gt;"",IF($B$16=listy!$K$8,'RZĄDOWY PROGRAM'!$F$3*'RZĄDOWY PROGRAM'!$F$15,BK350*$F$15),"")</f>
        <v/>
      </c>
      <c r="BS351" s="11" t="str">
        <f t="shared" si="302"/>
        <v/>
      </c>
      <c r="BU351" s="8" t="str">
        <f t="shared" si="343"/>
        <v/>
      </c>
      <c r="BV351" s="8"/>
      <c r="BW351" s="78" t="str">
        <f>IF(BU351&lt;&gt;"",ROUND(IF($F$11="raty równe",-PMT(W351/12,$F$4-BU350+SUM($BV$28:BV351)-$CB$43,BZ350,2),BX351+BY351),2),"")</f>
        <v/>
      </c>
      <c r="BX351" s="78" t="str">
        <f>IF(BU351&lt;&gt;"",IF($F$11="raty malejące",MIN(BZ350/($F$4-BU350+SUM($BV$28:BV350)-SUM($CB$28:CB350)),BZ350),MIN(BW351-BY351,BZ350)),"")</f>
        <v/>
      </c>
      <c r="BY351" s="78" t="str">
        <f t="shared" si="303"/>
        <v/>
      </c>
      <c r="BZ351" s="79" t="str">
        <f t="shared" si="292"/>
        <v/>
      </c>
      <c r="CA351" s="11"/>
      <c r="CB351" s="33"/>
      <c r="CC351" s="33" t="str">
        <f t="shared" si="344"/>
        <v/>
      </c>
      <c r="CD351" s="33" t="str">
        <f t="shared" si="297"/>
        <v/>
      </c>
      <c r="CE351" s="33" t="str">
        <f>IF(O351&lt;&gt;"",CD351-SUM($CC$44:CC351),"")</f>
        <v/>
      </c>
      <c r="CF351" s="11" t="str">
        <f t="shared" si="304"/>
        <v/>
      </c>
      <c r="CG351" s="11" t="str">
        <f>IF(BU351&lt;&gt;"",IF($B$16=listy!$K$8,'RZĄDOWY PROGRAM'!$F$3*'RZĄDOWY PROGRAM'!$F$15,BZ350*$F$15),"")</f>
        <v/>
      </c>
      <c r="CH351" s="11" t="str">
        <f t="shared" si="305"/>
        <v/>
      </c>
      <c r="CJ351" s="48" t="str">
        <f t="shared" si="331"/>
        <v/>
      </c>
      <c r="CK351" s="18" t="str">
        <f t="shared" si="332"/>
        <v/>
      </c>
      <c r="CL351" s="11" t="str">
        <f t="shared" si="306"/>
        <v/>
      </c>
      <c r="CM351" s="11" t="str">
        <f t="shared" si="333"/>
        <v/>
      </c>
      <c r="CN351" s="11" t="str">
        <f>IF(AB351&lt;&gt;"",CM351-SUM($CL$28:CL351),"")</f>
        <v/>
      </c>
    </row>
    <row r="352" spans="1:92" x14ac:dyDescent="0.45">
      <c r="A352" s="68" t="str">
        <f t="shared" si="307"/>
        <v/>
      </c>
      <c r="B352" s="8" t="str">
        <f t="shared" si="326"/>
        <v/>
      </c>
      <c r="C352" s="11" t="str">
        <f t="shared" si="327"/>
        <v/>
      </c>
      <c r="D352" s="11" t="str">
        <f t="shared" si="328"/>
        <v/>
      </c>
      <c r="E352" s="11" t="str">
        <f t="shared" si="308"/>
        <v/>
      </c>
      <c r="F352" s="9" t="str">
        <f t="shared" si="309"/>
        <v/>
      </c>
      <c r="G352" s="10" t="str">
        <f t="shared" si="310"/>
        <v/>
      </c>
      <c r="H352" s="10" t="str">
        <f t="shared" si="311"/>
        <v/>
      </c>
      <c r="I352" s="48" t="str">
        <f t="shared" si="334"/>
        <v/>
      </c>
      <c r="J352" s="11" t="str">
        <f t="shared" si="329"/>
        <v/>
      </c>
      <c r="K352" s="11" t="str">
        <f>IF(B352&lt;&gt;"",IF($B$16=listy!$K$8,'RZĄDOWY PROGRAM'!$F$3*'RZĄDOWY PROGRAM'!$F$15,F351*$F$15),"")</f>
        <v/>
      </c>
      <c r="L352" s="11" t="str">
        <f t="shared" si="312"/>
        <v/>
      </c>
      <c r="N352" s="54" t="str">
        <f t="shared" si="313"/>
        <v/>
      </c>
      <c r="O352" s="8" t="str">
        <f t="shared" si="335"/>
        <v/>
      </c>
      <c r="P352" s="8"/>
      <c r="Q352" s="11" t="str">
        <f>IF(O352&lt;&gt;"",ROUND(IF($F$11="raty równe",-PMT(W352/12,$F$4-O351+SUM($P$28:P352),T351,2),R352+S352),2),"")</f>
        <v/>
      </c>
      <c r="R352" s="11" t="str">
        <f>IF(O352&lt;&gt;"",IF($F$11="raty malejące",T351/($F$4-O351+SUM($P$28:P352)),IF(Q352-S352&gt;T351,T351,Q352-S352)),"")</f>
        <v/>
      </c>
      <c r="S352" s="11" t="str">
        <f t="shared" si="314"/>
        <v/>
      </c>
      <c r="T352" s="9" t="str">
        <f t="shared" si="315"/>
        <v/>
      </c>
      <c r="U352" s="10" t="str">
        <f t="shared" si="316"/>
        <v/>
      </c>
      <c r="V352" s="10" t="str">
        <f t="shared" si="317"/>
        <v/>
      </c>
      <c r="W352" s="48" t="str">
        <f t="shared" si="336"/>
        <v/>
      </c>
      <c r="X352" s="11" t="str">
        <f t="shared" si="318"/>
        <v/>
      </c>
      <c r="Y352" s="11" t="str">
        <f>IF(O352&lt;&gt;"",IF($B$16=listy!$K$8,'RZĄDOWY PROGRAM'!$F$3*'RZĄDOWY PROGRAM'!$F$15,T351*$F$15),"")</f>
        <v/>
      </c>
      <c r="Z352" s="11" t="str">
        <f t="shared" si="319"/>
        <v/>
      </c>
      <c r="AB352" s="8" t="str">
        <f t="shared" si="320"/>
        <v/>
      </c>
      <c r="AC352" s="8"/>
      <c r="AD352" s="11" t="str">
        <f>IF(AB352&lt;&gt;"",ROUND(IF($F$11="raty równe",-PMT(W352/12,$F$4-AB351+SUM($AC$28:AC352),AG351,2),AE352+AF352),2),"")</f>
        <v/>
      </c>
      <c r="AE352" s="11" t="str">
        <f>IF(AB352&lt;&gt;"",IF($F$11="raty malejące",AG351/($F$4-AB351+SUM($AC$28:AC351)),MIN(AD352-AF352,AG351)),"")</f>
        <v/>
      </c>
      <c r="AF352" s="11" t="str">
        <f t="shared" si="321"/>
        <v/>
      </c>
      <c r="AG352" s="9" t="str">
        <f t="shared" si="322"/>
        <v/>
      </c>
      <c r="AH352" s="11"/>
      <c r="AI352" s="33" t="str">
        <f>IF(AB352&lt;&gt;"",ROUND(IF($F$11="raty równe",-PMT(W352/12,($F$4-AB351+SUM($AC$27:AC351)),AG351,2),AG351/($F$4-AB351+SUM($AC$27:AC351))+AG351*W352/12),2),"")</f>
        <v/>
      </c>
      <c r="AJ352" s="33" t="str">
        <f t="shared" si="323"/>
        <v/>
      </c>
      <c r="AK352" s="33" t="str">
        <f t="shared" si="330"/>
        <v/>
      </c>
      <c r="AL352" s="33" t="str">
        <f>IF(AB352&lt;&gt;"",AK352-SUM($AJ$28:AJ352),"")</f>
        <v/>
      </c>
      <c r="AM352" s="11" t="str">
        <f t="shared" si="324"/>
        <v/>
      </c>
      <c r="AN352" s="11" t="str">
        <f>IF(AB352&lt;&gt;"",IF($B$16=listy!$K$8,'RZĄDOWY PROGRAM'!$F$3*'RZĄDOWY PROGRAM'!$F$15,AG351*$F$15),"")</f>
        <v/>
      </c>
      <c r="AO352" s="11" t="str">
        <f t="shared" si="325"/>
        <v/>
      </c>
      <c r="AQ352" s="8" t="str">
        <f t="shared" si="337"/>
        <v/>
      </c>
      <c r="AR352" s="8"/>
      <c r="AS352" s="78" t="str">
        <f>IF(AQ352&lt;&gt;"",ROUND(IF($F$11="raty równe",-PMT(W352/12,$F$4-AQ351+SUM($AR$28:AR352),AV351,2),AT352+AU352),2),"")</f>
        <v/>
      </c>
      <c r="AT352" s="78" t="str">
        <f>IF(AQ352&lt;&gt;"",IF($F$11="raty malejące",AV351/($F$4-AQ351+SUM($AR$28:AR351)),MIN(AS352-AU352,AV351)),"")</f>
        <v/>
      </c>
      <c r="AU352" s="78" t="str">
        <f t="shared" si="338"/>
        <v/>
      </c>
      <c r="AV352" s="79" t="str">
        <f t="shared" si="339"/>
        <v/>
      </c>
      <c r="AW352" s="11"/>
      <c r="AX352" s="33" t="str">
        <f>IF(AQ352&lt;&gt;"",ROUND(IF($F$11="raty równe",-PMT(W352/12,($F$4-AQ351+SUM($AR$27:AR351)),AV351,2),AV351/($F$4-AQ351+SUM($AR$27:AR351))+AV351*W352/12),2),"")</f>
        <v/>
      </c>
      <c r="AY352" s="33" t="str">
        <f t="shared" si="340"/>
        <v/>
      </c>
      <c r="AZ352" s="33" t="str">
        <f t="shared" si="294"/>
        <v/>
      </c>
      <c r="BA352" s="33" t="str">
        <f>IF(AQ352&lt;&gt;"",AZ352-SUM($AY$44:AY352),"")</f>
        <v/>
      </c>
      <c r="BB352" s="11" t="str">
        <f t="shared" si="341"/>
        <v/>
      </c>
      <c r="BC352" s="11" t="str">
        <f>IF(AQ352&lt;&gt;"",IF($B$16=listy!$K$8,'RZĄDOWY PROGRAM'!$F$3*'RZĄDOWY PROGRAM'!$F$15,AV351*$F$15),"")</f>
        <v/>
      </c>
      <c r="BD352" s="11" t="str">
        <f t="shared" si="342"/>
        <v/>
      </c>
      <c r="BF352" s="8" t="str">
        <f t="shared" si="298"/>
        <v/>
      </c>
      <c r="BG352" s="8"/>
      <c r="BH352" s="78" t="str">
        <f>IF(BF352&lt;&gt;"",ROUND(IF($F$11="raty równe",-PMT(W352/12,$F$4-BF351+SUM(BV$28:$BV352)-SUM($BM$29:BM352),BK351,2),BI352+BJ352),2),"")</f>
        <v/>
      </c>
      <c r="BI352" s="78" t="str">
        <f>IF(BF352&lt;&gt;"",IF($F$11="raty malejące",MIN(BK351/($F$4-BF351+SUM($BG$27:BG352)-SUM($BM$27:BM352)),BK351),MIN(BH352-BJ352,BK351)),"")</f>
        <v/>
      </c>
      <c r="BJ352" s="78" t="str">
        <f t="shared" si="299"/>
        <v/>
      </c>
      <c r="BK352" s="79" t="str">
        <f t="shared" si="300"/>
        <v/>
      </c>
      <c r="BL352" s="11"/>
      <c r="BM352" s="33"/>
      <c r="BN352" s="33" t="str">
        <f t="shared" si="295"/>
        <v/>
      </c>
      <c r="BO352" s="33" t="str">
        <f t="shared" si="296"/>
        <v/>
      </c>
      <c r="BP352" s="33" t="str">
        <f>IF(O352&lt;&gt;"",BO352-SUM($BN$44:BN352),"")</f>
        <v/>
      </c>
      <c r="BQ352" s="11" t="str">
        <f t="shared" si="301"/>
        <v/>
      </c>
      <c r="BR352" s="11" t="str">
        <f>IF(BF352&lt;&gt;"",IF($B$16=listy!$K$8,'RZĄDOWY PROGRAM'!$F$3*'RZĄDOWY PROGRAM'!$F$15,BK351*$F$15),"")</f>
        <v/>
      </c>
      <c r="BS352" s="11" t="str">
        <f t="shared" si="302"/>
        <v/>
      </c>
      <c r="BU352" s="8" t="str">
        <f t="shared" si="343"/>
        <v/>
      </c>
      <c r="BV352" s="8"/>
      <c r="BW352" s="78" t="str">
        <f>IF(BU352&lt;&gt;"",ROUND(IF($F$11="raty równe",-PMT(W352/12,$F$4-BU351+SUM($BV$28:BV352)-$CB$43,BZ351,2),BX352+BY352),2),"")</f>
        <v/>
      </c>
      <c r="BX352" s="78" t="str">
        <f>IF(BU352&lt;&gt;"",IF($F$11="raty malejące",MIN(BZ351/($F$4-BU351+SUM($BV$28:BV351)-SUM($CB$28:CB351)),BZ351),MIN(BW352-BY352,BZ351)),"")</f>
        <v/>
      </c>
      <c r="BY352" s="78" t="str">
        <f t="shared" si="303"/>
        <v/>
      </c>
      <c r="BZ352" s="79" t="str">
        <f t="shared" si="292"/>
        <v/>
      </c>
      <c r="CA352" s="11"/>
      <c r="CB352" s="33"/>
      <c r="CC352" s="33" t="str">
        <f t="shared" si="344"/>
        <v/>
      </c>
      <c r="CD352" s="33" t="str">
        <f t="shared" si="297"/>
        <v/>
      </c>
      <c r="CE352" s="33" t="str">
        <f>IF(O352&lt;&gt;"",CD352-SUM($CC$44:CC352),"")</f>
        <v/>
      </c>
      <c r="CF352" s="11" t="str">
        <f t="shared" si="304"/>
        <v/>
      </c>
      <c r="CG352" s="11" t="str">
        <f>IF(BU352&lt;&gt;"",IF($B$16=listy!$K$8,'RZĄDOWY PROGRAM'!$F$3*'RZĄDOWY PROGRAM'!$F$15,BZ351*$F$15),"")</f>
        <v/>
      </c>
      <c r="CH352" s="11" t="str">
        <f t="shared" si="305"/>
        <v/>
      </c>
      <c r="CJ352" s="48" t="str">
        <f t="shared" si="331"/>
        <v/>
      </c>
      <c r="CK352" s="18" t="str">
        <f t="shared" si="332"/>
        <v/>
      </c>
      <c r="CL352" s="11" t="str">
        <f t="shared" si="306"/>
        <v/>
      </c>
      <c r="CM352" s="11" t="str">
        <f t="shared" si="333"/>
        <v/>
      </c>
      <c r="CN352" s="11" t="str">
        <f>IF(AB352&lt;&gt;"",CM352-SUM($CL$28:CL352),"")</f>
        <v/>
      </c>
    </row>
    <row r="353" spans="1:92" x14ac:dyDescent="0.45">
      <c r="A353" s="68" t="str">
        <f t="shared" si="307"/>
        <v/>
      </c>
      <c r="B353" s="8" t="str">
        <f t="shared" si="326"/>
        <v/>
      </c>
      <c r="C353" s="11" t="str">
        <f t="shared" si="327"/>
        <v/>
      </c>
      <c r="D353" s="11" t="str">
        <f t="shared" si="328"/>
        <v/>
      </c>
      <c r="E353" s="11" t="str">
        <f t="shared" si="308"/>
        <v/>
      </c>
      <c r="F353" s="9" t="str">
        <f t="shared" si="309"/>
        <v/>
      </c>
      <c r="G353" s="10" t="str">
        <f t="shared" si="310"/>
        <v/>
      </c>
      <c r="H353" s="10" t="str">
        <f t="shared" si="311"/>
        <v/>
      </c>
      <c r="I353" s="48" t="str">
        <f t="shared" si="334"/>
        <v/>
      </c>
      <c r="J353" s="11" t="str">
        <f t="shared" si="329"/>
        <v/>
      </c>
      <c r="K353" s="11" t="str">
        <f>IF(B353&lt;&gt;"",IF($B$16=listy!$K$8,'RZĄDOWY PROGRAM'!$F$3*'RZĄDOWY PROGRAM'!$F$15,F352*$F$15),"")</f>
        <v/>
      </c>
      <c r="L353" s="11" t="str">
        <f t="shared" si="312"/>
        <v/>
      </c>
      <c r="N353" s="54" t="str">
        <f t="shared" si="313"/>
        <v/>
      </c>
      <c r="O353" s="8" t="str">
        <f t="shared" si="335"/>
        <v/>
      </c>
      <c r="P353" s="8"/>
      <c r="Q353" s="11" t="str">
        <f>IF(O353&lt;&gt;"",ROUND(IF($F$11="raty równe",-PMT(W353/12,$F$4-O352+SUM($P$28:P353),T352,2),R353+S353),2),"")</f>
        <v/>
      </c>
      <c r="R353" s="11" t="str">
        <f>IF(O353&lt;&gt;"",IF($F$11="raty malejące",T352/($F$4-O352+SUM($P$28:P353)),IF(Q353-S353&gt;T352,T352,Q353-S353)),"")</f>
        <v/>
      </c>
      <c r="S353" s="11" t="str">
        <f t="shared" si="314"/>
        <v/>
      </c>
      <c r="T353" s="9" t="str">
        <f t="shared" si="315"/>
        <v/>
      </c>
      <c r="U353" s="10" t="str">
        <f t="shared" si="316"/>
        <v/>
      </c>
      <c r="V353" s="10" t="str">
        <f t="shared" si="317"/>
        <v/>
      </c>
      <c r="W353" s="48" t="str">
        <f t="shared" si="336"/>
        <v/>
      </c>
      <c r="X353" s="11" t="str">
        <f t="shared" si="318"/>
        <v/>
      </c>
      <c r="Y353" s="11" t="str">
        <f>IF(O353&lt;&gt;"",IF($B$16=listy!$K$8,'RZĄDOWY PROGRAM'!$F$3*'RZĄDOWY PROGRAM'!$F$15,T352*$F$15),"")</f>
        <v/>
      </c>
      <c r="Z353" s="11" t="str">
        <f t="shared" si="319"/>
        <v/>
      </c>
      <c r="AB353" s="8" t="str">
        <f t="shared" si="320"/>
        <v/>
      </c>
      <c r="AC353" s="8"/>
      <c r="AD353" s="11" t="str">
        <f>IF(AB353&lt;&gt;"",ROUND(IF($F$11="raty równe",-PMT(W353/12,$F$4-AB352+SUM($AC$28:AC353),AG352,2),AE353+AF353),2),"")</f>
        <v/>
      </c>
      <c r="AE353" s="11" t="str">
        <f>IF(AB353&lt;&gt;"",IF($F$11="raty malejące",AG352/($F$4-AB352+SUM($AC$28:AC352)),MIN(AD353-AF353,AG352)),"")</f>
        <v/>
      </c>
      <c r="AF353" s="11" t="str">
        <f t="shared" si="321"/>
        <v/>
      </c>
      <c r="AG353" s="9" t="str">
        <f t="shared" si="322"/>
        <v/>
      </c>
      <c r="AH353" s="11"/>
      <c r="AI353" s="33" t="str">
        <f>IF(AB353&lt;&gt;"",ROUND(IF($F$11="raty równe",-PMT(W353/12,($F$4-AB352+SUM($AC$27:AC352)),AG352,2),AG352/($F$4-AB352+SUM($AC$27:AC352))+AG352*W353/12),2),"")</f>
        <v/>
      </c>
      <c r="AJ353" s="33" t="str">
        <f t="shared" si="323"/>
        <v/>
      </c>
      <c r="AK353" s="33" t="str">
        <f t="shared" si="330"/>
        <v/>
      </c>
      <c r="AL353" s="33" t="str">
        <f>IF(AB353&lt;&gt;"",AK353-SUM($AJ$28:AJ353),"")</f>
        <v/>
      </c>
      <c r="AM353" s="11" t="str">
        <f t="shared" si="324"/>
        <v/>
      </c>
      <c r="AN353" s="11" t="str">
        <f>IF(AB353&lt;&gt;"",IF($B$16=listy!$K$8,'RZĄDOWY PROGRAM'!$F$3*'RZĄDOWY PROGRAM'!$F$15,AG352*$F$15),"")</f>
        <v/>
      </c>
      <c r="AO353" s="11" t="str">
        <f t="shared" si="325"/>
        <v/>
      </c>
      <c r="AQ353" s="8" t="str">
        <f t="shared" si="337"/>
        <v/>
      </c>
      <c r="AR353" s="8"/>
      <c r="AS353" s="78" t="str">
        <f>IF(AQ353&lt;&gt;"",ROUND(IF($F$11="raty równe",-PMT(W353/12,$F$4-AQ352+SUM($AR$28:AR353),AV352,2),AT353+AU353),2),"")</f>
        <v/>
      </c>
      <c r="AT353" s="78" t="str">
        <f>IF(AQ353&lt;&gt;"",IF($F$11="raty malejące",AV352/($F$4-AQ352+SUM($AR$28:AR352)),MIN(AS353-AU353,AV352)),"")</f>
        <v/>
      </c>
      <c r="AU353" s="78" t="str">
        <f t="shared" si="338"/>
        <v/>
      </c>
      <c r="AV353" s="79" t="str">
        <f t="shared" si="339"/>
        <v/>
      </c>
      <c r="AW353" s="11"/>
      <c r="AX353" s="33" t="str">
        <f>IF(AQ353&lt;&gt;"",ROUND(IF($F$11="raty równe",-PMT(W353/12,($F$4-AQ352+SUM($AR$27:AR352)),AV352,2),AV352/($F$4-AQ352+SUM($AR$27:AR352))+AV352*W353/12),2),"")</f>
        <v/>
      </c>
      <c r="AY353" s="33" t="str">
        <f t="shared" si="340"/>
        <v/>
      </c>
      <c r="AZ353" s="33" t="str">
        <f t="shared" si="294"/>
        <v/>
      </c>
      <c r="BA353" s="33" t="str">
        <f>IF(AQ353&lt;&gt;"",AZ353-SUM($AY$44:AY353),"")</f>
        <v/>
      </c>
      <c r="BB353" s="11" t="str">
        <f t="shared" si="341"/>
        <v/>
      </c>
      <c r="BC353" s="11" t="str">
        <f>IF(AQ353&lt;&gt;"",IF($B$16=listy!$K$8,'RZĄDOWY PROGRAM'!$F$3*'RZĄDOWY PROGRAM'!$F$15,AV352*$F$15),"")</f>
        <v/>
      </c>
      <c r="BD353" s="11" t="str">
        <f t="shared" si="342"/>
        <v/>
      </c>
      <c r="BF353" s="8" t="str">
        <f t="shared" si="298"/>
        <v/>
      </c>
      <c r="BG353" s="8"/>
      <c r="BH353" s="78" t="str">
        <f>IF(BF353&lt;&gt;"",ROUND(IF($F$11="raty równe",-PMT(W353/12,$F$4-BF352+SUM(BV$28:$BV353)-SUM($BM$29:BM353),BK352,2),BI353+BJ353),2),"")</f>
        <v/>
      </c>
      <c r="BI353" s="78" t="str">
        <f>IF(BF353&lt;&gt;"",IF($F$11="raty malejące",MIN(BK352/($F$4-BF352+SUM($BG$27:BG353)-SUM($BM$27:BM353)),BK352),MIN(BH353-BJ353,BK352)),"")</f>
        <v/>
      </c>
      <c r="BJ353" s="78" t="str">
        <f t="shared" si="299"/>
        <v/>
      </c>
      <c r="BK353" s="79" t="str">
        <f t="shared" si="300"/>
        <v/>
      </c>
      <c r="BL353" s="11"/>
      <c r="BM353" s="33"/>
      <c r="BN353" s="33" t="str">
        <f t="shared" si="295"/>
        <v/>
      </c>
      <c r="BO353" s="33" t="str">
        <f t="shared" si="296"/>
        <v/>
      </c>
      <c r="BP353" s="33" t="str">
        <f>IF(O353&lt;&gt;"",BO353-SUM($BN$44:BN353),"")</f>
        <v/>
      </c>
      <c r="BQ353" s="11" t="str">
        <f t="shared" si="301"/>
        <v/>
      </c>
      <c r="BR353" s="11" t="str">
        <f>IF(BF353&lt;&gt;"",IF($B$16=listy!$K$8,'RZĄDOWY PROGRAM'!$F$3*'RZĄDOWY PROGRAM'!$F$15,BK352*$F$15),"")</f>
        <v/>
      </c>
      <c r="BS353" s="11" t="str">
        <f t="shared" si="302"/>
        <v/>
      </c>
      <c r="BU353" s="8" t="str">
        <f t="shared" si="343"/>
        <v/>
      </c>
      <c r="BV353" s="8"/>
      <c r="BW353" s="78" t="str">
        <f>IF(BU353&lt;&gt;"",ROUND(IF($F$11="raty równe",-PMT(W353/12,$F$4-BU352+SUM($BV$28:BV353)-$CB$43,BZ352,2),BX353+BY353),2),"")</f>
        <v/>
      </c>
      <c r="BX353" s="78" t="str">
        <f>IF(BU353&lt;&gt;"",IF($F$11="raty malejące",MIN(BZ352/($F$4-BU352+SUM($BV$28:BV352)-SUM($CB$28:CB352)),BZ352),MIN(BW353-BY353,BZ352)),"")</f>
        <v/>
      </c>
      <c r="BY353" s="78" t="str">
        <f t="shared" si="303"/>
        <v/>
      </c>
      <c r="BZ353" s="79" t="str">
        <f t="shared" si="292"/>
        <v/>
      </c>
      <c r="CA353" s="11"/>
      <c r="CB353" s="33"/>
      <c r="CC353" s="33" t="str">
        <f t="shared" si="344"/>
        <v/>
      </c>
      <c r="CD353" s="33" t="str">
        <f t="shared" si="297"/>
        <v/>
      </c>
      <c r="CE353" s="33" t="str">
        <f>IF(O353&lt;&gt;"",CD353-SUM($CC$44:CC353),"")</f>
        <v/>
      </c>
      <c r="CF353" s="11" t="str">
        <f t="shared" si="304"/>
        <v/>
      </c>
      <c r="CG353" s="11" t="str">
        <f>IF(BU353&lt;&gt;"",IF($B$16=listy!$K$8,'RZĄDOWY PROGRAM'!$F$3*'RZĄDOWY PROGRAM'!$F$15,BZ352*$F$15),"")</f>
        <v/>
      </c>
      <c r="CH353" s="11" t="str">
        <f t="shared" si="305"/>
        <v/>
      </c>
      <c r="CJ353" s="48" t="str">
        <f t="shared" si="331"/>
        <v/>
      </c>
      <c r="CK353" s="18" t="str">
        <f t="shared" si="332"/>
        <v/>
      </c>
      <c r="CL353" s="11" t="str">
        <f t="shared" si="306"/>
        <v/>
      </c>
      <c r="CM353" s="11" t="str">
        <f t="shared" si="333"/>
        <v/>
      </c>
      <c r="CN353" s="11" t="str">
        <f>IF(AB353&lt;&gt;"",CM353-SUM($CL$28:CL353),"")</f>
        <v/>
      </c>
    </row>
    <row r="354" spans="1:92" x14ac:dyDescent="0.45">
      <c r="A354" s="68" t="str">
        <f t="shared" si="307"/>
        <v/>
      </c>
      <c r="B354" s="8" t="str">
        <f t="shared" si="326"/>
        <v/>
      </c>
      <c r="C354" s="11" t="str">
        <f t="shared" si="327"/>
        <v/>
      </c>
      <c r="D354" s="11" t="str">
        <f t="shared" si="328"/>
        <v/>
      </c>
      <c r="E354" s="11" t="str">
        <f t="shared" si="308"/>
        <v/>
      </c>
      <c r="F354" s="9" t="str">
        <f t="shared" si="309"/>
        <v/>
      </c>
      <c r="G354" s="10" t="str">
        <f t="shared" si="310"/>
        <v/>
      </c>
      <c r="H354" s="10" t="str">
        <f t="shared" si="311"/>
        <v/>
      </c>
      <c r="I354" s="48" t="str">
        <f t="shared" si="334"/>
        <v/>
      </c>
      <c r="J354" s="11" t="str">
        <f t="shared" si="329"/>
        <v/>
      </c>
      <c r="K354" s="11" t="str">
        <f>IF(B354&lt;&gt;"",IF($B$16=listy!$K$8,'RZĄDOWY PROGRAM'!$F$3*'RZĄDOWY PROGRAM'!$F$15,F353*$F$15),"")</f>
        <v/>
      </c>
      <c r="L354" s="11" t="str">
        <f t="shared" si="312"/>
        <v/>
      </c>
      <c r="N354" s="54" t="str">
        <f t="shared" si="313"/>
        <v/>
      </c>
      <c r="O354" s="8" t="str">
        <f t="shared" si="335"/>
        <v/>
      </c>
      <c r="P354" s="8"/>
      <c r="Q354" s="11" t="str">
        <f>IF(O354&lt;&gt;"",ROUND(IF($F$11="raty równe",-PMT(W354/12,$F$4-O353+SUM($P$28:P354),T353,2),R354+S354),2),"")</f>
        <v/>
      </c>
      <c r="R354" s="11" t="str">
        <f>IF(O354&lt;&gt;"",IF($F$11="raty malejące",T353/($F$4-O353+SUM($P$28:P354)),IF(Q354-S354&gt;T353,T353,Q354-S354)),"")</f>
        <v/>
      </c>
      <c r="S354" s="11" t="str">
        <f t="shared" si="314"/>
        <v/>
      </c>
      <c r="T354" s="9" t="str">
        <f t="shared" si="315"/>
        <v/>
      </c>
      <c r="U354" s="10" t="str">
        <f t="shared" si="316"/>
        <v/>
      </c>
      <c r="V354" s="10" t="str">
        <f t="shared" si="317"/>
        <v/>
      </c>
      <c r="W354" s="48" t="str">
        <f t="shared" si="336"/>
        <v/>
      </c>
      <c r="X354" s="11" t="str">
        <f t="shared" si="318"/>
        <v/>
      </c>
      <c r="Y354" s="11" t="str">
        <f>IF(O354&lt;&gt;"",IF($B$16=listy!$K$8,'RZĄDOWY PROGRAM'!$F$3*'RZĄDOWY PROGRAM'!$F$15,T353*$F$15),"")</f>
        <v/>
      </c>
      <c r="Z354" s="11" t="str">
        <f t="shared" si="319"/>
        <v/>
      </c>
      <c r="AB354" s="8" t="str">
        <f t="shared" si="320"/>
        <v/>
      </c>
      <c r="AC354" s="8"/>
      <c r="AD354" s="11" t="str">
        <f>IF(AB354&lt;&gt;"",ROUND(IF($F$11="raty równe",-PMT(W354/12,$F$4-AB353+SUM($AC$28:AC354),AG353,2),AE354+AF354),2),"")</f>
        <v/>
      </c>
      <c r="AE354" s="11" t="str">
        <f>IF(AB354&lt;&gt;"",IF($F$11="raty malejące",AG353/($F$4-AB353+SUM($AC$28:AC353)),MIN(AD354-AF354,AG353)),"")</f>
        <v/>
      </c>
      <c r="AF354" s="11" t="str">
        <f t="shared" si="321"/>
        <v/>
      </c>
      <c r="AG354" s="9" t="str">
        <f t="shared" si="322"/>
        <v/>
      </c>
      <c r="AH354" s="11"/>
      <c r="AI354" s="33" t="str">
        <f>IF(AB354&lt;&gt;"",ROUND(IF($F$11="raty równe",-PMT(W354/12,($F$4-AB353+SUM($AC$27:AC353)),AG353,2),AG353/($F$4-AB353+SUM($AC$27:AC353))+AG353*W354/12),2),"")</f>
        <v/>
      </c>
      <c r="AJ354" s="33" t="str">
        <f t="shared" si="323"/>
        <v/>
      </c>
      <c r="AK354" s="33" t="str">
        <f t="shared" si="330"/>
        <v/>
      </c>
      <c r="AL354" s="33" t="str">
        <f>IF(AB354&lt;&gt;"",AK354-SUM($AJ$28:AJ354),"")</f>
        <v/>
      </c>
      <c r="AM354" s="11" t="str">
        <f t="shared" si="324"/>
        <v/>
      </c>
      <c r="AN354" s="11" t="str">
        <f>IF(AB354&lt;&gt;"",IF($B$16=listy!$K$8,'RZĄDOWY PROGRAM'!$F$3*'RZĄDOWY PROGRAM'!$F$15,AG353*$F$15),"")</f>
        <v/>
      </c>
      <c r="AO354" s="11" t="str">
        <f t="shared" si="325"/>
        <v/>
      </c>
      <c r="AQ354" s="8" t="str">
        <f t="shared" si="337"/>
        <v/>
      </c>
      <c r="AR354" s="8"/>
      <c r="AS354" s="78" t="str">
        <f>IF(AQ354&lt;&gt;"",ROUND(IF($F$11="raty równe",-PMT(W354/12,$F$4-AQ353+SUM($AR$28:AR354),AV353,2),AT354+AU354),2),"")</f>
        <v/>
      </c>
      <c r="AT354" s="78" t="str">
        <f>IF(AQ354&lt;&gt;"",IF($F$11="raty malejące",AV353/($F$4-AQ353+SUM($AR$28:AR353)),MIN(AS354-AU354,AV353)),"")</f>
        <v/>
      </c>
      <c r="AU354" s="78" t="str">
        <f t="shared" si="338"/>
        <v/>
      </c>
      <c r="AV354" s="79" t="str">
        <f t="shared" si="339"/>
        <v/>
      </c>
      <c r="AW354" s="11"/>
      <c r="AX354" s="33" t="str">
        <f>IF(AQ354&lt;&gt;"",ROUND(IF($F$11="raty równe",-PMT(W354/12,($F$4-AQ353+SUM($AR$27:AR353)),AV353,2),AV353/($F$4-AQ353+SUM($AR$27:AR353))+AV353*W354/12),2),"")</f>
        <v/>
      </c>
      <c r="AY354" s="33" t="str">
        <f t="shared" si="340"/>
        <v/>
      </c>
      <c r="AZ354" s="33" t="str">
        <f t="shared" si="294"/>
        <v/>
      </c>
      <c r="BA354" s="33" t="str">
        <f>IF(AQ354&lt;&gt;"",AZ354-SUM($AY$44:AY354),"")</f>
        <v/>
      </c>
      <c r="BB354" s="11" t="str">
        <f t="shared" si="341"/>
        <v/>
      </c>
      <c r="BC354" s="11" t="str">
        <f>IF(AQ354&lt;&gt;"",IF($B$16=listy!$K$8,'RZĄDOWY PROGRAM'!$F$3*'RZĄDOWY PROGRAM'!$F$15,AV353*$F$15),"")</f>
        <v/>
      </c>
      <c r="BD354" s="11" t="str">
        <f t="shared" si="342"/>
        <v/>
      </c>
      <c r="BF354" s="8" t="str">
        <f t="shared" si="298"/>
        <v/>
      </c>
      <c r="BG354" s="8"/>
      <c r="BH354" s="78" t="str">
        <f>IF(BF354&lt;&gt;"",ROUND(IF($F$11="raty równe",-PMT(W354/12,$F$4-BF353+SUM(BV$28:$BV354)-SUM($BM$29:BM354),BK353,2),BI354+BJ354),2),"")</f>
        <v/>
      </c>
      <c r="BI354" s="78" t="str">
        <f>IF(BF354&lt;&gt;"",IF($F$11="raty malejące",MIN(BK353/($F$4-BF353+SUM($BG$27:BG354)-SUM($BM$27:BM354)),BK353),MIN(BH354-BJ354,BK353)),"")</f>
        <v/>
      </c>
      <c r="BJ354" s="78" t="str">
        <f t="shared" si="299"/>
        <v/>
      </c>
      <c r="BK354" s="79" t="str">
        <f t="shared" si="300"/>
        <v/>
      </c>
      <c r="BL354" s="11"/>
      <c r="BM354" s="33"/>
      <c r="BN354" s="33" t="str">
        <f t="shared" si="295"/>
        <v/>
      </c>
      <c r="BO354" s="33" t="str">
        <f t="shared" si="296"/>
        <v/>
      </c>
      <c r="BP354" s="33" t="str">
        <f>IF(O354&lt;&gt;"",BO354-SUM($BN$44:BN354),"")</f>
        <v/>
      </c>
      <c r="BQ354" s="11" t="str">
        <f t="shared" si="301"/>
        <v/>
      </c>
      <c r="BR354" s="11" t="str">
        <f>IF(BF354&lt;&gt;"",IF($B$16=listy!$K$8,'RZĄDOWY PROGRAM'!$F$3*'RZĄDOWY PROGRAM'!$F$15,BK353*$F$15),"")</f>
        <v/>
      </c>
      <c r="BS354" s="11" t="str">
        <f t="shared" si="302"/>
        <v/>
      </c>
      <c r="BU354" s="8" t="str">
        <f t="shared" si="343"/>
        <v/>
      </c>
      <c r="BV354" s="8"/>
      <c r="BW354" s="78" t="str">
        <f>IF(BU354&lt;&gt;"",ROUND(IF($F$11="raty równe",-PMT(W354/12,$F$4-BU353+SUM($BV$28:BV354)-$CB$43,BZ353,2),BX354+BY354),2),"")</f>
        <v/>
      </c>
      <c r="BX354" s="78" t="str">
        <f>IF(BU354&lt;&gt;"",IF($F$11="raty malejące",MIN(BZ353/($F$4-BU353+SUM($BV$28:BV353)-SUM($CB$28:CB353)),BZ353),MIN(BW354-BY354,BZ353)),"")</f>
        <v/>
      </c>
      <c r="BY354" s="78" t="str">
        <f t="shared" si="303"/>
        <v/>
      </c>
      <c r="BZ354" s="79" t="str">
        <f t="shared" si="292"/>
        <v/>
      </c>
      <c r="CA354" s="11"/>
      <c r="CB354" s="33"/>
      <c r="CC354" s="33" t="str">
        <f t="shared" si="344"/>
        <v/>
      </c>
      <c r="CD354" s="33" t="str">
        <f t="shared" si="297"/>
        <v/>
      </c>
      <c r="CE354" s="33" t="str">
        <f>IF(O354&lt;&gt;"",CD354-SUM($CC$44:CC354),"")</f>
        <v/>
      </c>
      <c r="CF354" s="11" t="str">
        <f t="shared" si="304"/>
        <v/>
      </c>
      <c r="CG354" s="11" t="str">
        <f>IF(BU354&lt;&gt;"",IF($B$16=listy!$K$8,'RZĄDOWY PROGRAM'!$F$3*'RZĄDOWY PROGRAM'!$F$15,BZ353*$F$15),"")</f>
        <v/>
      </c>
      <c r="CH354" s="11" t="str">
        <f t="shared" si="305"/>
        <v/>
      </c>
      <c r="CJ354" s="48" t="str">
        <f t="shared" si="331"/>
        <v/>
      </c>
      <c r="CK354" s="18" t="str">
        <f t="shared" si="332"/>
        <v/>
      </c>
      <c r="CL354" s="11" t="str">
        <f t="shared" si="306"/>
        <v/>
      </c>
      <c r="CM354" s="11" t="str">
        <f t="shared" si="333"/>
        <v/>
      </c>
      <c r="CN354" s="11" t="str">
        <f>IF(AB354&lt;&gt;"",CM354-SUM($CL$28:CL354),"")</f>
        <v/>
      </c>
    </row>
    <row r="355" spans="1:92" x14ac:dyDescent="0.45">
      <c r="A355" s="68" t="str">
        <f t="shared" si="307"/>
        <v/>
      </c>
      <c r="B355" s="8" t="str">
        <f t="shared" si="326"/>
        <v/>
      </c>
      <c r="C355" s="11" t="str">
        <f t="shared" si="327"/>
        <v/>
      </c>
      <c r="D355" s="11" t="str">
        <f t="shared" si="328"/>
        <v/>
      </c>
      <c r="E355" s="11" t="str">
        <f t="shared" si="308"/>
        <v/>
      </c>
      <c r="F355" s="9" t="str">
        <f t="shared" si="309"/>
        <v/>
      </c>
      <c r="G355" s="10" t="str">
        <f t="shared" si="310"/>
        <v/>
      </c>
      <c r="H355" s="10" t="str">
        <f t="shared" si="311"/>
        <v/>
      </c>
      <c r="I355" s="48" t="str">
        <f t="shared" si="334"/>
        <v/>
      </c>
      <c r="J355" s="11" t="str">
        <f t="shared" si="329"/>
        <v/>
      </c>
      <c r="K355" s="11" t="str">
        <f>IF(B355&lt;&gt;"",IF($B$16=listy!$K$8,'RZĄDOWY PROGRAM'!$F$3*'RZĄDOWY PROGRAM'!$F$15,F354*$F$15),"")</f>
        <v/>
      </c>
      <c r="L355" s="11" t="str">
        <f t="shared" si="312"/>
        <v/>
      </c>
      <c r="N355" s="54" t="str">
        <f t="shared" si="313"/>
        <v/>
      </c>
      <c r="O355" s="8" t="str">
        <f t="shared" si="335"/>
        <v/>
      </c>
      <c r="P355" s="8"/>
      <c r="Q355" s="11" t="str">
        <f>IF(O355&lt;&gt;"",ROUND(IF($F$11="raty równe",-PMT(W355/12,$F$4-O354+SUM($P$28:P355),T354,2),R355+S355),2),"")</f>
        <v/>
      </c>
      <c r="R355" s="11" t="str">
        <f>IF(O355&lt;&gt;"",IF($F$11="raty malejące",T354/($F$4-O354+SUM($P$28:P355)),IF(Q355-S355&gt;T354,T354,Q355-S355)),"")</f>
        <v/>
      </c>
      <c r="S355" s="11" t="str">
        <f t="shared" si="314"/>
        <v/>
      </c>
      <c r="T355" s="9" t="str">
        <f t="shared" si="315"/>
        <v/>
      </c>
      <c r="U355" s="10" t="str">
        <f t="shared" si="316"/>
        <v/>
      </c>
      <c r="V355" s="10" t="str">
        <f t="shared" si="317"/>
        <v/>
      </c>
      <c r="W355" s="48" t="str">
        <f t="shared" si="336"/>
        <v/>
      </c>
      <c r="X355" s="11" t="str">
        <f t="shared" si="318"/>
        <v/>
      </c>
      <c r="Y355" s="11" t="str">
        <f>IF(O355&lt;&gt;"",IF($B$16=listy!$K$8,'RZĄDOWY PROGRAM'!$F$3*'RZĄDOWY PROGRAM'!$F$15,T354*$F$15),"")</f>
        <v/>
      </c>
      <c r="Z355" s="11" t="str">
        <f t="shared" si="319"/>
        <v/>
      </c>
      <c r="AB355" s="8" t="str">
        <f t="shared" si="320"/>
        <v/>
      </c>
      <c r="AC355" s="8"/>
      <c r="AD355" s="11" t="str">
        <f>IF(AB355&lt;&gt;"",ROUND(IF($F$11="raty równe",-PMT(W355/12,$F$4-AB354+SUM($AC$28:AC355),AG354,2),AE355+AF355),2),"")</f>
        <v/>
      </c>
      <c r="AE355" s="11" t="str">
        <f>IF(AB355&lt;&gt;"",IF($F$11="raty malejące",AG354/($F$4-AB354+SUM($AC$28:AC354)),MIN(AD355-AF355,AG354)),"")</f>
        <v/>
      </c>
      <c r="AF355" s="11" t="str">
        <f t="shared" si="321"/>
        <v/>
      </c>
      <c r="AG355" s="9" t="str">
        <f t="shared" si="322"/>
        <v/>
      </c>
      <c r="AH355" s="11"/>
      <c r="AI355" s="33" t="str">
        <f>IF(AB355&lt;&gt;"",ROUND(IF($F$11="raty równe",-PMT(W355/12,($F$4-AB354+SUM($AC$27:AC354)),AG354,2),AG354/($F$4-AB354+SUM($AC$27:AC354))+AG354*W355/12),2),"")</f>
        <v/>
      </c>
      <c r="AJ355" s="33" t="str">
        <f t="shared" si="323"/>
        <v/>
      </c>
      <c r="AK355" s="33" t="str">
        <f t="shared" si="330"/>
        <v/>
      </c>
      <c r="AL355" s="33" t="str">
        <f>IF(AB355&lt;&gt;"",AK355-SUM($AJ$28:AJ355),"")</f>
        <v/>
      </c>
      <c r="AM355" s="11" t="str">
        <f t="shared" si="324"/>
        <v/>
      </c>
      <c r="AN355" s="11" t="str">
        <f>IF(AB355&lt;&gt;"",IF($B$16=listy!$K$8,'RZĄDOWY PROGRAM'!$F$3*'RZĄDOWY PROGRAM'!$F$15,AG354*$F$15),"")</f>
        <v/>
      </c>
      <c r="AO355" s="11" t="str">
        <f t="shared" si="325"/>
        <v/>
      </c>
      <c r="AQ355" s="8" t="str">
        <f t="shared" si="337"/>
        <v/>
      </c>
      <c r="AR355" s="8"/>
      <c r="AS355" s="78" t="str">
        <f>IF(AQ355&lt;&gt;"",ROUND(IF($F$11="raty równe",-PMT(W355/12,$F$4-AQ354+SUM($AR$28:AR355),AV354,2),AT355+AU355),2),"")</f>
        <v/>
      </c>
      <c r="AT355" s="78" t="str">
        <f>IF(AQ355&lt;&gt;"",IF($F$11="raty malejące",AV354/($F$4-AQ354+SUM($AR$28:AR354)),MIN(AS355-AU355,AV354)),"")</f>
        <v/>
      </c>
      <c r="AU355" s="78" t="str">
        <f t="shared" si="338"/>
        <v/>
      </c>
      <c r="AV355" s="79" t="str">
        <f t="shared" si="339"/>
        <v/>
      </c>
      <c r="AW355" s="11"/>
      <c r="AX355" s="33" t="str">
        <f>IF(AQ355&lt;&gt;"",ROUND(IF($F$11="raty równe",-PMT(W355/12,($F$4-AQ354+SUM($AR$27:AR354)),AV354,2),AV354/($F$4-AQ354+SUM($AR$27:AR354))+AV354*W355/12),2),"")</f>
        <v/>
      </c>
      <c r="AY355" s="33" t="str">
        <f t="shared" si="340"/>
        <v/>
      </c>
      <c r="AZ355" s="33" t="str">
        <f t="shared" si="294"/>
        <v/>
      </c>
      <c r="BA355" s="33" t="str">
        <f>IF(AQ355&lt;&gt;"",AZ355-SUM($AY$44:AY355),"")</f>
        <v/>
      </c>
      <c r="BB355" s="11" t="str">
        <f t="shared" si="341"/>
        <v/>
      </c>
      <c r="BC355" s="11" t="str">
        <f>IF(AQ355&lt;&gt;"",IF($B$16=listy!$K$8,'RZĄDOWY PROGRAM'!$F$3*'RZĄDOWY PROGRAM'!$F$15,AV354*$F$15),"")</f>
        <v/>
      </c>
      <c r="BD355" s="11" t="str">
        <f t="shared" si="342"/>
        <v/>
      </c>
      <c r="BF355" s="8" t="str">
        <f t="shared" si="298"/>
        <v/>
      </c>
      <c r="BG355" s="8"/>
      <c r="BH355" s="78" t="str">
        <f>IF(BF355&lt;&gt;"",ROUND(IF($F$11="raty równe",-PMT(W355/12,$F$4-BF354+SUM(BV$28:$BV355)-SUM($BM$29:BM355),BK354,2),BI355+BJ355),2),"")</f>
        <v/>
      </c>
      <c r="BI355" s="78" t="str">
        <f>IF(BF355&lt;&gt;"",IF($F$11="raty malejące",MIN(BK354/($F$4-BF354+SUM($BG$27:BG355)-SUM($BM$27:BM355)),BK354),MIN(BH355-BJ355,BK354)),"")</f>
        <v/>
      </c>
      <c r="BJ355" s="78" t="str">
        <f t="shared" si="299"/>
        <v/>
      </c>
      <c r="BK355" s="79" t="str">
        <f t="shared" si="300"/>
        <v/>
      </c>
      <c r="BL355" s="11"/>
      <c r="BM355" s="33"/>
      <c r="BN355" s="33" t="str">
        <f t="shared" si="295"/>
        <v/>
      </c>
      <c r="BO355" s="33" t="str">
        <f t="shared" si="296"/>
        <v/>
      </c>
      <c r="BP355" s="33" t="str">
        <f>IF(O355&lt;&gt;"",BO355-SUM($BN$44:BN355),"")</f>
        <v/>
      </c>
      <c r="BQ355" s="11" t="str">
        <f t="shared" si="301"/>
        <v/>
      </c>
      <c r="BR355" s="11" t="str">
        <f>IF(BF355&lt;&gt;"",IF($B$16=listy!$K$8,'RZĄDOWY PROGRAM'!$F$3*'RZĄDOWY PROGRAM'!$F$15,BK354*$F$15),"")</f>
        <v/>
      </c>
      <c r="BS355" s="11" t="str">
        <f t="shared" si="302"/>
        <v/>
      </c>
      <c r="BU355" s="8" t="str">
        <f t="shared" si="343"/>
        <v/>
      </c>
      <c r="BV355" s="8"/>
      <c r="BW355" s="78" t="str">
        <f>IF(BU355&lt;&gt;"",ROUND(IF($F$11="raty równe",-PMT(W355/12,$F$4-BU354+SUM($BV$28:BV355)-$CB$43,BZ354,2),BX355+BY355),2),"")</f>
        <v/>
      </c>
      <c r="BX355" s="78" t="str">
        <f>IF(BU355&lt;&gt;"",IF($F$11="raty malejące",MIN(BZ354/($F$4-BU354+SUM($BV$28:BV354)-SUM($CB$28:CB354)),BZ354),MIN(BW355-BY355,BZ354)),"")</f>
        <v/>
      </c>
      <c r="BY355" s="78" t="str">
        <f t="shared" si="303"/>
        <v/>
      </c>
      <c r="BZ355" s="79" t="str">
        <f t="shared" si="292"/>
        <v/>
      </c>
      <c r="CA355" s="11"/>
      <c r="CB355" s="33"/>
      <c r="CC355" s="33" t="str">
        <f t="shared" si="344"/>
        <v/>
      </c>
      <c r="CD355" s="33" t="str">
        <f t="shared" si="297"/>
        <v/>
      </c>
      <c r="CE355" s="33" t="str">
        <f>IF(O355&lt;&gt;"",CD355-SUM($CC$44:CC355),"")</f>
        <v/>
      </c>
      <c r="CF355" s="11" t="str">
        <f t="shared" si="304"/>
        <v/>
      </c>
      <c r="CG355" s="11" t="str">
        <f>IF(BU355&lt;&gt;"",IF($B$16=listy!$K$8,'RZĄDOWY PROGRAM'!$F$3*'RZĄDOWY PROGRAM'!$F$15,BZ354*$F$15),"")</f>
        <v/>
      </c>
      <c r="CH355" s="11" t="str">
        <f t="shared" si="305"/>
        <v/>
      </c>
      <c r="CJ355" s="48" t="str">
        <f t="shared" si="331"/>
        <v/>
      </c>
      <c r="CK355" s="18" t="str">
        <f t="shared" si="332"/>
        <v/>
      </c>
      <c r="CL355" s="11" t="str">
        <f t="shared" si="306"/>
        <v/>
      </c>
      <c r="CM355" s="11" t="str">
        <f t="shared" si="333"/>
        <v/>
      </c>
      <c r="CN355" s="11" t="str">
        <f>IF(AB355&lt;&gt;"",CM355-SUM($CL$28:CL355),"")</f>
        <v/>
      </c>
    </row>
    <row r="356" spans="1:92" x14ac:dyDescent="0.45">
      <c r="A356" s="68" t="str">
        <f t="shared" si="307"/>
        <v/>
      </c>
      <c r="B356" s="8" t="str">
        <f t="shared" si="326"/>
        <v/>
      </c>
      <c r="C356" s="11" t="str">
        <f t="shared" si="327"/>
        <v/>
      </c>
      <c r="D356" s="11" t="str">
        <f t="shared" si="328"/>
        <v/>
      </c>
      <c r="E356" s="11" t="str">
        <f t="shared" si="308"/>
        <v/>
      </c>
      <c r="F356" s="9" t="str">
        <f t="shared" si="309"/>
        <v/>
      </c>
      <c r="G356" s="10" t="str">
        <f t="shared" si="310"/>
        <v/>
      </c>
      <c r="H356" s="10" t="str">
        <f t="shared" si="311"/>
        <v/>
      </c>
      <c r="I356" s="48" t="str">
        <f t="shared" si="334"/>
        <v/>
      </c>
      <c r="J356" s="11" t="str">
        <f t="shared" si="329"/>
        <v/>
      </c>
      <c r="K356" s="11" t="str">
        <f>IF(B356&lt;&gt;"",IF($B$16=listy!$K$8,'RZĄDOWY PROGRAM'!$F$3*'RZĄDOWY PROGRAM'!$F$15,F355*$F$15),"")</f>
        <v/>
      </c>
      <c r="L356" s="11" t="str">
        <f t="shared" si="312"/>
        <v/>
      </c>
      <c r="N356" s="54" t="str">
        <f t="shared" si="313"/>
        <v/>
      </c>
      <c r="O356" s="8" t="str">
        <f t="shared" si="335"/>
        <v/>
      </c>
      <c r="P356" s="8"/>
      <c r="Q356" s="11" t="str">
        <f>IF(O356&lt;&gt;"",ROUND(IF($F$11="raty równe",-PMT(W356/12,$F$4-O355+SUM($P$28:P356),T355,2),R356+S356),2),"")</f>
        <v/>
      </c>
      <c r="R356" s="11" t="str">
        <f>IF(O356&lt;&gt;"",IF($F$11="raty malejące",T355/($F$4-O355+SUM($P$28:P356)),IF(Q356-S356&gt;T355,T355,Q356-S356)),"")</f>
        <v/>
      </c>
      <c r="S356" s="11" t="str">
        <f t="shared" si="314"/>
        <v/>
      </c>
      <c r="T356" s="9" t="str">
        <f t="shared" si="315"/>
        <v/>
      </c>
      <c r="U356" s="10" t="str">
        <f t="shared" si="316"/>
        <v/>
      </c>
      <c r="V356" s="10" t="str">
        <f t="shared" si="317"/>
        <v/>
      </c>
      <c r="W356" s="48" t="str">
        <f t="shared" si="336"/>
        <v/>
      </c>
      <c r="X356" s="11" t="str">
        <f t="shared" si="318"/>
        <v/>
      </c>
      <c r="Y356" s="11" t="str">
        <f>IF(O356&lt;&gt;"",IF($B$16=listy!$K$8,'RZĄDOWY PROGRAM'!$F$3*'RZĄDOWY PROGRAM'!$F$15,T355*$F$15),"")</f>
        <v/>
      </c>
      <c r="Z356" s="11" t="str">
        <f t="shared" si="319"/>
        <v/>
      </c>
      <c r="AB356" s="8" t="str">
        <f t="shared" si="320"/>
        <v/>
      </c>
      <c r="AC356" s="8"/>
      <c r="AD356" s="11" t="str">
        <f>IF(AB356&lt;&gt;"",ROUND(IF($F$11="raty równe",-PMT(W356/12,$F$4-AB355+SUM($AC$28:AC356),AG355,2),AE356+AF356),2),"")</f>
        <v/>
      </c>
      <c r="AE356" s="11" t="str">
        <f>IF(AB356&lt;&gt;"",IF($F$11="raty malejące",AG355/($F$4-AB355+SUM($AC$28:AC355)),MIN(AD356-AF356,AG355)),"")</f>
        <v/>
      </c>
      <c r="AF356" s="11" t="str">
        <f t="shared" si="321"/>
        <v/>
      </c>
      <c r="AG356" s="9" t="str">
        <f t="shared" si="322"/>
        <v/>
      </c>
      <c r="AH356" s="11"/>
      <c r="AI356" s="33" t="str">
        <f>IF(AB356&lt;&gt;"",ROUND(IF($F$11="raty równe",-PMT(W356/12,($F$4-AB355+SUM($AC$27:AC355)),AG355,2),AG355/($F$4-AB355+SUM($AC$27:AC355))+AG355*W356/12),2),"")</f>
        <v/>
      </c>
      <c r="AJ356" s="33" t="str">
        <f t="shared" si="323"/>
        <v/>
      </c>
      <c r="AK356" s="33" t="str">
        <f t="shared" si="330"/>
        <v/>
      </c>
      <c r="AL356" s="33" t="str">
        <f>IF(AB356&lt;&gt;"",AK356-SUM($AJ$28:AJ356),"")</f>
        <v/>
      </c>
      <c r="AM356" s="11" t="str">
        <f t="shared" si="324"/>
        <v/>
      </c>
      <c r="AN356" s="11" t="str">
        <f>IF(AB356&lt;&gt;"",IF($B$16=listy!$K$8,'RZĄDOWY PROGRAM'!$F$3*'RZĄDOWY PROGRAM'!$F$15,AG355*$F$15),"")</f>
        <v/>
      </c>
      <c r="AO356" s="11" t="str">
        <f t="shared" si="325"/>
        <v/>
      </c>
      <c r="AQ356" s="8" t="str">
        <f t="shared" si="337"/>
        <v/>
      </c>
      <c r="AR356" s="8"/>
      <c r="AS356" s="78" t="str">
        <f>IF(AQ356&lt;&gt;"",ROUND(IF($F$11="raty równe",-PMT(W356/12,$F$4-AQ355+SUM($AR$28:AR356),AV355,2),AT356+AU356),2),"")</f>
        <v/>
      </c>
      <c r="AT356" s="78" t="str">
        <f>IF(AQ356&lt;&gt;"",IF($F$11="raty malejące",AV355/($F$4-AQ355+SUM($AR$28:AR355)),MIN(AS356-AU356,AV355)),"")</f>
        <v/>
      </c>
      <c r="AU356" s="78" t="str">
        <f t="shared" si="338"/>
        <v/>
      </c>
      <c r="AV356" s="79" t="str">
        <f t="shared" si="339"/>
        <v/>
      </c>
      <c r="AW356" s="11"/>
      <c r="AX356" s="33" t="str">
        <f>IF(AQ356&lt;&gt;"",ROUND(IF($F$11="raty równe",-PMT(W356/12,($F$4-AQ355+SUM($AR$27:AR355)),AV355,2),AV355/($F$4-AQ355+SUM($AR$27:AR355))+AV355*W356/12),2),"")</f>
        <v/>
      </c>
      <c r="AY356" s="33" t="str">
        <f t="shared" si="340"/>
        <v/>
      </c>
      <c r="AZ356" s="33" t="str">
        <f t="shared" si="294"/>
        <v/>
      </c>
      <c r="BA356" s="33" t="str">
        <f>IF(AQ356&lt;&gt;"",AZ356-SUM($AY$44:AY356),"")</f>
        <v/>
      </c>
      <c r="BB356" s="11" t="str">
        <f t="shared" si="341"/>
        <v/>
      </c>
      <c r="BC356" s="11" t="str">
        <f>IF(AQ356&lt;&gt;"",IF($B$16=listy!$K$8,'RZĄDOWY PROGRAM'!$F$3*'RZĄDOWY PROGRAM'!$F$15,AV355*$F$15),"")</f>
        <v/>
      </c>
      <c r="BD356" s="11" t="str">
        <f t="shared" si="342"/>
        <v/>
      </c>
      <c r="BF356" s="8" t="str">
        <f t="shared" si="298"/>
        <v/>
      </c>
      <c r="BG356" s="8"/>
      <c r="BH356" s="78" t="str">
        <f>IF(BF356&lt;&gt;"",ROUND(IF($F$11="raty równe",-PMT(W356/12,$F$4-BF355+SUM(BV$28:$BV356)-SUM($BM$29:BM356),BK355,2),BI356+BJ356),2),"")</f>
        <v/>
      </c>
      <c r="BI356" s="78" t="str">
        <f>IF(BF356&lt;&gt;"",IF($F$11="raty malejące",MIN(BK355/($F$4-BF355+SUM($BG$27:BG356)-SUM($BM$27:BM356)),BK355),MIN(BH356-BJ356,BK355)),"")</f>
        <v/>
      </c>
      <c r="BJ356" s="78" t="str">
        <f t="shared" si="299"/>
        <v/>
      </c>
      <c r="BK356" s="79" t="str">
        <f t="shared" si="300"/>
        <v/>
      </c>
      <c r="BL356" s="11"/>
      <c r="BM356" s="33"/>
      <c r="BN356" s="33" t="str">
        <f t="shared" si="295"/>
        <v/>
      </c>
      <c r="BO356" s="33" t="str">
        <f t="shared" si="296"/>
        <v/>
      </c>
      <c r="BP356" s="33" t="str">
        <f>IF(O356&lt;&gt;"",BO356-SUM($BN$44:BN356),"")</f>
        <v/>
      </c>
      <c r="BQ356" s="11" t="str">
        <f t="shared" si="301"/>
        <v/>
      </c>
      <c r="BR356" s="11" t="str">
        <f>IF(BF356&lt;&gt;"",IF($B$16=listy!$K$8,'RZĄDOWY PROGRAM'!$F$3*'RZĄDOWY PROGRAM'!$F$15,BK355*$F$15),"")</f>
        <v/>
      </c>
      <c r="BS356" s="11" t="str">
        <f t="shared" si="302"/>
        <v/>
      </c>
      <c r="BU356" s="8" t="str">
        <f t="shared" si="343"/>
        <v/>
      </c>
      <c r="BV356" s="8"/>
      <c r="BW356" s="78" t="str">
        <f>IF(BU356&lt;&gt;"",ROUND(IF($F$11="raty równe",-PMT(W356/12,$F$4-BU355+SUM($BV$28:BV356)-$CB$43,BZ355,2),BX356+BY356),2),"")</f>
        <v/>
      </c>
      <c r="BX356" s="78" t="str">
        <f>IF(BU356&lt;&gt;"",IF($F$11="raty malejące",MIN(BZ355/($F$4-BU355+SUM($BV$28:BV355)-SUM($CB$28:CB355)),BZ355),MIN(BW356-BY356,BZ355)),"")</f>
        <v/>
      </c>
      <c r="BY356" s="78" t="str">
        <f t="shared" si="303"/>
        <v/>
      </c>
      <c r="BZ356" s="79" t="str">
        <f t="shared" si="292"/>
        <v/>
      </c>
      <c r="CA356" s="11"/>
      <c r="CB356" s="33"/>
      <c r="CC356" s="33" t="str">
        <f t="shared" si="344"/>
        <v/>
      </c>
      <c r="CD356" s="33" t="str">
        <f t="shared" si="297"/>
        <v/>
      </c>
      <c r="CE356" s="33" t="str">
        <f>IF(O356&lt;&gt;"",CD356-SUM($CC$44:CC356),"")</f>
        <v/>
      </c>
      <c r="CF356" s="11" t="str">
        <f t="shared" si="304"/>
        <v/>
      </c>
      <c r="CG356" s="11" t="str">
        <f>IF(BU356&lt;&gt;"",IF($B$16=listy!$K$8,'RZĄDOWY PROGRAM'!$F$3*'RZĄDOWY PROGRAM'!$F$15,BZ355*$F$15),"")</f>
        <v/>
      </c>
      <c r="CH356" s="11" t="str">
        <f t="shared" si="305"/>
        <v/>
      </c>
      <c r="CJ356" s="48" t="str">
        <f t="shared" si="331"/>
        <v/>
      </c>
      <c r="CK356" s="18" t="str">
        <f t="shared" si="332"/>
        <v/>
      </c>
      <c r="CL356" s="11" t="str">
        <f t="shared" si="306"/>
        <v/>
      </c>
      <c r="CM356" s="11" t="str">
        <f t="shared" si="333"/>
        <v/>
      </c>
      <c r="CN356" s="11" t="str">
        <f>IF(AB356&lt;&gt;"",CM356-SUM($CL$28:CL356),"")</f>
        <v/>
      </c>
    </row>
    <row r="357" spans="1:92" x14ac:dyDescent="0.45">
      <c r="A357" s="68" t="str">
        <f t="shared" si="307"/>
        <v/>
      </c>
      <c r="B357" s="8" t="str">
        <f t="shared" si="326"/>
        <v/>
      </c>
      <c r="C357" s="11" t="str">
        <f t="shared" si="327"/>
        <v/>
      </c>
      <c r="D357" s="11" t="str">
        <f t="shared" si="328"/>
        <v/>
      </c>
      <c r="E357" s="11" t="str">
        <f t="shared" si="308"/>
        <v/>
      </c>
      <c r="F357" s="9" t="str">
        <f t="shared" si="309"/>
        <v/>
      </c>
      <c r="G357" s="10" t="str">
        <f t="shared" si="310"/>
        <v/>
      </c>
      <c r="H357" s="10" t="str">
        <f t="shared" si="311"/>
        <v/>
      </c>
      <c r="I357" s="48" t="str">
        <f t="shared" si="334"/>
        <v/>
      </c>
      <c r="J357" s="11" t="str">
        <f t="shared" si="329"/>
        <v/>
      </c>
      <c r="K357" s="11" t="str">
        <f>IF(B357&lt;&gt;"",IF($B$16=listy!$K$8,'RZĄDOWY PROGRAM'!$F$3*'RZĄDOWY PROGRAM'!$F$15,F356*$F$15),"")</f>
        <v/>
      </c>
      <c r="L357" s="11" t="str">
        <f t="shared" si="312"/>
        <v/>
      </c>
      <c r="N357" s="54" t="str">
        <f t="shared" si="313"/>
        <v/>
      </c>
      <c r="O357" s="8" t="str">
        <f t="shared" si="335"/>
        <v/>
      </c>
      <c r="P357" s="8"/>
      <c r="Q357" s="11" t="str">
        <f>IF(O357&lt;&gt;"",ROUND(IF($F$11="raty równe",-PMT(W357/12,$F$4-O356+SUM($P$28:P357),T356,2),R357+S357),2),"")</f>
        <v/>
      </c>
      <c r="R357" s="11" t="str">
        <f>IF(O357&lt;&gt;"",IF($F$11="raty malejące",T356/($F$4-O356+SUM($P$28:P357)),IF(Q357-S357&gt;T356,T356,Q357-S357)),"")</f>
        <v/>
      </c>
      <c r="S357" s="11" t="str">
        <f t="shared" si="314"/>
        <v/>
      </c>
      <c r="T357" s="9" t="str">
        <f t="shared" si="315"/>
        <v/>
      </c>
      <c r="U357" s="10" t="str">
        <f t="shared" si="316"/>
        <v/>
      </c>
      <c r="V357" s="10" t="str">
        <f t="shared" si="317"/>
        <v/>
      </c>
      <c r="W357" s="48" t="str">
        <f t="shared" si="336"/>
        <v/>
      </c>
      <c r="X357" s="11" t="str">
        <f t="shared" si="318"/>
        <v/>
      </c>
      <c r="Y357" s="11" t="str">
        <f>IF(O357&lt;&gt;"",IF($B$16=listy!$K$8,'RZĄDOWY PROGRAM'!$F$3*'RZĄDOWY PROGRAM'!$F$15,T356*$F$15),"")</f>
        <v/>
      </c>
      <c r="Z357" s="11" t="str">
        <f t="shared" si="319"/>
        <v/>
      </c>
      <c r="AB357" s="8" t="str">
        <f t="shared" si="320"/>
        <v/>
      </c>
      <c r="AC357" s="8"/>
      <c r="AD357" s="11" t="str">
        <f>IF(AB357&lt;&gt;"",ROUND(IF($F$11="raty równe",-PMT(W357/12,$F$4-AB356+SUM($AC$28:AC357),AG356,2),AE357+AF357),2),"")</f>
        <v/>
      </c>
      <c r="AE357" s="11" t="str">
        <f>IF(AB357&lt;&gt;"",IF($F$11="raty malejące",AG356/($F$4-AB356+SUM($AC$28:AC356)),MIN(AD357-AF357,AG356)),"")</f>
        <v/>
      </c>
      <c r="AF357" s="11" t="str">
        <f t="shared" si="321"/>
        <v/>
      </c>
      <c r="AG357" s="9" t="str">
        <f t="shared" si="322"/>
        <v/>
      </c>
      <c r="AH357" s="11"/>
      <c r="AI357" s="33" t="str">
        <f>IF(AB357&lt;&gt;"",ROUND(IF($F$11="raty równe",-PMT(W357/12,($F$4-AB356+SUM($AC$27:AC356)),AG356,2),AG356/($F$4-AB356+SUM($AC$27:AC356))+AG356*W357/12),2),"")</f>
        <v/>
      </c>
      <c r="AJ357" s="33" t="str">
        <f t="shared" si="323"/>
        <v/>
      </c>
      <c r="AK357" s="33" t="str">
        <f t="shared" si="330"/>
        <v/>
      </c>
      <c r="AL357" s="33" t="str">
        <f>IF(AB357&lt;&gt;"",AK357-SUM($AJ$28:AJ357),"")</f>
        <v/>
      </c>
      <c r="AM357" s="11" t="str">
        <f t="shared" si="324"/>
        <v/>
      </c>
      <c r="AN357" s="11" t="str">
        <f>IF(AB357&lt;&gt;"",IF($B$16=listy!$K$8,'RZĄDOWY PROGRAM'!$F$3*'RZĄDOWY PROGRAM'!$F$15,AG356*$F$15),"")</f>
        <v/>
      </c>
      <c r="AO357" s="11" t="str">
        <f t="shared" si="325"/>
        <v/>
      </c>
      <c r="AQ357" s="8" t="str">
        <f t="shared" si="337"/>
        <v/>
      </c>
      <c r="AR357" s="8"/>
      <c r="AS357" s="78" t="str">
        <f>IF(AQ357&lt;&gt;"",ROUND(IF($F$11="raty równe",-PMT(W357/12,$F$4-AQ356+SUM($AR$28:AR357),AV356,2),AT357+AU357),2),"")</f>
        <v/>
      </c>
      <c r="AT357" s="78" t="str">
        <f>IF(AQ357&lt;&gt;"",IF($F$11="raty malejące",AV356/($F$4-AQ356+SUM($AR$28:AR356)),MIN(AS357-AU357,AV356)),"")</f>
        <v/>
      </c>
      <c r="AU357" s="78" t="str">
        <f t="shared" si="338"/>
        <v/>
      </c>
      <c r="AV357" s="79" t="str">
        <f t="shared" si="339"/>
        <v/>
      </c>
      <c r="AW357" s="11"/>
      <c r="AX357" s="33" t="str">
        <f>IF(AQ357&lt;&gt;"",ROUND(IF($F$11="raty równe",-PMT(W357/12,($F$4-AQ356+SUM($AR$27:AR356)),AV356,2),AV356/($F$4-AQ356+SUM($AR$27:AR356))+AV356*W357/12),2),"")</f>
        <v/>
      </c>
      <c r="AY357" s="33" t="str">
        <f t="shared" si="340"/>
        <v/>
      </c>
      <c r="AZ357" s="33" t="str">
        <f t="shared" si="294"/>
        <v/>
      </c>
      <c r="BA357" s="33" t="str">
        <f>IF(AQ357&lt;&gt;"",AZ357-SUM($AY$44:AY357),"")</f>
        <v/>
      </c>
      <c r="BB357" s="11" t="str">
        <f t="shared" si="341"/>
        <v/>
      </c>
      <c r="BC357" s="11" t="str">
        <f>IF(AQ357&lt;&gt;"",IF($B$16=listy!$K$8,'RZĄDOWY PROGRAM'!$F$3*'RZĄDOWY PROGRAM'!$F$15,AV356*$F$15),"")</f>
        <v/>
      </c>
      <c r="BD357" s="11" t="str">
        <f t="shared" si="342"/>
        <v/>
      </c>
      <c r="BF357" s="8" t="str">
        <f t="shared" si="298"/>
        <v/>
      </c>
      <c r="BG357" s="8"/>
      <c r="BH357" s="78" t="str">
        <f>IF(BF357&lt;&gt;"",ROUND(IF($F$11="raty równe",-PMT(W357/12,$F$4-BF356+SUM(BV$28:$BV357)-SUM($BM$29:BM357),BK356,2),BI357+BJ357),2),"")</f>
        <v/>
      </c>
      <c r="BI357" s="78" t="str">
        <f>IF(BF357&lt;&gt;"",IF($F$11="raty malejące",MIN(BK356/($F$4-BF356+SUM($BG$27:BG357)-SUM($BM$27:BM357)),BK356),MIN(BH357-BJ357,BK356)),"")</f>
        <v/>
      </c>
      <c r="BJ357" s="78" t="str">
        <f t="shared" si="299"/>
        <v/>
      </c>
      <c r="BK357" s="79" t="str">
        <f t="shared" si="300"/>
        <v/>
      </c>
      <c r="BL357" s="11"/>
      <c r="BM357" s="33"/>
      <c r="BN357" s="33" t="str">
        <f t="shared" si="295"/>
        <v/>
      </c>
      <c r="BO357" s="33" t="str">
        <f t="shared" si="296"/>
        <v/>
      </c>
      <c r="BP357" s="33" t="str">
        <f>IF(O357&lt;&gt;"",BO357-SUM($BN$44:BN357),"")</f>
        <v/>
      </c>
      <c r="BQ357" s="11" t="str">
        <f t="shared" si="301"/>
        <v/>
      </c>
      <c r="BR357" s="11" t="str">
        <f>IF(BF357&lt;&gt;"",IF($B$16=listy!$K$8,'RZĄDOWY PROGRAM'!$F$3*'RZĄDOWY PROGRAM'!$F$15,BK356*$F$15),"")</f>
        <v/>
      </c>
      <c r="BS357" s="11" t="str">
        <f t="shared" si="302"/>
        <v/>
      </c>
      <c r="BU357" s="8" t="str">
        <f t="shared" si="343"/>
        <v/>
      </c>
      <c r="BV357" s="8"/>
      <c r="BW357" s="78" t="str">
        <f>IF(BU357&lt;&gt;"",ROUND(IF($F$11="raty równe",-PMT(W357/12,$F$4-BU356+SUM($BV$28:BV357)-$CB$43,BZ356,2),BX357+BY357),2),"")</f>
        <v/>
      </c>
      <c r="BX357" s="78" t="str">
        <f>IF(BU357&lt;&gt;"",IF($F$11="raty malejące",MIN(BZ356/($F$4-BU356+SUM($BV$28:BV356)-SUM($CB$28:CB356)),BZ356),MIN(BW357-BY357,BZ356)),"")</f>
        <v/>
      </c>
      <c r="BY357" s="78" t="str">
        <f t="shared" si="303"/>
        <v/>
      </c>
      <c r="BZ357" s="79" t="str">
        <f t="shared" si="292"/>
        <v/>
      </c>
      <c r="CA357" s="11"/>
      <c r="CB357" s="33"/>
      <c r="CC357" s="33" t="str">
        <f t="shared" si="344"/>
        <v/>
      </c>
      <c r="CD357" s="33" t="str">
        <f t="shared" si="297"/>
        <v/>
      </c>
      <c r="CE357" s="33" t="str">
        <f>IF(O357&lt;&gt;"",CD357-SUM($CC$44:CC357),"")</f>
        <v/>
      </c>
      <c r="CF357" s="11" t="str">
        <f t="shared" si="304"/>
        <v/>
      </c>
      <c r="CG357" s="11" t="str">
        <f>IF(BU357&lt;&gt;"",IF($B$16=listy!$K$8,'RZĄDOWY PROGRAM'!$F$3*'RZĄDOWY PROGRAM'!$F$15,BZ356*$F$15),"")</f>
        <v/>
      </c>
      <c r="CH357" s="11" t="str">
        <f t="shared" si="305"/>
        <v/>
      </c>
      <c r="CJ357" s="48" t="str">
        <f t="shared" si="331"/>
        <v/>
      </c>
      <c r="CK357" s="18" t="str">
        <f t="shared" si="332"/>
        <v/>
      </c>
      <c r="CL357" s="11" t="str">
        <f t="shared" ref="CL357:CL388" si="345">IF(N357&lt;&gt;"",IF(ISNUMBER(C357),C357,0)-Q357,"")</f>
        <v/>
      </c>
      <c r="CM357" s="11" t="str">
        <f t="shared" si="333"/>
        <v/>
      </c>
      <c r="CN357" s="11" t="str">
        <f>IF(AB357&lt;&gt;"",CM357-SUM($CL$28:CL357),"")</f>
        <v/>
      </c>
    </row>
    <row r="358" spans="1:92" x14ac:dyDescent="0.45">
      <c r="A358" s="68" t="str">
        <f t="shared" si="307"/>
        <v/>
      </c>
      <c r="B358" s="8" t="str">
        <f t="shared" si="326"/>
        <v/>
      </c>
      <c r="C358" s="11" t="str">
        <f t="shared" si="327"/>
        <v/>
      </c>
      <c r="D358" s="11" t="str">
        <f t="shared" si="328"/>
        <v/>
      </c>
      <c r="E358" s="11" t="str">
        <f t="shared" si="308"/>
        <v/>
      </c>
      <c r="F358" s="9" t="str">
        <f t="shared" si="309"/>
        <v/>
      </c>
      <c r="G358" s="10" t="str">
        <f t="shared" si="310"/>
        <v/>
      </c>
      <c r="H358" s="10" t="str">
        <f t="shared" si="311"/>
        <v/>
      </c>
      <c r="I358" s="48" t="str">
        <f t="shared" si="334"/>
        <v/>
      </c>
      <c r="J358" s="11" t="str">
        <f t="shared" si="329"/>
        <v/>
      </c>
      <c r="K358" s="11" t="str">
        <f>IF(B358&lt;&gt;"",IF($B$16=listy!$K$8,'RZĄDOWY PROGRAM'!$F$3*'RZĄDOWY PROGRAM'!$F$15,F357*$F$15),"")</f>
        <v/>
      </c>
      <c r="L358" s="11" t="str">
        <f t="shared" si="312"/>
        <v/>
      </c>
      <c r="N358" s="54" t="str">
        <f t="shared" si="313"/>
        <v/>
      </c>
      <c r="O358" s="8" t="str">
        <f t="shared" si="335"/>
        <v/>
      </c>
      <c r="P358" s="8"/>
      <c r="Q358" s="11" t="str">
        <f>IF(O358&lt;&gt;"",ROUND(IF($F$11="raty równe",-PMT(W358/12,$F$4-O357+SUM($P$28:P358),T357,2),R358+S358),2),"")</f>
        <v/>
      </c>
      <c r="R358" s="11" t="str">
        <f>IF(O358&lt;&gt;"",IF($F$11="raty malejące",T357/($F$4-O357+SUM($P$28:P358)),IF(Q358-S358&gt;T357,T357,Q358-S358)),"")</f>
        <v/>
      </c>
      <c r="S358" s="11" t="str">
        <f t="shared" si="314"/>
        <v/>
      </c>
      <c r="T358" s="9" t="str">
        <f t="shared" si="315"/>
        <v/>
      </c>
      <c r="U358" s="10" t="str">
        <f t="shared" si="316"/>
        <v/>
      </c>
      <c r="V358" s="10" t="str">
        <f t="shared" si="317"/>
        <v/>
      </c>
      <c r="W358" s="48" t="str">
        <f t="shared" si="336"/>
        <v/>
      </c>
      <c r="X358" s="11" t="str">
        <f t="shared" si="318"/>
        <v/>
      </c>
      <c r="Y358" s="11" t="str">
        <f>IF(O358&lt;&gt;"",IF($B$16=listy!$K$8,'RZĄDOWY PROGRAM'!$F$3*'RZĄDOWY PROGRAM'!$F$15,T357*$F$15),"")</f>
        <v/>
      </c>
      <c r="Z358" s="11" t="str">
        <f t="shared" si="319"/>
        <v/>
      </c>
      <c r="AB358" s="8" t="str">
        <f t="shared" si="320"/>
        <v/>
      </c>
      <c r="AC358" s="8"/>
      <c r="AD358" s="11" t="str">
        <f>IF(AB358&lt;&gt;"",ROUND(IF($F$11="raty równe",-PMT(W358/12,$F$4-AB357+SUM($AC$28:AC358),AG357,2),AE358+AF358),2),"")</f>
        <v/>
      </c>
      <c r="AE358" s="11" t="str">
        <f>IF(AB358&lt;&gt;"",IF($F$11="raty malejące",AG357/($F$4-AB357+SUM($AC$28:AC357)),MIN(AD358-AF358,AG357)),"")</f>
        <v/>
      </c>
      <c r="AF358" s="11" t="str">
        <f t="shared" si="321"/>
        <v/>
      </c>
      <c r="AG358" s="9" t="str">
        <f t="shared" si="322"/>
        <v/>
      </c>
      <c r="AH358" s="11"/>
      <c r="AI358" s="33" t="str">
        <f>IF(AB358&lt;&gt;"",ROUND(IF($F$11="raty równe",-PMT(W358/12,($F$4-AB357+SUM($AC$27:AC357)),AG357,2),AG357/($F$4-AB357+SUM($AC$27:AC357))+AG357*W358/12),2),"")</f>
        <v/>
      </c>
      <c r="AJ358" s="33" t="str">
        <f t="shared" si="323"/>
        <v/>
      </c>
      <c r="AK358" s="33" t="str">
        <f t="shared" si="330"/>
        <v/>
      </c>
      <c r="AL358" s="33" t="str">
        <f>IF(AB358&lt;&gt;"",AK358-SUM($AJ$28:AJ358),"")</f>
        <v/>
      </c>
      <c r="AM358" s="11" t="str">
        <f t="shared" si="324"/>
        <v/>
      </c>
      <c r="AN358" s="11" t="str">
        <f>IF(AB358&lt;&gt;"",IF($B$16=listy!$K$8,'RZĄDOWY PROGRAM'!$F$3*'RZĄDOWY PROGRAM'!$F$15,AG357*$F$15),"")</f>
        <v/>
      </c>
      <c r="AO358" s="11" t="str">
        <f t="shared" si="325"/>
        <v/>
      </c>
      <c r="AQ358" s="8" t="str">
        <f t="shared" si="337"/>
        <v/>
      </c>
      <c r="AR358" s="8"/>
      <c r="AS358" s="78" t="str">
        <f>IF(AQ358&lt;&gt;"",ROUND(IF($F$11="raty równe",-PMT(W358/12,$F$4-AQ357+SUM($AR$28:AR358),AV357,2),AT358+AU358),2),"")</f>
        <v/>
      </c>
      <c r="AT358" s="78" t="str">
        <f>IF(AQ358&lt;&gt;"",IF($F$11="raty malejące",AV357/($F$4-AQ357+SUM($AR$28:AR357)),MIN(AS358-AU358,AV357)),"")</f>
        <v/>
      </c>
      <c r="AU358" s="78" t="str">
        <f t="shared" si="338"/>
        <v/>
      </c>
      <c r="AV358" s="79" t="str">
        <f t="shared" si="339"/>
        <v/>
      </c>
      <c r="AW358" s="11"/>
      <c r="AX358" s="33" t="str">
        <f>IF(AQ358&lt;&gt;"",ROUND(IF($F$11="raty równe",-PMT(W358/12,($F$4-AQ357+SUM($AR$27:AR357)),AV357,2),AV357/($F$4-AQ357+SUM($AR$27:AR357))+AV357*W358/12),2),"")</f>
        <v/>
      </c>
      <c r="AY358" s="33" t="str">
        <f t="shared" si="340"/>
        <v/>
      </c>
      <c r="AZ358" s="33" t="str">
        <f t="shared" si="294"/>
        <v/>
      </c>
      <c r="BA358" s="33" t="str">
        <f>IF(AQ358&lt;&gt;"",AZ358-SUM($AY$44:AY358),"")</f>
        <v/>
      </c>
      <c r="BB358" s="11" t="str">
        <f t="shared" si="341"/>
        <v/>
      </c>
      <c r="BC358" s="11" t="str">
        <f>IF(AQ358&lt;&gt;"",IF($B$16=listy!$K$8,'RZĄDOWY PROGRAM'!$F$3*'RZĄDOWY PROGRAM'!$F$15,AV357*$F$15),"")</f>
        <v/>
      </c>
      <c r="BD358" s="11" t="str">
        <f t="shared" si="342"/>
        <v/>
      </c>
      <c r="BF358" s="8" t="str">
        <f t="shared" si="298"/>
        <v/>
      </c>
      <c r="BG358" s="8"/>
      <c r="BH358" s="78" t="str">
        <f>IF(BF358&lt;&gt;"",ROUND(IF($F$11="raty równe",-PMT(W358/12,$F$4-BF357+SUM(BV$28:$BV358)-SUM($BM$29:BM358),BK357,2),BI358+BJ358),2),"")</f>
        <v/>
      </c>
      <c r="BI358" s="78" t="str">
        <f>IF(BF358&lt;&gt;"",IF($F$11="raty malejące",MIN(BK357/($F$4-BF357+SUM($BG$27:BG358)-SUM($BM$27:BM358)),BK357),MIN(BH358-BJ358,BK357)),"")</f>
        <v/>
      </c>
      <c r="BJ358" s="78" t="str">
        <f t="shared" si="299"/>
        <v/>
      </c>
      <c r="BK358" s="79" t="str">
        <f t="shared" si="300"/>
        <v/>
      </c>
      <c r="BL358" s="11"/>
      <c r="BM358" s="33"/>
      <c r="BN358" s="33" t="str">
        <f t="shared" si="295"/>
        <v/>
      </c>
      <c r="BO358" s="33" t="str">
        <f t="shared" si="296"/>
        <v/>
      </c>
      <c r="BP358" s="33" t="str">
        <f>IF(O358&lt;&gt;"",BO358-SUM($BN$44:BN358),"")</f>
        <v/>
      </c>
      <c r="BQ358" s="11" t="str">
        <f t="shared" si="301"/>
        <v/>
      </c>
      <c r="BR358" s="11" t="str">
        <f>IF(BF358&lt;&gt;"",IF($B$16=listy!$K$8,'RZĄDOWY PROGRAM'!$F$3*'RZĄDOWY PROGRAM'!$F$15,BK357*$F$15),"")</f>
        <v/>
      </c>
      <c r="BS358" s="11" t="str">
        <f t="shared" si="302"/>
        <v/>
      </c>
      <c r="BU358" s="8" t="str">
        <f t="shared" si="343"/>
        <v/>
      </c>
      <c r="BV358" s="8"/>
      <c r="BW358" s="78" t="str">
        <f>IF(BU358&lt;&gt;"",ROUND(IF($F$11="raty równe",-PMT(W358/12,$F$4-BU357+SUM($BV$28:BV358)-$CB$43,BZ357,2),BX358+BY358),2),"")</f>
        <v/>
      </c>
      <c r="BX358" s="78" t="str">
        <f>IF(BU358&lt;&gt;"",IF($F$11="raty malejące",MIN(BZ357/($F$4-BU357+SUM($BV$28:BV357)-SUM($CB$28:CB357)),BZ357),MIN(BW358-BY358,BZ357)),"")</f>
        <v/>
      </c>
      <c r="BY358" s="78" t="str">
        <f t="shared" si="303"/>
        <v/>
      </c>
      <c r="BZ358" s="79" t="str">
        <f t="shared" si="292"/>
        <v/>
      </c>
      <c r="CA358" s="11"/>
      <c r="CB358" s="33"/>
      <c r="CC358" s="33" t="str">
        <f t="shared" si="344"/>
        <v/>
      </c>
      <c r="CD358" s="33" t="str">
        <f t="shared" si="297"/>
        <v/>
      </c>
      <c r="CE358" s="33" t="str">
        <f>IF(O358&lt;&gt;"",CD358-SUM($CC$44:CC358),"")</f>
        <v/>
      </c>
      <c r="CF358" s="11" t="str">
        <f t="shared" si="304"/>
        <v/>
      </c>
      <c r="CG358" s="11" t="str">
        <f>IF(BU358&lt;&gt;"",IF($B$16=listy!$K$8,'RZĄDOWY PROGRAM'!$F$3*'RZĄDOWY PROGRAM'!$F$15,BZ357*$F$15),"")</f>
        <v/>
      </c>
      <c r="CH358" s="11" t="str">
        <f t="shared" si="305"/>
        <v/>
      </c>
      <c r="CJ358" s="48" t="str">
        <f t="shared" si="331"/>
        <v/>
      </c>
      <c r="CK358" s="18" t="str">
        <f t="shared" si="332"/>
        <v/>
      </c>
      <c r="CL358" s="11" t="str">
        <f t="shared" si="345"/>
        <v/>
      </c>
      <c r="CM358" s="11" t="str">
        <f t="shared" si="333"/>
        <v/>
      </c>
      <c r="CN358" s="11" t="str">
        <f>IF(AB358&lt;&gt;"",CM358-SUM($CL$28:CL358),"")</f>
        <v/>
      </c>
    </row>
    <row r="359" spans="1:92" x14ac:dyDescent="0.45">
      <c r="A359" s="68" t="str">
        <f t="shared" si="307"/>
        <v/>
      </c>
      <c r="B359" s="8" t="str">
        <f t="shared" si="326"/>
        <v/>
      </c>
      <c r="C359" s="11" t="str">
        <f t="shared" si="327"/>
        <v/>
      </c>
      <c r="D359" s="11" t="str">
        <f t="shared" si="328"/>
        <v/>
      </c>
      <c r="E359" s="11" t="str">
        <f t="shared" si="308"/>
        <v/>
      </c>
      <c r="F359" s="9" t="str">
        <f t="shared" si="309"/>
        <v/>
      </c>
      <c r="G359" s="10" t="str">
        <f t="shared" si="310"/>
        <v/>
      </c>
      <c r="H359" s="10" t="str">
        <f t="shared" si="311"/>
        <v/>
      </c>
      <c r="I359" s="48" t="str">
        <f t="shared" si="334"/>
        <v/>
      </c>
      <c r="J359" s="11" t="str">
        <f t="shared" si="329"/>
        <v/>
      </c>
      <c r="K359" s="11" t="str">
        <f>IF(B359&lt;&gt;"",IF($B$16=listy!$K$8,'RZĄDOWY PROGRAM'!$F$3*'RZĄDOWY PROGRAM'!$F$15,F358*$F$15),"")</f>
        <v/>
      </c>
      <c r="L359" s="11" t="str">
        <f t="shared" si="312"/>
        <v/>
      </c>
      <c r="N359" s="54" t="str">
        <f t="shared" si="313"/>
        <v/>
      </c>
      <c r="O359" s="8" t="str">
        <f t="shared" si="335"/>
        <v/>
      </c>
      <c r="P359" s="8"/>
      <c r="Q359" s="11" t="str">
        <f>IF(O359&lt;&gt;"",ROUND(IF($F$11="raty równe",-PMT(W359/12,$F$4-O358+SUM($P$28:P359),T358,2),R359+S359),2),"")</f>
        <v/>
      </c>
      <c r="R359" s="11" t="str">
        <f>IF(O359&lt;&gt;"",IF($F$11="raty malejące",T358/($F$4-O358+SUM($P$28:P359)),IF(Q359-S359&gt;T358,T358,Q359-S359)),"")</f>
        <v/>
      </c>
      <c r="S359" s="11" t="str">
        <f t="shared" si="314"/>
        <v/>
      </c>
      <c r="T359" s="9" t="str">
        <f t="shared" si="315"/>
        <v/>
      </c>
      <c r="U359" s="10" t="str">
        <f t="shared" si="316"/>
        <v/>
      </c>
      <c r="V359" s="10" t="str">
        <f t="shared" si="317"/>
        <v/>
      </c>
      <c r="W359" s="48" t="str">
        <f t="shared" si="336"/>
        <v/>
      </c>
      <c r="X359" s="11" t="str">
        <f t="shared" si="318"/>
        <v/>
      </c>
      <c r="Y359" s="11" t="str">
        <f>IF(O359&lt;&gt;"",IF($B$16=listy!$K$8,'RZĄDOWY PROGRAM'!$F$3*'RZĄDOWY PROGRAM'!$F$15,T358*$F$15),"")</f>
        <v/>
      </c>
      <c r="Z359" s="11" t="str">
        <f t="shared" si="319"/>
        <v/>
      </c>
      <c r="AB359" s="8" t="str">
        <f t="shared" si="320"/>
        <v/>
      </c>
      <c r="AC359" s="8"/>
      <c r="AD359" s="11" t="str">
        <f>IF(AB359&lt;&gt;"",ROUND(IF($F$11="raty równe",-PMT(W359/12,$F$4-AB358+SUM($AC$28:AC359),AG358,2),AE359+AF359),2),"")</f>
        <v/>
      </c>
      <c r="AE359" s="11" t="str">
        <f>IF(AB359&lt;&gt;"",IF($F$11="raty malejące",AG358/($F$4-AB358+SUM($AC$28:AC358)),MIN(AD359-AF359,AG358)),"")</f>
        <v/>
      </c>
      <c r="AF359" s="11" t="str">
        <f t="shared" si="321"/>
        <v/>
      </c>
      <c r="AG359" s="9" t="str">
        <f t="shared" si="322"/>
        <v/>
      </c>
      <c r="AH359" s="11"/>
      <c r="AI359" s="33" t="str">
        <f>IF(AB359&lt;&gt;"",ROUND(IF($F$11="raty równe",-PMT(W359/12,($F$4-AB358+SUM($AC$27:AC358)),AG358,2),AG358/($F$4-AB358+SUM($AC$27:AC358))+AG358*W359/12),2),"")</f>
        <v/>
      </c>
      <c r="AJ359" s="33" t="str">
        <f t="shared" si="323"/>
        <v/>
      </c>
      <c r="AK359" s="33" t="str">
        <f t="shared" si="330"/>
        <v/>
      </c>
      <c r="AL359" s="33" t="str">
        <f>IF(AB359&lt;&gt;"",AK359-SUM($AJ$28:AJ359),"")</f>
        <v/>
      </c>
      <c r="AM359" s="11" t="str">
        <f t="shared" si="324"/>
        <v/>
      </c>
      <c r="AN359" s="11" t="str">
        <f>IF(AB359&lt;&gt;"",IF($B$16=listy!$K$8,'RZĄDOWY PROGRAM'!$F$3*'RZĄDOWY PROGRAM'!$F$15,AG358*$F$15),"")</f>
        <v/>
      </c>
      <c r="AO359" s="11" t="str">
        <f t="shared" si="325"/>
        <v/>
      </c>
      <c r="AQ359" s="8" t="str">
        <f t="shared" si="337"/>
        <v/>
      </c>
      <c r="AR359" s="8"/>
      <c r="AS359" s="78" t="str">
        <f>IF(AQ359&lt;&gt;"",ROUND(IF($F$11="raty równe",-PMT(W359/12,$F$4-AQ358+SUM($AR$28:AR359),AV358,2),AT359+AU359),2),"")</f>
        <v/>
      </c>
      <c r="AT359" s="78" t="str">
        <f>IF(AQ359&lt;&gt;"",IF($F$11="raty malejące",AV358/($F$4-AQ358+SUM($AR$28:AR358)),MIN(AS359-AU359,AV358)),"")</f>
        <v/>
      </c>
      <c r="AU359" s="78" t="str">
        <f t="shared" si="338"/>
        <v/>
      </c>
      <c r="AV359" s="79" t="str">
        <f t="shared" si="339"/>
        <v/>
      </c>
      <c r="AW359" s="11"/>
      <c r="AX359" s="33" t="str">
        <f>IF(AQ359&lt;&gt;"",ROUND(IF($F$11="raty równe",-PMT(W359/12,($F$4-AQ358+SUM($AR$27:AR358)),AV358,2),AV358/($F$4-AQ358+SUM($AR$27:AR358))+AV358*W359/12),2),"")</f>
        <v/>
      </c>
      <c r="AY359" s="33" t="str">
        <f t="shared" si="340"/>
        <v/>
      </c>
      <c r="AZ359" s="33" t="str">
        <f t="shared" si="294"/>
        <v/>
      </c>
      <c r="BA359" s="33" t="str">
        <f>IF(AQ359&lt;&gt;"",AZ359-SUM($AY$44:AY359),"")</f>
        <v/>
      </c>
      <c r="BB359" s="11" t="str">
        <f t="shared" si="341"/>
        <v/>
      </c>
      <c r="BC359" s="11" t="str">
        <f>IF(AQ359&lt;&gt;"",IF($B$16=listy!$K$8,'RZĄDOWY PROGRAM'!$F$3*'RZĄDOWY PROGRAM'!$F$15,AV358*$F$15),"")</f>
        <v/>
      </c>
      <c r="BD359" s="11" t="str">
        <f t="shared" si="342"/>
        <v/>
      </c>
      <c r="BF359" s="8" t="str">
        <f t="shared" si="298"/>
        <v/>
      </c>
      <c r="BG359" s="8"/>
      <c r="BH359" s="78" t="str">
        <f>IF(BF359&lt;&gt;"",ROUND(IF($F$11="raty równe",-PMT(W359/12,$F$4-BF358+SUM(BV$28:$BV359)-SUM($BM$29:BM359),BK358,2),BI359+BJ359),2),"")</f>
        <v/>
      </c>
      <c r="BI359" s="78" t="str">
        <f>IF(BF359&lt;&gt;"",IF($F$11="raty malejące",MIN(BK358/($F$4-BF358+SUM($BG$27:BG359)-SUM($BM$27:BM359)),BK358),MIN(BH359-BJ359,BK358)),"")</f>
        <v/>
      </c>
      <c r="BJ359" s="78" t="str">
        <f t="shared" si="299"/>
        <v/>
      </c>
      <c r="BK359" s="79" t="str">
        <f t="shared" si="300"/>
        <v/>
      </c>
      <c r="BL359" s="11"/>
      <c r="BM359" s="33"/>
      <c r="BN359" s="33" t="str">
        <f t="shared" si="295"/>
        <v/>
      </c>
      <c r="BO359" s="33" t="str">
        <f t="shared" si="296"/>
        <v/>
      </c>
      <c r="BP359" s="33" t="str">
        <f>IF(O359&lt;&gt;"",BO359-SUM($BN$44:BN359),"")</f>
        <v/>
      </c>
      <c r="BQ359" s="11" t="str">
        <f t="shared" si="301"/>
        <v/>
      </c>
      <c r="BR359" s="11" t="str">
        <f>IF(BF359&lt;&gt;"",IF($B$16=listy!$K$8,'RZĄDOWY PROGRAM'!$F$3*'RZĄDOWY PROGRAM'!$F$15,BK358*$F$15),"")</f>
        <v/>
      </c>
      <c r="BS359" s="11" t="str">
        <f t="shared" si="302"/>
        <v/>
      </c>
      <c r="BU359" s="8" t="str">
        <f t="shared" si="343"/>
        <v/>
      </c>
      <c r="BV359" s="8"/>
      <c r="BW359" s="78" t="str">
        <f>IF(BU359&lt;&gt;"",ROUND(IF($F$11="raty równe",-PMT(W359/12,$F$4-BU358+SUM($BV$28:BV359)-$CB$43,BZ358,2),BX359+BY359),2),"")</f>
        <v/>
      </c>
      <c r="BX359" s="78" t="str">
        <f>IF(BU359&lt;&gt;"",IF($F$11="raty malejące",MIN(BZ358/($F$4-BU358+SUM($BV$28:BV358)-SUM($CB$28:CB358)),BZ358),MIN(BW359-BY359,BZ358)),"")</f>
        <v/>
      </c>
      <c r="BY359" s="78" t="str">
        <f t="shared" si="303"/>
        <v/>
      </c>
      <c r="BZ359" s="79" t="str">
        <f t="shared" si="292"/>
        <v/>
      </c>
      <c r="CA359" s="11"/>
      <c r="CB359" s="33"/>
      <c r="CC359" s="33" t="str">
        <f t="shared" si="344"/>
        <v/>
      </c>
      <c r="CD359" s="33" t="str">
        <f t="shared" si="297"/>
        <v/>
      </c>
      <c r="CE359" s="33" t="str">
        <f>IF(O359&lt;&gt;"",CD359-SUM($CC$44:CC359),"")</f>
        <v/>
      </c>
      <c r="CF359" s="11" t="str">
        <f t="shared" si="304"/>
        <v/>
      </c>
      <c r="CG359" s="11" t="str">
        <f>IF(BU359&lt;&gt;"",IF($B$16=listy!$K$8,'RZĄDOWY PROGRAM'!$F$3*'RZĄDOWY PROGRAM'!$F$15,BZ358*$F$15),"")</f>
        <v/>
      </c>
      <c r="CH359" s="11" t="str">
        <f t="shared" si="305"/>
        <v/>
      </c>
      <c r="CJ359" s="48" t="str">
        <f t="shared" si="331"/>
        <v/>
      </c>
      <c r="CK359" s="18" t="str">
        <f t="shared" si="332"/>
        <v/>
      </c>
      <c r="CL359" s="11" t="str">
        <f t="shared" si="345"/>
        <v/>
      </c>
      <c r="CM359" s="11" t="str">
        <f t="shared" si="333"/>
        <v/>
      </c>
      <c r="CN359" s="11" t="str">
        <f>IF(AB359&lt;&gt;"",CM359-SUM($CL$28:CL359),"")</f>
        <v/>
      </c>
    </row>
    <row r="360" spans="1:92" x14ac:dyDescent="0.45">
      <c r="A360" s="68" t="str">
        <f t="shared" si="307"/>
        <v/>
      </c>
      <c r="B360" s="8" t="str">
        <f t="shared" si="326"/>
        <v/>
      </c>
      <c r="C360" s="11" t="str">
        <f t="shared" si="327"/>
        <v/>
      </c>
      <c r="D360" s="11" t="str">
        <f t="shared" si="328"/>
        <v/>
      </c>
      <c r="E360" s="11" t="str">
        <f t="shared" si="308"/>
        <v/>
      </c>
      <c r="F360" s="9" t="str">
        <f t="shared" si="309"/>
        <v/>
      </c>
      <c r="G360" s="10" t="str">
        <f t="shared" si="310"/>
        <v/>
      </c>
      <c r="H360" s="10" t="str">
        <f t="shared" si="311"/>
        <v/>
      </c>
      <c r="I360" s="48" t="str">
        <f t="shared" si="334"/>
        <v/>
      </c>
      <c r="J360" s="11" t="str">
        <f t="shared" si="329"/>
        <v/>
      </c>
      <c r="K360" s="11" t="str">
        <f>IF(B360&lt;&gt;"",IF($B$16=listy!$K$8,'RZĄDOWY PROGRAM'!$F$3*'RZĄDOWY PROGRAM'!$F$15,F359*$F$15),"")</f>
        <v/>
      </c>
      <c r="L360" s="11" t="str">
        <f t="shared" si="312"/>
        <v/>
      </c>
      <c r="N360" s="54" t="str">
        <f t="shared" si="313"/>
        <v/>
      </c>
      <c r="O360" s="8" t="str">
        <f t="shared" si="335"/>
        <v/>
      </c>
      <c r="P360" s="8"/>
      <c r="Q360" s="11" t="str">
        <f>IF(O360&lt;&gt;"",ROUND(IF($F$11="raty równe",-PMT(W360/12,$F$4-O359+SUM($P$28:P360),T359,2),R360+S360),2),"")</f>
        <v/>
      </c>
      <c r="R360" s="11" t="str">
        <f>IF(O360&lt;&gt;"",IF($F$11="raty malejące",T359/($F$4-O359+SUM($P$28:P360)),IF(Q360-S360&gt;T359,T359,Q360-S360)),"")</f>
        <v/>
      </c>
      <c r="S360" s="11" t="str">
        <f t="shared" si="314"/>
        <v/>
      </c>
      <c r="T360" s="9" t="str">
        <f t="shared" si="315"/>
        <v/>
      </c>
      <c r="U360" s="10" t="str">
        <f t="shared" si="316"/>
        <v/>
      </c>
      <c r="V360" s="10" t="str">
        <f t="shared" si="317"/>
        <v/>
      </c>
      <c r="W360" s="48" t="str">
        <f t="shared" si="336"/>
        <v/>
      </c>
      <c r="X360" s="11" t="str">
        <f t="shared" si="318"/>
        <v/>
      </c>
      <c r="Y360" s="11" t="str">
        <f>IF(O360&lt;&gt;"",IF($B$16=listy!$K$8,'RZĄDOWY PROGRAM'!$F$3*'RZĄDOWY PROGRAM'!$F$15,T359*$F$15),"")</f>
        <v/>
      </c>
      <c r="Z360" s="11" t="str">
        <f t="shared" si="319"/>
        <v/>
      </c>
      <c r="AB360" s="8" t="str">
        <f t="shared" si="320"/>
        <v/>
      </c>
      <c r="AC360" s="8"/>
      <c r="AD360" s="11" t="str">
        <f>IF(AB360&lt;&gt;"",ROUND(IF($F$11="raty równe",-PMT(W360/12,$F$4-AB359+SUM($AC$28:AC360),AG359,2),AE360+AF360),2),"")</f>
        <v/>
      </c>
      <c r="AE360" s="11" t="str">
        <f>IF(AB360&lt;&gt;"",IF($F$11="raty malejące",AG359/($F$4-AB359+SUM($AC$28:AC359)),MIN(AD360-AF360,AG359)),"")</f>
        <v/>
      </c>
      <c r="AF360" s="11" t="str">
        <f t="shared" si="321"/>
        <v/>
      </c>
      <c r="AG360" s="9" t="str">
        <f t="shared" si="322"/>
        <v/>
      </c>
      <c r="AH360" s="11"/>
      <c r="AI360" s="33" t="str">
        <f>IF(AB360&lt;&gt;"",ROUND(IF($F$11="raty równe",-PMT(W360/12,($F$4-AB359+SUM($AC$27:AC359)),AG359,2),AG359/($F$4-AB359+SUM($AC$27:AC359))+AG359*W360/12),2),"")</f>
        <v/>
      </c>
      <c r="AJ360" s="33" t="str">
        <f t="shared" si="323"/>
        <v/>
      </c>
      <c r="AK360" s="33" t="str">
        <f t="shared" si="330"/>
        <v/>
      </c>
      <c r="AL360" s="33" t="str">
        <f>IF(AB360&lt;&gt;"",AK360-SUM($AJ$28:AJ360),"")</f>
        <v/>
      </c>
      <c r="AM360" s="11" t="str">
        <f t="shared" si="324"/>
        <v/>
      </c>
      <c r="AN360" s="11" t="str">
        <f>IF(AB360&lt;&gt;"",IF($B$16=listy!$K$8,'RZĄDOWY PROGRAM'!$F$3*'RZĄDOWY PROGRAM'!$F$15,AG359*$F$15),"")</f>
        <v/>
      </c>
      <c r="AO360" s="11" t="str">
        <f t="shared" si="325"/>
        <v/>
      </c>
      <c r="AQ360" s="8" t="str">
        <f t="shared" si="337"/>
        <v/>
      </c>
      <c r="AR360" s="8"/>
      <c r="AS360" s="78" t="str">
        <f>IF(AQ360&lt;&gt;"",ROUND(IF($F$11="raty równe",-PMT(W360/12,$F$4-AQ359+SUM($AR$28:AR360),AV359,2),AT360+AU360),2),"")</f>
        <v/>
      </c>
      <c r="AT360" s="78" t="str">
        <f>IF(AQ360&lt;&gt;"",IF($F$11="raty malejące",AV359/($F$4-AQ359+SUM($AR$28:AR359)),MIN(AS360-AU360,AV359)),"")</f>
        <v/>
      </c>
      <c r="AU360" s="78" t="str">
        <f t="shared" si="338"/>
        <v/>
      </c>
      <c r="AV360" s="79" t="str">
        <f t="shared" si="339"/>
        <v/>
      </c>
      <c r="AW360" s="11"/>
      <c r="AX360" s="33" t="str">
        <f>IF(AQ360&lt;&gt;"",ROUND(IF($F$11="raty równe",-PMT(W360/12,($F$4-AQ359+SUM($AR$27:AR359)),AV359,2),AV359/($F$4-AQ359+SUM($AR$27:AR359))+AV359*W360/12),2),"")</f>
        <v/>
      </c>
      <c r="AY360" s="33" t="str">
        <f t="shared" si="340"/>
        <v/>
      </c>
      <c r="AZ360" s="33" t="str">
        <f t="shared" si="294"/>
        <v/>
      </c>
      <c r="BA360" s="33" t="str">
        <f>IF(AQ360&lt;&gt;"",AZ360-SUM($AY$44:AY360),"")</f>
        <v/>
      </c>
      <c r="BB360" s="11" t="str">
        <f t="shared" si="341"/>
        <v/>
      </c>
      <c r="BC360" s="11" t="str">
        <f>IF(AQ360&lt;&gt;"",IF($B$16=listy!$K$8,'RZĄDOWY PROGRAM'!$F$3*'RZĄDOWY PROGRAM'!$F$15,AV359*$F$15),"")</f>
        <v/>
      </c>
      <c r="BD360" s="11" t="str">
        <f t="shared" si="342"/>
        <v/>
      </c>
      <c r="BF360" s="8" t="str">
        <f t="shared" si="298"/>
        <v/>
      </c>
      <c r="BG360" s="8"/>
      <c r="BH360" s="78" t="str">
        <f>IF(BF360&lt;&gt;"",ROUND(IF($F$11="raty równe",-PMT(W360/12,$F$4-BF359+SUM(BV$28:$BV360)-SUM($BM$29:BM360),BK359,2),BI360+BJ360),2),"")</f>
        <v/>
      </c>
      <c r="BI360" s="78" t="str">
        <f>IF(BF360&lt;&gt;"",IF($F$11="raty malejące",MIN(BK359/($F$4-BF359+SUM($BG$27:BG360)-SUM($BM$27:BM360)),BK359),MIN(BH360-BJ360,BK359)),"")</f>
        <v/>
      </c>
      <c r="BJ360" s="78" t="str">
        <f t="shared" si="299"/>
        <v/>
      </c>
      <c r="BK360" s="79" t="str">
        <f t="shared" si="300"/>
        <v/>
      </c>
      <c r="BL360" s="11"/>
      <c r="BM360" s="33"/>
      <c r="BN360" s="33" t="str">
        <f t="shared" si="295"/>
        <v/>
      </c>
      <c r="BO360" s="33" t="str">
        <f t="shared" si="296"/>
        <v/>
      </c>
      <c r="BP360" s="33" t="str">
        <f>IF(O360&lt;&gt;"",BO360-SUM($BN$44:BN360),"")</f>
        <v/>
      </c>
      <c r="BQ360" s="11" t="str">
        <f t="shared" si="301"/>
        <v/>
      </c>
      <c r="BR360" s="11" t="str">
        <f>IF(BF360&lt;&gt;"",IF($B$16=listy!$K$8,'RZĄDOWY PROGRAM'!$F$3*'RZĄDOWY PROGRAM'!$F$15,BK359*$F$15),"")</f>
        <v/>
      </c>
      <c r="BS360" s="11" t="str">
        <f t="shared" si="302"/>
        <v/>
      </c>
      <c r="BU360" s="8" t="str">
        <f t="shared" si="343"/>
        <v/>
      </c>
      <c r="BV360" s="8"/>
      <c r="BW360" s="78" t="str">
        <f>IF(BU360&lt;&gt;"",ROUND(IF($F$11="raty równe",-PMT(W360/12,$F$4-BU359+SUM($BV$28:BV360)-$CB$43,BZ359,2),BX360+BY360),2),"")</f>
        <v/>
      </c>
      <c r="BX360" s="78" t="str">
        <f>IF(BU360&lt;&gt;"",IF($F$11="raty malejące",MIN(BZ359/($F$4-BU359+SUM($BV$28:BV359)-SUM($CB$28:CB359)),BZ359),MIN(BW360-BY360,BZ359)),"")</f>
        <v/>
      </c>
      <c r="BY360" s="78" t="str">
        <f t="shared" si="303"/>
        <v/>
      </c>
      <c r="BZ360" s="79" t="str">
        <f t="shared" si="292"/>
        <v/>
      </c>
      <c r="CA360" s="11"/>
      <c r="CB360" s="33"/>
      <c r="CC360" s="33" t="str">
        <f t="shared" si="344"/>
        <v/>
      </c>
      <c r="CD360" s="33" t="str">
        <f t="shared" si="297"/>
        <v/>
      </c>
      <c r="CE360" s="33" t="str">
        <f>IF(O360&lt;&gt;"",CD360-SUM($CC$44:CC360),"")</f>
        <v/>
      </c>
      <c r="CF360" s="11" t="str">
        <f t="shared" si="304"/>
        <v/>
      </c>
      <c r="CG360" s="11" t="str">
        <f>IF(BU360&lt;&gt;"",IF($B$16=listy!$K$8,'RZĄDOWY PROGRAM'!$F$3*'RZĄDOWY PROGRAM'!$F$15,BZ359*$F$15),"")</f>
        <v/>
      </c>
      <c r="CH360" s="11" t="str">
        <f t="shared" si="305"/>
        <v/>
      </c>
      <c r="CJ360" s="48" t="str">
        <f t="shared" si="331"/>
        <v/>
      </c>
      <c r="CK360" s="18" t="str">
        <f t="shared" si="332"/>
        <v/>
      </c>
      <c r="CL360" s="11" t="str">
        <f t="shared" si="345"/>
        <v/>
      </c>
      <c r="CM360" s="11" t="str">
        <f t="shared" si="333"/>
        <v/>
      </c>
      <c r="CN360" s="11" t="str">
        <f>IF(AB360&lt;&gt;"",CM360-SUM($CL$28:CL360),"")</f>
        <v/>
      </c>
    </row>
    <row r="361" spans="1:92" x14ac:dyDescent="0.45">
      <c r="A361" s="68" t="str">
        <f t="shared" si="307"/>
        <v/>
      </c>
      <c r="B361" s="8" t="str">
        <f t="shared" si="326"/>
        <v/>
      </c>
      <c r="C361" s="11" t="str">
        <f t="shared" si="327"/>
        <v/>
      </c>
      <c r="D361" s="11" t="str">
        <f t="shared" si="328"/>
        <v/>
      </c>
      <c r="E361" s="11" t="str">
        <f t="shared" si="308"/>
        <v/>
      </c>
      <c r="F361" s="9" t="str">
        <f t="shared" si="309"/>
        <v/>
      </c>
      <c r="G361" s="10" t="str">
        <f t="shared" si="310"/>
        <v/>
      </c>
      <c r="H361" s="10" t="str">
        <f t="shared" si="311"/>
        <v/>
      </c>
      <c r="I361" s="48" t="str">
        <f t="shared" si="334"/>
        <v/>
      </c>
      <c r="J361" s="11" t="str">
        <f t="shared" si="329"/>
        <v/>
      </c>
      <c r="K361" s="11" t="str">
        <f>IF(B361&lt;&gt;"",IF($B$16=listy!$K$8,'RZĄDOWY PROGRAM'!$F$3*'RZĄDOWY PROGRAM'!$F$15,F360*$F$15),"")</f>
        <v/>
      </c>
      <c r="L361" s="11" t="str">
        <f t="shared" si="312"/>
        <v/>
      </c>
      <c r="N361" s="54" t="str">
        <f t="shared" si="313"/>
        <v/>
      </c>
      <c r="O361" s="8" t="str">
        <f t="shared" si="335"/>
        <v/>
      </c>
      <c r="P361" s="8"/>
      <c r="Q361" s="11" t="str">
        <f>IF(O361&lt;&gt;"",ROUND(IF($F$11="raty równe",-PMT(W361/12,$F$4-O360+SUM($P$28:P361),T360,2),R361+S361),2),"")</f>
        <v/>
      </c>
      <c r="R361" s="11" t="str">
        <f>IF(O361&lt;&gt;"",IF($F$11="raty malejące",T360/($F$4-O360+SUM($P$28:P361)),IF(Q361-S361&gt;T360,T360,Q361-S361)),"")</f>
        <v/>
      </c>
      <c r="S361" s="11" t="str">
        <f t="shared" si="314"/>
        <v/>
      </c>
      <c r="T361" s="9" t="str">
        <f t="shared" si="315"/>
        <v/>
      </c>
      <c r="U361" s="10" t="str">
        <f t="shared" si="316"/>
        <v/>
      </c>
      <c r="V361" s="10" t="str">
        <f t="shared" si="317"/>
        <v/>
      </c>
      <c r="W361" s="48" t="str">
        <f t="shared" si="336"/>
        <v/>
      </c>
      <c r="X361" s="11" t="str">
        <f t="shared" si="318"/>
        <v/>
      </c>
      <c r="Y361" s="11" t="str">
        <f>IF(O361&lt;&gt;"",IF($B$16=listy!$K$8,'RZĄDOWY PROGRAM'!$F$3*'RZĄDOWY PROGRAM'!$F$15,T360*$F$15),"")</f>
        <v/>
      </c>
      <c r="Z361" s="11" t="str">
        <f t="shared" si="319"/>
        <v/>
      </c>
      <c r="AB361" s="8" t="str">
        <f t="shared" si="320"/>
        <v/>
      </c>
      <c r="AC361" s="8"/>
      <c r="AD361" s="11" t="str">
        <f>IF(AB361&lt;&gt;"",ROUND(IF($F$11="raty równe",-PMT(W361/12,$F$4-AB360+SUM($AC$28:AC361),AG360,2),AE361+AF361),2),"")</f>
        <v/>
      </c>
      <c r="AE361" s="11" t="str">
        <f>IF(AB361&lt;&gt;"",IF($F$11="raty malejące",AG360/($F$4-AB360+SUM($AC$28:AC360)),MIN(AD361-AF361,AG360)),"")</f>
        <v/>
      </c>
      <c r="AF361" s="11" t="str">
        <f t="shared" si="321"/>
        <v/>
      </c>
      <c r="AG361" s="9" t="str">
        <f t="shared" si="322"/>
        <v/>
      </c>
      <c r="AH361" s="11"/>
      <c r="AI361" s="33" t="str">
        <f>IF(AB361&lt;&gt;"",ROUND(IF($F$11="raty równe",-PMT(W361/12,($F$4-AB360+SUM($AC$27:AC360)),AG360,2),AG360/($F$4-AB360+SUM($AC$27:AC360))+AG360*W361/12),2),"")</f>
        <v/>
      </c>
      <c r="AJ361" s="33" t="str">
        <f t="shared" si="323"/>
        <v/>
      </c>
      <c r="AK361" s="33" t="str">
        <f t="shared" si="330"/>
        <v/>
      </c>
      <c r="AL361" s="33" t="str">
        <f>IF(AB361&lt;&gt;"",AK361-SUM($AJ$28:AJ361),"")</f>
        <v/>
      </c>
      <c r="AM361" s="11" t="str">
        <f t="shared" si="324"/>
        <v/>
      </c>
      <c r="AN361" s="11" t="str">
        <f>IF(AB361&lt;&gt;"",IF($B$16=listy!$K$8,'RZĄDOWY PROGRAM'!$F$3*'RZĄDOWY PROGRAM'!$F$15,AG360*$F$15),"")</f>
        <v/>
      </c>
      <c r="AO361" s="11" t="str">
        <f t="shared" si="325"/>
        <v/>
      </c>
      <c r="AQ361" s="8" t="str">
        <f t="shared" si="337"/>
        <v/>
      </c>
      <c r="AR361" s="8"/>
      <c r="AS361" s="78" t="str">
        <f>IF(AQ361&lt;&gt;"",ROUND(IF($F$11="raty równe",-PMT(W361/12,$F$4-AQ360+SUM($AR$28:AR361),AV360,2),AT361+AU361),2),"")</f>
        <v/>
      </c>
      <c r="AT361" s="78" t="str">
        <f>IF(AQ361&lt;&gt;"",IF($F$11="raty malejące",AV360/($F$4-AQ360+SUM($AR$28:AR360)),MIN(AS361-AU361,AV360)),"")</f>
        <v/>
      </c>
      <c r="AU361" s="78" t="str">
        <f t="shared" si="338"/>
        <v/>
      </c>
      <c r="AV361" s="79" t="str">
        <f t="shared" si="339"/>
        <v/>
      </c>
      <c r="AW361" s="11"/>
      <c r="AX361" s="33" t="str">
        <f>IF(AQ361&lt;&gt;"",ROUND(IF($F$11="raty równe",-PMT(W361/12,($F$4-AQ360+SUM($AR$27:AR360)),AV360,2),AV360/($F$4-AQ360+SUM($AR$27:AR360))+AV360*W361/12),2),"")</f>
        <v/>
      </c>
      <c r="AY361" s="33" t="str">
        <f t="shared" si="340"/>
        <v/>
      </c>
      <c r="AZ361" s="33" t="str">
        <f t="shared" si="294"/>
        <v/>
      </c>
      <c r="BA361" s="33" t="str">
        <f>IF(AQ361&lt;&gt;"",AZ361-SUM($AY$44:AY361),"")</f>
        <v/>
      </c>
      <c r="BB361" s="11" t="str">
        <f t="shared" si="341"/>
        <v/>
      </c>
      <c r="BC361" s="11" t="str">
        <f>IF(AQ361&lt;&gt;"",IF($B$16=listy!$K$8,'RZĄDOWY PROGRAM'!$F$3*'RZĄDOWY PROGRAM'!$F$15,AV360*$F$15),"")</f>
        <v/>
      </c>
      <c r="BD361" s="11" t="str">
        <f t="shared" si="342"/>
        <v/>
      </c>
      <c r="BF361" s="8" t="str">
        <f t="shared" si="298"/>
        <v/>
      </c>
      <c r="BG361" s="8"/>
      <c r="BH361" s="78" t="str">
        <f>IF(BF361&lt;&gt;"",ROUND(IF($F$11="raty równe",-PMT(W361/12,$F$4-BF360+SUM(BV$28:$BV361)-SUM($BM$29:BM361),BK360,2),BI361+BJ361),2),"")</f>
        <v/>
      </c>
      <c r="BI361" s="78" t="str">
        <f>IF(BF361&lt;&gt;"",IF($F$11="raty malejące",MIN(BK360/($F$4-BF360+SUM($BG$27:BG361)-SUM($BM$27:BM361)),BK360),MIN(BH361-BJ361,BK360)),"")</f>
        <v/>
      </c>
      <c r="BJ361" s="78" t="str">
        <f t="shared" si="299"/>
        <v/>
      </c>
      <c r="BK361" s="79" t="str">
        <f t="shared" si="300"/>
        <v/>
      </c>
      <c r="BL361" s="11"/>
      <c r="BM361" s="33"/>
      <c r="BN361" s="33" t="str">
        <f t="shared" si="295"/>
        <v/>
      </c>
      <c r="BO361" s="33" t="str">
        <f t="shared" si="296"/>
        <v/>
      </c>
      <c r="BP361" s="33" t="str">
        <f>IF(O361&lt;&gt;"",BO361-SUM($BN$44:BN361),"")</f>
        <v/>
      </c>
      <c r="BQ361" s="11" t="str">
        <f t="shared" si="301"/>
        <v/>
      </c>
      <c r="BR361" s="11" t="str">
        <f>IF(BF361&lt;&gt;"",IF($B$16=listy!$K$8,'RZĄDOWY PROGRAM'!$F$3*'RZĄDOWY PROGRAM'!$F$15,BK360*$F$15),"")</f>
        <v/>
      </c>
      <c r="BS361" s="11" t="str">
        <f t="shared" si="302"/>
        <v/>
      </c>
      <c r="BU361" s="8" t="str">
        <f t="shared" si="343"/>
        <v/>
      </c>
      <c r="BV361" s="8"/>
      <c r="BW361" s="78" t="str">
        <f>IF(BU361&lt;&gt;"",ROUND(IF($F$11="raty równe",-PMT(W361/12,$F$4-BU360+SUM($BV$28:BV361)-$CB$43,BZ360,2),BX361+BY361),2),"")</f>
        <v/>
      </c>
      <c r="BX361" s="78" t="str">
        <f>IF(BU361&lt;&gt;"",IF($F$11="raty malejące",MIN(BZ360/($F$4-BU360+SUM($BV$28:BV360)-SUM($CB$28:CB360)),BZ360),MIN(BW361-BY361,BZ360)),"")</f>
        <v/>
      </c>
      <c r="BY361" s="78" t="str">
        <f t="shared" si="303"/>
        <v/>
      </c>
      <c r="BZ361" s="79" t="str">
        <f t="shared" si="292"/>
        <v/>
      </c>
      <c r="CA361" s="11"/>
      <c r="CB361" s="33"/>
      <c r="CC361" s="33" t="str">
        <f t="shared" si="344"/>
        <v/>
      </c>
      <c r="CD361" s="33" t="str">
        <f t="shared" si="297"/>
        <v/>
      </c>
      <c r="CE361" s="33" t="str">
        <f>IF(O361&lt;&gt;"",CD361-SUM($CC$44:CC361),"")</f>
        <v/>
      </c>
      <c r="CF361" s="11" t="str">
        <f t="shared" si="304"/>
        <v/>
      </c>
      <c r="CG361" s="11" t="str">
        <f>IF(BU361&lt;&gt;"",IF($B$16=listy!$K$8,'RZĄDOWY PROGRAM'!$F$3*'RZĄDOWY PROGRAM'!$F$15,BZ360*$F$15),"")</f>
        <v/>
      </c>
      <c r="CH361" s="11" t="str">
        <f t="shared" si="305"/>
        <v/>
      </c>
      <c r="CJ361" s="48" t="str">
        <f t="shared" si="331"/>
        <v/>
      </c>
      <c r="CK361" s="18" t="str">
        <f t="shared" si="332"/>
        <v/>
      </c>
      <c r="CL361" s="11" t="str">
        <f t="shared" si="345"/>
        <v/>
      </c>
      <c r="CM361" s="11" t="str">
        <f t="shared" si="333"/>
        <v/>
      </c>
      <c r="CN361" s="11" t="str">
        <f>IF(AB361&lt;&gt;"",CM361-SUM($CL$28:CL361),"")</f>
        <v/>
      </c>
    </row>
    <row r="362" spans="1:92" x14ac:dyDescent="0.45">
      <c r="A362" s="68" t="str">
        <f t="shared" si="307"/>
        <v/>
      </c>
      <c r="B362" s="8" t="str">
        <f t="shared" si="326"/>
        <v/>
      </c>
      <c r="C362" s="11" t="str">
        <f t="shared" si="327"/>
        <v/>
      </c>
      <c r="D362" s="11" t="str">
        <f t="shared" si="328"/>
        <v/>
      </c>
      <c r="E362" s="11" t="str">
        <f t="shared" si="308"/>
        <v/>
      </c>
      <c r="F362" s="9" t="str">
        <f t="shared" si="309"/>
        <v/>
      </c>
      <c r="G362" s="10" t="str">
        <f t="shared" si="310"/>
        <v/>
      </c>
      <c r="H362" s="10" t="str">
        <f t="shared" si="311"/>
        <v/>
      </c>
      <c r="I362" s="48" t="str">
        <f t="shared" si="334"/>
        <v/>
      </c>
      <c r="J362" s="11" t="str">
        <f t="shared" si="329"/>
        <v/>
      </c>
      <c r="K362" s="11" t="str">
        <f>IF(B362&lt;&gt;"",IF($B$16=listy!$K$8,'RZĄDOWY PROGRAM'!$F$3*'RZĄDOWY PROGRAM'!$F$15,F361*$F$15),"")</f>
        <v/>
      </c>
      <c r="L362" s="11" t="str">
        <f t="shared" si="312"/>
        <v/>
      </c>
      <c r="N362" s="54" t="str">
        <f t="shared" si="313"/>
        <v/>
      </c>
      <c r="O362" s="8" t="str">
        <f t="shared" si="335"/>
        <v/>
      </c>
      <c r="P362" s="8"/>
      <c r="Q362" s="11" t="str">
        <f>IF(O362&lt;&gt;"",ROUND(IF($F$11="raty równe",-PMT(W362/12,$F$4-O361+SUM($P$28:P362),T361,2),R362+S362),2),"")</f>
        <v/>
      </c>
      <c r="R362" s="11" t="str">
        <f>IF(O362&lt;&gt;"",IF($F$11="raty malejące",T361/($F$4-O361+SUM($P$28:P362)),IF(Q362-S362&gt;T361,T361,Q362-S362)),"")</f>
        <v/>
      </c>
      <c r="S362" s="11" t="str">
        <f t="shared" si="314"/>
        <v/>
      </c>
      <c r="T362" s="9" t="str">
        <f t="shared" si="315"/>
        <v/>
      </c>
      <c r="U362" s="10" t="str">
        <f t="shared" si="316"/>
        <v/>
      </c>
      <c r="V362" s="10" t="str">
        <f t="shared" si="317"/>
        <v/>
      </c>
      <c r="W362" s="48" t="str">
        <f t="shared" si="336"/>
        <v/>
      </c>
      <c r="X362" s="11" t="str">
        <f t="shared" si="318"/>
        <v/>
      </c>
      <c r="Y362" s="11" t="str">
        <f>IF(O362&lt;&gt;"",IF($B$16=listy!$K$8,'RZĄDOWY PROGRAM'!$F$3*'RZĄDOWY PROGRAM'!$F$15,T361*$F$15),"")</f>
        <v/>
      </c>
      <c r="Z362" s="11" t="str">
        <f t="shared" si="319"/>
        <v/>
      </c>
      <c r="AB362" s="8" t="str">
        <f t="shared" si="320"/>
        <v/>
      </c>
      <c r="AC362" s="8"/>
      <c r="AD362" s="11" t="str">
        <f>IF(AB362&lt;&gt;"",ROUND(IF($F$11="raty równe",-PMT(W362/12,$F$4-AB361+SUM($AC$28:AC362),AG361,2),AE362+AF362),2),"")</f>
        <v/>
      </c>
      <c r="AE362" s="11" t="str">
        <f>IF(AB362&lt;&gt;"",IF($F$11="raty malejące",AG361/($F$4-AB361+SUM($AC$28:AC361)),MIN(AD362-AF362,AG361)),"")</f>
        <v/>
      </c>
      <c r="AF362" s="11" t="str">
        <f t="shared" si="321"/>
        <v/>
      </c>
      <c r="AG362" s="9" t="str">
        <f t="shared" si="322"/>
        <v/>
      </c>
      <c r="AH362" s="11"/>
      <c r="AI362" s="33" t="str">
        <f>IF(AB362&lt;&gt;"",ROUND(IF($F$11="raty równe",-PMT(W362/12,($F$4-AB361+SUM($AC$27:AC361)),AG361,2),AG361/($F$4-AB361+SUM($AC$27:AC361))+AG361*W362/12),2),"")</f>
        <v/>
      </c>
      <c r="AJ362" s="33" t="str">
        <f t="shared" si="323"/>
        <v/>
      </c>
      <c r="AK362" s="33" t="str">
        <f t="shared" si="330"/>
        <v/>
      </c>
      <c r="AL362" s="33" t="str">
        <f>IF(AB362&lt;&gt;"",AK362-SUM($AJ$28:AJ362),"")</f>
        <v/>
      </c>
      <c r="AM362" s="11" t="str">
        <f t="shared" si="324"/>
        <v/>
      </c>
      <c r="AN362" s="11" t="str">
        <f>IF(AB362&lt;&gt;"",IF($B$16=listy!$K$8,'RZĄDOWY PROGRAM'!$F$3*'RZĄDOWY PROGRAM'!$F$15,AG361*$F$15),"")</f>
        <v/>
      </c>
      <c r="AO362" s="11" t="str">
        <f t="shared" si="325"/>
        <v/>
      </c>
      <c r="AQ362" s="8" t="str">
        <f t="shared" si="337"/>
        <v/>
      </c>
      <c r="AR362" s="8"/>
      <c r="AS362" s="78" t="str">
        <f>IF(AQ362&lt;&gt;"",ROUND(IF($F$11="raty równe",-PMT(W362/12,$F$4-AQ361+SUM($AR$28:AR362),AV361,2),AT362+AU362),2),"")</f>
        <v/>
      </c>
      <c r="AT362" s="78" t="str">
        <f>IF(AQ362&lt;&gt;"",IF($F$11="raty malejące",AV361/($F$4-AQ361+SUM($AR$28:AR361)),MIN(AS362-AU362,AV361)),"")</f>
        <v/>
      </c>
      <c r="AU362" s="78" t="str">
        <f t="shared" si="338"/>
        <v/>
      </c>
      <c r="AV362" s="79" t="str">
        <f t="shared" si="339"/>
        <v/>
      </c>
      <c r="AW362" s="11"/>
      <c r="AX362" s="33" t="str">
        <f>IF(AQ362&lt;&gt;"",ROUND(IF($F$11="raty równe",-PMT(W362/12,($F$4-AQ361+SUM($AR$27:AR361)),AV361,2),AV361/($F$4-AQ361+SUM($AR$27:AR361))+AV361*W362/12),2),"")</f>
        <v/>
      </c>
      <c r="AY362" s="33" t="str">
        <f t="shared" si="340"/>
        <v/>
      </c>
      <c r="AZ362" s="33" t="str">
        <f t="shared" si="294"/>
        <v/>
      </c>
      <c r="BA362" s="33" t="str">
        <f>IF(AQ362&lt;&gt;"",AZ362-SUM($AY$44:AY362),"")</f>
        <v/>
      </c>
      <c r="BB362" s="11" t="str">
        <f t="shared" si="341"/>
        <v/>
      </c>
      <c r="BC362" s="11" t="str">
        <f>IF(AQ362&lt;&gt;"",IF($B$16=listy!$K$8,'RZĄDOWY PROGRAM'!$F$3*'RZĄDOWY PROGRAM'!$F$15,AV361*$F$15),"")</f>
        <v/>
      </c>
      <c r="BD362" s="11" t="str">
        <f t="shared" si="342"/>
        <v/>
      </c>
      <c r="BF362" s="8" t="str">
        <f t="shared" si="298"/>
        <v/>
      </c>
      <c r="BG362" s="8"/>
      <c r="BH362" s="78" t="str">
        <f>IF(BF362&lt;&gt;"",ROUND(IF($F$11="raty równe",-PMT(W362/12,$F$4-BF361+SUM(BV$28:$BV362)-SUM($BM$29:BM362),BK361,2),BI362+BJ362),2),"")</f>
        <v/>
      </c>
      <c r="BI362" s="78" t="str">
        <f>IF(BF362&lt;&gt;"",IF($F$11="raty malejące",MIN(BK361/($F$4-BF361+SUM($BG$27:BG362)-SUM($BM$27:BM362)),BK361),MIN(BH362-BJ362,BK361)),"")</f>
        <v/>
      </c>
      <c r="BJ362" s="78" t="str">
        <f t="shared" si="299"/>
        <v/>
      </c>
      <c r="BK362" s="79" t="str">
        <f t="shared" si="300"/>
        <v/>
      </c>
      <c r="BL362" s="11"/>
      <c r="BM362" s="33"/>
      <c r="BN362" s="33" t="str">
        <f t="shared" si="295"/>
        <v/>
      </c>
      <c r="BO362" s="33" t="str">
        <f t="shared" si="296"/>
        <v/>
      </c>
      <c r="BP362" s="33" t="str">
        <f>IF(O362&lt;&gt;"",BO362-SUM($BN$44:BN362),"")</f>
        <v/>
      </c>
      <c r="BQ362" s="11" t="str">
        <f t="shared" si="301"/>
        <v/>
      </c>
      <c r="BR362" s="11" t="str">
        <f>IF(BF362&lt;&gt;"",IF($B$16=listy!$K$8,'RZĄDOWY PROGRAM'!$F$3*'RZĄDOWY PROGRAM'!$F$15,BK361*$F$15),"")</f>
        <v/>
      </c>
      <c r="BS362" s="11" t="str">
        <f t="shared" si="302"/>
        <v/>
      </c>
      <c r="BU362" s="8" t="str">
        <f t="shared" si="343"/>
        <v/>
      </c>
      <c r="BV362" s="8"/>
      <c r="BW362" s="78" t="str">
        <f>IF(BU362&lt;&gt;"",ROUND(IF($F$11="raty równe",-PMT(W362/12,$F$4-BU361+SUM($BV$28:BV362)-$CB$43,BZ361,2),BX362+BY362),2),"")</f>
        <v/>
      </c>
      <c r="BX362" s="78" t="str">
        <f>IF(BU362&lt;&gt;"",IF($F$11="raty malejące",MIN(BZ361/($F$4-BU361+SUM($BV$28:BV361)-SUM($CB$28:CB361)),BZ361),MIN(BW362-BY362,BZ361)),"")</f>
        <v/>
      </c>
      <c r="BY362" s="78" t="str">
        <f t="shared" si="303"/>
        <v/>
      </c>
      <c r="BZ362" s="79" t="str">
        <f t="shared" si="292"/>
        <v/>
      </c>
      <c r="CA362" s="11"/>
      <c r="CB362" s="33"/>
      <c r="CC362" s="33" t="str">
        <f t="shared" si="344"/>
        <v/>
      </c>
      <c r="CD362" s="33" t="str">
        <f t="shared" si="297"/>
        <v/>
      </c>
      <c r="CE362" s="33" t="str">
        <f>IF(O362&lt;&gt;"",CD362-SUM($CC$44:CC362),"")</f>
        <v/>
      </c>
      <c r="CF362" s="11" t="str">
        <f t="shared" si="304"/>
        <v/>
      </c>
      <c r="CG362" s="11" t="str">
        <f>IF(BU362&lt;&gt;"",IF($B$16=listy!$K$8,'RZĄDOWY PROGRAM'!$F$3*'RZĄDOWY PROGRAM'!$F$15,BZ361*$F$15),"")</f>
        <v/>
      </c>
      <c r="CH362" s="11" t="str">
        <f t="shared" si="305"/>
        <v/>
      </c>
      <c r="CJ362" s="48" t="str">
        <f t="shared" si="331"/>
        <v/>
      </c>
      <c r="CK362" s="18" t="str">
        <f t="shared" si="332"/>
        <v/>
      </c>
      <c r="CL362" s="11" t="str">
        <f t="shared" si="345"/>
        <v/>
      </c>
      <c r="CM362" s="11" t="str">
        <f t="shared" si="333"/>
        <v/>
      </c>
      <c r="CN362" s="11" t="str">
        <f>IF(AB362&lt;&gt;"",CM362-SUM($CL$28:CL362),"")</f>
        <v/>
      </c>
    </row>
    <row r="363" spans="1:92" x14ac:dyDescent="0.45">
      <c r="A363" s="68" t="str">
        <f t="shared" si="307"/>
        <v/>
      </c>
      <c r="B363" s="8" t="str">
        <f t="shared" si="326"/>
        <v/>
      </c>
      <c r="C363" s="11" t="str">
        <f t="shared" si="327"/>
        <v/>
      </c>
      <c r="D363" s="11" t="str">
        <f t="shared" si="328"/>
        <v/>
      </c>
      <c r="E363" s="11" t="str">
        <f t="shared" si="308"/>
        <v/>
      </c>
      <c r="F363" s="9" t="str">
        <f t="shared" si="309"/>
        <v/>
      </c>
      <c r="G363" s="10" t="str">
        <f t="shared" si="310"/>
        <v/>
      </c>
      <c r="H363" s="10" t="str">
        <f t="shared" si="311"/>
        <v/>
      </c>
      <c r="I363" s="48" t="str">
        <f t="shared" si="334"/>
        <v/>
      </c>
      <c r="J363" s="11" t="str">
        <f t="shared" si="329"/>
        <v/>
      </c>
      <c r="K363" s="11" t="str">
        <f>IF(B363&lt;&gt;"",IF($B$16=listy!$K$8,'RZĄDOWY PROGRAM'!$F$3*'RZĄDOWY PROGRAM'!$F$15,F362*$F$15),"")</f>
        <v/>
      </c>
      <c r="L363" s="11" t="str">
        <f t="shared" si="312"/>
        <v/>
      </c>
      <c r="N363" s="54" t="str">
        <f t="shared" si="313"/>
        <v/>
      </c>
      <c r="O363" s="8" t="str">
        <f t="shared" si="335"/>
        <v/>
      </c>
      <c r="P363" s="8"/>
      <c r="Q363" s="11" t="str">
        <f>IF(O363&lt;&gt;"",ROUND(IF($F$11="raty równe",-PMT(W363/12,$F$4-O362+SUM($P$28:P363),T362,2),R363+S363),2),"")</f>
        <v/>
      </c>
      <c r="R363" s="11" t="str">
        <f>IF(O363&lt;&gt;"",IF($F$11="raty malejące",T362/($F$4-O362+SUM($P$28:P363)),IF(Q363-S363&gt;T362,T362,Q363-S363)),"")</f>
        <v/>
      </c>
      <c r="S363" s="11" t="str">
        <f t="shared" si="314"/>
        <v/>
      </c>
      <c r="T363" s="9" t="str">
        <f t="shared" si="315"/>
        <v/>
      </c>
      <c r="U363" s="10" t="str">
        <f t="shared" si="316"/>
        <v/>
      </c>
      <c r="V363" s="10" t="str">
        <f t="shared" si="317"/>
        <v/>
      </c>
      <c r="W363" s="48" t="str">
        <f t="shared" si="336"/>
        <v/>
      </c>
      <c r="X363" s="11" t="str">
        <f t="shared" si="318"/>
        <v/>
      </c>
      <c r="Y363" s="11" t="str">
        <f>IF(O363&lt;&gt;"",IF($B$16=listy!$K$8,'RZĄDOWY PROGRAM'!$F$3*'RZĄDOWY PROGRAM'!$F$15,T362*$F$15),"")</f>
        <v/>
      </c>
      <c r="Z363" s="11" t="str">
        <f t="shared" si="319"/>
        <v/>
      </c>
      <c r="AB363" s="8" t="str">
        <f t="shared" si="320"/>
        <v/>
      </c>
      <c r="AC363" s="8"/>
      <c r="AD363" s="11" t="str">
        <f>IF(AB363&lt;&gt;"",ROUND(IF($F$11="raty równe",-PMT(W363/12,$F$4-AB362+SUM($AC$28:AC363),AG362,2),AE363+AF363),2),"")</f>
        <v/>
      </c>
      <c r="AE363" s="11" t="str">
        <f>IF(AB363&lt;&gt;"",IF($F$11="raty malejące",AG362/($F$4-AB362+SUM($AC$28:AC362)),MIN(AD363-AF363,AG362)),"")</f>
        <v/>
      </c>
      <c r="AF363" s="11" t="str">
        <f t="shared" si="321"/>
        <v/>
      </c>
      <c r="AG363" s="9" t="str">
        <f t="shared" si="322"/>
        <v/>
      </c>
      <c r="AH363" s="11"/>
      <c r="AI363" s="33" t="str">
        <f>IF(AB363&lt;&gt;"",ROUND(IF($F$11="raty równe",-PMT(W363/12,($F$4-AB362+SUM($AC$27:AC362)),AG362,2),AG362/($F$4-AB362+SUM($AC$27:AC362))+AG362*W363/12),2),"")</f>
        <v/>
      </c>
      <c r="AJ363" s="33" t="str">
        <f t="shared" si="323"/>
        <v/>
      </c>
      <c r="AK363" s="33" t="str">
        <f t="shared" si="330"/>
        <v/>
      </c>
      <c r="AL363" s="33" t="str">
        <f>IF(AB363&lt;&gt;"",AK363-SUM($AJ$28:AJ363),"")</f>
        <v/>
      </c>
      <c r="AM363" s="11" t="str">
        <f t="shared" si="324"/>
        <v/>
      </c>
      <c r="AN363" s="11" t="str">
        <f>IF(AB363&lt;&gt;"",IF($B$16=listy!$K$8,'RZĄDOWY PROGRAM'!$F$3*'RZĄDOWY PROGRAM'!$F$15,AG362*$F$15),"")</f>
        <v/>
      </c>
      <c r="AO363" s="11" t="str">
        <f t="shared" si="325"/>
        <v/>
      </c>
      <c r="AQ363" s="8" t="str">
        <f t="shared" si="337"/>
        <v/>
      </c>
      <c r="AR363" s="8"/>
      <c r="AS363" s="78" t="str">
        <f>IF(AQ363&lt;&gt;"",ROUND(IF($F$11="raty równe",-PMT(W363/12,$F$4-AQ362+SUM($AR$28:AR363),AV362,2),AT363+AU363),2),"")</f>
        <v/>
      </c>
      <c r="AT363" s="78" t="str">
        <f>IF(AQ363&lt;&gt;"",IF($F$11="raty malejące",AV362/($F$4-AQ362+SUM($AR$28:AR362)),MIN(AS363-AU363,AV362)),"")</f>
        <v/>
      </c>
      <c r="AU363" s="78" t="str">
        <f t="shared" si="338"/>
        <v/>
      </c>
      <c r="AV363" s="79" t="str">
        <f t="shared" si="339"/>
        <v/>
      </c>
      <c r="AW363" s="11"/>
      <c r="AX363" s="33" t="str">
        <f>IF(AQ363&lt;&gt;"",ROUND(IF($F$11="raty równe",-PMT(W363/12,($F$4-AQ362+SUM($AR$27:AR362)),AV362,2),AV362/($F$4-AQ362+SUM($AR$27:AR362))+AV362*W363/12),2),"")</f>
        <v/>
      </c>
      <c r="AY363" s="33" t="str">
        <f t="shared" si="340"/>
        <v/>
      </c>
      <c r="AZ363" s="33" t="str">
        <f t="shared" si="294"/>
        <v/>
      </c>
      <c r="BA363" s="33" t="str">
        <f>IF(AQ363&lt;&gt;"",AZ363-SUM($AY$44:AY363),"")</f>
        <v/>
      </c>
      <c r="BB363" s="11" t="str">
        <f t="shared" si="341"/>
        <v/>
      </c>
      <c r="BC363" s="11" t="str">
        <f>IF(AQ363&lt;&gt;"",IF($B$16=listy!$K$8,'RZĄDOWY PROGRAM'!$F$3*'RZĄDOWY PROGRAM'!$F$15,AV362*$F$15),"")</f>
        <v/>
      </c>
      <c r="BD363" s="11" t="str">
        <f t="shared" si="342"/>
        <v/>
      </c>
      <c r="BF363" s="8" t="str">
        <f t="shared" si="298"/>
        <v/>
      </c>
      <c r="BG363" s="8"/>
      <c r="BH363" s="78" t="str">
        <f>IF(BF363&lt;&gt;"",ROUND(IF($F$11="raty równe",-PMT(W363/12,$F$4-BF362+SUM(BV$28:$BV363)-SUM($BM$29:BM363),BK362,2),BI363+BJ363),2),"")</f>
        <v/>
      </c>
      <c r="BI363" s="78" t="str">
        <f>IF(BF363&lt;&gt;"",IF($F$11="raty malejące",MIN(BK362/($F$4-BF362+SUM($BG$27:BG363)-SUM($BM$27:BM363)),BK362),MIN(BH363-BJ363,BK362)),"")</f>
        <v/>
      </c>
      <c r="BJ363" s="78" t="str">
        <f t="shared" si="299"/>
        <v/>
      </c>
      <c r="BK363" s="79" t="str">
        <f t="shared" si="300"/>
        <v/>
      </c>
      <c r="BL363" s="11"/>
      <c r="BM363" s="33"/>
      <c r="BN363" s="33" t="str">
        <f t="shared" si="295"/>
        <v/>
      </c>
      <c r="BO363" s="33" t="str">
        <f t="shared" si="296"/>
        <v/>
      </c>
      <c r="BP363" s="33" t="str">
        <f>IF(O363&lt;&gt;"",BO363-SUM($BN$44:BN363),"")</f>
        <v/>
      </c>
      <c r="BQ363" s="11" t="str">
        <f t="shared" si="301"/>
        <v/>
      </c>
      <c r="BR363" s="11" t="str">
        <f>IF(BF363&lt;&gt;"",IF($B$16=listy!$K$8,'RZĄDOWY PROGRAM'!$F$3*'RZĄDOWY PROGRAM'!$F$15,BK362*$F$15),"")</f>
        <v/>
      </c>
      <c r="BS363" s="11" t="str">
        <f t="shared" si="302"/>
        <v/>
      </c>
      <c r="BU363" s="8" t="str">
        <f t="shared" si="343"/>
        <v/>
      </c>
      <c r="BV363" s="8"/>
      <c r="BW363" s="78" t="str">
        <f>IF(BU363&lt;&gt;"",ROUND(IF($F$11="raty równe",-PMT(W363/12,$F$4-BU362+SUM($BV$28:BV363)-$CB$43,BZ362,2),BX363+BY363),2),"")</f>
        <v/>
      </c>
      <c r="BX363" s="78" t="str">
        <f>IF(BU363&lt;&gt;"",IF($F$11="raty malejące",MIN(BZ362/($F$4-BU362+SUM($BV$28:BV362)-SUM($CB$28:CB362)),BZ362),MIN(BW363-BY363,BZ362)),"")</f>
        <v/>
      </c>
      <c r="BY363" s="78" t="str">
        <f t="shared" si="303"/>
        <v/>
      </c>
      <c r="BZ363" s="79" t="str">
        <f t="shared" si="292"/>
        <v/>
      </c>
      <c r="CA363" s="11"/>
      <c r="CB363" s="33"/>
      <c r="CC363" s="33" t="str">
        <f t="shared" si="344"/>
        <v/>
      </c>
      <c r="CD363" s="33" t="str">
        <f t="shared" si="297"/>
        <v/>
      </c>
      <c r="CE363" s="33" t="str">
        <f>IF(O363&lt;&gt;"",CD363-SUM($CC$44:CC363),"")</f>
        <v/>
      </c>
      <c r="CF363" s="11" t="str">
        <f t="shared" si="304"/>
        <v/>
      </c>
      <c r="CG363" s="11" t="str">
        <f>IF(BU363&lt;&gt;"",IF($B$16=listy!$K$8,'RZĄDOWY PROGRAM'!$F$3*'RZĄDOWY PROGRAM'!$F$15,BZ362*$F$15),"")</f>
        <v/>
      </c>
      <c r="CH363" s="11" t="str">
        <f t="shared" si="305"/>
        <v/>
      </c>
      <c r="CJ363" s="48" t="str">
        <f t="shared" si="331"/>
        <v/>
      </c>
      <c r="CK363" s="18" t="str">
        <f t="shared" si="332"/>
        <v/>
      </c>
      <c r="CL363" s="11" t="str">
        <f t="shared" si="345"/>
        <v/>
      </c>
      <c r="CM363" s="11" t="str">
        <f t="shared" si="333"/>
        <v/>
      </c>
      <c r="CN363" s="11" t="str">
        <f>IF(AB363&lt;&gt;"",CM363-SUM($CL$28:CL363),"")</f>
        <v/>
      </c>
    </row>
    <row r="364" spans="1:92" x14ac:dyDescent="0.45">
      <c r="A364" s="68" t="str">
        <f t="shared" si="307"/>
        <v/>
      </c>
      <c r="B364" s="8" t="str">
        <f t="shared" si="326"/>
        <v/>
      </c>
      <c r="C364" s="11" t="str">
        <f t="shared" si="327"/>
        <v/>
      </c>
      <c r="D364" s="11" t="str">
        <f t="shared" si="328"/>
        <v/>
      </c>
      <c r="E364" s="11" t="str">
        <f t="shared" si="308"/>
        <v/>
      </c>
      <c r="F364" s="9" t="str">
        <f t="shared" si="309"/>
        <v/>
      </c>
      <c r="G364" s="10" t="str">
        <f t="shared" si="310"/>
        <v/>
      </c>
      <c r="H364" s="10" t="str">
        <f t="shared" si="311"/>
        <v/>
      </c>
      <c r="I364" s="48" t="str">
        <f t="shared" si="334"/>
        <v/>
      </c>
      <c r="J364" s="11" t="str">
        <f t="shared" si="329"/>
        <v/>
      </c>
      <c r="K364" s="11" t="str">
        <f>IF(B364&lt;&gt;"",IF($B$16=listy!$K$8,'RZĄDOWY PROGRAM'!$F$3*'RZĄDOWY PROGRAM'!$F$15,F363*$F$15),"")</f>
        <v/>
      </c>
      <c r="L364" s="11" t="str">
        <f t="shared" si="312"/>
        <v/>
      </c>
      <c r="N364" s="54" t="str">
        <f t="shared" si="313"/>
        <v/>
      </c>
      <c r="O364" s="8" t="str">
        <f t="shared" si="335"/>
        <v/>
      </c>
      <c r="P364" s="8"/>
      <c r="Q364" s="11" t="str">
        <f>IF(O364&lt;&gt;"",ROUND(IF($F$11="raty równe",-PMT(W364/12,$F$4-O363+SUM($P$28:P364),T363,2),R364+S364),2),"")</f>
        <v/>
      </c>
      <c r="R364" s="11" t="str">
        <f>IF(O364&lt;&gt;"",IF($F$11="raty malejące",T363/($F$4-O363+SUM($P$28:P364)),IF(Q364-S364&gt;T363,T363,Q364-S364)),"")</f>
        <v/>
      </c>
      <c r="S364" s="11" t="str">
        <f t="shared" si="314"/>
        <v/>
      </c>
      <c r="T364" s="9" t="str">
        <f t="shared" si="315"/>
        <v/>
      </c>
      <c r="U364" s="10" t="str">
        <f t="shared" si="316"/>
        <v/>
      </c>
      <c r="V364" s="10" t="str">
        <f t="shared" si="317"/>
        <v/>
      </c>
      <c r="W364" s="48" t="str">
        <f t="shared" si="336"/>
        <v/>
      </c>
      <c r="X364" s="11" t="str">
        <f t="shared" si="318"/>
        <v/>
      </c>
      <c r="Y364" s="11" t="str">
        <f>IF(O364&lt;&gt;"",IF($B$16=listy!$K$8,'RZĄDOWY PROGRAM'!$F$3*'RZĄDOWY PROGRAM'!$F$15,T363*$F$15),"")</f>
        <v/>
      </c>
      <c r="Z364" s="11" t="str">
        <f t="shared" si="319"/>
        <v/>
      </c>
      <c r="AB364" s="8" t="str">
        <f t="shared" si="320"/>
        <v/>
      </c>
      <c r="AC364" s="8"/>
      <c r="AD364" s="11" t="str">
        <f>IF(AB364&lt;&gt;"",ROUND(IF($F$11="raty równe",-PMT(W364/12,$F$4-AB363+SUM($AC$28:AC364),AG363,2),AE364+AF364),2),"")</f>
        <v/>
      </c>
      <c r="AE364" s="11" t="str">
        <f>IF(AB364&lt;&gt;"",IF($F$11="raty malejące",AG363/($F$4-AB363+SUM($AC$28:AC363)),MIN(AD364-AF364,AG363)),"")</f>
        <v/>
      </c>
      <c r="AF364" s="11" t="str">
        <f t="shared" si="321"/>
        <v/>
      </c>
      <c r="AG364" s="9" t="str">
        <f t="shared" si="322"/>
        <v/>
      </c>
      <c r="AH364" s="11"/>
      <c r="AI364" s="33" t="str">
        <f>IF(AB364&lt;&gt;"",ROUND(IF($F$11="raty równe",-PMT(W364/12,($F$4-AB363+SUM($AC$27:AC363)),AG363,2),AG363/($F$4-AB363+SUM($AC$27:AC363))+AG363*W364/12),2),"")</f>
        <v/>
      </c>
      <c r="AJ364" s="33" t="str">
        <f t="shared" si="323"/>
        <v/>
      </c>
      <c r="AK364" s="33" t="str">
        <f t="shared" si="330"/>
        <v/>
      </c>
      <c r="AL364" s="33" t="str">
        <f>IF(AB364&lt;&gt;"",AK364-SUM($AJ$28:AJ364),"")</f>
        <v/>
      </c>
      <c r="AM364" s="11" t="str">
        <f t="shared" si="324"/>
        <v/>
      </c>
      <c r="AN364" s="11" t="str">
        <f>IF(AB364&lt;&gt;"",IF($B$16=listy!$K$8,'RZĄDOWY PROGRAM'!$F$3*'RZĄDOWY PROGRAM'!$F$15,AG363*$F$15),"")</f>
        <v/>
      </c>
      <c r="AO364" s="11" t="str">
        <f t="shared" si="325"/>
        <v/>
      </c>
      <c r="AQ364" s="8" t="str">
        <f t="shared" si="337"/>
        <v/>
      </c>
      <c r="AR364" s="8"/>
      <c r="AS364" s="78" t="str">
        <f>IF(AQ364&lt;&gt;"",ROUND(IF($F$11="raty równe",-PMT(W364/12,$F$4-AQ363+SUM($AR$28:AR364),AV363,2),AT364+AU364),2),"")</f>
        <v/>
      </c>
      <c r="AT364" s="78" t="str">
        <f>IF(AQ364&lt;&gt;"",IF($F$11="raty malejące",AV363/($F$4-AQ363+SUM($AR$28:AR363)),MIN(AS364-AU364,AV363)),"")</f>
        <v/>
      </c>
      <c r="AU364" s="78" t="str">
        <f t="shared" si="338"/>
        <v/>
      </c>
      <c r="AV364" s="79" t="str">
        <f t="shared" si="339"/>
        <v/>
      </c>
      <c r="AW364" s="11"/>
      <c r="AX364" s="33" t="str">
        <f>IF(AQ364&lt;&gt;"",ROUND(IF($F$11="raty równe",-PMT(W364/12,($F$4-AQ363+SUM($AR$27:AR363)),AV363,2),AV363/($F$4-AQ363+SUM($AR$27:AR363))+AV363*W364/12),2),"")</f>
        <v/>
      </c>
      <c r="AY364" s="33" t="str">
        <f t="shared" si="340"/>
        <v/>
      </c>
      <c r="AZ364" s="33" t="str">
        <f t="shared" si="294"/>
        <v/>
      </c>
      <c r="BA364" s="33" t="str">
        <f>IF(AQ364&lt;&gt;"",AZ364-SUM($AY$44:AY364),"")</f>
        <v/>
      </c>
      <c r="BB364" s="11" t="str">
        <f t="shared" si="341"/>
        <v/>
      </c>
      <c r="BC364" s="11" t="str">
        <f>IF(AQ364&lt;&gt;"",IF($B$16=listy!$K$8,'RZĄDOWY PROGRAM'!$F$3*'RZĄDOWY PROGRAM'!$F$15,AV363*$F$15),"")</f>
        <v/>
      </c>
      <c r="BD364" s="11" t="str">
        <f t="shared" si="342"/>
        <v/>
      </c>
      <c r="BF364" s="8" t="str">
        <f t="shared" si="298"/>
        <v/>
      </c>
      <c r="BG364" s="8"/>
      <c r="BH364" s="78" t="str">
        <f>IF(BF364&lt;&gt;"",ROUND(IF($F$11="raty równe",-PMT(W364/12,$F$4-BF363+SUM(BV$28:$BV364)-SUM($BM$29:BM364),BK363,2),BI364+BJ364),2),"")</f>
        <v/>
      </c>
      <c r="BI364" s="78" t="str">
        <f>IF(BF364&lt;&gt;"",IF($F$11="raty malejące",MIN(BK363/($F$4-BF363+SUM($BG$27:BG364)-SUM($BM$27:BM364)),BK363),MIN(BH364-BJ364,BK363)),"")</f>
        <v/>
      </c>
      <c r="BJ364" s="78" t="str">
        <f t="shared" si="299"/>
        <v/>
      </c>
      <c r="BK364" s="79" t="str">
        <f t="shared" si="300"/>
        <v/>
      </c>
      <c r="BL364" s="11"/>
      <c r="BM364" s="33"/>
      <c r="BN364" s="33" t="str">
        <f t="shared" si="295"/>
        <v/>
      </c>
      <c r="BO364" s="33" t="str">
        <f t="shared" si="296"/>
        <v/>
      </c>
      <c r="BP364" s="33" t="str">
        <f>IF(O364&lt;&gt;"",BO364-SUM($BN$44:BN364),"")</f>
        <v/>
      </c>
      <c r="BQ364" s="11" t="str">
        <f t="shared" si="301"/>
        <v/>
      </c>
      <c r="BR364" s="11" t="str">
        <f>IF(BF364&lt;&gt;"",IF($B$16=listy!$K$8,'RZĄDOWY PROGRAM'!$F$3*'RZĄDOWY PROGRAM'!$F$15,BK363*$F$15),"")</f>
        <v/>
      </c>
      <c r="BS364" s="11" t="str">
        <f t="shared" si="302"/>
        <v/>
      </c>
      <c r="BU364" s="8" t="str">
        <f t="shared" si="343"/>
        <v/>
      </c>
      <c r="BV364" s="8"/>
      <c r="BW364" s="78" t="str">
        <f>IF(BU364&lt;&gt;"",ROUND(IF($F$11="raty równe",-PMT(W364/12,$F$4-BU363+SUM($BV$28:BV364)-$CB$43,BZ363,2),BX364+BY364),2),"")</f>
        <v/>
      </c>
      <c r="BX364" s="78" t="str">
        <f>IF(BU364&lt;&gt;"",IF($F$11="raty malejące",MIN(BZ363/($F$4-BU363+SUM($BV$28:BV363)-SUM($CB$28:CB363)),BZ363),MIN(BW364-BY364,BZ363)),"")</f>
        <v/>
      </c>
      <c r="BY364" s="78" t="str">
        <f t="shared" si="303"/>
        <v/>
      </c>
      <c r="BZ364" s="79" t="str">
        <f t="shared" ref="BZ364:BZ395" si="346">IF(BU364&lt;&gt;"",IF(N364&lt;&gt;"",BZ363-BX364-CA364,BZ363-BX364),"")</f>
        <v/>
      </c>
      <c r="CA364" s="11"/>
      <c r="CB364" s="33"/>
      <c r="CC364" s="33" t="str">
        <f t="shared" si="344"/>
        <v/>
      </c>
      <c r="CD364" s="33" t="str">
        <f t="shared" si="297"/>
        <v/>
      </c>
      <c r="CE364" s="33" t="str">
        <f>IF(O364&lt;&gt;"",CD364-SUM($CC$44:CC364),"")</f>
        <v/>
      </c>
      <c r="CF364" s="11" t="str">
        <f t="shared" si="304"/>
        <v/>
      </c>
      <c r="CG364" s="11" t="str">
        <f>IF(BU364&lt;&gt;"",IF($B$16=listy!$K$8,'RZĄDOWY PROGRAM'!$F$3*'RZĄDOWY PROGRAM'!$F$15,BZ363*$F$15),"")</f>
        <v/>
      </c>
      <c r="CH364" s="11" t="str">
        <f t="shared" si="305"/>
        <v/>
      </c>
      <c r="CJ364" s="48" t="str">
        <f t="shared" si="331"/>
        <v/>
      </c>
      <c r="CK364" s="18" t="str">
        <f t="shared" si="332"/>
        <v/>
      </c>
      <c r="CL364" s="11" t="str">
        <f t="shared" si="345"/>
        <v/>
      </c>
      <c r="CM364" s="11" t="str">
        <f t="shared" si="333"/>
        <v/>
      </c>
      <c r="CN364" s="11" t="str">
        <f>IF(AB364&lt;&gt;"",CM364-SUM($CL$28:CL364),"")</f>
        <v/>
      </c>
    </row>
    <row r="365" spans="1:92" x14ac:dyDescent="0.45">
      <c r="A365" s="68" t="str">
        <f t="shared" si="307"/>
        <v/>
      </c>
      <c r="B365" s="8" t="str">
        <f t="shared" si="326"/>
        <v/>
      </c>
      <c r="C365" s="11" t="str">
        <f t="shared" si="327"/>
        <v/>
      </c>
      <c r="D365" s="11" t="str">
        <f t="shared" si="328"/>
        <v/>
      </c>
      <c r="E365" s="11" t="str">
        <f t="shared" si="308"/>
        <v/>
      </c>
      <c r="F365" s="9" t="str">
        <f t="shared" si="309"/>
        <v/>
      </c>
      <c r="G365" s="10" t="str">
        <f t="shared" si="310"/>
        <v/>
      </c>
      <c r="H365" s="10" t="str">
        <f t="shared" si="311"/>
        <v/>
      </c>
      <c r="I365" s="48" t="str">
        <f t="shared" si="334"/>
        <v/>
      </c>
      <c r="J365" s="11" t="str">
        <f t="shared" si="329"/>
        <v/>
      </c>
      <c r="K365" s="11" t="str">
        <f>IF(B365&lt;&gt;"",IF($B$16=listy!$K$8,'RZĄDOWY PROGRAM'!$F$3*'RZĄDOWY PROGRAM'!$F$15,F364*$F$15),"")</f>
        <v/>
      </c>
      <c r="L365" s="11" t="str">
        <f t="shared" si="312"/>
        <v/>
      </c>
      <c r="N365" s="54" t="str">
        <f t="shared" si="313"/>
        <v/>
      </c>
      <c r="O365" s="8" t="str">
        <f t="shared" si="335"/>
        <v/>
      </c>
      <c r="P365" s="8"/>
      <c r="Q365" s="11" t="str">
        <f>IF(O365&lt;&gt;"",ROUND(IF($F$11="raty równe",-PMT(W365/12,$F$4-O364+SUM($P$28:P365),T364,2),R365+S365),2),"")</f>
        <v/>
      </c>
      <c r="R365" s="11" t="str">
        <f>IF(O365&lt;&gt;"",IF($F$11="raty malejące",T364/($F$4-O364+SUM($P$28:P365)),IF(Q365-S365&gt;T364,T364,Q365-S365)),"")</f>
        <v/>
      </c>
      <c r="S365" s="11" t="str">
        <f t="shared" si="314"/>
        <v/>
      </c>
      <c r="T365" s="9" t="str">
        <f t="shared" si="315"/>
        <v/>
      </c>
      <c r="U365" s="10" t="str">
        <f t="shared" si="316"/>
        <v/>
      </c>
      <c r="V365" s="10" t="str">
        <f t="shared" si="317"/>
        <v/>
      </c>
      <c r="W365" s="48" t="str">
        <f t="shared" si="336"/>
        <v/>
      </c>
      <c r="X365" s="11" t="str">
        <f t="shared" si="318"/>
        <v/>
      </c>
      <c r="Y365" s="11" t="str">
        <f>IF(O365&lt;&gt;"",IF($B$16=listy!$K$8,'RZĄDOWY PROGRAM'!$F$3*'RZĄDOWY PROGRAM'!$F$15,T364*$F$15),"")</f>
        <v/>
      </c>
      <c r="Z365" s="11" t="str">
        <f t="shared" si="319"/>
        <v/>
      </c>
      <c r="AB365" s="8" t="str">
        <f t="shared" si="320"/>
        <v/>
      </c>
      <c r="AC365" s="8"/>
      <c r="AD365" s="11" t="str">
        <f>IF(AB365&lt;&gt;"",ROUND(IF($F$11="raty równe",-PMT(W365/12,$F$4-AB364+SUM($AC$28:AC365),AG364,2),AE365+AF365),2),"")</f>
        <v/>
      </c>
      <c r="AE365" s="11" t="str">
        <f>IF(AB365&lt;&gt;"",IF($F$11="raty malejące",AG364/($F$4-AB364+SUM($AC$28:AC364)),MIN(AD365-AF365,AG364)),"")</f>
        <v/>
      </c>
      <c r="AF365" s="11" t="str">
        <f t="shared" si="321"/>
        <v/>
      </c>
      <c r="AG365" s="9" t="str">
        <f t="shared" si="322"/>
        <v/>
      </c>
      <c r="AH365" s="11"/>
      <c r="AI365" s="33" t="str">
        <f>IF(AB365&lt;&gt;"",ROUND(IF($F$11="raty równe",-PMT(W365/12,($F$4-AB364+SUM($AC$27:AC364)),AG364,2),AG364/($F$4-AB364+SUM($AC$27:AC364))+AG364*W365/12),2),"")</f>
        <v/>
      </c>
      <c r="AJ365" s="33" t="str">
        <f t="shared" si="323"/>
        <v/>
      </c>
      <c r="AK365" s="33" t="str">
        <f t="shared" si="330"/>
        <v/>
      </c>
      <c r="AL365" s="33" t="str">
        <f>IF(AB365&lt;&gt;"",AK365-SUM($AJ$28:AJ365),"")</f>
        <v/>
      </c>
      <c r="AM365" s="11" t="str">
        <f t="shared" si="324"/>
        <v/>
      </c>
      <c r="AN365" s="11" t="str">
        <f>IF(AB365&lt;&gt;"",IF($B$16=listy!$K$8,'RZĄDOWY PROGRAM'!$F$3*'RZĄDOWY PROGRAM'!$F$15,AG364*$F$15),"")</f>
        <v/>
      </c>
      <c r="AO365" s="11" t="str">
        <f t="shared" si="325"/>
        <v/>
      </c>
      <c r="AQ365" s="8" t="str">
        <f t="shared" si="337"/>
        <v/>
      </c>
      <c r="AR365" s="8"/>
      <c r="AS365" s="78" t="str">
        <f>IF(AQ365&lt;&gt;"",ROUND(IF($F$11="raty równe",-PMT(W365/12,$F$4-AQ364+SUM($AR$28:AR365),AV364,2),AT365+AU365),2),"")</f>
        <v/>
      </c>
      <c r="AT365" s="78" t="str">
        <f>IF(AQ365&lt;&gt;"",IF($F$11="raty malejące",AV364/($F$4-AQ364+SUM($AR$28:AR364)),MIN(AS365-AU365,AV364)),"")</f>
        <v/>
      </c>
      <c r="AU365" s="78" t="str">
        <f t="shared" si="338"/>
        <v/>
      </c>
      <c r="AV365" s="79" t="str">
        <f t="shared" si="339"/>
        <v/>
      </c>
      <c r="AW365" s="11"/>
      <c r="AX365" s="33" t="str">
        <f>IF(AQ365&lt;&gt;"",ROUND(IF($F$11="raty równe",-PMT(W365/12,($F$4-AQ364+SUM($AR$27:AR364)),AV364,2),AV364/($F$4-AQ364+SUM($AR$27:AR364))+AV364*W365/12),2),"")</f>
        <v/>
      </c>
      <c r="AY365" s="33" t="str">
        <f t="shared" si="340"/>
        <v/>
      </c>
      <c r="AZ365" s="33" t="str">
        <f t="shared" ref="AZ365:AZ395" si="347">IF(AQ365&lt;&gt;"",IF($F$21="co miesiąc",AZ364*(1+(1-$F$20)*CK365)+AY365,(AZ364*(1+CK365)+AY365)),"")</f>
        <v/>
      </c>
      <c r="BA365" s="33" t="str">
        <f>IF(AQ365&lt;&gt;"",AZ365-SUM($AY$44:AY365),"")</f>
        <v/>
      </c>
      <c r="BB365" s="11" t="str">
        <f t="shared" si="341"/>
        <v/>
      </c>
      <c r="BC365" s="11" t="str">
        <f>IF(AQ365&lt;&gt;"",IF($B$16=listy!$K$8,'RZĄDOWY PROGRAM'!$F$3*'RZĄDOWY PROGRAM'!$F$15,AV364*$F$15),"")</f>
        <v/>
      </c>
      <c r="BD365" s="11" t="str">
        <f t="shared" si="342"/>
        <v/>
      </c>
      <c r="BF365" s="8" t="str">
        <f t="shared" si="298"/>
        <v/>
      </c>
      <c r="BG365" s="8"/>
      <c r="BH365" s="78" t="str">
        <f>IF(BF365&lt;&gt;"",ROUND(IF($F$11="raty równe",-PMT(W365/12,$F$4-BF364+SUM(BV$28:$BV365)-SUM($BM$29:BM365),BK364,2),BI365+BJ365),2),"")</f>
        <v/>
      </c>
      <c r="BI365" s="78" t="str">
        <f>IF(BF365&lt;&gt;"",IF($F$11="raty malejące",MIN(BK364/($F$4-BF364+SUM($BG$27:BG365)-SUM($BM$27:BM365)),BK364),MIN(BH365-BJ365,BK364)),"")</f>
        <v/>
      </c>
      <c r="BJ365" s="78" t="str">
        <f t="shared" si="299"/>
        <v/>
      </c>
      <c r="BK365" s="79" t="str">
        <f t="shared" si="300"/>
        <v/>
      </c>
      <c r="BL365" s="11"/>
      <c r="BM365" s="33"/>
      <c r="BN365" s="33" t="str">
        <f t="shared" ref="BN365:BN394" si="348">IF(O365&lt;&gt;"",IF(ISNUMBER(C365),C365,0)-IF(ISNUMBER(BH365),BH365,0),"")</f>
        <v/>
      </c>
      <c r="BO365" s="33" t="str">
        <f t="shared" ref="BO365:BO395" si="349">IF(O365&lt;&gt;"",IF($F$21="co miesiąc",BO364*(1+(1-$F$20)*CK365)+BN365,(BO364*(1+CK365)+BN365)),"")</f>
        <v/>
      </c>
      <c r="BP365" s="33" t="str">
        <f>IF(O365&lt;&gt;"",BO365-SUM($BN$44:BN365),"")</f>
        <v/>
      </c>
      <c r="BQ365" s="11" t="str">
        <f t="shared" si="301"/>
        <v/>
      </c>
      <c r="BR365" s="11" t="str">
        <f>IF(BF365&lt;&gt;"",IF($B$16=listy!$K$8,'RZĄDOWY PROGRAM'!$F$3*'RZĄDOWY PROGRAM'!$F$15,BK364*$F$15),"")</f>
        <v/>
      </c>
      <c r="BS365" s="11" t="str">
        <f t="shared" si="302"/>
        <v/>
      </c>
      <c r="BU365" s="8" t="str">
        <f t="shared" si="343"/>
        <v/>
      </c>
      <c r="BV365" s="8"/>
      <c r="BW365" s="78" t="str">
        <f>IF(BU365&lt;&gt;"",ROUND(IF($F$11="raty równe",-PMT(W365/12,$F$4-BU364+SUM($BV$28:BV365)-$CB$43,BZ364,2),BX365+BY365),2),"")</f>
        <v/>
      </c>
      <c r="BX365" s="78" t="str">
        <f>IF(BU365&lt;&gt;"",IF($F$11="raty malejące",MIN(BZ364/($F$4-BU364+SUM($BV$28:BV364)-SUM($CB$28:CB364)),BZ364),MIN(BW365-BY365,BZ364)),"")</f>
        <v/>
      </c>
      <c r="BY365" s="78" t="str">
        <f t="shared" si="303"/>
        <v/>
      </c>
      <c r="BZ365" s="79" t="str">
        <f t="shared" si="346"/>
        <v/>
      </c>
      <c r="CA365" s="11"/>
      <c r="CB365" s="33"/>
      <c r="CC365" s="33" t="str">
        <f t="shared" si="344"/>
        <v/>
      </c>
      <c r="CD365" s="33" t="str">
        <f t="shared" ref="CD365:CD395" si="350">IF(O365&lt;&gt;"",IF($F$21="co miesiąc",CD364*(1+(1-$F$20)*CK365)+CC365,(CD364*(1+CK365)+CC365)),"")</f>
        <v/>
      </c>
      <c r="CE365" s="33" t="str">
        <f>IF(O365&lt;&gt;"",CD365-SUM($CC$44:CC365),"")</f>
        <v/>
      </c>
      <c r="CF365" s="11" t="str">
        <f t="shared" si="304"/>
        <v/>
      </c>
      <c r="CG365" s="11" t="str">
        <f>IF(BU365&lt;&gt;"",IF($B$16=listy!$K$8,'RZĄDOWY PROGRAM'!$F$3*'RZĄDOWY PROGRAM'!$F$15,BZ364*$F$15),"")</f>
        <v/>
      </c>
      <c r="CH365" s="11" t="str">
        <f t="shared" si="305"/>
        <v/>
      </c>
      <c r="CJ365" s="48" t="str">
        <f t="shared" si="331"/>
        <v/>
      </c>
      <c r="CK365" s="18" t="str">
        <f t="shared" si="332"/>
        <v/>
      </c>
      <c r="CL365" s="11" t="str">
        <f t="shared" si="345"/>
        <v/>
      </c>
      <c r="CM365" s="11" t="str">
        <f t="shared" si="333"/>
        <v/>
      </c>
      <c r="CN365" s="11" t="str">
        <f>IF(AB365&lt;&gt;"",CM365-SUM($CL$28:CL365),"")</f>
        <v/>
      </c>
    </row>
    <row r="366" spans="1:92" x14ac:dyDescent="0.45">
      <c r="A366" s="68" t="str">
        <f t="shared" si="307"/>
        <v/>
      </c>
      <c r="B366" s="8" t="str">
        <f t="shared" si="326"/>
        <v/>
      </c>
      <c r="C366" s="11" t="str">
        <f t="shared" si="327"/>
        <v/>
      </c>
      <c r="D366" s="11" t="str">
        <f t="shared" si="328"/>
        <v/>
      </c>
      <c r="E366" s="11" t="str">
        <f t="shared" si="308"/>
        <v/>
      </c>
      <c r="F366" s="9" t="str">
        <f t="shared" si="309"/>
        <v/>
      </c>
      <c r="G366" s="10" t="str">
        <f t="shared" si="310"/>
        <v/>
      </c>
      <c r="H366" s="10" t="str">
        <f t="shared" si="311"/>
        <v/>
      </c>
      <c r="I366" s="48" t="str">
        <f t="shared" si="334"/>
        <v/>
      </c>
      <c r="J366" s="11" t="str">
        <f t="shared" si="329"/>
        <v/>
      </c>
      <c r="K366" s="11" t="str">
        <f>IF(B366&lt;&gt;"",IF($B$16=listy!$K$8,'RZĄDOWY PROGRAM'!$F$3*'RZĄDOWY PROGRAM'!$F$15,F365*$F$15),"")</f>
        <v/>
      </c>
      <c r="L366" s="11" t="str">
        <f t="shared" si="312"/>
        <v/>
      </c>
      <c r="N366" s="54" t="str">
        <f t="shared" si="313"/>
        <v/>
      </c>
      <c r="O366" s="8" t="str">
        <f t="shared" si="335"/>
        <v/>
      </c>
      <c r="P366" s="8"/>
      <c r="Q366" s="11" t="str">
        <f>IF(O366&lt;&gt;"",ROUND(IF($F$11="raty równe",-PMT(W366/12,$F$4-O365+SUM($P$28:P366),T365,2),R366+S366),2),"")</f>
        <v/>
      </c>
      <c r="R366" s="11" t="str">
        <f>IF(O366&lt;&gt;"",IF($F$11="raty malejące",T365/($F$4-O365+SUM($P$28:P366)),IF(Q366-S366&gt;T365,T365,Q366-S366)),"")</f>
        <v/>
      </c>
      <c r="S366" s="11" t="str">
        <f t="shared" si="314"/>
        <v/>
      </c>
      <c r="T366" s="9" t="str">
        <f t="shared" si="315"/>
        <v/>
      </c>
      <c r="U366" s="10" t="str">
        <f t="shared" si="316"/>
        <v/>
      </c>
      <c r="V366" s="10" t="str">
        <f t="shared" si="317"/>
        <v/>
      </c>
      <c r="W366" s="48" t="str">
        <f t="shared" si="336"/>
        <v/>
      </c>
      <c r="X366" s="11" t="str">
        <f t="shared" si="318"/>
        <v/>
      </c>
      <c r="Y366" s="11" t="str">
        <f>IF(O366&lt;&gt;"",IF($B$16=listy!$K$8,'RZĄDOWY PROGRAM'!$F$3*'RZĄDOWY PROGRAM'!$F$15,T365*$F$15),"")</f>
        <v/>
      </c>
      <c r="Z366" s="11" t="str">
        <f t="shared" si="319"/>
        <v/>
      </c>
      <c r="AB366" s="8" t="str">
        <f t="shared" si="320"/>
        <v/>
      </c>
      <c r="AC366" s="8"/>
      <c r="AD366" s="11" t="str">
        <f>IF(AB366&lt;&gt;"",ROUND(IF($F$11="raty równe",-PMT(W366/12,$F$4-AB365+SUM($AC$28:AC366),AG365,2),AE366+AF366),2),"")</f>
        <v/>
      </c>
      <c r="AE366" s="11" t="str">
        <f>IF(AB366&lt;&gt;"",IF($F$11="raty malejące",AG365/($F$4-AB365+SUM($AC$28:AC365)),MIN(AD366-AF366,AG365)),"")</f>
        <v/>
      </c>
      <c r="AF366" s="11" t="str">
        <f t="shared" si="321"/>
        <v/>
      </c>
      <c r="AG366" s="9" t="str">
        <f t="shared" si="322"/>
        <v/>
      </c>
      <c r="AH366" s="11"/>
      <c r="AI366" s="33" t="str">
        <f>IF(AB366&lt;&gt;"",ROUND(IF($F$11="raty równe",-PMT(W366/12,($F$4-AB365+SUM($AC$27:AC365)),AG365,2),AG365/($F$4-AB365+SUM($AC$27:AC365))+AG365*W366/12),2),"")</f>
        <v/>
      </c>
      <c r="AJ366" s="33" t="str">
        <f t="shared" si="323"/>
        <v/>
      </c>
      <c r="AK366" s="33" t="str">
        <f t="shared" si="330"/>
        <v/>
      </c>
      <c r="AL366" s="33" t="str">
        <f>IF(AB366&lt;&gt;"",AK366-SUM($AJ$28:AJ366),"")</f>
        <v/>
      </c>
      <c r="AM366" s="11" t="str">
        <f t="shared" si="324"/>
        <v/>
      </c>
      <c r="AN366" s="11" t="str">
        <f>IF(AB366&lt;&gt;"",IF($B$16=listy!$K$8,'RZĄDOWY PROGRAM'!$F$3*'RZĄDOWY PROGRAM'!$F$15,AG365*$F$15),"")</f>
        <v/>
      </c>
      <c r="AO366" s="11" t="str">
        <f t="shared" si="325"/>
        <v/>
      </c>
      <c r="AQ366" s="8" t="str">
        <f t="shared" si="337"/>
        <v/>
      </c>
      <c r="AR366" s="8"/>
      <c r="AS366" s="78" t="str">
        <f>IF(AQ366&lt;&gt;"",ROUND(IF($F$11="raty równe",-PMT(W366/12,$F$4-AQ365+SUM($AR$28:AR366),AV365,2),AT366+AU366),2),"")</f>
        <v/>
      </c>
      <c r="AT366" s="78" t="str">
        <f>IF(AQ366&lt;&gt;"",IF($F$11="raty malejące",AV365/($F$4-AQ365+SUM($AR$28:AR365)),MIN(AS366-AU366,AV365)),"")</f>
        <v/>
      </c>
      <c r="AU366" s="78" t="str">
        <f t="shared" si="338"/>
        <v/>
      </c>
      <c r="AV366" s="79" t="str">
        <f t="shared" si="339"/>
        <v/>
      </c>
      <c r="AW366" s="11"/>
      <c r="AX366" s="33" t="str">
        <f>IF(AQ366&lt;&gt;"",ROUND(IF($F$11="raty równe",-PMT(W366/12,($F$4-AQ365+SUM($AR$27:AR365)),AV365,2),AV365/($F$4-AQ365+SUM($AR$27:AR365))+AV365*W366/12),2),"")</f>
        <v/>
      </c>
      <c r="AY366" s="33" t="str">
        <f t="shared" si="340"/>
        <v/>
      </c>
      <c r="AZ366" s="33" t="str">
        <f t="shared" si="347"/>
        <v/>
      </c>
      <c r="BA366" s="33" t="str">
        <f>IF(AQ366&lt;&gt;"",AZ366-SUM($AY$44:AY366),"")</f>
        <v/>
      </c>
      <c r="BB366" s="11" t="str">
        <f t="shared" si="341"/>
        <v/>
      </c>
      <c r="BC366" s="11" t="str">
        <f>IF(AQ366&lt;&gt;"",IF($B$16=listy!$K$8,'RZĄDOWY PROGRAM'!$F$3*'RZĄDOWY PROGRAM'!$F$15,AV365*$F$15),"")</f>
        <v/>
      </c>
      <c r="BD366" s="11" t="str">
        <f t="shared" si="342"/>
        <v/>
      </c>
      <c r="BF366" s="8" t="str">
        <f t="shared" si="298"/>
        <v/>
      </c>
      <c r="BG366" s="8"/>
      <c r="BH366" s="78" t="str">
        <f>IF(BF366&lt;&gt;"",ROUND(IF($F$11="raty równe",-PMT(W366/12,$F$4-BF365+SUM(BV$28:$BV366)-SUM($BM$29:BM366),BK365,2),BI366+BJ366),2),"")</f>
        <v/>
      </c>
      <c r="BI366" s="78" t="str">
        <f>IF(BF366&lt;&gt;"",IF($F$11="raty malejące",MIN(BK365/($F$4-BF365+SUM($BG$27:BG366)-SUM($BM$27:BM366)),BK365),MIN(BH366-BJ366,BK365)),"")</f>
        <v/>
      </c>
      <c r="BJ366" s="78" t="str">
        <f t="shared" si="299"/>
        <v/>
      </c>
      <c r="BK366" s="79" t="str">
        <f t="shared" si="300"/>
        <v/>
      </c>
      <c r="BL366" s="11"/>
      <c r="BM366" s="33"/>
      <c r="BN366" s="33" t="str">
        <f t="shared" si="348"/>
        <v/>
      </c>
      <c r="BO366" s="33" t="str">
        <f t="shared" si="349"/>
        <v/>
      </c>
      <c r="BP366" s="33" t="str">
        <f>IF(O366&lt;&gt;"",BO366-SUM($BN$44:BN366),"")</f>
        <v/>
      </c>
      <c r="BQ366" s="11" t="str">
        <f t="shared" si="301"/>
        <v/>
      </c>
      <c r="BR366" s="11" t="str">
        <f>IF(BF366&lt;&gt;"",IF($B$16=listy!$K$8,'RZĄDOWY PROGRAM'!$F$3*'RZĄDOWY PROGRAM'!$F$15,BK365*$F$15),"")</f>
        <v/>
      </c>
      <c r="BS366" s="11" t="str">
        <f t="shared" si="302"/>
        <v/>
      </c>
      <c r="BU366" s="8" t="str">
        <f t="shared" si="343"/>
        <v/>
      </c>
      <c r="BV366" s="8"/>
      <c r="BW366" s="78" t="str">
        <f>IF(BU366&lt;&gt;"",ROUND(IF($F$11="raty równe",-PMT(W366/12,$F$4-BU365+SUM($BV$28:BV366)-$CB$43,BZ365,2),BX366+BY366),2),"")</f>
        <v/>
      </c>
      <c r="BX366" s="78" t="str">
        <f>IF(BU366&lt;&gt;"",IF($F$11="raty malejące",MIN(BZ365/($F$4-BU365+SUM($BV$28:BV365)-SUM($CB$28:CB365)),BZ365),MIN(BW366-BY366,BZ365)),"")</f>
        <v/>
      </c>
      <c r="BY366" s="78" t="str">
        <f t="shared" si="303"/>
        <v/>
      </c>
      <c r="BZ366" s="79" t="str">
        <f t="shared" si="346"/>
        <v/>
      </c>
      <c r="CA366" s="11"/>
      <c r="CB366" s="33"/>
      <c r="CC366" s="33" t="str">
        <f t="shared" si="344"/>
        <v/>
      </c>
      <c r="CD366" s="33" t="str">
        <f t="shared" si="350"/>
        <v/>
      </c>
      <c r="CE366" s="33" t="str">
        <f>IF(O366&lt;&gt;"",CD366-SUM($CC$44:CC366),"")</f>
        <v/>
      </c>
      <c r="CF366" s="11" t="str">
        <f t="shared" si="304"/>
        <v/>
      </c>
      <c r="CG366" s="11" t="str">
        <f>IF(BU366&lt;&gt;"",IF($B$16=listy!$K$8,'RZĄDOWY PROGRAM'!$F$3*'RZĄDOWY PROGRAM'!$F$15,BZ365*$F$15),"")</f>
        <v/>
      </c>
      <c r="CH366" s="11" t="str">
        <f t="shared" si="305"/>
        <v/>
      </c>
      <c r="CJ366" s="48" t="str">
        <f t="shared" si="331"/>
        <v/>
      </c>
      <c r="CK366" s="18" t="str">
        <f t="shared" si="332"/>
        <v/>
      </c>
      <c r="CL366" s="11" t="str">
        <f t="shared" si="345"/>
        <v/>
      </c>
      <c r="CM366" s="11" t="str">
        <f t="shared" si="333"/>
        <v/>
      </c>
      <c r="CN366" s="11" t="str">
        <f>IF(AB366&lt;&gt;"",CM366-SUM($CL$28:CL366),"")</f>
        <v/>
      </c>
    </row>
    <row r="367" spans="1:92" x14ac:dyDescent="0.45">
      <c r="A367" s="68" t="str">
        <f t="shared" si="307"/>
        <v/>
      </c>
      <c r="B367" s="8" t="str">
        <f t="shared" si="326"/>
        <v/>
      </c>
      <c r="C367" s="11" t="str">
        <f t="shared" si="327"/>
        <v/>
      </c>
      <c r="D367" s="11" t="str">
        <f t="shared" si="328"/>
        <v/>
      </c>
      <c r="E367" s="11" t="str">
        <f t="shared" si="308"/>
        <v/>
      </c>
      <c r="F367" s="9" t="str">
        <f t="shared" si="309"/>
        <v/>
      </c>
      <c r="G367" s="10" t="str">
        <f t="shared" si="310"/>
        <v/>
      </c>
      <c r="H367" s="10" t="str">
        <f t="shared" si="311"/>
        <v/>
      </c>
      <c r="I367" s="48" t="str">
        <f t="shared" si="334"/>
        <v/>
      </c>
      <c r="J367" s="11" t="str">
        <f t="shared" si="329"/>
        <v/>
      </c>
      <c r="K367" s="11" t="str">
        <f>IF(B367&lt;&gt;"",IF($B$16=listy!$K$8,'RZĄDOWY PROGRAM'!$F$3*'RZĄDOWY PROGRAM'!$F$15,F366*$F$15),"")</f>
        <v/>
      </c>
      <c r="L367" s="11" t="str">
        <f t="shared" si="312"/>
        <v/>
      </c>
      <c r="N367" s="54" t="str">
        <f t="shared" si="313"/>
        <v/>
      </c>
      <c r="O367" s="8" t="str">
        <f t="shared" si="335"/>
        <v/>
      </c>
      <c r="P367" s="8"/>
      <c r="Q367" s="11" t="str">
        <f>IF(O367&lt;&gt;"",ROUND(IF($F$11="raty równe",-PMT(W367/12,$F$4-O366+SUM($P$28:P367),T366,2),R367+S367),2),"")</f>
        <v/>
      </c>
      <c r="R367" s="11" t="str">
        <f>IF(O367&lt;&gt;"",IF($F$11="raty malejące",T366/($F$4-O366+SUM($P$28:P367)),IF(Q367-S367&gt;T366,T366,Q367-S367)),"")</f>
        <v/>
      </c>
      <c r="S367" s="11" t="str">
        <f t="shared" si="314"/>
        <v/>
      </c>
      <c r="T367" s="9" t="str">
        <f t="shared" si="315"/>
        <v/>
      </c>
      <c r="U367" s="10" t="str">
        <f t="shared" si="316"/>
        <v/>
      </c>
      <c r="V367" s="10" t="str">
        <f t="shared" si="317"/>
        <v/>
      </c>
      <c r="W367" s="48" t="str">
        <f t="shared" si="336"/>
        <v/>
      </c>
      <c r="X367" s="11" t="str">
        <f t="shared" si="318"/>
        <v/>
      </c>
      <c r="Y367" s="11" t="str">
        <f>IF(O367&lt;&gt;"",IF($B$16=listy!$K$8,'RZĄDOWY PROGRAM'!$F$3*'RZĄDOWY PROGRAM'!$F$15,T366*$F$15),"")</f>
        <v/>
      </c>
      <c r="Z367" s="11" t="str">
        <f t="shared" si="319"/>
        <v/>
      </c>
      <c r="AB367" s="8" t="str">
        <f t="shared" si="320"/>
        <v/>
      </c>
      <c r="AC367" s="8"/>
      <c r="AD367" s="11" t="str">
        <f>IF(AB367&lt;&gt;"",ROUND(IF($F$11="raty równe",-PMT(W367/12,$F$4-AB366+SUM($AC$28:AC367),AG366,2),AE367+AF367),2),"")</f>
        <v/>
      </c>
      <c r="AE367" s="11" t="str">
        <f>IF(AB367&lt;&gt;"",IF($F$11="raty malejące",AG366/($F$4-AB366+SUM($AC$28:AC366)),MIN(AD367-AF367,AG366)),"")</f>
        <v/>
      </c>
      <c r="AF367" s="11" t="str">
        <f t="shared" si="321"/>
        <v/>
      </c>
      <c r="AG367" s="9" t="str">
        <f t="shared" si="322"/>
        <v/>
      </c>
      <c r="AH367" s="11"/>
      <c r="AI367" s="33" t="str">
        <f>IF(AB367&lt;&gt;"",ROUND(IF($F$11="raty równe",-PMT(W367/12,($F$4-AB366+SUM($AC$27:AC366)),AG366,2),AG366/($F$4-AB366+SUM($AC$27:AC366))+AG366*W367/12),2),"")</f>
        <v/>
      </c>
      <c r="AJ367" s="33" t="str">
        <f t="shared" si="323"/>
        <v/>
      </c>
      <c r="AK367" s="33" t="str">
        <f t="shared" si="330"/>
        <v/>
      </c>
      <c r="AL367" s="33" t="str">
        <f>IF(AB367&lt;&gt;"",AK367-SUM($AJ$28:AJ367),"")</f>
        <v/>
      </c>
      <c r="AM367" s="11" t="str">
        <f t="shared" si="324"/>
        <v/>
      </c>
      <c r="AN367" s="11" t="str">
        <f>IF(AB367&lt;&gt;"",IF($B$16=listy!$K$8,'RZĄDOWY PROGRAM'!$F$3*'RZĄDOWY PROGRAM'!$F$15,AG366*$F$15),"")</f>
        <v/>
      </c>
      <c r="AO367" s="11" t="str">
        <f t="shared" si="325"/>
        <v/>
      </c>
      <c r="AQ367" s="8" t="str">
        <f t="shared" si="337"/>
        <v/>
      </c>
      <c r="AR367" s="8"/>
      <c r="AS367" s="78" t="str">
        <f>IF(AQ367&lt;&gt;"",ROUND(IF($F$11="raty równe",-PMT(W367/12,$F$4-AQ366+SUM($AR$28:AR367),AV366,2),AT367+AU367),2),"")</f>
        <v/>
      </c>
      <c r="AT367" s="78" t="str">
        <f>IF(AQ367&lt;&gt;"",IF($F$11="raty malejące",AV366/($F$4-AQ366+SUM($AR$28:AR366)),MIN(AS367-AU367,AV366)),"")</f>
        <v/>
      </c>
      <c r="AU367" s="78" t="str">
        <f t="shared" si="338"/>
        <v/>
      </c>
      <c r="AV367" s="79" t="str">
        <f t="shared" si="339"/>
        <v/>
      </c>
      <c r="AW367" s="11"/>
      <c r="AX367" s="33" t="str">
        <f>IF(AQ367&lt;&gt;"",ROUND(IF($F$11="raty równe",-PMT(W367/12,($F$4-AQ366+SUM($AR$27:AR366)),AV366,2),AV366/($F$4-AQ366+SUM($AR$27:AR366))+AV366*W367/12),2),"")</f>
        <v/>
      </c>
      <c r="AY367" s="33" t="str">
        <f t="shared" si="340"/>
        <v/>
      </c>
      <c r="AZ367" s="33" t="str">
        <f t="shared" si="347"/>
        <v/>
      </c>
      <c r="BA367" s="33" t="str">
        <f>IF(AQ367&lt;&gt;"",AZ367-SUM($AY$44:AY367),"")</f>
        <v/>
      </c>
      <c r="BB367" s="11" t="str">
        <f t="shared" si="341"/>
        <v/>
      </c>
      <c r="BC367" s="11" t="str">
        <f>IF(AQ367&lt;&gt;"",IF($B$16=listy!$K$8,'RZĄDOWY PROGRAM'!$F$3*'RZĄDOWY PROGRAM'!$F$15,AV366*$F$15),"")</f>
        <v/>
      </c>
      <c r="BD367" s="11" t="str">
        <f t="shared" si="342"/>
        <v/>
      </c>
      <c r="BF367" s="8" t="str">
        <f t="shared" ref="BF367:BF395" si="351">IFERROR(IF(BK366&lt;&gt;0,BF366+1,""),"")</f>
        <v/>
      </c>
      <c r="BG367" s="8"/>
      <c r="BH367" s="78" t="str">
        <f>IF(BF367&lt;&gt;"",ROUND(IF($F$11="raty równe",-PMT(W367/12,$F$4-BF366+SUM(BV$28:$BV367)-SUM($BM$29:BM367),BK366,2),BI367+BJ367),2),"")</f>
        <v/>
      </c>
      <c r="BI367" s="78" t="str">
        <f>IF(BF367&lt;&gt;"",IF($F$11="raty malejące",MIN(BK366/($F$4-BF366+SUM($BG$27:BG367)-SUM($BM$27:BM367)),BK366),MIN(BH367-BJ367,BK366)),"")</f>
        <v/>
      </c>
      <c r="BJ367" s="78" t="str">
        <f t="shared" ref="BJ367:BJ395" si="352">IF(BF367&lt;&gt;"",BK366*W367/12,"")</f>
        <v/>
      </c>
      <c r="BK367" s="79" t="str">
        <f t="shared" ref="BK367:BK395" si="353">IF(BF367&lt;&gt;"",IF(B367&lt;&gt;"",BK366-BI367-BL367,BK366-BI367),"")</f>
        <v/>
      </c>
      <c r="BL367" s="11"/>
      <c r="BM367" s="33"/>
      <c r="BN367" s="33" t="str">
        <f t="shared" si="348"/>
        <v/>
      </c>
      <c r="BO367" s="33" t="str">
        <f t="shared" si="349"/>
        <v/>
      </c>
      <c r="BP367" s="33" t="str">
        <f>IF(O367&lt;&gt;"",BO367-SUM($BN$44:BN367),"")</f>
        <v/>
      </c>
      <c r="BQ367" s="11" t="str">
        <f t="shared" ref="BQ367:BQ395" si="354">IF(BF367&lt;&gt;"",$F$14,"")</f>
        <v/>
      </c>
      <c r="BR367" s="11" t="str">
        <f>IF(BF367&lt;&gt;"",IF($B$16=listy!$K$8,'RZĄDOWY PROGRAM'!$F$3*'RZĄDOWY PROGRAM'!$F$15,BK366*$F$15),"")</f>
        <v/>
      </c>
      <c r="BS367" s="11" t="str">
        <f t="shared" ref="BS367:BS395" si="355">IF(BH367&lt;&gt;"",BQ367+BR367,"")</f>
        <v/>
      </c>
      <c r="BU367" s="8" t="str">
        <f t="shared" si="343"/>
        <v/>
      </c>
      <c r="BV367" s="8"/>
      <c r="BW367" s="78" t="str">
        <f>IF(BU367&lt;&gt;"",ROUND(IF($F$11="raty równe",-PMT(W367/12,$F$4-BU366+SUM($BV$28:BV367)-$CB$43,BZ366,2),BX367+BY367),2),"")</f>
        <v/>
      </c>
      <c r="BX367" s="78" t="str">
        <f>IF(BU367&lt;&gt;"",IF($F$11="raty malejące",MIN(BZ366/($F$4-BU366+SUM($BV$28:BV366)-SUM($CB$28:CB366)),BZ366),MIN(BW367-BY367,BZ366)),"")</f>
        <v/>
      </c>
      <c r="BY367" s="78" t="str">
        <f t="shared" si="303"/>
        <v/>
      </c>
      <c r="BZ367" s="79" t="str">
        <f t="shared" si="346"/>
        <v/>
      </c>
      <c r="CA367" s="11"/>
      <c r="CB367" s="33"/>
      <c r="CC367" s="33" t="str">
        <f t="shared" si="344"/>
        <v/>
      </c>
      <c r="CD367" s="33" t="str">
        <f t="shared" si="350"/>
        <v/>
      </c>
      <c r="CE367" s="33" t="str">
        <f>IF(O367&lt;&gt;"",CD367-SUM($CC$44:CC367),"")</f>
        <v/>
      </c>
      <c r="CF367" s="11" t="str">
        <f t="shared" si="304"/>
        <v/>
      </c>
      <c r="CG367" s="11" t="str">
        <f>IF(BU367&lt;&gt;"",IF($B$16=listy!$K$8,'RZĄDOWY PROGRAM'!$F$3*'RZĄDOWY PROGRAM'!$F$15,BZ366*$F$15),"")</f>
        <v/>
      </c>
      <c r="CH367" s="11" t="str">
        <f t="shared" si="305"/>
        <v/>
      </c>
      <c r="CJ367" s="48" t="str">
        <f t="shared" si="331"/>
        <v/>
      </c>
      <c r="CK367" s="18" t="str">
        <f t="shared" si="332"/>
        <v/>
      </c>
      <c r="CL367" s="11" t="str">
        <f t="shared" si="345"/>
        <v/>
      </c>
      <c r="CM367" s="11" t="str">
        <f t="shared" si="333"/>
        <v/>
      </c>
      <c r="CN367" s="11" t="str">
        <f>IF(AB367&lt;&gt;"",CM367-SUM($CL$28:CL367),"")</f>
        <v/>
      </c>
    </row>
    <row r="368" spans="1:92" x14ac:dyDescent="0.45">
      <c r="A368" s="68" t="str">
        <f t="shared" si="307"/>
        <v/>
      </c>
      <c r="B368" s="8" t="str">
        <f t="shared" si="326"/>
        <v/>
      </c>
      <c r="C368" s="11" t="str">
        <f t="shared" si="327"/>
        <v/>
      </c>
      <c r="D368" s="11" t="str">
        <f t="shared" si="328"/>
        <v/>
      </c>
      <c r="E368" s="11" t="str">
        <f t="shared" si="308"/>
        <v/>
      </c>
      <c r="F368" s="9" t="str">
        <f t="shared" si="309"/>
        <v/>
      </c>
      <c r="G368" s="10" t="str">
        <f t="shared" si="310"/>
        <v/>
      </c>
      <c r="H368" s="10" t="str">
        <f t="shared" si="311"/>
        <v/>
      </c>
      <c r="I368" s="48" t="str">
        <f t="shared" si="334"/>
        <v/>
      </c>
      <c r="J368" s="11" t="str">
        <f t="shared" si="329"/>
        <v/>
      </c>
      <c r="K368" s="11" t="str">
        <f>IF(B368&lt;&gt;"",IF($B$16=listy!$K$8,'RZĄDOWY PROGRAM'!$F$3*'RZĄDOWY PROGRAM'!$F$15,F367*$F$15),"")</f>
        <v/>
      </c>
      <c r="L368" s="11" t="str">
        <f t="shared" si="312"/>
        <v/>
      </c>
      <c r="N368" s="54" t="str">
        <f t="shared" si="313"/>
        <v/>
      </c>
      <c r="O368" s="8" t="str">
        <f t="shared" si="335"/>
        <v/>
      </c>
      <c r="P368" s="8"/>
      <c r="Q368" s="11" t="str">
        <f>IF(O368&lt;&gt;"",ROUND(IF($F$11="raty równe",-PMT(W368/12,$F$4-O367+SUM($P$28:P368),T367,2),R368+S368),2),"")</f>
        <v/>
      </c>
      <c r="R368" s="11" t="str">
        <f>IF(O368&lt;&gt;"",IF($F$11="raty malejące",T367/($F$4-O367+SUM($P$28:P368)),IF(Q368-S368&gt;T367,T367,Q368-S368)),"")</f>
        <v/>
      </c>
      <c r="S368" s="11" t="str">
        <f t="shared" si="314"/>
        <v/>
      </c>
      <c r="T368" s="9" t="str">
        <f t="shared" si="315"/>
        <v/>
      </c>
      <c r="U368" s="10" t="str">
        <f t="shared" si="316"/>
        <v/>
      </c>
      <c r="V368" s="10" t="str">
        <f t="shared" si="317"/>
        <v/>
      </c>
      <c r="W368" s="48" t="str">
        <f t="shared" si="336"/>
        <v/>
      </c>
      <c r="X368" s="11" t="str">
        <f t="shared" si="318"/>
        <v/>
      </c>
      <c r="Y368" s="11" t="str">
        <f>IF(O368&lt;&gt;"",IF($B$16=listy!$K$8,'RZĄDOWY PROGRAM'!$F$3*'RZĄDOWY PROGRAM'!$F$15,T367*$F$15),"")</f>
        <v/>
      </c>
      <c r="Z368" s="11" t="str">
        <f t="shared" si="319"/>
        <v/>
      </c>
      <c r="AB368" s="8" t="str">
        <f t="shared" si="320"/>
        <v/>
      </c>
      <c r="AC368" s="8"/>
      <c r="AD368" s="11" t="str">
        <f>IF(AB368&lt;&gt;"",ROUND(IF($F$11="raty równe",-PMT(W368/12,$F$4-AB367+SUM($AC$28:AC368),AG367,2),AE368+AF368),2),"")</f>
        <v/>
      </c>
      <c r="AE368" s="11" t="str">
        <f>IF(AB368&lt;&gt;"",IF($F$11="raty malejące",AG367/($F$4-AB367+SUM($AC$28:AC367)),MIN(AD368-AF368,AG367)),"")</f>
        <v/>
      </c>
      <c r="AF368" s="11" t="str">
        <f t="shared" si="321"/>
        <v/>
      </c>
      <c r="AG368" s="9" t="str">
        <f t="shared" si="322"/>
        <v/>
      </c>
      <c r="AH368" s="11"/>
      <c r="AI368" s="33" t="str">
        <f>IF(AB368&lt;&gt;"",ROUND(IF($F$11="raty równe",-PMT(W368/12,($F$4-AB367+SUM($AC$27:AC367)),AG367,2),AG367/($F$4-AB367+SUM($AC$27:AC367))+AG367*W368/12),2),"")</f>
        <v/>
      </c>
      <c r="AJ368" s="33" t="str">
        <f t="shared" si="323"/>
        <v/>
      </c>
      <c r="AK368" s="33" t="str">
        <f t="shared" si="330"/>
        <v/>
      </c>
      <c r="AL368" s="33" t="str">
        <f>IF(AB368&lt;&gt;"",AK368-SUM($AJ$28:AJ368),"")</f>
        <v/>
      </c>
      <c r="AM368" s="11" t="str">
        <f t="shared" si="324"/>
        <v/>
      </c>
      <c r="AN368" s="11" t="str">
        <f>IF(AB368&lt;&gt;"",IF($B$16=listy!$K$8,'RZĄDOWY PROGRAM'!$F$3*'RZĄDOWY PROGRAM'!$F$15,AG367*$F$15),"")</f>
        <v/>
      </c>
      <c r="AO368" s="11" t="str">
        <f t="shared" si="325"/>
        <v/>
      </c>
      <c r="AQ368" s="8" t="str">
        <f t="shared" si="337"/>
        <v/>
      </c>
      <c r="AR368" s="8"/>
      <c r="AS368" s="78" t="str">
        <f>IF(AQ368&lt;&gt;"",ROUND(IF($F$11="raty równe",-PMT(W368/12,$F$4-AQ367+SUM($AR$28:AR368),AV367,2),AT368+AU368),2),"")</f>
        <v/>
      </c>
      <c r="AT368" s="78" t="str">
        <f>IF(AQ368&lt;&gt;"",IF($F$11="raty malejące",AV367/($F$4-AQ367+SUM($AR$28:AR367)),MIN(AS368-AU368,AV367)),"")</f>
        <v/>
      </c>
      <c r="AU368" s="78" t="str">
        <f t="shared" si="338"/>
        <v/>
      </c>
      <c r="AV368" s="79" t="str">
        <f t="shared" si="339"/>
        <v/>
      </c>
      <c r="AW368" s="11"/>
      <c r="AX368" s="33" t="str">
        <f>IF(AQ368&lt;&gt;"",ROUND(IF($F$11="raty równe",-PMT(W368/12,($F$4-AQ367+SUM($AR$27:AR367)),AV367,2),AV367/($F$4-AQ367+SUM($AR$27:AR367))+AV367*W368/12),2),"")</f>
        <v/>
      </c>
      <c r="AY368" s="33" t="str">
        <f t="shared" si="340"/>
        <v/>
      </c>
      <c r="AZ368" s="33" t="str">
        <f t="shared" si="347"/>
        <v/>
      </c>
      <c r="BA368" s="33" t="str">
        <f>IF(AQ368&lt;&gt;"",AZ368-SUM($AY$44:AY368),"")</f>
        <v/>
      </c>
      <c r="BB368" s="11" t="str">
        <f t="shared" si="341"/>
        <v/>
      </c>
      <c r="BC368" s="11" t="str">
        <f>IF(AQ368&lt;&gt;"",IF($B$16=listy!$K$8,'RZĄDOWY PROGRAM'!$F$3*'RZĄDOWY PROGRAM'!$F$15,AV367*$F$15),"")</f>
        <v/>
      </c>
      <c r="BD368" s="11" t="str">
        <f t="shared" si="342"/>
        <v/>
      </c>
      <c r="BF368" s="8" t="str">
        <f t="shared" si="351"/>
        <v/>
      </c>
      <c r="BG368" s="8"/>
      <c r="BH368" s="78" t="str">
        <f>IF(BF368&lt;&gt;"",ROUND(IF($F$11="raty równe",-PMT(W368/12,$F$4-BF367+SUM(BV$28:$BV368)-SUM($BM$29:BM368),BK367,2),BI368+BJ368),2),"")</f>
        <v/>
      </c>
      <c r="BI368" s="78" t="str">
        <f>IF(BF368&lt;&gt;"",IF($F$11="raty malejące",MIN(BK367/($F$4-BF367+SUM($BG$27:BG368)-SUM($BM$27:BM368)),BK367),MIN(BH368-BJ368,BK367)),"")</f>
        <v/>
      </c>
      <c r="BJ368" s="78" t="str">
        <f t="shared" si="352"/>
        <v/>
      </c>
      <c r="BK368" s="79" t="str">
        <f t="shared" si="353"/>
        <v/>
      </c>
      <c r="BL368" s="11"/>
      <c r="BM368" s="33"/>
      <c r="BN368" s="33" t="str">
        <f t="shared" si="348"/>
        <v/>
      </c>
      <c r="BO368" s="33" t="str">
        <f t="shared" si="349"/>
        <v/>
      </c>
      <c r="BP368" s="33" t="str">
        <f>IF(O368&lt;&gt;"",BO368-SUM($BN$44:BN368),"")</f>
        <v/>
      </c>
      <c r="BQ368" s="11" t="str">
        <f t="shared" si="354"/>
        <v/>
      </c>
      <c r="BR368" s="11" t="str">
        <f>IF(BF368&lt;&gt;"",IF($B$16=listy!$K$8,'RZĄDOWY PROGRAM'!$F$3*'RZĄDOWY PROGRAM'!$F$15,BK367*$F$15),"")</f>
        <v/>
      </c>
      <c r="BS368" s="11" t="str">
        <f t="shared" si="355"/>
        <v/>
      </c>
      <c r="BU368" s="8" t="str">
        <f t="shared" si="343"/>
        <v/>
      </c>
      <c r="BV368" s="8"/>
      <c r="BW368" s="78" t="str">
        <f>IF(BU368&lt;&gt;"",ROUND(IF($F$11="raty równe",-PMT(W368/12,$F$4-BU367+SUM($BV$28:BV368)-$CB$43,BZ367,2),BX368+BY368),2),"")</f>
        <v/>
      </c>
      <c r="BX368" s="78" t="str">
        <f>IF(BU368&lt;&gt;"",IF($F$11="raty malejące",MIN(BZ367/($F$4-BU367+SUM($BV$28:BV367)-SUM($CB$28:CB367)),BZ367),MIN(BW368-BY368,BZ367)),"")</f>
        <v/>
      </c>
      <c r="BY368" s="78" t="str">
        <f t="shared" si="303"/>
        <v/>
      </c>
      <c r="BZ368" s="79" t="str">
        <f t="shared" si="346"/>
        <v/>
      </c>
      <c r="CA368" s="11"/>
      <c r="CB368" s="33"/>
      <c r="CC368" s="33" t="str">
        <f t="shared" si="344"/>
        <v/>
      </c>
      <c r="CD368" s="33" t="str">
        <f t="shared" si="350"/>
        <v/>
      </c>
      <c r="CE368" s="33" t="str">
        <f>IF(O368&lt;&gt;"",CD368-SUM($CC$44:CC368),"")</f>
        <v/>
      </c>
      <c r="CF368" s="11" t="str">
        <f t="shared" si="304"/>
        <v/>
      </c>
      <c r="CG368" s="11" t="str">
        <f>IF(BU368&lt;&gt;"",IF($B$16=listy!$K$8,'RZĄDOWY PROGRAM'!$F$3*'RZĄDOWY PROGRAM'!$F$15,BZ367*$F$15),"")</f>
        <v/>
      </c>
      <c r="CH368" s="11" t="str">
        <f t="shared" si="305"/>
        <v/>
      </c>
      <c r="CJ368" s="48" t="str">
        <f t="shared" si="331"/>
        <v/>
      </c>
      <c r="CK368" s="18" t="str">
        <f t="shared" si="332"/>
        <v/>
      </c>
      <c r="CL368" s="11" t="str">
        <f t="shared" si="345"/>
        <v/>
      </c>
      <c r="CM368" s="11" t="str">
        <f t="shared" si="333"/>
        <v/>
      </c>
      <c r="CN368" s="11" t="str">
        <f>IF(AB368&lt;&gt;"",CM368-SUM($CL$28:CL368),"")</f>
        <v/>
      </c>
    </row>
    <row r="369" spans="1:92" x14ac:dyDescent="0.45">
      <c r="A369" s="68" t="str">
        <f t="shared" si="307"/>
        <v/>
      </c>
      <c r="B369" s="8" t="str">
        <f t="shared" si="326"/>
        <v/>
      </c>
      <c r="C369" s="11" t="str">
        <f t="shared" si="327"/>
        <v/>
      </c>
      <c r="D369" s="11" t="str">
        <f t="shared" si="328"/>
        <v/>
      </c>
      <c r="E369" s="11" t="str">
        <f t="shared" si="308"/>
        <v/>
      </c>
      <c r="F369" s="9" t="str">
        <f t="shared" si="309"/>
        <v/>
      </c>
      <c r="G369" s="10" t="str">
        <f t="shared" si="310"/>
        <v/>
      </c>
      <c r="H369" s="10" t="str">
        <f t="shared" si="311"/>
        <v/>
      </c>
      <c r="I369" s="48" t="str">
        <f t="shared" si="334"/>
        <v/>
      </c>
      <c r="J369" s="11" t="str">
        <f t="shared" si="329"/>
        <v/>
      </c>
      <c r="K369" s="11" t="str">
        <f>IF(B369&lt;&gt;"",IF($B$16=listy!$K$8,'RZĄDOWY PROGRAM'!$F$3*'RZĄDOWY PROGRAM'!$F$15,F368*$F$15),"")</f>
        <v/>
      </c>
      <c r="L369" s="11" t="str">
        <f t="shared" si="312"/>
        <v/>
      </c>
      <c r="N369" s="54" t="str">
        <f t="shared" si="313"/>
        <v/>
      </c>
      <c r="O369" s="8" t="str">
        <f t="shared" si="335"/>
        <v/>
      </c>
      <c r="P369" s="8"/>
      <c r="Q369" s="11" t="str">
        <f>IF(O369&lt;&gt;"",ROUND(IF($F$11="raty równe",-PMT(W369/12,$F$4-O368+SUM($P$28:P369),T368,2),R369+S369),2),"")</f>
        <v/>
      </c>
      <c r="R369" s="11" t="str">
        <f>IF(O369&lt;&gt;"",IF($F$11="raty malejące",T368/($F$4-O368+SUM($P$28:P369)),IF(Q369-S369&gt;T368,T368,Q369-S369)),"")</f>
        <v/>
      </c>
      <c r="S369" s="11" t="str">
        <f t="shared" si="314"/>
        <v/>
      </c>
      <c r="T369" s="9" t="str">
        <f t="shared" si="315"/>
        <v/>
      </c>
      <c r="U369" s="10" t="str">
        <f t="shared" si="316"/>
        <v/>
      </c>
      <c r="V369" s="10" t="str">
        <f t="shared" si="317"/>
        <v/>
      </c>
      <c r="W369" s="48" t="str">
        <f t="shared" si="336"/>
        <v/>
      </c>
      <c r="X369" s="11" t="str">
        <f t="shared" si="318"/>
        <v/>
      </c>
      <c r="Y369" s="11" t="str">
        <f>IF(O369&lt;&gt;"",IF($B$16=listy!$K$8,'RZĄDOWY PROGRAM'!$F$3*'RZĄDOWY PROGRAM'!$F$15,T368*$F$15),"")</f>
        <v/>
      </c>
      <c r="Z369" s="11" t="str">
        <f t="shared" si="319"/>
        <v/>
      </c>
      <c r="AB369" s="8" t="str">
        <f t="shared" si="320"/>
        <v/>
      </c>
      <c r="AC369" s="8"/>
      <c r="AD369" s="11" t="str">
        <f>IF(AB369&lt;&gt;"",ROUND(IF($F$11="raty równe",-PMT(W369/12,$F$4-AB368+SUM($AC$28:AC369),AG368,2),AE369+AF369),2),"")</f>
        <v/>
      </c>
      <c r="AE369" s="11" t="str">
        <f>IF(AB369&lt;&gt;"",IF($F$11="raty malejące",AG368/($F$4-AB368+SUM($AC$28:AC368)),MIN(AD369-AF369,AG368)),"")</f>
        <v/>
      </c>
      <c r="AF369" s="11" t="str">
        <f t="shared" si="321"/>
        <v/>
      </c>
      <c r="AG369" s="9" t="str">
        <f t="shared" si="322"/>
        <v/>
      </c>
      <c r="AH369" s="11"/>
      <c r="AI369" s="33" t="str">
        <f>IF(AB369&lt;&gt;"",ROUND(IF($F$11="raty równe",-PMT(W369/12,($F$4-AB368+SUM($AC$27:AC368)),AG368,2),AG368/($F$4-AB368+SUM($AC$27:AC368))+AG368*W369/12),2),"")</f>
        <v/>
      </c>
      <c r="AJ369" s="33" t="str">
        <f t="shared" si="323"/>
        <v/>
      </c>
      <c r="AK369" s="33" t="str">
        <f t="shared" si="330"/>
        <v/>
      </c>
      <c r="AL369" s="33" t="str">
        <f>IF(AB369&lt;&gt;"",AK369-SUM($AJ$28:AJ369),"")</f>
        <v/>
      </c>
      <c r="AM369" s="11" t="str">
        <f t="shared" si="324"/>
        <v/>
      </c>
      <c r="AN369" s="11" t="str">
        <f>IF(AB369&lt;&gt;"",IF($B$16=listy!$K$8,'RZĄDOWY PROGRAM'!$F$3*'RZĄDOWY PROGRAM'!$F$15,AG368*$F$15),"")</f>
        <v/>
      </c>
      <c r="AO369" s="11" t="str">
        <f t="shared" si="325"/>
        <v/>
      </c>
      <c r="AQ369" s="8" t="str">
        <f t="shared" si="337"/>
        <v/>
      </c>
      <c r="AR369" s="8"/>
      <c r="AS369" s="78" t="str">
        <f>IF(AQ369&lt;&gt;"",ROUND(IF($F$11="raty równe",-PMT(W369/12,$F$4-AQ368+SUM($AR$28:AR369),AV368,2),AT369+AU369),2),"")</f>
        <v/>
      </c>
      <c r="AT369" s="78" t="str">
        <f>IF(AQ369&lt;&gt;"",IF($F$11="raty malejące",AV368/($F$4-AQ368+SUM($AR$28:AR368)),MIN(AS369-AU369,AV368)),"")</f>
        <v/>
      </c>
      <c r="AU369" s="78" t="str">
        <f t="shared" si="338"/>
        <v/>
      </c>
      <c r="AV369" s="79" t="str">
        <f t="shared" si="339"/>
        <v/>
      </c>
      <c r="AW369" s="11"/>
      <c r="AX369" s="33" t="str">
        <f>IF(AQ369&lt;&gt;"",ROUND(IF($F$11="raty równe",-PMT(W369/12,($F$4-AQ368+SUM($AR$27:AR368)),AV368,2),AV368/($F$4-AQ368+SUM($AR$27:AR368))+AV368*W369/12),2),"")</f>
        <v/>
      </c>
      <c r="AY369" s="33" t="str">
        <f t="shared" si="340"/>
        <v/>
      </c>
      <c r="AZ369" s="33" t="str">
        <f t="shared" si="347"/>
        <v/>
      </c>
      <c r="BA369" s="33" t="str">
        <f>IF(AQ369&lt;&gt;"",AZ369-SUM($AY$44:AY369),"")</f>
        <v/>
      </c>
      <c r="BB369" s="11" t="str">
        <f t="shared" si="341"/>
        <v/>
      </c>
      <c r="BC369" s="11" t="str">
        <f>IF(AQ369&lt;&gt;"",IF($B$16=listy!$K$8,'RZĄDOWY PROGRAM'!$F$3*'RZĄDOWY PROGRAM'!$F$15,AV368*$F$15),"")</f>
        <v/>
      </c>
      <c r="BD369" s="11" t="str">
        <f t="shared" si="342"/>
        <v/>
      </c>
      <c r="BF369" s="8" t="str">
        <f t="shared" si="351"/>
        <v/>
      </c>
      <c r="BG369" s="8"/>
      <c r="BH369" s="78" t="str">
        <f>IF(BF369&lt;&gt;"",ROUND(IF($F$11="raty równe",-PMT(W369/12,$F$4-BF368+SUM(BV$28:$BV369)-SUM($BM$29:BM369),BK368,2),BI369+BJ369),2),"")</f>
        <v/>
      </c>
      <c r="BI369" s="78" t="str">
        <f>IF(BF369&lt;&gt;"",IF($F$11="raty malejące",MIN(BK368/($F$4-BF368+SUM($BG$27:BG369)-SUM($BM$27:BM369)),BK368),MIN(BH369-BJ369,BK368)),"")</f>
        <v/>
      </c>
      <c r="BJ369" s="78" t="str">
        <f t="shared" si="352"/>
        <v/>
      </c>
      <c r="BK369" s="79" t="str">
        <f t="shared" si="353"/>
        <v/>
      </c>
      <c r="BL369" s="11"/>
      <c r="BM369" s="33"/>
      <c r="BN369" s="33" t="str">
        <f t="shared" si="348"/>
        <v/>
      </c>
      <c r="BO369" s="33" t="str">
        <f t="shared" si="349"/>
        <v/>
      </c>
      <c r="BP369" s="33" t="str">
        <f>IF(O369&lt;&gt;"",BO369-SUM($BN$44:BN369),"")</f>
        <v/>
      </c>
      <c r="BQ369" s="11" t="str">
        <f t="shared" si="354"/>
        <v/>
      </c>
      <c r="BR369" s="11" t="str">
        <f>IF(BF369&lt;&gt;"",IF($B$16=listy!$K$8,'RZĄDOWY PROGRAM'!$F$3*'RZĄDOWY PROGRAM'!$F$15,BK368*$F$15),"")</f>
        <v/>
      </c>
      <c r="BS369" s="11" t="str">
        <f t="shared" si="355"/>
        <v/>
      </c>
      <c r="BU369" s="8" t="str">
        <f t="shared" si="343"/>
        <v/>
      </c>
      <c r="BV369" s="8"/>
      <c r="BW369" s="78" t="str">
        <f>IF(BU369&lt;&gt;"",ROUND(IF($F$11="raty równe",-PMT(W369/12,$F$4-BU368+SUM($BV$28:BV369)-$CB$43,BZ368,2),BX369+BY369),2),"")</f>
        <v/>
      </c>
      <c r="BX369" s="78" t="str">
        <f>IF(BU369&lt;&gt;"",IF($F$11="raty malejące",MIN(BZ368/($F$4-BU368+SUM($BV$28:BV368)-SUM($CB$28:CB368)),BZ368),MIN(BW369-BY369,BZ368)),"")</f>
        <v/>
      </c>
      <c r="BY369" s="78" t="str">
        <f t="shared" ref="BY369:BY395" si="356">IF(BU369&lt;&gt;"",BZ368*W369/12,"")</f>
        <v/>
      </c>
      <c r="BZ369" s="79" t="str">
        <f t="shared" si="346"/>
        <v/>
      </c>
      <c r="CA369" s="11"/>
      <c r="CB369" s="33"/>
      <c r="CC369" s="33" t="str">
        <f t="shared" si="344"/>
        <v/>
      </c>
      <c r="CD369" s="33" t="str">
        <f t="shared" si="350"/>
        <v/>
      </c>
      <c r="CE369" s="33" t="str">
        <f>IF(O369&lt;&gt;"",CD369-SUM($CC$44:CC369),"")</f>
        <v/>
      </c>
      <c r="CF369" s="11" t="str">
        <f t="shared" ref="CF369:CF395" si="357">IF(BU369&lt;&gt;"",$F$14,"")</f>
        <v/>
      </c>
      <c r="CG369" s="11" t="str">
        <f>IF(BU369&lt;&gt;"",IF($B$16=listy!$K$8,'RZĄDOWY PROGRAM'!$F$3*'RZĄDOWY PROGRAM'!$F$15,BZ368*$F$15),"")</f>
        <v/>
      </c>
      <c r="CH369" s="11" t="str">
        <f t="shared" ref="CH369:CH395" si="358">IF(BW369&lt;&gt;"",CF369+CG369,"")</f>
        <v/>
      </c>
      <c r="CJ369" s="48" t="str">
        <f t="shared" si="331"/>
        <v/>
      </c>
      <c r="CK369" s="18" t="str">
        <f t="shared" si="332"/>
        <v/>
      </c>
      <c r="CL369" s="11" t="str">
        <f t="shared" si="345"/>
        <v/>
      </c>
      <c r="CM369" s="11" t="str">
        <f t="shared" si="333"/>
        <v/>
      </c>
      <c r="CN369" s="11" t="str">
        <f>IF(AB369&lt;&gt;"",CM369-SUM($CL$28:CL369),"")</f>
        <v/>
      </c>
    </row>
    <row r="370" spans="1:92" x14ac:dyDescent="0.45">
      <c r="A370" s="68" t="str">
        <f t="shared" si="307"/>
        <v/>
      </c>
      <c r="B370" s="8" t="str">
        <f t="shared" si="326"/>
        <v/>
      </c>
      <c r="C370" s="11" t="str">
        <f t="shared" si="327"/>
        <v/>
      </c>
      <c r="D370" s="11" t="str">
        <f t="shared" si="328"/>
        <v/>
      </c>
      <c r="E370" s="11" t="str">
        <f t="shared" si="308"/>
        <v/>
      </c>
      <c r="F370" s="9" t="str">
        <f t="shared" si="309"/>
        <v/>
      </c>
      <c r="G370" s="10" t="str">
        <f t="shared" si="310"/>
        <v/>
      </c>
      <c r="H370" s="10" t="str">
        <f t="shared" si="311"/>
        <v/>
      </c>
      <c r="I370" s="48" t="str">
        <f t="shared" si="334"/>
        <v/>
      </c>
      <c r="J370" s="11" t="str">
        <f t="shared" si="329"/>
        <v/>
      </c>
      <c r="K370" s="11" t="str">
        <f>IF(B370&lt;&gt;"",IF($B$16=listy!$K$8,'RZĄDOWY PROGRAM'!$F$3*'RZĄDOWY PROGRAM'!$F$15,F369*$F$15),"")</f>
        <v/>
      </c>
      <c r="L370" s="11" t="str">
        <f t="shared" si="312"/>
        <v/>
      </c>
      <c r="N370" s="54" t="str">
        <f t="shared" si="313"/>
        <v/>
      </c>
      <c r="O370" s="8" t="str">
        <f t="shared" si="335"/>
        <v/>
      </c>
      <c r="P370" s="8"/>
      <c r="Q370" s="11" t="str">
        <f>IF(O370&lt;&gt;"",ROUND(IF($F$11="raty równe",-PMT(W370/12,$F$4-O369+SUM($P$28:P370),T369,2),R370+S370),2),"")</f>
        <v/>
      </c>
      <c r="R370" s="11" t="str">
        <f>IF(O370&lt;&gt;"",IF($F$11="raty malejące",T369/($F$4-O369+SUM($P$28:P370)),IF(Q370-S370&gt;T369,T369,Q370-S370)),"")</f>
        <v/>
      </c>
      <c r="S370" s="11" t="str">
        <f t="shared" si="314"/>
        <v/>
      </c>
      <c r="T370" s="9" t="str">
        <f t="shared" si="315"/>
        <v/>
      </c>
      <c r="U370" s="10" t="str">
        <f t="shared" si="316"/>
        <v/>
      </c>
      <c r="V370" s="10" t="str">
        <f t="shared" si="317"/>
        <v/>
      </c>
      <c r="W370" s="48" t="str">
        <f t="shared" si="336"/>
        <v/>
      </c>
      <c r="X370" s="11" t="str">
        <f t="shared" si="318"/>
        <v/>
      </c>
      <c r="Y370" s="11" t="str">
        <f>IF(O370&lt;&gt;"",IF($B$16=listy!$K$8,'RZĄDOWY PROGRAM'!$F$3*'RZĄDOWY PROGRAM'!$F$15,T369*$F$15),"")</f>
        <v/>
      </c>
      <c r="Z370" s="11" t="str">
        <f t="shared" si="319"/>
        <v/>
      </c>
      <c r="AB370" s="8" t="str">
        <f t="shared" si="320"/>
        <v/>
      </c>
      <c r="AC370" s="8"/>
      <c r="AD370" s="11" t="str">
        <f>IF(AB370&lt;&gt;"",ROUND(IF($F$11="raty równe",-PMT(W370/12,$F$4-AB369+SUM($AC$28:AC370),AG369,2),AE370+AF370),2),"")</f>
        <v/>
      </c>
      <c r="AE370" s="11" t="str">
        <f>IF(AB370&lt;&gt;"",IF($F$11="raty malejące",AG369/($F$4-AB369+SUM($AC$28:AC369)),MIN(AD370-AF370,AG369)),"")</f>
        <v/>
      </c>
      <c r="AF370" s="11" t="str">
        <f t="shared" si="321"/>
        <v/>
      </c>
      <c r="AG370" s="9" t="str">
        <f t="shared" si="322"/>
        <v/>
      </c>
      <c r="AH370" s="11"/>
      <c r="AI370" s="33" t="str">
        <f>IF(AB370&lt;&gt;"",ROUND(IF($F$11="raty równe",-PMT(W370/12,($F$4-AB369+SUM($AC$27:AC369)),AG369,2),AG369/($F$4-AB369+SUM($AC$27:AC369))+AG369*W370/12),2),"")</f>
        <v/>
      </c>
      <c r="AJ370" s="33" t="str">
        <f t="shared" si="323"/>
        <v/>
      </c>
      <c r="AK370" s="33" t="str">
        <f t="shared" si="330"/>
        <v/>
      </c>
      <c r="AL370" s="33" t="str">
        <f>IF(AB370&lt;&gt;"",AK370-SUM($AJ$28:AJ370),"")</f>
        <v/>
      </c>
      <c r="AM370" s="11" t="str">
        <f t="shared" si="324"/>
        <v/>
      </c>
      <c r="AN370" s="11" t="str">
        <f>IF(AB370&lt;&gt;"",IF($B$16=listy!$K$8,'RZĄDOWY PROGRAM'!$F$3*'RZĄDOWY PROGRAM'!$F$15,AG369*$F$15),"")</f>
        <v/>
      </c>
      <c r="AO370" s="11" t="str">
        <f t="shared" si="325"/>
        <v/>
      </c>
      <c r="AQ370" s="8" t="str">
        <f t="shared" si="337"/>
        <v/>
      </c>
      <c r="AR370" s="8"/>
      <c r="AS370" s="78" t="str">
        <f>IF(AQ370&lt;&gt;"",ROUND(IF($F$11="raty równe",-PMT(W370/12,$F$4-AQ369+SUM($AR$28:AR370),AV369,2),AT370+AU370),2),"")</f>
        <v/>
      </c>
      <c r="AT370" s="78" t="str">
        <f>IF(AQ370&lt;&gt;"",IF($F$11="raty malejące",AV369/($F$4-AQ369+SUM($AR$28:AR369)),MIN(AS370-AU370,AV369)),"")</f>
        <v/>
      </c>
      <c r="AU370" s="78" t="str">
        <f t="shared" si="338"/>
        <v/>
      </c>
      <c r="AV370" s="79" t="str">
        <f t="shared" si="339"/>
        <v/>
      </c>
      <c r="AW370" s="11"/>
      <c r="AX370" s="33" t="str">
        <f>IF(AQ370&lt;&gt;"",ROUND(IF($F$11="raty równe",-PMT(W370/12,($F$4-AQ369+SUM($AR$27:AR369)),AV369,2),AV369/($F$4-AQ369+SUM($AR$27:AR369))+AV369*W370/12),2),"")</f>
        <v/>
      </c>
      <c r="AY370" s="33" t="str">
        <f t="shared" si="340"/>
        <v/>
      </c>
      <c r="AZ370" s="33" t="str">
        <f t="shared" si="347"/>
        <v/>
      </c>
      <c r="BA370" s="33" t="str">
        <f>IF(AQ370&lt;&gt;"",AZ370-SUM($AY$44:AY370),"")</f>
        <v/>
      </c>
      <c r="BB370" s="11" t="str">
        <f t="shared" si="341"/>
        <v/>
      </c>
      <c r="BC370" s="11" t="str">
        <f>IF(AQ370&lt;&gt;"",IF($B$16=listy!$K$8,'RZĄDOWY PROGRAM'!$F$3*'RZĄDOWY PROGRAM'!$F$15,AV369*$F$15),"")</f>
        <v/>
      </c>
      <c r="BD370" s="11" t="str">
        <f t="shared" si="342"/>
        <v/>
      </c>
      <c r="BF370" s="8" t="str">
        <f t="shared" si="351"/>
        <v/>
      </c>
      <c r="BG370" s="8"/>
      <c r="BH370" s="78" t="str">
        <f>IF(BF370&lt;&gt;"",ROUND(IF($F$11="raty równe",-PMT(W370/12,$F$4-BF369+SUM(BV$28:$BV370)-SUM($BM$29:BM370),BK369,2),BI370+BJ370),2),"")</f>
        <v/>
      </c>
      <c r="BI370" s="78" t="str">
        <f>IF(BF370&lt;&gt;"",IF($F$11="raty malejące",MIN(BK369/($F$4-BF369+SUM($BG$27:BG370)-SUM($BM$27:BM370)),BK369),MIN(BH370-BJ370,BK369)),"")</f>
        <v/>
      </c>
      <c r="BJ370" s="78" t="str">
        <f t="shared" si="352"/>
        <v/>
      </c>
      <c r="BK370" s="79" t="str">
        <f t="shared" si="353"/>
        <v/>
      </c>
      <c r="BL370" s="11"/>
      <c r="BM370" s="33"/>
      <c r="BN370" s="33" t="str">
        <f t="shared" si="348"/>
        <v/>
      </c>
      <c r="BO370" s="33" t="str">
        <f t="shared" si="349"/>
        <v/>
      </c>
      <c r="BP370" s="33" t="str">
        <f>IF(O370&lt;&gt;"",BO370-SUM($BN$44:BN370),"")</f>
        <v/>
      </c>
      <c r="BQ370" s="11" t="str">
        <f t="shared" si="354"/>
        <v/>
      </c>
      <c r="BR370" s="11" t="str">
        <f>IF(BF370&lt;&gt;"",IF($B$16=listy!$K$8,'RZĄDOWY PROGRAM'!$F$3*'RZĄDOWY PROGRAM'!$F$15,BK369*$F$15),"")</f>
        <v/>
      </c>
      <c r="BS370" s="11" t="str">
        <f t="shared" si="355"/>
        <v/>
      </c>
      <c r="BU370" s="8" t="str">
        <f t="shared" si="343"/>
        <v/>
      </c>
      <c r="BV370" s="8"/>
      <c r="BW370" s="78" t="str">
        <f>IF(BU370&lt;&gt;"",ROUND(IF($F$11="raty równe",-PMT(W370/12,$F$4-BU369+SUM($BV$28:BV370)-$CB$43,BZ369,2),BX370+BY370),2),"")</f>
        <v/>
      </c>
      <c r="BX370" s="78" t="str">
        <f>IF(BU370&lt;&gt;"",IF($F$11="raty malejące",MIN(BZ369/($F$4-BU369+SUM($BV$28:BV369)-SUM($CB$28:CB369)),BZ369),MIN(BW370-BY370,BZ369)),"")</f>
        <v/>
      </c>
      <c r="BY370" s="78" t="str">
        <f t="shared" si="356"/>
        <v/>
      </c>
      <c r="BZ370" s="79" t="str">
        <f t="shared" si="346"/>
        <v/>
      </c>
      <c r="CA370" s="11"/>
      <c r="CB370" s="33"/>
      <c r="CC370" s="33" t="str">
        <f t="shared" si="344"/>
        <v/>
      </c>
      <c r="CD370" s="33" t="str">
        <f t="shared" si="350"/>
        <v/>
      </c>
      <c r="CE370" s="33" t="str">
        <f>IF(O370&lt;&gt;"",CD370-SUM($CC$44:CC370),"")</f>
        <v/>
      </c>
      <c r="CF370" s="11" t="str">
        <f t="shared" si="357"/>
        <v/>
      </c>
      <c r="CG370" s="11" t="str">
        <f>IF(BU370&lt;&gt;"",IF($B$16=listy!$K$8,'RZĄDOWY PROGRAM'!$F$3*'RZĄDOWY PROGRAM'!$F$15,BZ369*$F$15),"")</f>
        <v/>
      </c>
      <c r="CH370" s="11" t="str">
        <f t="shared" si="358"/>
        <v/>
      </c>
      <c r="CJ370" s="48" t="str">
        <f t="shared" si="331"/>
        <v/>
      </c>
      <c r="CK370" s="18" t="str">
        <f t="shared" si="332"/>
        <v/>
      </c>
      <c r="CL370" s="11" t="str">
        <f t="shared" si="345"/>
        <v/>
      </c>
      <c r="CM370" s="11" t="str">
        <f t="shared" si="333"/>
        <v/>
      </c>
      <c r="CN370" s="11" t="str">
        <f>IF(AB370&lt;&gt;"",CM370-SUM($CL$28:CL370),"")</f>
        <v/>
      </c>
    </row>
    <row r="371" spans="1:92" x14ac:dyDescent="0.45">
      <c r="A371" s="68" t="str">
        <f t="shared" si="307"/>
        <v/>
      </c>
      <c r="B371" s="8" t="str">
        <f t="shared" si="326"/>
        <v/>
      </c>
      <c r="C371" s="11" t="str">
        <f t="shared" si="327"/>
        <v/>
      </c>
      <c r="D371" s="11" t="str">
        <f t="shared" si="328"/>
        <v/>
      </c>
      <c r="E371" s="11" t="str">
        <f t="shared" si="308"/>
        <v/>
      </c>
      <c r="F371" s="9" t="str">
        <f t="shared" si="309"/>
        <v/>
      </c>
      <c r="G371" s="10" t="str">
        <f t="shared" si="310"/>
        <v/>
      </c>
      <c r="H371" s="10" t="str">
        <f t="shared" si="311"/>
        <v/>
      </c>
      <c r="I371" s="48" t="str">
        <f t="shared" si="334"/>
        <v/>
      </c>
      <c r="J371" s="11" t="str">
        <f t="shared" si="329"/>
        <v/>
      </c>
      <c r="K371" s="11" t="str">
        <f>IF(B371&lt;&gt;"",IF($B$16=listy!$K$8,'RZĄDOWY PROGRAM'!$F$3*'RZĄDOWY PROGRAM'!$F$15,F370*$F$15),"")</f>
        <v/>
      </c>
      <c r="L371" s="11" t="str">
        <f t="shared" si="312"/>
        <v/>
      </c>
      <c r="N371" s="54" t="str">
        <f t="shared" si="313"/>
        <v/>
      </c>
      <c r="O371" s="8" t="str">
        <f t="shared" si="335"/>
        <v/>
      </c>
      <c r="P371" s="8"/>
      <c r="Q371" s="11" t="str">
        <f>IF(O371&lt;&gt;"",ROUND(IF($F$11="raty równe",-PMT(W371/12,$F$4-O370+SUM($P$28:P371),T370,2),R371+S371),2),"")</f>
        <v/>
      </c>
      <c r="R371" s="11" t="str">
        <f>IF(O371&lt;&gt;"",IF($F$11="raty malejące",T370/($F$4-O370+SUM($P$28:P371)),IF(Q371-S371&gt;T370,T370,Q371-S371)),"")</f>
        <v/>
      </c>
      <c r="S371" s="11" t="str">
        <f t="shared" si="314"/>
        <v/>
      </c>
      <c r="T371" s="9" t="str">
        <f t="shared" si="315"/>
        <v/>
      </c>
      <c r="U371" s="10" t="str">
        <f t="shared" si="316"/>
        <v/>
      </c>
      <c r="V371" s="10" t="str">
        <f t="shared" si="317"/>
        <v/>
      </c>
      <c r="W371" s="48" t="str">
        <f t="shared" si="336"/>
        <v/>
      </c>
      <c r="X371" s="11" t="str">
        <f t="shared" si="318"/>
        <v/>
      </c>
      <c r="Y371" s="11" t="str">
        <f>IF(O371&lt;&gt;"",IF($B$16=listy!$K$8,'RZĄDOWY PROGRAM'!$F$3*'RZĄDOWY PROGRAM'!$F$15,T370*$F$15),"")</f>
        <v/>
      </c>
      <c r="Z371" s="11" t="str">
        <f t="shared" si="319"/>
        <v/>
      </c>
      <c r="AB371" s="8" t="str">
        <f t="shared" si="320"/>
        <v/>
      </c>
      <c r="AC371" s="8"/>
      <c r="AD371" s="11" t="str">
        <f>IF(AB371&lt;&gt;"",ROUND(IF($F$11="raty równe",-PMT(W371/12,$F$4-AB370+SUM($AC$28:AC371),AG370,2),AE371+AF371),2),"")</f>
        <v/>
      </c>
      <c r="AE371" s="11" t="str">
        <f>IF(AB371&lt;&gt;"",IF($F$11="raty malejące",AG370/($F$4-AB370+SUM($AC$28:AC370)),MIN(AD371-AF371,AG370)),"")</f>
        <v/>
      </c>
      <c r="AF371" s="11" t="str">
        <f t="shared" si="321"/>
        <v/>
      </c>
      <c r="AG371" s="9" t="str">
        <f t="shared" si="322"/>
        <v/>
      </c>
      <c r="AH371" s="11"/>
      <c r="AI371" s="33" t="str">
        <f>IF(AB371&lt;&gt;"",ROUND(IF($F$11="raty równe",-PMT(W371/12,($F$4-AB370+SUM($AC$27:AC370)),AG370,2),AG370/($F$4-AB370+SUM($AC$27:AC370))+AG370*W371/12),2),"")</f>
        <v/>
      </c>
      <c r="AJ371" s="33" t="str">
        <f t="shared" si="323"/>
        <v/>
      </c>
      <c r="AK371" s="33" t="str">
        <f t="shared" si="330"/>
        <v/>
      </c>
      <c r="AL371" s="33" t="str">
        <f>IF(AB371&lt;&gt;"",AK371-SUM($AJ$28:AJ371),"")</f>
        <v/>
      </c>
      <c r="AM371" s="11" t="str">
        <f t="shared" si="324"/>
        <v/>
      </c>
      <c r="AN371" s="11" t="str">
        <f>IF(AB371&lt;&gt;"",IF($B$16=listy!$K$8,'RZĄDOWY PROGRAM'!$F$3*'RZĄDOWY PROGRAM'!$F$15,AG370*$F$15),"")</f>
        <v/>
      </c>
      <c r="AO371" s="11" t="str">
        <f t="shared" si="325"/>
        <v/>
      </c>
      <c r="AQ371" s="8" t="str">
        <f t="shared" si="337"/>
        <v/>
      </c>
      <c r="AR371" s="8"/>
      <c r="AS371" s="78" t="str">
        <f>IF(AQ371&lt;&gt;"",ROUND(IF($F$11="raty równe",-PMT(W371/12,$F$4-AQ370+SUM($AR$28:AR371),AV370,2),AT371+AU371),2),"")</f>
        <v/>
      </c>
      <c r="AT371" s="78" t="str">
        <f>IF(AQ371&lt;&gt;"",IF($F$11="raty malejące",AV370/($F$4-AQ370+SUM($AR$28:AR370)),MIN(AS371-AU371,AV370)),"")</f>
        <v/>
      </c>
      <c r="AU371" s="78" t="str">
        <f t="shared" si="338"/>
        <v/>
      </c>
      <c r="AV371" s="79" t="str">
        <f t="shared" si="339"/>
        <v/>
      </c>
      <c r="AW371" s="11"/>
      <c r="AX371" s="33" t="str">
        <f>IF(AQ371&lt;&gt;"",ROUND(IF($F$11="raty równe",-PMT(W371/12,($F$4-AQ370+SUM($AR$27:AR370)),AV370,2),AV370/($F$4-AQ370+SUM($AR$27:AR370))+AV370*W371/12),2),"")</f>
        <v/>
      </c>
      <c r="AY371" s="33" t="str">
        <f t="shared" si="340"/>
        <v/>
      </c>
      <c r="AZ371" s="33" t="str">
        <f t="shared" si="347"/>
        <v/>
      </c>
      <c r="BA371" s="33" t="str">
        <f>IF(AQ371&lt;&gt;"",AZ371-SUM($AY$44:AY371),"")</f>
        <v/>
      </c>
      <c r="BB371" s="11" t="str">
        <f t="shared" si="341"/>
        <v/>
      </c>
      <c r="BC371" s="11" t="str">
        <f>IF(AQ371&lt;&gt;"",IF($B$16=listy!$K$8,'RZĄDOWY PROGRAM'!$F$3*'RZĄDOWY PROGRAM'!$F$15,AV370*$F$15),"")</f>
        <v/>
      </c>
      <c r="BD371" s="11" t="str">
        <f t="shared" si="342"/>
        <v/>
      </c>
      <c r="BF371" s="8" t="str">
        <f t="shared" si="351"/>
        <v/>
      </c>
      <c r="BG371" s="8"/>
      <c r="BH371" s="78" t="str">
        <f>IF(BF371&lt;&gt;"",ROUND(IF($F$11="raty równe",-PMT(W371/12,$F$4-BF370+SUM(BV$28:$BV371)-SUM($BM$29:BM371),BK370,2),BI371+BJ371),2),"")</f>
        <v/>
      </c>
      <c r="BI371" s="78" t="str">
        <f>IF(BF371&lt;&gt;"",IF($F$11="raty malejące",MIN(BK370/($F$4-BF370+SUM($BG$27:BG371)-SUM($BM$27:BM371)),BK370),MIN(BH371-BJ371,BK370)),"")</f>
        <v/>
      </c>
      <c r="BJ371" s="78" t="str">
        <f t="shared" si="352"/>
        <v/>
      </c>
      <c r="BK371" s="79" t="str">
        <f t="shared" si="353"/>
        <v/>
      </c>
      <c r="BL371" s="11"/>
      <c r="BM371" s="33"/>
      <c r="BN371" s="33" t="str">
        <f t="shared" si="348"/>
        <v/>
      </c>
      <c r="BO371" s="33" t="str">
        <f t="shared" si="349"/>
        <v/>
      </c>
      <c r="BP371" s="33" t="str">
        <f>IF(O371&lt;&gt;"",BO371-SUM($BN$44:BN371),"")</f>
        <v/>
      </c>
      <c r="BQ371" s="11" t="str">
        <f t="shared" si="354"/>
        <v/>
      </c>
      <c r="BR371" s="11" t="str">
        <f>IF(BF371&lt;&gt;"",IF($B$16=listy!$K$8,'RZĄDOWY PROGRAM'!$F$3*'RZĄDOWY PROGRAM'!$F$15,BK370*$F$15),"")</f>
        <v/>
      </c>
      <c r="BS371" s="11" t="str">
        <f t="shared" si="355"/>
        <v/>
      </c>
      <c r="BU371" s="8" t="str">
        <f t="shared" si="343"/>
        <v/>
      </c>
      <c r="BV371" s="8"/>
      <c r="BW371" s="78" t="str">
        <f>IF(BU371&lt;&gt;"",ROUND(IF($F$11="raty równe",-PMT(W371/12,$F$4-BU370+SUM($BV$28:BV371)-$CB$43,BZ370,2),BX371+BY371),2),"")</f>
        <v/>
      </c>
      <c r="BX371" s="78" t="str">
        <f>IF(BU371&lt;&gt;"",IF($F$11="raty malejące",MIN(BZ370/($F$4-BU370+SUM($BV$28:BV370)-SUM($CB$28:CB370)),BZ370),MIN(BW371-BY371,BZ370)),"")</f>
        <v/>
      </c>
      <c r="BY371" s="78" t="str">
        <f t="shared" si="356"/>
        <v/>
      </c>
      <c r="BZ371" s="79" t="str">
        <f t="shared" si="346"/>
        <v/>
      </c>
      <c r="CA371" s="11"/>
      <c r="CB371" s="33"/>
      <c r="CC371" s="33" t="str">
        <f t="shared" si="344"/>
        <v/>
      </c>
      <c r="CD371" s="33" t="str">
        <f t="shared" si="350"/>
        <v/>
      </c>
      <c r="CE371" s="33" t="str">
        <f>IF(O371&lt;&gt;"",CD371-SUM($CC$44:CC371),"")</f>
        <v/>
      </c>
      <c r="CF371" s="11" t="str">
        <f t="shared" si="357"/>
        <v/>
      </c>
      <c r="CG371" s="11" t="str">
        <f>IF(BU371&lt;&gt;"",IF($B$16=listy!$K$8,'RZĄDOWY PROGRAM'!$F$3*'RZĄDOWY PROGRAM'!$F$15,BZ370*$F$15),"")</f>
        <v/>
      </c>
      <c r="CH371" s="11" t="str">
        <f t="shared" si="358"/>
        <v/>
      </c>
      <c r="CJ371" s="48" t="str">
        <f t="shared" si="331"/>
        <v/>
      </c>
      <c r="CK371" s="18" t="str">
        <f t="shared" si="332"/>
        <v/>
      </c>
      <c r="CL371" s="11" t="str">
        <f t="shared" si="345"/>
        <v/>
      </c>
      <c r="CM371" s="11" t="str">
        <f t="shared" si="333"/>
        <v/>
      </c>
      <c r="CN371" s="11" t="str">
        <f>IF(AB371&lt;&gt;"",CM371-SUM($CL$28:CL371),"")</f>
        <v/>
      </c>
    </row>
    <row r="372" spans="1:92" x14ac:dyDescent="0.45">
      <c r="A372" s="68" t="str">
        <f t="shared" si="307"/>
        <v/>
      </c>
      <c r="B372" s="8" t="str">
        <f t="shared" si="326"/>
        <v/>
      </c>
      <c r="C372" s="11" t="str">
        <f t="shared" si="327"/>
        <v/>
      </c>
      <c r="D372" s="11" t="str">
        <f t="shared" si="328"/>
        <v/>
      </c>
      <c r="E372" s="11" t="str">
        <f t="shared" si="308"/>
        <v/>
      </c>
      <c r="F372" s="9" t="str">
        <f t="shared" si="309"/>
        <v/>
      </c>
      <c r="G372" s="10" t="str">
        <f t="shared" si="310"/>
        <v/>
      </c>
      <c r="H372" s="10" t="str">
        <f t="shared" si="311"/>
        <v/>
      </c>
      <c r="I372" s="48" t="str">
        <f t="shared" si="334"/>
        <v/>
      </c>
      <c r="J372" s="11" t="str">
        <f t="shared" si="329"/>
        <v/>
      </c>
      <c r="K372" s="11" t="str">
        <f>IF(B372&lt;&gt;"",IF($B$16=listy!$K$8,'RZĄDOWY PROGRAM'!$F$3*'RZĄDOWY PROGRAM'!$F$15,F371*$F$15),"")</f>
        <v/>
      </c>
      <c r="L372" s="11" t="str">
        <f t="shared" si="312"/>
        <v/>
      </c>
      <c r="N372" s="54" t="str">
        <f t="shared" si="313"/>
        <v/>
      </c>
      <c r="O372" s="8" t="str">
        <f t="shared" si="335"/>
        <v/>
      </c>
      <c r="P372" s="8"/>
      <c r="Q372" s="11" t="str">
        <f>IF(O372&lt;&gt;"",ROUND(IF($F$11="raty równe",-PMT(W372/12,$F$4-O371+SUM($P$28:P372),T371,2),R372+S372),2),"")</f>
        <v/>
      </c>
      <c r="R372" s="11" t="str">
        <f>IF(O372&lt;&gt;"",IF($F$11="raty malejące",T371/($F$4-O371+SUM($P$28:P372)),IF(Q372-S372&gt;T371,T371,Q372-S372)),"")</f>
        <v/>
      </c>
      <c r="S372" s="11" t="str">
        <f t="shared" si="314"/>
        <v/>
      </c>
      <c r="T372" s="9" t="str">
        <f t="shared" si="315"/>
        <v/>
      </c>
      <c r="U372" s="10" t="str">
        <f t="shared" si="316"/>
        <v/>
      </c>
      <c r="V372" s="10" t="str">
        <f t="shared" si="317"/>
        <v/>
      </c>
      <c r="W372" s="48" t="str">
        <f t="shared" si="336"/>
        <v/>
      </c>
      <c r="X372" s="11" t="str">
        <f t="shared" ref="X372:X395" si="359">IF(O372&lt;&gt;"",$F$14,"")</f>
        <v/>
      </c>
      <c r="Y372" s="11" t="str">
        <f>IF(O372&lt;&gt;"",IF($B$16=listy!$K$8,'RZĄDOWY PROGRAM'!$F$3*'RZĄDOWY PROGRAM'!$F$15,T371*$F$15),"")</f>
        <v/>
      </c>
      <c r="Z372" s="11" t="str">
        <f t="shared" si="319"/>
        <v/>
      </c>
      <c r="AB372" s="8" t="str">
        <f t="shared" si="320"/>
        <v/>
      </c>
      <c r="AC372" s="8"/>
      <c r="AD372" s="11" t="str">
        <f>IF(AB372&lt;&gt;"",ROUND(IF($F$11="raty równe",-PMT(W372/12,$F$4-AB371+SUM($AC$28:AC372),AG371,2),AE372+AF372),2),"")</f>
        <v/>
      </c>
      <c r="AE372" s="11" t="str">
        <f>IF(AB372&lt;&gt;"",IF($F$11="raty malejące",AG371/($F$4-AB371+SUM($AC$28:AC371)),MIN(AD372-AF372,AG371)),"")</f>
        <v/>
      </c>
      <c r="AF372" s="11" t="str">
        <f t="shared" si="321"/>
        <v/>
      </c>
      <c r="AG372" s="9" t="str">
        <f t="shared" si="322"/>
        <v/>
      </c>
      <c r="AH372" s="11"/>
      <c r="AI372" s="33" t="str">
        <f>IF(AB372&lt;&gt;"",ROUND(IF($F$11="raty równe",-PMT(W372/12,($F$4-AB371+SUM($AC$27:AC371)),AG371,2),AG371/($F$4-AB371+SUM($AC$27:AC371))+AG371*W372/12),2),"")</f>
        <v/>
      </c>
      <c r="AJ372" s="33" t="str">
        <f t="shared" si="323"/>
        <v/>
      </c>
      <c r="AK372" s="33" t="str">
        <f t="shared" si="330"/>
        <v/>
      </c>
      <c r="AL372" s="33" t="str">
        <f>IF(AB372&lt;&gt;"",AK372-SUM($AJ$28:AJ372),"")</f>
        <v/>
      </c>
      <c r="AM372" s="11" t="str">
        <f t="shared" ref="AM372:AM395" si="360">IF(AB372&lt;&gt;"",$F$14,"")</f>
        <v/>
      </c>
      <c r="AN372" s="11" t="str">
        <f>IF(AB372&lt;&gt;"",IF($B$16=listy!$K$8,'RZĄDOWY PROGRAM'!$F$3*'RZĄDOWY PROGRAM'!$F$15,AG371*$F$15),"")</f>
        <v/>
      </c>
      <c r="AO372" s="11" t="str">
        <f t="shared" si="325"/>
        <v/>
      </c>
      <c r="AQ372" s="8" t="str">
        <f t="shared" si="337"/>
        <v/>
      </c>
      <c r="AR372" s="8"/>
      <c r="AS372" s="78" t="str">
        <f>IF(AQ372&lt;&gt;"",ROUND(IF($F$11="raty równe",-PMT(W372/12,$F$4-AQ371+SUM($AR$28:AR372),AV371,2),AT372+AU372),2),"")</f>
        <v/>
      </c>
      <c r="AT372" s="78" t="str">
        <f>IF(AQ372&lt;&gt;"",IF($F$11="raty malejące",AV371/($F$4-AQ371+SUM($AR$28:AR371)),MIN(AS372-AU372,AV371)),"")</f>
        <v/>
      </c>
      <c r="AU372" s="78" t="str">
        <f t="shared" si="338"/>
        <v/>
      </c>
      <c r="AV372" s="79" t="str">
        <f t="shared" si="339"/>
        <v/>
      </c>
      <c r="AW372" s="11"/>
      <c r="AX372" s="33" t="str">
        <f>IF(AQ372&lt;&gt;"",ROUND(IF($F$11="raty równe",-PMT(W372/12,($F$4-AQ371+SUM($AR$27:AR371)),AV371,2),AV371/($F$4-AQ371+SUM($AR$27:AR371))+AV371*W372/12),2),"")</f>
        <v/>
      </c>
      <c r="AY372" s="33" t="str">
        <f t="shared" si="340"/>
        <v/>
      </c>
      <c r="AZ372" s="33" t="str">
        <f t="shared" si="347"/>
        <v/>
      </c>
      <c r="BA372" s="33" t="str">
        <f>IF(AQ372&lt;&gt;"",AZ372-SUM($AY$44:AY372),"")</f>
        <v/>
      </c>
      <c r="BB372" s="11" t="str">
        <f t="shared" si="341"/>
        <v/>
      </c>
      <c r="BC372" s="11" t="str">
        <f>IF(AQ372&lt;&gt;"",IF($B$16=listy!$K$8,'RZĄDOWY PROGRAM'!$F$3*'RZĄDOWY PROGRAM'!$F$15,AV371*$F$15),"")</f>
        <v/>
      </c>
      <c r="BD372" s="11" t="str">
        <f t="shared" si="342"/>
        <v/>
      </c>
      <c r="BF372" s="8" t="str">
        <f t="shared" si="351"/>
        <v/>
      </c>
      <c r="BG372" s="8"/>
      <c r="BH372" s="78" t="str">
        <f>IF(BF372&lt;&gt;"",ROUND(IF($F$11="raty równe",-PMT(W372/12,$F$4-BF371+SUM(BV$28:$BV372)-SUM($BM$29:BM372),BK371,2),BI372+BJ372),2),"")</f>
        <v/>
      </c>
      <c r="BI372" s="78" t="str">
        <f>IF(BF372&lt;&gt;"",IF($F$11="raty malejące",MIN(BK371/($F$4-BF371+SUM($BG$27:BG372)-SUM($BM$27:BM372)),BK371),MIN(BH372-BJ372,BK371)),"")</f>
        <v/>
      </c>
      <c r="BJ372" s="78" t="str">
        <f t="shared" si="352"/>
        <v/>
      </c>
      <c r="BK372" s="79" t="str">
        <f t="shared" si="353"/>
        <v/>
      </c>
      <c r="BL372" s="11"/>
      <c r="BM372" s="33"/>
      <c r="BN372" s="33" t="str">
        <f t="shared" si="348"/>
        <v/>
      </c>
      <c r="BO372" s="33" t="str">
        <f t="shared" si="349"/>
        <v/>
      </c>
      <c r="BP372" s="33" t="str">
        <f>IF(O372&lt;&gt;"",BO372-SUM($BN$44:BN372),"")</f>
        <v/>
      </c>
      <c r="BQ372" s="11" t="str">
        <f t="shared" si="354"/>
        <v/>
      </c>
      <c r="BR372" s="11" t="str">
        <f>IF(BF372&lt;&gt;"",IF($B$16=listy!$K$8,'RZĄDOWY PROGRAM'!$F$3*'RZĄDOWY PROGRAM'!$F$15,BK371*$F$15),"")</f>
        <v/>
      </c>
      <c r="BS372" s="11" t="str">
        <f t="shared" si="355"/>
        <v/>
      </c>
      <c r="BU372" s="8" t="str">
        <f t="shared" si="343"/>
        <v/>
      </c>
      <c r="BV372" s="8"/>
      <c r="BW372" s="78" t="str">
        <f>IF(BU372&lt;&gt;"",ROUND(IF($F$11="raty równe",-PMT(W372/12,$F$4-BU371+SUM($BV$28:BV372)-$CB$43,BZ371,2),BX372+BY372),2),"")</f>
        <v/>
      </c>
      <c r="BX372" s="78" t="str">
        <f>IF(BU372&lt;&gt;"",IF($F$11="raty malejące",MIN(BZ371/($F$4-BU371+SUM($BV$28:BV371)-SUM($CB$28:CB371)),BZ371),MIN(BW372-BY372,BZ371)),"")</f>
        <v/>
      </c>
      <c r="BY372" s="78" t="str">
        <f t="shared" si="356"/>
        <v/>
      </c>
      <c r="BZ372" s="79" t="str">
        <f t="shared" si="346"/>
        <v/>
      </c>
      <c r="CA372" s="11"/>
      <c r="CB372" s="33"/>
      <c r="CC372" s="33" t="str">
        <f t="shared" si="344"/>
        <v/>
      </c>
      <c r="CD372" s="33" t="str">
        <f t="shared" si="350"/>
        <v/>
      </c>
      <c r="CE372" s="33" t="str">
        <f>IF(O372&lt;&gt;"",CD372-SUM($CC$44:CC372),"")</f>
        <v/>
      </c>
      <c r="CF372" s="11" t="str">
        <f t="shared" si="357"/>
        <v/>
      </c>
      <c r="CG372" s="11" t="str">
        <f>IF(BU372&lt;&gt;"",IF($B$16=listy!$K$8,'RZĄDOWY PROGRAM'!$F$3*'RZĄDOWY PROGRAM'!$F$15,BZ371*$F$15),"")</f>
        <v/>
      </c>
      <c r="CH372" s="11" t="str">
        <f t="shared" si="358"/>
        <v/>
      </c>
      <c r="CJ372" s="48" t="str">
        <f t="shared" si="331"/>
        <v/>
      </c>
      <c r="CK372" s="18" t="str">
        <f t="shared" si="332"/>
        <v/>
      </c>
      <c r="CL372" s="11" t="str">
        <f t="shared" si="345"/>
        <v/>
      </c>
      <c r="CM372" s="11" t="str">
        <f t="shared" si="333"/>
        <v/>
      </c>
      <c r="CN372" s="11" t="str">
        <f>IF(AB372&lt;&gt;"",CM372-SUM($CL$28:CL372),"")</f>
        <v/>
      </c>
    </row>
    <row r="373" spans="1:92" x14ac:dyDescent="0.45">
      <c r="A373" s="68" t="str">
        <f t="shared" si="307"/>
        <v/>
      </c>
      <c r="B373" s="8" t="str">
        <f t="shared" si="326"/>
        <v/>
      </c>
      <c r="C373" s="11" t="str">
        <f t="shared" si="327"/>
        <v/>
      </c>
      <c r="D373" s="11" t="str">
        <f t="shared" si="328"/>
        <v/>
      </c>
      <c r="E373" s="11" t="str">
        <f t="shared" si="308"/>
        <v/>
      </c>
      <c r="F373" s="9" t="str">
        <f t="shared" si="309"/>
        <v/>
      </c>
      <c r="G373" s="10" t="str">
        <f t="shared" si="310"/>
        <v/>
      </c>
      <c r="H373" s="10" t="str">
        <f t="shared" si="311"/>
        <v/>
      </c>
      <c r="I373" s="48" t="str">
        <f t="shared" si="334"/>
        <v/>
      </c>
      <c r="J373" s="11" t="str">
        <f t="shared" si="329"/>
        <v/>
      </c>
      <c r="K373" s="11" t="str">
        <f>IF(B373&lt;&gt;"",IF($B$16=listy!$K$8,'RZĄDOWY PROGRAM'!$F$3*'RZĄDOWY PROGRAM'!$F$15,F372*$F$15),"")</f>
        <v/>
      </c>
      <c r="L373" s="11" t="str">
        <f t="shared" si="312"/>
        <v/>
      </c>
      <c r="N373" s="54" t="str">
        <f t="shared" si="313"/>
        <v/>
      </c>
      <c r="O373" s="8" t="str">
        <f t="shared" si="335"/>
        <v/>
      </c>
      <c r="P373" s="8"/>
      <c r="Q373" s="11" t="str">
        <f>IF(O373&lt;&gt;"",ROUND(IF($F$11="raty równe",-PMT(W373/12,$F$4-O372+SUM($P$28:P373),T372,2),R373+S373),2),"")</f>
        <v/>
      </c>
      <c r="R373" s="11" t="str">
        <f>IF(O373&lt;&gt;"",IF($F$11="raty malejące",T372/($F$4-O372+SUM($P$28:P373)),IF(Q373-S373&gt;T372,T372,Q373-S373)),"")</f>
        <v/>
      </c>
      <c r="S373" s="11" t="str">
        <f t="shared" si="314"/>
        <v/>
      </c>
      <c r="T373" s="9" t="str">
        <f t="shared" si="315"/>
        <v/>
      </c>
      <c r="U373" s="10" t="str">
        <f t="shared" si="316"/>
        <v/>
      </c>
      <c r="V373" s="10" t="str">
        <f t="shared" si="317"/>
        <v/>
      </c>
      <c r="W373" s="48" t="str">
        <f t="shared" si="336"/>
        <v/>
      </c>
      <c r="X373" s="11" t="str">
        <f t="shared" si="359"/>
        <v/>
      </c>
      <c r="Y373" s="11" t="str">
        <f>IF(O373&lt;&gt;"",IF($B$16=listy!$K$8,'RZĄDOWY PROGRAM'!$F$3*'RZĄDOWY PROGRAM'!$F$15,T372*$F$15),"")</f>
        <v/>
      </c>
      <c r="Z373" s="11" t="str">
        <f t="shared" si="319"/>
        <v/>
      </c>
      <c r="AB373" s="8" t="str">
        <f t="shared" si="320"/>
        <v/>
      </c>
      <c r="AC373" s="8"/>
      <c r="AD373" s="11" t="str">
        <f>IF(AB373&lt;&gt;"",ROUND(IF($F$11="raty równe",-PMT(W373/12,$F$4-AB372+SUM($AC$28:AC373),AG372,2),AE373+AF373),2),"")</f>
        <v/>
      </c>
      <c r="AE373" s="11" t="str">
        <f>IF(AB373&lt;&gt;"",IF($F$11="raty malejące",AG372/($F$4-AB372+SUM($AC$28:AC372)),MIN(AD373-AF373,AG372)),"")</f>
        <v/>
      </c>
      <c r="AF373" s="11" t="str">
        <f t="shared" si="321"/>
        <v/>
      </c>
      <c r="AG373" s="9" t="str">
        <f t="shared" si="322"/>
        <v/>
      </c>
      <c r="AH373" s="11"/>
      <c r="AI373" s="33" t="str">
        <f>IF(AB373&lt;&gt;"",ROUND(IF($F$11="raty równe",-PMT(W373/12,($F$4-AB372+SUM($AC$27:AC372)),AG372,2),AG372/($F$4-AB372+SUM($AC$27:AC372))+AG372*W373/12),2),"")</f>
        <v/>
      </c>
      <c r="AJ373" s="33" t="str">
        <f t="shared" si="323"/>
        <v/>
      </c>
      <c r="AK373" s="33" t="str">
        <f t="shared" si="330"/>
        <v/>
      </c>
      <c r="AL373" s="33" t="str">
        <f>IF(AB373&lt;&gt;"",AK373-SUM($AJ$28:AJ373),"")</f>
        <v/>
      </c>
      <c r="AM373" s="11" t="str">
        <f t="shared" si="360"/>
        <v/>
      </c>
      <c r="AN373" s="11" t="str">
        <f>IF(AB373&lt;&gt;"",IF($B$16=listy!$K$8,'RZĄDOWY PROGRAM'!$F$3*'RZĄDOWY PROGRAM'!$F$15,AG372*$F$15),"")</f>
        <v/>
      </c>
      <c r="AO373" s="11" t="str">
        <f t="shared" si="325"/>
        <v/>
      </c>
      <c r="AQ373" s="8" t="str">
        <f t="shared" si="337"/>
        <v/>
      </c>
      <c r="AR373" s="8"/>
      <c r="AS373" s="78" t="str">
        <f>IF(AQ373&lt;&gt;"",ROUND(IF($F$11="raty równe",-PMT(W373/12,$F$4-AQ372+SUM($AR$28:AR373),AV372,2),AT373+AU373),2),"")</f>
        <v/>
      </c>
      <c r="AT373" s="78" t="str">
        <f>IF(AQ373&lt;&gt;"",IF($F$11="raty malejące",AV372/($F$4-AQ372+SUM($AR$28:AR372)),MIN(AS373-AU373,AV372)),"")</f>
        <v/>
      </c>
      <c r="AU373" s="78" t="str">
        <f t="shared" si="338"/>
        <v/>
      </c>
      <c r="AV373" s="79" t="str">
        <f t="shared" si="339"/>
        <v/>
      </c>
      <c r="AW373" s="11"/>
      <c r="AX373" s="33" t="str">
        <f>IF(AQ373&lt;&gt;"",ROUND(IF($F$11="raty równe",-PMT(W373/12,($F$4-AQ372+SUM($AR$27:AR372)),AV372,2),AV372/($F$4-AQ372+SUM($AR$27:AR372))+AV372*W373/12),2),"")</f>
        <v/>
      </c>
      <c r="AY373" s="33" t="str">
        <f t="shared" si="340"/>
        <v/>
      </c>
      <c r="AZ373" s="33" t="str">
        <f t="shared" si="347"/>
        <v/>
      </c>
      <c r="BA373" s="33" t="str">
        <f>IF(AQ373&lt;&gt;"",AZ373-SUM($AY$44:AY373),"")</f>
        <v/>
      </c>
      <c r="BB373" s="11" t="str">
        <f t="shared" si="341"/>
        <v/>
      </c>
      <c r="BC373" s="11" t="str">
        <f>IF(AQ373&lt;&gt;"",IF($B$16=listy!$K$8,'RZĄDOWY PROGRAM'!$F$3*'RZĄDOWY PROGRAM'!$F$15,AV372*$F$15),"")</f>
        <v/>
      </c>
      <c r="BD373" s="11" t="str">
        <f t="shared" si="342"/>
        <v/>
      </c>
      <c r="BF373" s="8" t="str">
        <f t="shared" si="351"/>
        <v/>
      </c>
      <c r="BG373" s="8"/>
      <c r="BH373" s="78" t="str">
        <f>IF(BF373&lt;&gt;"",ROUND(IF($F$11="raty równe",-PMT(W373/12,$F$4-BF372+SUM(BV$28:$BV373)-SUM($BM$29:BM373),BK372,2),BI373+BJ373),2),"")</f>
        <v/>
      </c>
      <c r="BI373" s="78" t="str">
        <f>IF(BF373&lt;&gt;"",IF($F$11="raty malejące",MIN(BK372/($F$4-BF372+SUM($BG$27:BG373)-SUM($BM$27:BM373)),BK372),MIN(BH373-BJ373,BK372)),"")</f>
        <v/>
      </c>
      <c r="BJ373" s="78" t="str">
        <f t="shared" si="352"/>
        <v/>
      </c>
      <c r="BK373" s="79" t="str">
        <f t="shared" si="353"/>
        <v/>
      </c>
      <c r="BL373" s="11"/>
      <c r="BM373" s="33"/>
      <c r="BN373" s="33" t="str">
        <f t="shared" si="348"/>
        <v/>
      </c>
      <c r="BO373" s="33" t="str">
        <f t="shared" si="349"/>
        <v/>
      </c>
      <c r="BP373" s="33" t="str">
        <f>IF(O373&lt;&gt;"",BO373-SUM($BN$44:BN373),"")</f>
        <v/>
      </c>
      <c r="BQ373" s="11" t="str">
        <f t="shared" si="354"/>
        <v/>
      </c>
      <c r="BR373" s="11" t="str">
        <f>IF(BF373&lt;&gt;"",IF($B$16=listy!$K$8,'RZĄDOWY PROGRAM'!$F$3*'RZĄDOWY PROGRAM'!$F$15,BK372*$F$15),"")</f>
        <v/>
      </c>
      <c r="BS373" s="11" t="str">
        <f t="shared" si="355"/>
        <v/>
      </c>
      <c r="BU373" s="8" t="str">
        <f t="shared" si="343"/>
        <v/>
      </c>
      <c r="BV373" s="8"/>
      <c r="BW373" s="78" t="str">
        <f>IF(BU373&lt;&gt;"",ROUND(IF($F$11="raty równe",-PMT(W373/12,$F$4-BU372+SUM($BV$28:BV373)-$CB$43,BZ372,2),BX373+BY373),2),"")</f>
        <v/>
      </c>
      <c r="BX373" s="78" t="str">
        <f>IF(BU373&lt;&gt;"",IF($F$11="raty malejące",MIN(BZ372/($F$4-BU372+SUM($BV$28:BV372)-SUM($CB$28:CB372)),BZ372),MIN(BW373-BY373,BZ372)),"")</f>
        <v/>
      </c>
      <c r="BY373" s="78" t="str">
        <f t="shared" si="356"/>
        <v/>
      </c>
      <c r="BZ373" s="79" t="str">
        <f t="shared" si="346"/>
        <v/>
      </c>
      <c r="CA373" s="11"/>
      <c r="CB373" s="33"/>
      <c r="CC373" s="33" t="str">
        <f t="shared" si="344"/>
        <v/>
      </c>
      <c r="CD373" s="33" t="str">
        <f t="shared" si="350"/>
        <v/>
      </c>
      <c r="CE373" s="33" t="str">
        <f>IF(O373&lt;&gt;"",CD373-SUM($CC$44:CC373),"")</f>
        <v/>
      </c>
      <c r="CF373" s="11" t="str">
        <f t="shared" si="357"/>
        <v/>
      </c>
      <c r="CG373" s="11" t="str">
        <f>IF(BU373&lt;&gt;"",IF($B$16=listy!$K$8,'RZĄDOWY PROGRAM'!$F$3*'RZĄDOWY PROGRAM'!$F$15,BZ372*$F$15),"")</f>
        <v/>
      </c>
      <c r="CH373" s="11" t="str">
        <f t="shared" si="358"/>
        <v/>
      </c>
      <c r="CJ373" s="48" t="str">
        <f t="shared" si="331"/>
        <v/>
      </c>
      <c r="CK373" s="18" t="str">
        <f t="shared" si="332"/>
        <v/>
      </c>
      <c r="CL373" s="11" t="str">
        <f t="shared" si="345"/>
        <v/>
      </c>
      <c r="CM373" s="11" t="str">
        <f t="shared" si="333"/>
        <v/>
      </c>
      <c r="CN373" s="11" t="str">
        <f>IF(AB373&lt;&gt;"",CM373-SUM($CL$28:CL373),"")</f>
        <v/>
      </c>
    </row>
    <row r="374" spans="1:92" x14ac:dyDescent="0.45">
      <c r="A374" s="68" t="str">
        <f t="shared" si="307"/>
        <v/>
      </c>
      <c r="B374" s="8" t="str">
        <f t="shared" si="326"/>
        <v/>
      </c>
      <c r="C374" s="11" t="str">
        <f t="shared" si="327"/>
        <v/>
      </c>
      <c r="D374" s="11" t="str">
        <f t="shared" si="328"/>
        <v/>
      </c>
      <c r="E374" s="11" t="str">
        <f t="shared" si="308"/>
        <v/>
      </c>
      <c r="F374" s="9" t="str">
        <f t="shared" si="309"/>
        <v/>
      </c>
      <c r="G374" s="10" t="str">
        <f t="shared" si="310"/>
        <v/>
      </c>
      <c r="H374" s="10" t="str">
        <f t="shared" si="311"/>
        <v/>
      </c>
      <c r="I374" s="48" t="str">
        <f t="shared" si="334"/>
        <v/>
      </c>
      <c r="J374" s="11" t="str">
        <f t="shared" si="329"/>
        <v/>
      </c>
      <c r="K374" s="11" t="str">
        <f>IF(B374&lt;&gt;"",IF($B$16=listy!$K$8,'RZĄDOWY PROGRAM'!$F$3*'RZĄDOWY PROGRAM'!$F$15,F373*$F$15),"")</f>
        <v/>
      </c>
      <c r="L374" s="11" t="str">
        <f t="shared" si="312"/>
        <v/>
      </c>
      <c r="N374" s="54" t="str">
        <f t="shared" si="313"/>
        <v/>
      </c>
      <c r="O374" s="8" t="str">
        <f t="shared" si="335"/>
        <v/>
      </c>
      <c r="P374" s="8"/>
      <c r="Q374" s="11" t="str">
        <f>IF(O374&lt;&gt;"",ROUND(IF($F$11="raty równe",-PMT(W374/12,$F$4-O373+SUM($P$28:P374),T373,2),R374+S374),2),"")</f>
        <v/>
      </c>
      <c r="R374" s="11" t="str">
        <f>IF(O374&lt;&gt;"",IF($F$11="raty malejące",T373/($F$4-O373+SUM($P$28:P374)),IF(Q374-S374&gt;T373,T373,Q374-S374)),"")</f>
        <v/>
      </c>
      <c r="S374" s="11" t="str">
        <f t="shared" si="314"/>
        <v/>
      </c>
      <c r="T374" s="9" t="str">
        <f t="shared" si="315"/>
        <v/>
      </c>
      <c r="U374" s="10" t="str">
        <f t="shared" si="316"/>
        <v/>
      </c>
      <c r="V374" s="10" t="str">
        <f t="shared" si="317"/>
        <v/>
      </c>
      <c r="W374" s="48" t="str">
        <f t="shared" si="336"/>
        <v/>
      </c>
      <c r="X374" s="11" t="str">
        <f t="shared" si="359"/>
        <v/>
      </c>
      <c r="Y374" s="11" t="str">
        <f>IF(O374&lt;&gt;"",IF($B$16=listy!$K$8,'RZĄDOWY PROGRAM'!$F$3*'RZĄDOWY PROGRAM'!$F$15,T373*$F$15),"")</f>
        <v/>
      </c>
      <c r="Z374" s="11" t="str">
        <f t="shared" si="319"/>
        <v/>
      </c>
      <c r="AB374" s="8" t="str">
        <f t="shared" si="320"/>
        <v/>
      </c>
      <c r="AC374" s="8"/>
      <c r="AD374" s="11" t="str">
        <f>IF(AB374&lt;&gt;"",ROUND(IF($F$11="raty równe",-PMT(W374/12,$F$4-AB373+SUM($AC$28:AC374),AG373,2),AE374+AF374),2),"")</f>
        <v/>
      </c>
      <c r="AE374" s="11" t="str">
        <f>IF(AB374&lt;&gt;"",IF($F$11="raty malejące",AG373/($F$4-AB373+SUM($AC$28:AC373)),MIN(AD374-AF374,AG373)),"")</f>
        <v/>
      </c>
      <c r="AF374" s="11" t="str">
        <f t="shared" si="321"/>
        <v/>
      </c>
      <c r="AG374" s="9" t="str">
        <f t="shared" si="322"/>
        <v/>
      </c>
      <c r="AH374" s="11"/>
      <c r="AI374" s="33" t="str">
        <f>IF(AB374&lt;&gt;"",ROUND(IF($F$11="raty równe",-PMT(W374/12,($F$4-AB373+SUM($AC$27:AC373)),AG373,2),AG373/($F$4-AB373+SUM($AC$27:AC373))+AG373*W374/12),2),"")</f>
        <v/>
      </c>
      <c r="AJ374" s="33" t="str">
        <f t="shared" si="323"/>
        <v/>
      </c>
      <c r="AK374" s="33" t="str">
        <f t="shared" si="330"/>
        <v/>
      </c>
      <c r="AL374" s="33" t="str">
        <f>IF(AB374&lt;&gt;"",AK374-SUM($AJ$28:AJ374),"")</f>
        <v/>
      </c>
      <c r="AM374" s="11" t="str">
        <f t="shared" si="360"/>
        <v/>
      </c>
      <c r="AN374" s="11" t="str">
        <f>IF(AB374&lt;&gt;"",IF($B$16=listy!$K$8,'RZĄDOWY PROGRAM'!$F$3*'RZĄDOWY PROGRAM'!$F$15,AG373*$F$15),"")</f>
        <v/>
      </c>
      <c r="AO374" s="11" t="str">
        <f t="shared" si="325"/>
        <v/>
      </c>
      <c r="AQ374" s="8" t="str">
        <f t="shared" si="337"/>
        <v/>
      </c>
      <c r="AR374" s="8"/>
      <c r="AS374" s="78" t="str">
        <f>IF(AQ374&lt;&gt;"",ROUND(IF($F$11="raty równe",-PMT(W374/12,$F$4-AQ373+SUM($AR$28:AR374),AV373,2),AT374+AU374),2),"")</f>
        <v/>
      </c>
      <c r="AT374" s="78" t="str">
        <f>IF(AQ374&lt;&gt;"",IF($F$11="raty malejące",AV373/($F$4-AQ373+SUM($AR$28:AR373)),MIN(AS374-AU374,AV373)),"")</f>
        <v/>
      </c>
      <c r="AU374" s="78" t="str">
        <f t="shared" si="338"/>
        <v/>
      </c>
      <c r="AV374" s="79" t="str">
        <f t="shared" si="339"/>
        <v/>
      </c>
      <c r="AW374" s="11"/>
      <c r="AX374" s="33" t="str">
        <f>IF(AQ374&lt;&gt;"",ROUND(IF($F$11="raty równe",-PMT(W374/12,($F$4-AQ373+SUM($AR$27:AR373)),AV373,2),AV373/($F$4-AQ373+SUM($AR$27:AR373))+AV373*W374/12),2),"")</f>
        <v/>
      </c>
      <c r="AY374" s="33" t="str">
        <f t="shared" si="340"/>
        <v/>
      </c>
      <c r="AZ374" s="33" t="str">
        <f t="shared" si="347"/>
        <v/>
      </c>
      <c r="BA374" s="33" t="str">
        <f>IF(AQ374&lt;&gt;"",AZ374-SUM($AY$44:AY374),"")</f>
        <v/>
      </c>
      <c r="BB374" s="11" t="str">
        <f t="shared" si="341"/>
        <v/>
      </c>
      <c r="BC374" s="11" t="str">
        <f>IF(AQ374&lt;&gt;"",IF($B$16=listy!$K$8,'RZĄDOWY PROGRAM'!$F$3*'RZĄDOWY PROGRAM'!$F$15,AV373*$F$15),"")</f>
        <v/>
      </c>
      <c r="BD374" s="11" t="str">
        <f t="shared" si="342"/>
        <v/>
      </c>
      <c r="BF374" s="8" t="str">
        <f t="shared" si="351"/>
        <v/>
      </c>
      <c r="BG374" s="8"/>
      <c r="BH374" s="78" t="str">
        <f>IF(BF374&lt;&gt;"",ROUND(IF($F$11="raty równe",-PMT(W374/12,$F$4-BF373+SUM(BV$28:$BV374)-SUM($BM$29:BM374),BK373,2),BI374+BJ374),2),"")</f>
        <v/>
      </c>
      <c r="BI374" s="78" t="str">
        <f>IF(BF374&lt;&gt;"",IF($F$11="raty malejące",MIN(BK373/($F$4-BF373+SUM($BG$27:BG374)-SUM($BM$27:BM374)),BK373),MIN(BH374-BJ374,BK373)),"")</f>
        <v/>
      </c>
      <c r="BJ374" s="78" t="str">
        <f t="shared" si="352"/>
        <v/>
      </c>
      <c r="BK374" s="79" t="str">
        <f t="shared" si="353"/>
        <v/>
      </c>
      <c r="BL374" s="11"/>
      <c r="BM374" s="33"/>
      <c r="BN374" s="33" t="str">
        <f t="shared" si="348"/>
        <v/>
      </c>
      <c r="BO374" s="33" t="str">
        <f t="shared" si="349"/>
        <v/>
      </c>
      <c r="BP374" s="33" t="str">
        <f>IF(O374&lt;&gt;"",BO374-SUM($BN$44:BN374),"")</f>
        <v/>
      </c>
      <c r="BQ374" s="11" t="str">
        <f t="shared" si="354"/>
        <v/>
      </c>
      <c r="BR374" s="11" t="str">
        <f>IF(BF374&lt;&gt;"",IF($B$16=listy!$K$8,'RZĄDOWY PROGRAM'!$F$3*'RZĄDOWY PROGRAM'!$F$15,BK373*$F$15),"")</f>
        <v/>
      </c>
      <c r="BS374" s="11" t="str">
        <f t="shared" si="355"/>
        <v/>
      </c>
      <c r="BU374" s="8" t="str">
        <f t="shared" si="343"/>
        <v/>
      </c>
      <c r="BV374" s="8"/>
      <c r="BW374" s="78" t="str">
        <f>IF(BU374&lt;&gt;"",ROUND(IF($F$11="raty równe",-PMT(W374/12,$F$4-BU373+SUM($BV$28:BV374)-$CB$43,BZ373,2),BX374+BY374),2),"")</f>
        <v/>
      </c>
      <c r="BX374" s="78" t="str">
        <f>IF(BU374&lt;&gt;"",IF($F$11="raty malejące",MIN(BZ373/($F$4-BU373+SUM($BV$28:BV373)-SUM($CB$28:CB373)),BZ373),MIN(BW374-BY374,BZ373)),"")</f>
        <v/>
      </c>
      <c r="BY374" s="78" t="str">
        <f t="shared" si="356"/>
        <v/>
      </c>
      <c r="BZ374" s="79" t="str">
        <f t="shared" si="346"/>
        <v/>
      </c>
      <c r="CA374" s="11"/>
      <c r="CB374" s="33"/>
      <c r="CC374" s="33" t="str">
        <f t="shared" si="344"/>
        <v/>
      </c>
      <c r="CD374" s="33" t="str">
        <f t="shared" si="350"/>
        <v/>
      </c>
      <c r="CE374" s="33" t="str">
        <f>IF(O374&lt;&gt;"",CD374-SUM($CC$44:CC374),"")</f>
        <v/>
      </c>
      <c r="CF374" s="11" t="str">
        <f t="shared" si="357"/>
        <v/>
      </c>
      <c r="CG374" s="11" t="str">
        <f>IF(BU374&lt;&gt;"",IF($B$16=listy!$K$8,'RZĄDOWY PROGRAM'!$F$3*'RZĄDOWY PROGRAM'!$F$15,BZ373*$F$15),"")</f>
        <v/>
      </c>
      <c r="CH374" s="11" t="str">
        <f t="shared" si="358"/>
        <v/>
      </c>
      <c r="CJ374" s="48" t="str">
        <f t="shared" si="331"/>
        <v/>
      </c>
      <c r="CK374" s="18" t="str">
        <f t="shared" si="332"/>
        <v/>
      </c>
      <c r="CL374" s="11" t="str">
        <f t="shared" si="345"/>
        <v/>
      </c>
      <c r="CM374" s="11" t="str">
        <f t="shared" si="333"/>
        <v/>
      </c>
      <c r="CN374" s="11" t="str">
        <f>IF(AB374&lt;&gt;"",CM374-SUM($CL$28:CL374),"")</f>
        <v/>
      </c>
    </row>
    <row r="375" spans="1:92" x14ac:dyDescent="0.45">
      <c r="A375" s="68" t="str">
        <f t="shared" si="307"/>
        <v/>
      </c>
      <c r="B375" s="8" t="str">
        <f t="shared" si="326"/>
        <v/>
      </c>
      <c r="C375" s="11" t="str">
        <f t="shared" si="327"/>
        <v/>
      </c>
      <c r="D375" s="11" t="str">
        <f t="shared" si="328"/>
        <v/>
      </c>
      <c r="E375" s="11" t="str">
        <f t="shared" si="308"/>
        <v/>
      </c>
      <c r="F375" s="9" t="str">
        <f t="shared" si="309"/>
        <v/>
      </c>
      <c r="G375" s="10" t="str">
        <f t="shared" si="310"/>
        <v/>
      </c>
      <c r="H375" s="10" t="str">
        <f t="shared" si="311"/>
        <v/>
      </c>
      <c r="I375" s="48" t="str">
        <f t="shared" si="334"/>
        <v/>
      </c>
      <c r="J375" s="11" t="str">
        <f t="shared" si="329"/>
        <v/>
      </c>
      <c r="K375" s="11" t="str">
        <f>IF(B375&lt;&gt;"",IF($B$16=listy!$K$8,'RZĄDOWY PROGRAM'!$F$3*'RZĄDOWY PROGRAM'!$F$15,F374*$F$15),"")</f>
        <v/>
      </c>
      <c r="L375" s="11" t="str">
        <f t="shared" si="312"/>
        <v/>
      </c>
      <c r="N375" s="54" t="str">
        <f t="shared" si="313"/>
        <v/>
      </c>
      <c r="O375" s="8" t="str">
        <f t="shared" si="335"/>
        <v/>
      </c>
      <c r="P375" s="8"/>
      <c r="Q375" s="11" t="str">
        <f>IF(O375&lt;&gt;"",ROUND(IF($F$11="raty równe",-PMT(W375/12,$F$4-O374+SUM($P$28:P375),T374,2),R375+S375),2),"")</f>
        <v/>
      </c>
      <c r="R375" s="11" t="str">
        <f>IF(O375&lt;&gt;"",IF($F$11="raty malejące",T374/($F$4-O374+SUM($P$28:P375)),IF(Q375-S375&gt;T374,T374,Q375-S375)),"")</f>
        <v/>
      </c>
      <c r="S375" s="11" t="str">
        <f t="shared" si="314"/>
        <v/>
      </c>
      <c r="T375" s="9" t="str">
        <f t="shared" si="315"/>
        <v/>
      </c>
      <c r="U375" s="10" t="str">
        <f t="shared" si="316"/>
        <v/>
      </c>
      <c r="V375" s="10" t="str">
        <f t="shared" si="317"/>
        <v/>
      </c>
      <c r="W375" s="48" t="str">
        <f t="shared" si="336"/>
        <v/>
      </c>
      <c r="X375" s="11" t="str">
        <f t="shared" si="359"/>
        <v/>
      </c>
      <c r="Y375" s="11" t="str">
        <f>IF(O375&lt;&gt;"",IF($B$16=listy!$K$8,'RZĄDOWY PROGRAM'!$F$3*'RZĄDOWY PROGRAM'!$F$15,T374*$F$15),"")</f>
        <v/>
      </c>
      <c r="Z375" s="11" t="str">
        <f t="shared" si="319"/>
        <v/>
      </c>
      <c r="AB375" s="8" t="str">
        <f t="shared" si="320"/>
        <v/>
      </c>
      <c r="AC375" s="8"/>
      <c r="AD375" s="11" t="str">
        <f>IF(AB375&lt;&gt;"",ROUND(IF($F$11="raty równe",-PMT(W375/12,$F$4-AB374+SUM($AC$28:AC375),AG374,2),AE375+AF375),2),"")</f>
        <v/>
      </c>
      <c r="AE375" s="11" t="str">
        <f>IF(AB375&lt;&gt;"",IF($F$11="raty malejące",AG374/($F$4-AB374+SUM($AC$28:AC374)),MIN(AD375-AF375,AG374)),"")</f>
        <v/>
      </c>
      <c r="AF375" s="11" t="str">
        <f t="shared" si="321"/>
        <v/>
      </c>
      <c r="AG375" s="9" t="str">
        <f t="shared" si="322"/>
        <v/>
      </c>
      <c r="AH375" s="11"/>
      <c r="AI375" s="33" t="str">
        <f>IF(AB375&lt;&gt;"",ROUND(IF($F$11="raty równe",-PMT(W375/12,($F$4-AB374+SUM($AC$27:AC374)),AG374,2),AG374/($F$4-AB374+SUM($AC$27:AC374))+AG374*W375/12),2),"")</f>
        <v/>
      </c>
      <c r="AJ375" s="33" t="str">
        <f t="shared" si="323"/>
        <v/>
      </c>
      <c r="AK375" s="33" t="str">
        <f t="shared" si="330"/>
        <v/>
      </c>
      <c r="AL375" s="33" t="str">
        <f>IF(AB375&lt;&gt;"",AK375-SUM($AJ$28:AJ375),"")</f>
        <v/>
      </c>
      <c r="AM375" s="11" t="str">
        <f t="shared" si="360"/>
        <v/>
      </c>
      <c r="AN375" s="11" t="str">
        <f>IF(AB375&lt;&gt;"",IF($B$16=listy!$K$8,'RZĄDOWY PROGRAM'!$F$3*'RZĄDOWY PROGRAM'!$F$15,AG374*$F$15),"")</f>
        <v/>
      </c>
      <c r="AO375" s="11" t="str">
        <f t="shared" si="325"/>
        <v/>
      </c>
      <c r="AQ375" s="8" t="str">
        <f t="shared" si="337"/>
        <v/>
      </c>
      <c r="AR375" s="8"/>
      <c r="AS375" s="78" t="str">
        <f>IF(AQ375&lt;&gt;"",ROUND(IF($F$11="raty równe",-PMT(W375/12,$F$4-AQ374+SUM($AR$28:AR375),AV374,2),AT375+AU375),2),"")</f>
        <v/>
      </c>
      <c r="AT375" s="78" t="str">
        <f>IF(AQ375&lt;&gt;"",IF($F$11="raty malejące",AV374/($F$4-AQ374+SUM($AR$28:AR374)),MIN(AS375-AU375,AV374)),"")</f>
        <v/>
      </c>
      <c r="AU375" s="78" t="str">
        <f t="shared" si="338"/>
        <v/>
      </c>
      <c r="AV375" s="79" t="str">
        <f t="shared" si="339"/>
        <v/>
      </c>
      <c r="AW375" s="11"/>
      <c r="AX375" s="33" t="str">
        <f>IF(AQ375&lt;&gt;"",ROUND(IF($F$11="raty równe",-PMT(W375/12,($F$4-AQ374+SUM($AR$27:AR374)),AV374,2),AV374/($F$4-AQ374+SUM($AR$27:AR374))+AV374*W375/12),2),"")</f>
        <v/>
      </c>
      <c r="AY375" s="33" t="str">
        <f t="shared" si="340"/>
        <v/>
      </c>
      <c r="AZ375" s="33" t="str">
        <f t="shared" si="347"/>
        <v/>
      </c>
      <c r="BA375" s="33" t="str">
        <f>IF(AQ375&lt;&gt;"",AZ375-SUM($AY$44:AY375),"")</f>
        <v/>
      </c>
      <c r="BB375" s="11" t="str">
        <f t="shared" si="341"/>
        <v/>
      </c>
      <c r="BC375" s="11" t="str">
        <f>IF(AQ375&lt;&gt;"",IF($B$16=listy!$K$8,'RZĄDOWY PROGRAM'!$F$3*'RZĄDOWY PROGRAM'!$F$15,AV374*$F$15),"")</f>
        <v/>
      </c>
      <c r="BD375" s="11" t="str">
        <f t="shared" si="342"/>
        <v/>
      </c>
      <c r="BF375" s="8" t="str">
        <f t="shared" si="351"/>
        <v/>
      </c>
      <c r="BG375" s="8"/>
      <c r="BH375" s="78" t="str">
        <f>IF(BF375&lt;&gt;"",ROUND(IF($F$11="raty równe",-PMT(W375/12,$F$4-BF374+SUM(BV$28:$BV375)-SUM($BM$29:BM375),BK374,2),BI375+BJ375),2),"")</f>
        <v/>
      </c>
      <c r="BI375" s="78" t="str">
        <f>IF(BF375&lt;&gt;"",IF($F$11="raty malejące",MIN(BK374/($F$4-BF374+SUM($BG$27:BG375)-SUM($BM$27:BM375)),BK374),MIN(BH375-BJ375,BK374)),"")</f>
        <v/>
      </c>
      <c r="BJ375" s="78" t="str">
        <f t="shared" si="352"/>
        <v/>
      </c>
      <c r="BK375" s="79" t="str">
        <f t="shared" si="353"/>
        <v/>
      </c>
      <c r="BL375" s="11"/>
      <c r="BM375" s="33"/>
      <c r="BN375" s="33" t="str">
        <f t="shared" si="348"/>
        <v/>
      </c>
      <c r="BO375" s="33" t="str">
        <f t="shared" si="349"/>
        <v/>
      </c>
      <c r="BP375" s="33" t="str">
        <f>IF(O375&lt;&gt;"",BO375-SUM($BN$44:BN375),"")</f>
        <v/>
      </c>
      <c r="BQ375" s="11" t="str">
        <f t="shared" si="354"/>
        <v/>
      </c>
      <c r="BR375" s="11" t="str">
        <f>IF(BF375&lt;&gt;"",IF($B$16=listy!$K$8,'RZĄDOWY PROGRAM'!$F$3*'RZĄDOWY PROGRAM'!$F$15,BK374*$F$15),"")</f>
        <v/>
      </c>
      <c r="BS375" s="11" t="str">
        <f t="shared" si="355"/>
        <v/>
      </c>
      <c r="BU375" s="8" t="str">
        <f t="shared" si="343"/>
        <v/>
      </c>
      <c r="BV375" s="8"/>
      <c r="BW375" s="78" t="str">
        <f>IF(BU375&lt;&gt;"",ROUND(IF($F$11="raty równe",-PMT(W375/12,$F$4-BU374+SUM($BV$28:BV375)-$CB$43,BZ374,2),BX375+BY375),2),"")</f>
        <v/>
      </c>
      <c r="BX375" s="78" t="str">
        <f>IF(BU375&lt;&gt;"",IF($F$11="raty malejące",MIN(BZ374/($F$4-BU374+SUM($BV$28:BV374)-SUM($CB$28:CB374)),BZ374),MIN(BW375-BY375,BZ374)),"")</f>
        <v/>
      </c>
      <c r="BY375" s="78" t="str">
        <f t="shared" si="356"/>
        <v/>
      </c>
      <c r="BZ375" s="79" t="str">
        <f t="shared" si="346"/>
        <v/>
      </c>
      <c r="CA375" s="11"/>
      <c r="CB375" s="33"/>
      <c r="CC375" s="33" t="str">
        <f t="shared" si="344"/>
        <v/>
      </c>
      <c r="CD375" s="33" t="str">
        <f t="shared" si="350"/>
        <v/>
      </c>
      <c r="CE375" s="33" t="str">
        <f>IF(O375&lt;&gt;"",CD375-SUM($CC$44:CC375),"")</f>
        <v/>
      </c>
      <c r="CF375" s="11" t="str">
        <f t="shared" si="357"/>
        <v/>
      </c>
      <c r="CG375" s="11" t="str">
        <f>IF(BU375&lt;&gt;"",IF($B$16=listy!$K$8,'RZĄDOWY PROGRAM'!$F$3*'RZĄDOWY PROGRAM'!$F$15,BZ374*$F$15),"")</f>
        <v/>
      </c>
      <c r="CH375" s="11" t="str">
        <f t="shared" si="358"/>
        <v/>
      </c>
      <c r="CJ375" s="48" t="str">
        <f t="shared" si="331"/>
        <v/>
      </c>
      <c r="CK375" s="18" t="str">
        <f t="shared" si="332"/>
        <v/>
      </c>
      <c r="CL375" s="11" t="str">
        <f t="shared" si="345"/>
        <v/>
      </c>
      <c r="CM375" s="11" t="str">
        <f t="shared" si="333"/>
        <v/>
      </c>
      <c r="CN375" s="11" t="str">
        <f>IF(AB375&lt;&gt;"",CM375-SUM($CL$28:CL375),"")</f>
        <v/>
      </c>
    </row>
    <row r="376" spans="1:92" x14ac:dyDescent="0.45">
      <c r="A376" s="68" t="str">
        <f t="shared" si="307"/>
        <v/>
      </c>
      <c r="B376" s="8" t="str">
        <f t="shared" si="326"/>
        <v/>
      </c>
      <c r="C376" s="11" t="str">
        <f t="shared" si="327"/>
        <v/>
      </c>
      <c r="D376" s="11" t="str">
        <f t="shared" si="328"/>
        <v/>
      </c>
      <c r="E376" s="11" t="str">
        <f t="shared" si="308"/>
        <v/>
      </c>
      <c r="F376" s="9" t="str">
        <f t="shared" si="309"/>
        <v/>
      </c>
      <c r="G376" s="10" t="str">
        <f t="shared" si="310"/>
        <v/>
      </c>
      <c r="H376" s="10" t="str">
        <f t="shared" si="311"/>
        <v/>
      </c>
      <c r="I376" s="48" t="str">
        <f t="shared" si="334"/>
        <v/>
      </c>
      <c r="J376" s="11" t="str">
        <f t="shared" si="329"/>
        <v/>
      </c>
      <c r="K376" s="11" t="str">
        <f>IF(B376&lt;&gt;"",IF($B$16=listy!$K$8,'RZĄDOWY PROGRAM'!$F$3*'RZĄDOWY PROGRAM'!$F$15,F375*$F$15),"")</f>
        <v/>
      </c>
      <c r="L376" s="11" t="str">
        <f t="shared" si="312"/>
        <v/>
      </c>
      <c r="N376" s="54" t="str">
        <f t="shared" si="313"/>
        <v/>
      </c>
      <c r="O376" s="8" t="str">
        <f t="shared" si="335"/>
        <v/>
      </c>
      <c r="P376" s="8"/>
      <c r="Q376" s="11" t="str">
        <f>IF(O376&lt;&gt;"",ROUND(IF($F$11="raty równe",-PMT(W376/12,$F$4-O375+SUM($P$28:P376),T375,2),R376+S376),2),"")</f>
        <v/>
      </c>
      <c r="R376" s="11" t="str">
        <f>IF(O376&lt;&gt;"",IF($F$11="raty malejące",T375/($F$4-O375+SUM($P$28:P376)),IF(Q376-S376&gt;T375,T375,Q376-S376)),"")</f>
        <v/>
      </c>
      <c r="S376" s="11" t="str">
        <f t="shared" si="314"/>
        <v/>
      </c>
      <c r="T376" s="9" t="str">
        <f t="shared" si="315"/>
        <v/>
      </c>
      <c r="U376" s="10" t="str">
        <f t="shared" si="316"/>
        <v/>
      </c>
      <c r="V376" s="10" t="str">
        <f t="shared" si="317"/>
        <v/>
      </c>
      <c r="W376" s="48" t="str">
        <f t="shared" si="336"/>
        <v/>
      </c>
      <c r="X376" s="11" t="str">
        <f t="shared" si="359"/>
        <v/>
      </c>
      <c r="Y376" s="11" t="str">
        <f>IF(O376&lt;&gt;"",IF($B$16=listy!$K$8,'RZĄDOWY PROGRAM'!$F$3*'RZĄDOWY PROGRAM'!$F$15,T375*$F$15),"")</f>
        <v/>
      </c>
      <c r="Z376" s="11" t="str">
        <f t="shared" si="319"/>
        <v/>
      </c>
      <c r="AB376" s="8" t="str">
        <f t="shared" si="320"/>
        <v/>
      </c>
      <c r="AC376" s="8"/>
      <c r="AD376" s="11" t="str">
        <f>IF(AB376&lt;&gt;"",ROUND(IF($F$11="raty równe",-PMT(W376/12,$F$4-AB375+SUM($AC$28:AC376),AG375,2),AE376+AF376),2),"")</f>
        <v/>
      </c>
      <c r="AE376" s="11" t="str">
        <f>IF(AB376&lt;&gt;"",IF($F$11="raty malejące",AG375/($F$4-AB375+SUM($AC$28:AC375)),MIN(AD376-AF376,AG375)),"")</f>
        <v/>
      </c>
      <c r="AF376" s="11" t="str">
        <f t="shared" si="321"/>
        <v/>
      </c>
      <c r="AG376" s="9" t="str">
        <f t="shared" si="322"/>
        <v/>
      </c>
      <c r="AH376" s="11"/>
      <c r="AI376" s="33" t="str">
        <f>IF(AB376&lt;&gt;"",ROUND(IF($F$11="raty równe",-PMT(W376/12,($F$4-AB375+SUM($AC$27:AC375)),AG375,2),AG375/($F$4-AB375+SUM($AC$27:AC375))+AG375*W376/12),2),"")</f>
        <v/>
      </c>
      <c r="AJ376" s="33" t="str">
        <f t="shared" si="323"/>
        <v/>
      </c>
      <c r="AK376" s="33" t="str">
        <f t="shared" si="330"/>
        <v/>
      </c>
      <c r="AL376" s="33" t="str">
        <f>IF(AB376&lt;&gt;"",AK376-SUM($AJ$28:AJ376),"")</f>
        <v/>
      </c>
      <c r="AM376" s="11" t="str">
        <f t="shared" si="360"/>
        <v/>
      </c>
      <c r="AN376" s="11" t="str">
        <f>IF(AB376&lt;&gt;"",IF($B$16=listy!$K$8,'RZĄDOWY PROGRAM'!$F$3*'RZĄDOWY PROGRAM'!$F$15,AG375*$F$15),"")</f>
        <v/>
      </c>
      <c r="AO376" s="11" t="str">
        <f t="shared" si="325"/>
        <v/>
      </c>
      <c r="AQ376" s="8" t="str">
        <f t="shared" si="337"/>
        <v/>
      </c>
      <c r="AR376" s="8"/>
      <c r="AS376" s="78" t="str">
        <f>IF(AQ376&lt;&gt;"",ROUND(IF($F$11="raty równe",-PMT(W376/12,$F$4-AQ375+SUM($AR$28:AR376),AV375,2),AT376+AU376),2),"")</f>
        <v/>
      </c>
      <c r="AT376" s="78" t="str">
        <f>IF(AQ376&lt;&gt;"",IF($F$11="raty malejące",AV375/($F$4-AQ375+SUM($AR$28:AR375)),MIN(AS376-AU376,AV375)),"")</f>
        <v/>
      </c>
      <c r="AU376" s="78" t="str">
        <f t="shared" si="338"/>
        <v/>
      </c>
      <c r="AV376" s="79" t="str">
        <f t="shared" si="339"/>
        <v/>
      </c>
      <c r="AW376" s="11"/>
      <c r="AX376" s="33" t="str">
        <f>IF(AQ376&lt;&gt;"",ROUND(IF($F$11="raty równe",-PMT(W376/12,($F$4-AQ375+SUM($AR$27:AR375)),AV375,2),AV375/($F$4-AQ375+SUM($AR$27:AR375))+AV375*W376/12),2),"")</f>
        <v/>
      </c>
      <c r="AY376" s="33" t="str">
        <f t="shared" si="340"/>
        <v/>
      </c>
      <c r="AZ376" s="33" t="str">
        <f t="shared" si="347"/>
        <v/>
      </c>
      <c r="BA376" s="33" t="str">
        <f>IF(AQ376&lt;&gt;"",AZ376-SUM($AY$44:AY376),"")</f>
        <v/>
      </c>
      <c r="BB376" s="11" t="str">
        <f t="shared" si="341"/>
        <v/>
      </c>
      <c r="BC376" s="11" t="str">
        <f>IF(AQ376&lt;&gt;"",IF($B$16=listy!$K$8,'RZĄDOWY PROGRAM'!$F$3*'RZĄDOWY PROGRAM'!$F$15,AV375*$F$15),"")</f>
        <v/>
      </c>
      <c r="BD376" s="11" t="str">
        <f t="shared" si="342"/>
        <v/>
      </c>
      <c r="BF376" s="8" t="str">
        <f t="shared" si="351"/>
        <v/>
      </c>
      <c r="BG376" s="8"/>
      <c r="BH376" s="78" t="str">
        <f>IF(BF376&lt;&gt;"",ROUND(IF($F$11="raty równe",-PMT(W376/12,$F$4-BF375+SUM(BV$28:$BV376)-SUM($BM$29:BM376),BK375,2),BI376+BJ376),2),"")</f>
        <v/>
      </c>
      <c r="BI376" s="78" t="str">
        <f>IF(BF376&lt;&gt;"",IF($F$11="raty malejące",MIN(BK375/($F$4-BF375+SUM($BG$27:BG376)-SUM($BM$27:BM376)),BK375),MIN(BH376-BJ376,BK375)),"")</f>
        <v/>
      </c>
      <c r="BJ376" s="78" t="str">
        <f t="shared" si="352"/>
        <v/>
      </c>
      <c r="BK376" s="79" t="str">
        <f t="shared" si="353"/>
        <v/>
      </c>
      <c r="BL376" s="11"/>
      <c r="BM376" s="33"/>
      <c r="BN376" s="33" t="str">
        <f t="shared" si="348"/>
        <v/>
      </c>
      <c r="BO376" s="33" t="str">
        <f t="shared" si="349"/>
        <v/>
      </c>
      <c r="BP376" s="33" t="str">
        <f>IF(O376&lt;&gt;"",BO376-SUM($BN$44:BN376),"")</f>
        <v/>
      </c>
      <c r="BQ376" s="11" t="str">
        <f t="shared" si="354"/>
        <v/>
      </c>
      <c r="BR376" s="11" t="str">
        <f>IF(BF376&lt;&gt;"",IF($B$16=listy!$K$8,'RZĄDOWY PROGRAM'!$F$3*'RZĄDOWY PROGRAM'!$F$15,BK375*$F$15),"")</f>
        <v/>
      </c>
      <c r="BS376" s="11" t="str">
        <f t="shared" si="355"/>
        <v/>
      </c>
      <c r="BU376" s="8" t="str">
        <f t="shared" si="343"/>
        <v/>
      </c>
      <c r="BV376" s="8"/>
      <c r="BW376" s="78" t="str">
        <f>IF(BU376&lt;&gt;"",ROUND(IF($F$11="raty równe",-PMT(W376/12,$F$4-BU375+SUM($BV$28:BV376)-$CB$43,BZ375,2),BX376+BY376),2),"")</f>
        <v/>
      </c>
      <c r="BX376" s="78" t="str">
        <f>IF(BU376&lt;&gt;"",IF($F$11="raty malejące",MIN(BZ375/($F$4-BU375+SUM($BV$28:BV375)-SUM($CB$28:CB375)),BZ375),MIN(BW376-BY376,BZ375)),"")</f>
        <v/>
      </c>
      <c r="BY376" s="78" t="str">
        <f t="shared" si="356"/>
        <v/>
      </c>
      <c r="BZ376" s="79" t="str">
        <f t="shared" si="346"/>
        <v/>
      </c>
      <c r="CA376" s="11"/>
      <c r="CB376" s="33"/>
      <c r="CC376" s="33" t="str">
        <f t="shared" si="344"/>
        <v/>
      </c>
      <c r="CD376" s="33" t="str">
        <f t="shared" si="350"/>
        <v/>
      </c>
      <c r="CE376" s="33" t="str">
        <f>IF(O376&lt;&gt;"",CD376-SUM($CC$44:CC376),"")</f>
        <v/>
      </c>
      <c r="CF376" s="11" t="str">
        <f t="shared" si="357"/>
        <v/>
      </c>
      <c r="CG376" s="11" t="str">
        <f>IF(BU376&lt;&gt;"",IF($B$16=listy!$K$8,'RZĄDOWY PROGRAM'!$F$3*'RZĄDOWY PROGRAM'!$F$15,BZ375*$F$15),"")</f>
        <v/>
      </c>
      <c r="CH376" s="11" t="str">
        <f t="shared" si="358"/>
        <v/>
      </c>
      <c r="CJ376" s="48" t="str">
        <f t="shared" si="331"/>
        <v/>
      </c>
      <c r="CK376" s="18" t="str">
        <f t="shared" si="332"/>
        <v/>
      </c>
      <c r="CL376" s="11" t="str">
        <f t="shared" si="345"/>
        <v/>
      </c>
      <c r="CM376" s="11" t="str">
        <f t="shared" si="333"/>
        <v/>
      </c>
      <c r="CN376" s="11" t="str">
        <f>IF(AB376&lt;&gt;"",CM376-SUM($CL$28:CL376),"")</f>
        <v/>
      </c>
    </row>
    <row r="377" spans="1:92" x14ac:dyDescent="0.45">
      <c r="A377" s="68" t="str">
        <f t="shared" si="307"/>
        <v/>
      </c>
      <c r="B377" s="8" t="str">
        <f t="shared" si="326"/>
        <v/>
      </c>
      <c r="C377" s="11" t="str">
        <f t="shared" si="327"/>
        <v/>
      </c>
      <c r="D377" s="11" t="str">
        <f t="shared" si="328"/>
        <v/>
      </c>
      <c r="E377" s="11" t="str">
        <f t="shared" si="308"/>
        <v/>
      </c>
      <c r="F377" s="9" t="str">
        <f t="shared" si="309"/>
        <v/>
      </c>
      <c r="G377" s="10" t="str">
        <f t="shared" si="310"/>
        <v/>
      </c>
      <c r="H377" s="10" t="str">
        <f t="shared" si="311"/>
        <v/>
      </c>
      <c r="I377" s="48" t="str">
        <f t="shared" si="334"/>
        <v/>
      </c>
      <c r="J377" s="11" t="str">
        <f t="shared" si="329"/>
        <v/>
      </c>
      <c r="K377" s="11" t="str">
        <f>IF(B377&lt;&gt;"",IF($B$16=listy!$K$8,'RZĄDOWY PROGRAM'!$F$3*'RZĄDOWY PROGRAM'!$F$15,F376*$F$15),"")</f>
        <v/>
      </c>
      <c r="L377" s="11" t="str">
        <f t="shared" si="312"/>
        <v/>
      </c>
      <c r="N377" s="54" t="str">
        <f t="shared" si="313"/>
        <v/>
      </c>
      <c r="O377" s="8" t="str">
        <f t="shared" si="335"/>
        <v/>
      </c>
      <c r="P377" s="8"/>
      <c r="Q377" s="11" t="str">
        <f>IF(O377&lt;&gt;"",ROUND(IF($F$11="raty równe",-PMT(W377/12,$F$4-O376+SUM($P$28:P377),T376,2),R377+S377),2),"")</f>
        <v/>
      </c>
      <c r="R377" s="11" t="str">
        <f>IF(O377&lt;&gt;"",IF($F$11="raty malejące",T376/($F$4-O376+SUM($P$28:P377)),IF(Q377-S377&gt;T376,T376,Q377-S377)),"")</f>
        <v/>
      </c>
      <c r="S377" s="11" t="str">
        <f t="shared" si="314"/>
        <v/>
      </c>
      <c r="T377" s="9" t="str">
        <f t="shared" si="315"/>
        <v/>
      </c>
      <c r="U377" s="10" t="str">
        <f t="shared" si="316"/>
        <v/>
      </c>
      <c r="V377" s="10" t="str">
        <f t="shared" si="317"/>
        <v/>
      </c>
      <c r="W377" s="48" t="str">
        <f t="shared" si="336"/>
        <v/>
      </c>
      <c r="X377" s="11" t="str">
        <f t="shared" si="359"/>
        <v/>
      </c>
      <c r="Y377" s="11" t="str">
        <f>IF(O377&lt;&gt;"",IF($B$16=listy!$K$8,'RZĄDOWY PROGRAM'!$F$3*'RZĄDOWY PROGRAM'!$F$15,T376*$F$15),"")</f>
        <v/>
      </c>
      <c r="Z377" s="11" t="str">
        <f t="shared" si="319"/>
        <v/>
      </c>
      <c r="AB377" s="8" t="str">
        <f t="shared" si="320"/>
        <v/>
      </c>
      <c r="AC377" s="8"/>
      <c r="AD377" s="11" t="str">
        <f>IF(AB377&lt;&gt;"",ROUND(IF($F$11="raty równe",-PMT(W377/12,$F$4-AB376+SUM($AC$28:AC377),AG376,2),AE377+AF377),2),"")</f>
        <v/>
      </c>
      <c r="AE377" s="11" t="str">
        <f>IF(AB377&lt;&gt;"",IF($F$11="raty malejące",AG376/($F$4-AB376+SUM($AC$28:AC376)),MIN(AD377-AF377,AG376)),"")</f>
        <v/>
      </c>
      <c r="AF377" s="11" t="str">
        <f t="shared" si="321"/>
        <v/>
      </c>
      <c r="AG377" s="9" t="str">
        <f t="shared" si="322"/>
        <v/>
      </c>
      <c r="AH377" s="11"/>
      <c r="AI377" s="33" t="str">
        <f>IF(AB377&lt;&gt;"",ROUND(IF($F$11="raty równe",-PMT(W377/12,($F$4-AB376+SUM($AC$27:AC376)),AG376,2),AG376/($F$4-AB376+SUM($AC$27:AC376))+AG376*W377/12),2),"")</f>
        <v/>
      </c>
      <c r="AJ377" s="33" t="str">
        <f t="shared" si="323"/>
        <v/>
      </c>
      <c r="AK377" s="33" t="str">
        <f t="shared" si="330"/>
        <v/>
      </c>
      <c r="AL377" s="33" t="str">
        <f>IF(AB377&lt;&gt;"",AK377-SUM($AJ$28:AJ377),"")</f>
        <v/>
      </c>
      <c r="AM377" s="11" t="str">
        <f t="shared" si="360"/>
        <v/>
      </c>
      <c r="AN377" s="11" t="str">
        <f>IF(AB377&lt;&gt;"",IF($B$16=listy!$K$8,'RZĄDOWY PROGRAM'!$F$3*'RZĄDOWY PROGRAM'!$F$15,AG376*$F$15),"")</f>
        <v/>
      </c>
      <c r="AO377" s="11" t="str">
        <f t="shared" si="325"/>
        <v/>
      </c>
      <c r="AQ377" s="8" t="str">
        <f t="shared" si="337"/>
        <v/>
      </c>
      <c r="AR377" s="8"/>
      <c r="AS377" s="78" t="str">
        <f>IF(AQ377&lt;&gt;"",ROUND(IF($F$11="raty równe",-PMT(W377/12,$F$4-AQ376+SUM($AR$28:AR377),AV376,2),AT377+AU377),2),"")</f>
        <v/>
      </c>
      <c r="AT377" s="78" t="str">
        <f>IF(AQ377&lt;&gt;"",IF($F$11="raty malejące",AV376/($F$4-AQ376+SUM($AR$28:AR376)),MIN(AS377-AU377,AV376)),"")</f>
        <v/>
      </c>
      <c r="AU377" s="78" t="str">
        <f t="shared" si="338"/>
        <v/>
      </c>
      <c r="AV377" s="79" t="str">
        <f t="shared" si="339"/>
        <v/>
      </c>
      <c r="AW377" s="11"/>
      <c r="AX377" s="33" t="str">
        <f>IF(AQ377&lt;&gt;"",ROUND(IF($F$11="raty równe",-PMT(W377/12,($F$4-AQ376+SUM($AR$27:AR376)),AV376,2),AV376/($F$4-AQ376+SUM($AR$27:AR376))+AV376*W377/12),2),"")</f>
        <v/>
      </c>
      <c r="AY377" s="33" t="str">
        <f t="shared" si="340"/>
        <v/>
      </c>
      <c r="AZ377" s="33" t="str">
        <f t="shared" si="347"/>
        <v/>
      </c>
      <c r="BA377" s="33" t="str">
        <f>IF(AQ377&lt;&gt;"",AZ377-SUM($AY$44:AY377),"")</f>
        <v/>
      </c>
      <c r="BB377" s="11" t="str">
        <f t="shared" si="341"/>
        <v/>
      </c>
      <c r="BC377" s="11" t="str">
        <f>IF(AQ377&lt;&gt;"",IF($B$16=listy!$K$8,'RZĄDOWY PROGRAM'!$F$3*'RZĄDOWY PROGRAM'!$F$15,AV376*$F$15),"")</f>
        <v/>
      </c>
      <c r="BD377" s="11" t="str">
        <f t="shared" si="342"/>
        <v/>
      </c>
      <c r="BF377" s="8" t="str">
        <f t="shared" si="351"/>
        <v/>
      </c>
      <c r="BG377" s="8"/>
      <c r="BH377" s="78" t="str">
        <f>IF(BF377&lt;&gt;"",ROUND(IF($F$11="raty równe",-PMT(W377/12,$F$4-BF376+SUM(BV$28:$BV377)-SUM($BM$29:BM377),BK376,2),BI377+BJ377),2),"")</f>
        <v/>
      </c>
      <c r="BI377" s="78" t="str">
        <f>IF(BF377&lt;&gt;"",IF($F$11="raty malejące",MIN(BK376/($F$4-BF376+SUM($BG$27:BG377)-SUM($BM$27:BM377)),BK376),MIN(BH377-BJ377,BK376)),"")</f>
        <v/>
      </c>
      <c r="BJ377" s="78" t="str">
        <f t="shared" si="352"/>
        <v/>
      </c>
      <c r="BK377" s="79" t="str">
        <f t="shared" si="353"/>
        <v/>
      </c>
      <c r="BL377" s="11"/>
      <c r="BM377" s="33"/>
      <c r="BN377" s="33" t="str">
        <f t="shared" si="348"/>
        <v/>
      </c>
      <c r="BO377" s="33" t="str">
        <f t="shared" si="349"/>
        <v/>
      </c>
      <c r="BP377" s="33" t="str">
        <f>IF(O377&lt;&gt;"",BO377-SUM($BN$44:BN377),"")</f>
        <v/>
      </c>
      <c r="BQ377" s="11" t="str">
        <f t="shared" si="354"/>
        <v/>
      </c>
      <c r="BR377" s="11" t="str">
        <f>IF(BF377&lt;&gt;"",IF($B$16=listy!$K$8,'RZĄDOWY PROGRAM'!$F$3*'RZĄDOWY PROGRAM'!$F$15,BK376*$F$15),"")</f>
        <v/>
      </c>
      <c r="BS377" s="11" t="str">
        <f t="shared" si="355"/>
        <v/>
      </c>
      <c r="BU377" s="8" t="str">
        <f t="shared" si="343"/>
        <v/>
      </c>
      <c r="BV377" s="8"/>
      <c r="BW377" s="78" t="str">
        <f>IF(BU377&lt;&gt;"",ROUND(IF($F$11="raty równe",-PMT(W377/12,$F$4-BU376+SUM($BV$28:BV377)-$CB$43,BZ376,2),BX377+BY377),2),"")</f>
        <v/>
      </c>
      <c r="BX377" s="78" t="str">
        <f>IF(BU377&lt;&gt;"",IF($F$11="raty malejące",MIN(BZ376/($F$4-BU376+SUM($BV$28:BV376)-SUM($CB$28:CB376)),BZ376),MIN(BW377-BY377,BZ376)),"")</f>
        <v/>
      </c>
      <c r="BY377" s="78" t="str">
        <f t="shared" si="356"/>
        <v/>
      </c>
      <c r="BZ377" s="79" t="str">
        <f t="shared" si="346"/>
        <v/>
      </c>
      <c r="CA377" s="11"/>
      <c r="CB377" s="33"/>
      <c r="CC377" s="33" t="str">
        <f t="shared" si="344"/>
        <v/>
      </c>
      <c r="CD377" s="33" t="str">
        <f t="shared" si="350"/>
        <v/>
      </c>
      <c r="CE377" s="33" t="str">
        <f>IF(O377&lt;&gt;"",CD377-SUM($CC$44:CC377),"")</f>
        <v/>
      </c>
      <c r="CF377" s="11" t="str">
        <f t="shared" si="357"/>
        <v/>
      </c>
      <c r="CG377" s="11" t="str">
        <f>IF(BU377&lt;&gt;"",IF($B$16=listy!$K$8,'RZĄDOWY PROGRAM'!$F$3*'RZĄDOWY PROGRAM'!$F$15,BZ376*$F$15),"")</f>
        <v/>
      </c>
      <c r="CH377" s="11" t="str">
        <f t="shared" si="358"/>
        <v/>
      </c>
      <c r="CJ377" s="48" t="str">
        <f t="shared" si="331"/>
        <v/>
      </c>
      <c r="CK377" s="18" t="str">
        <f t="shared" si="332"/>
        <v/>
      </c>
      <c r="CL377" s="11" t="str">
        <f t="shared" si="345"/>
        <v/>
      </c>
      <c r="CM377" s="11" t="str">
        <f t="shared" si="333"/>
        <v/>
      </c>
      <c r="CN377" s="11" t="str">
        <f>IF(AB377&lt;&gt;"",CM377-SUM($CL$28:CL377),"")</f>
        <v/>
      </c>
    </row>
    <row r="378" spans="1:92" x14ac:dyDescent="0.45">
      <c r="A378" s="68" t="str">
        <f t="shared" si="307"/>
        <v/>
      </c>
      <c r="B378" s="8" t="str">
        <f t="shared" si="326"/>
        <v/>
      </c>
      <c r="C378" s="11" t="str">
        <f t="shared" si="327"/>
        <v/>
      </c>
      <c r="D378" s="11" t="str">
        <f t="shared" si="328"/>
        <v/>
      </c>
      <c r="E378" s="11" t="str">
        <f t="shared" si="308"/>
        <v/>
      </c>
      <c r="F378" s="9" t="str">
        <f t="shared" si="309"/>
        <v/>
      </c>
      <c r="G378" s="10" t="str">
        <f t="shared" si="310"/>
        <v/>
      </c>
      <c r="H378" s="10" t="str">
        <f t="shared" si="311"/>
        <v/>
      </c>
      <c r="I378" s="48" t="str">
        <f t="shared" si="334"/>
        <v/>
      </c>
      <c r="J378" s="11" t="str">
        <f t="shared" si="329"/>
        <v/>
      </c>
      <c r="K378" s="11" t="str">
        <f>IF(B378&lt;&gt;"",IF($B$16=listy!$K$8,'RZĄDOWY PROGRAM'!$F$3*'RZĄDOWY PROGRAM'!$F$15,F377*$F$15),"")</f>
        <v/>
      </c>
      <c r="L378" s="11" t="str">
        <f t="shared" si="312"/>
        <v/>
      </c>
      <c r="N378" s="54" t="str">
        <f t="shared" si="313"/>
        <v/>
      </c>
      <c r="O378" s="8" t="str">
        <f t="shared" si="335"/>
        <v/>
      </c>
      <c r="P378" s="8"/>
      <c r="Q378" s="11" t="str">
        <f>IF(O378&lt;&gt;"",ROUND(IF($F$11="raty równe",-PMT(W378/12,$F$4-O377+SUM($P$28:P378),T377,2),R378+S378),2),"")</f>
        <v/>
      </c>
      <c r="R378" s="11" t="str">
        <f>IF(O378&lt;&gt;"",IF($F$11="raty malejące",T377/($F$4-O377+SUM($P$28:P378)),IF(Q378-S378&gt;T377,T377,Q378-S378)),"")</f>
        <v/>
      </c>
      <c r="S378" s="11" t="str">
        <f t="shared" si="314"/>
        <v/>
      </c>
      <c r="T378" s="9" t="str">
        <f t="shared" si="315"/>
        <v/>
      </c>
      <c r="U378" s="10" t="str">
        <f t="shared" si="316"/>
        <v/>
      </c>
      <c r="V378" s="10" t="str">
        <f t="shared" si="317"/>
        <v/>
      </c>
      <c r="W378" s="48" t="str">
        <f t="shared" si="336"/>
        <v/>
      </c>
      <c r="X378" s="11" t="str">
        <f t="shared" si="359"/>
        <v/>
      </c>
      <c r="Y378" s="11" t="str">
        <f>IF(O378&lt;&gt;"",IF($B$16=listy!$K$8,'RZĄDOWY PROGRAM'!$F$3*'RZĄDOWY PROGRAM'!$F$15,T377*$F$15),"")</f>
        <v/>
      </c>
      <c r="Z378" s="11" t="str">
        <f t="shared" si="319"/>
        <v/>
      </c>
      <c r="AB378" s="8" t="str">
        <f t="shared" si="320"/>
        <v/>
      </c>
      <c r="AC378" s="8"/>
      <c r="AD378" s="11" t="str">
        <f>IF(AB378&lt;&gt;"",ROUND(IF($F$11="raty równe",-PMT(W378/12,$F$4-AB377+SUM($AC$28:AC378),AG377,2),AE378+AF378),2),"")</f>
        <v/>
      </c>
      <c r="AE378" s="11" t="str">
        <f>IF(AB378&lt;&gt;"",IF($F$11="raty malejące",AG377/($F$4-AB377+SUM($AC$28:AC377)),MIN(AD378-AF378,AG377)),"")</f>
        <v/>
      </c>
      <c r="AF378" s="11" t="str">
        <f t="shared" si="321"/>
        <v/>
      </c>
      <c r="AG378" s="9" t="str">
        <f t="shared" si="322"/>
        <v/>
      </c>
      <c r="AH378" s="11"/>
      <c r="AI378" s="33" t="str">
        <f>IF(AB378&lt;&gt;"",ROUND(IF($F$11="raty równe",-PMT(W378/12,($F$4-AB377+SUM($AC$27:AC377)),AG377,2),AG377/($F$4-AB377+SUM($AC$27:AC377))+AG377*W378/12),2),"")</f>
        <v/>
      </c>
      <c r="AJ378" s="33" t="str">
        <f t="shared" si="323"/>
        <v/>
      </c>
      <c r="AK378" s="33" t="str">
        <f t="shared" si="330"/>
        <v/>
      </c>
      <c r="AL378" s="33" t="str">
        <f>IF(AB378&lt;&gt;"",AK378-SUM($AJ$28:AJ378),"")</f>
        <v/>
      </c>
      <c r="AM378" s="11" t="str">
        <f t="shared" si="360"/>
        <v/>
      </c>
      <c r="AN378" s="11" t="str">
        <f>IF(AB378&lt;&gt;"",IF($B$16=listy!$K$8,'RZĄDOWY PROGRAM'!$F$3*'RZĄDOWY PROGRAM'!$F$15,AG377*$F$15),"")</f>
        <v/>
      </c>
      <c r="AO378" s="11" t="str">
        <f t="shared" si="325"/>
        <v/>
      </c>
      <c r="AQ378" s="8" t="str">
        <f t="shared" si="337"/>
        <v/>
      </c>
      <c r="AR378" s="8"/>
      <c r="AS378" s="78" t="str">
        <f>IF(AQ378&lt;&gt;"",ROUND(IF($F$11="raty równe",-PMT(W378/12,$F$4-AQ377+SUM($AR$28:AR378),AV377,2),AT378+AU378),2),"")</f>
        <v/>
      </c>
      <c r="AT378" s="78" t="str">
        <f>IF(AQ378&lt;&gt;"",IF($F$11="raty malejące",AV377/($F$4-AQ377+SUM($AR$28:AR377)),MIN(AS378-AU378,AV377)),"")</f>
        <v/>
      </c>
      <c r="AU378" s="78" t="str">
        <f t="shared" si="338"/>
        <v/>
      </c>
      <c r="AV378" s="79" t="str">
        <f t="shared" si="339"/>
        <v/>
      </c>
      <c r="AW378" s="11"/>
      <c r="AX378" s="33" t="str">
        <f>IF(AQ378&lt;&gt;"",ROUND(IF($F$11="raty równe",-PMT(W378/12,($F$4-AQ377+SUM($AR$27:AR377)),AV377,2),AV377/($F$4-AQ377+SUM($AR$27:AR377))+AV377*W378/12),2),"")</f>
        <v/>
      </c>
      <c r="AY378" s="33" t="str">
        <f t="shared" si="340"/>
        <v/>
      </c>
      <c r="AZ378" s="33" t="str">
        <f t="shared" si="347"/>
        <v/>
      </c>
      <c r="BA378" s="33" t="str">
        <f>IF(AQ378&lt;&gt;"",AZ378-SUM($AY$44:AY378),"")</f>
        <v/>
      </c>
      <c r="BB378" s="11" t="str">
        <f t="shared" si="341"/>
        <v/>
      </c>
      <c r="BC378" s="11" t="str">
        <f>IF(AQ378&lt;&gt;"",IF($B$16=listy!$K$8,'RZĄDOWY PROGRAM'!$F$3*'RZĄDOWY PROGRAM'!$F$15,AV377*$F$15),"")</f>
        <v/>
      </c>
      <c r="BD378" s="11" t="str">
        <f t="shared" si="342"/>
        <v/>
      </c>
      <c r="BF378" s="8" t="str">
        <f t="shared" si="351"/>
        <v/>
      </c>
      <c r="BG378" s="8"/>
      <c r="BH378" s="78" t="str">
        <f>IF(BF378&lt;&gt;"",ROUND(IF($F$11="raty równe",-PMT(W378/12,$F$4-BF377+SUM(BV$28:$BV378)-SUM($BM$29:BM378),BK377,2),BI378+BJ378),2),"")</f>
        <v/>
      </c>
      <c r="BI378" s="78" t="str">
        <f>IF(BF378&lt;&gt;"",IF($F$11="raty malejące",MIN(BK377/($F$4-BF377+SUM($BG$27:BG378)-SUM($BM$27:BM378)),BK377),MIN(BH378-BJ378,BK377)),"")</f>
        <v/>
      </c>
      <c r="BJ378" s="78" t="str">
        <f t="shared" si="352"/>
        <v/>
      </c>
      <c r="BK378" s="79" t="str">
        <f t="shared" si="353"/>
        <v/>
      </c>
      <c r="BL378" s="11"/>
      <c r="BM378" s="33"/>
      <c r="BN378" s="33" t="str">
        <f t="shared" si="348"/>
        <v/>
      </c>
      <c r="BO378" s="33" t="str">
        <f t="shared" si="349"/>
        <v/>
      </c>
      <c r="BP378" s="33" t="str">
        <f>IF(O378&lt;&gt;"",BO378-SUM($BN$44:BN378),"")</f>
        <v/>
      </c>
      <c r="BQ378" s="11" t="str">
        <f t="shared" si="354"/>
        <v/>
      </c>
      <c r="BR378" s="11" t="str">
        <f>IF(BF378&lt;&gt;"",IF($B$16=listy!$K$8,'RZĄDOWY PROGRAM'!$F$3*'RZĄDOWY PROGRAM'!$F$15,BK377*$F$15),"")</f>
        <v/>
      </c>
      <c r="BS378" s="11" t="str">
        <f t="shared" si="355"/>
        <v/>
      </c>
      <c r="BU378" s="8" t="str">
        <f t="shared" si="343"/>
        <v/>
      </c>
      <c r="BV378" s="8"/>
      <c r="BW378" s="78" t="str">
        <f>IF(BU378&lt;&gt;"",ROUND(IF($F$11="raty równe",-PMT(W378/12,$F$4-BU377+SUM($BV$28:BV378)-$CB$43,BZ377,2),BX378+BY378),2),"")</f>
        <v/>
      </c>
      <c r="BX378" s="78" t="str">
        <f>IF(BU378&lt;&gt;"",IF($F$11="raty malejące",MIN(BZ377/($F$4-BU377+SUM($BV$28:BV377)-SUM($CB$28:CB377)),BZ377),MIN(BW378-BY378,BZ377)),"")</f>
        <v/>
      </c>
      <c r="BY378" s="78" t="str">
        <f t="shared" si="356"/>
        <v/>
      </c>
      <c r="BZ378" s="79" t="str">
        <f t="shared" si="346"/>
        <v/>
      </c>
      <c r="CA378" s="11"/>
      <c r="CB378" s="33"/>
      <c r="CC378" s="33" t="str">
        <f t="shared" si="344"/>
        <v/>
      </c>
      <c r="CD378" s="33" t="str">
        <f t="shared" si="350"/>
        <v/>
      </c>
      <c r="CE378" s="33" t="str">
        <f>IF(O378&lt;&gt;"",CD378-SUM($CC$44:CC378),"")</f>
        <v/>
      </c>
      <c r="CF378" s="11" t="str">
        <f t="shared" si="357"/>
        <v/>
      </c>
      <c r="CG378" s="11" t="str">
        <f>IF(BU378&lt;&gt;"",IF($B$16=listy!$K$8,'RZĄDOWY PROGRAM'!$F$3*'RZĄDOWY PROGRAM'!$F$15,BZ377*$F$15),"")</f>
        <v/>
      </c>
      <c r="CH378" s="11" t="str">
        <f t="shared" si="358"/>
        <v/>
      </c>
      <c r="CJ378" s="48" t="str">
        <f t="shared" si="331"/>
        <v/>
      </c>
      <c r="CK378" s="18" t="str">
        <f t="shared" si="332"/>
        <v/>
      </c>
      <c r="CL378" s="11" t="str">
        <f t="shared" si="345"/>
        <v/>
      </c>
      <c r="CM378" s="11" t="str">
        <f t="shared" si="333"/>
        <v/>
      </c>
      <c r="CN378" s="11" t="str">
        <f>IF(AB378&lt;&gt;"",CM378-SUM($CL$28:CL378),"")</f>
        <v/>
      </c>
    </row>
    <row r="379" spans="1:92" x14ac:dyDescent="0.45">
      <c r="A379" s="68" t="str">
        <f t="shared" si="307"/>
        <v/>
      </c>
      <c r="B379" s="8" t="str">
        <f t="shared" si="326"/>
        <v/>
      </c>
      <c r="C379" s="11" t="str">
        <f t="shared" si="327"/>
        <v/>
      </c>
      <c r="D379" s="11" t="str">
        <f t="shared" si="328"/>
        <v/>
      </c>
      <c r="E379" s="11" t="str">
        <f t="shared" si="308"/>
        <v/>
      </c>
      <c r="F379" s="9" t="str">
        <f t="shared" si="309"/>
        <v/>
      </c>
      <c r="G379" s="10" t="str">
        <f t="shared" si="310"/>
        <v/>
      </c>
      <c r="H379" s="10" t="str">
        <f t="shared" si="311"/>
        <v/>
      </c>
      <c r="I379" s="48" t="str">
        <f t="shared" si="334"/>
        <v/>
      </c>
      <c r="J379" s="11" t="str">
        <f t="shared" si="329"/>
        <v/>
      </c>
      <c r="K379" s="11" t="str">
        <f>IF(B379&lt;&gt;"",IF($B$16=listy!$K$8,'RZĄDOWY PROGRAM'!$F$3*'RZĄDOWY PROGRAM'!$F$15,F378*$F$15),"")</f>
        <v/>
      </c>
      <c r="L379" s="11" t="str">
        <f t="shared" si="312"/>
        <v/>
      </c>
      <c r="N379" s="54" t="str">
        <f t="shared" si="313"/>
        <v/>
      </c>
      <c r="O379" s="8" t="str">
        <f t="shared" si="335"/>
        <v/>
      </c>
      <c r="P379" s="8"/>
      <c r="Q379" s="11" t="str">
        <f>IF(O379&lt;&gt;"",ROUND(IF($F$11="raty równe",-PMT(W379/12,$F$4-O378+SUM($P$28:P379),T378,2),R379+S379),2),"")</f>
        <v/>
      </c>
      <c r="R379" s="11" t="str">
        <f>IF(O379&lt;&gt;"",IF($F$11="raty malejące",T378/($F$4-O378+SUM($P$28:P379)),IF(Q379-S379&gt;T378,T378,Q379-S379)),"")</f>
        <v/>
      </c>
      <c r="S379" s="11" t="str">
        <f t="shared" si="314"/>
        <v/>
      </c>
      <c r="T379" s="9" t="str">
        <f t="shared" si="315"/>
        <v/>
      </c>
      <c r="U379" s="10" t="str">
        <f t="shared" si="316"/>
        <v/>
      </c>
      <c r="V379" s="10" t="str">
        <f t="shared" si="317"/>
        <v/>
      </c>
      <c r="W379" s="48" t="str">
        <f t="shared" si="336"/>
        <v/>
      </c>
      <c r="X379" s="11" t="str">
        <f t="shared" si="359"/>
        <v/>
      </c>
      <c r="Y379" s="11" t="str">
        <f>IF(O379&lt;&gt;"",IF($B$16=listy!$K$8,'RZĄDOWY PROGRAM'!$F$3*'RZĄDOWY PROGRAM'!$F$15,T378*$F$15),"")</f>
        <v/>
      </c>
      <c r="Z379" s="11" t="str">
        <f t="shared" si="319"/>
        <v/>
      </c>
      <c r="AB379" s="8" t="str">
        <f t="shared" si="320"/>
        <v/>
      </c>
      <c r="AC379" s="8"/>
      <c r="AD379" s="11" t="str">
        <f>IF(AB379&lt;&gt;"",ROUND(IF($F$11="raty równe",-PMT(W379/12,$F$4-AB378+SUM($AC$28:AC379),AG378,2),AE379+AF379),2),"")</f>
        <v/>
      </c>
      <c r="AE379" s="11" t="str">
        <f>IF(AB379&lt;&gt;"",IF($F$11="raty malejące",AG378/($F$4-AB378+SUM($AC$28:AC378)),MIN(AD379-AF379,AG378)),"")</f>
        <v/>
      </c>
      <c r="AF379" s="11" t="str">
        <f t="shared" si="321"/>
        <v/>
      </c>
      <c r="AG379" s="9" t="str">
        <f t="shared" si="322"/>
        <v/>
      </c>
      <c r="AH379" s="11"/>
      <c r="AI379" s="33" t="str">
        <f>IF(AB379&lt;&gt;"",ROUND(IF($F$11="raty równe",-PMT(W379/12,($F$4-AB378+SUM($AC$27:AC378)),AG378,2),AG378/($F$4-AB378+SUM($AC$27:AC378))+AG378*W379/12),2),"")</f>
        <v/>
      </c>
      <c r="AJ379" s="33" t="str">
        <f t="shared" si="323"/>
        <v/>
      </c>
      <c r="AK379" s="33" t="str">
        <f t="shared" si="330"/>
        <v/>
      </c>
      <c r="AL379" s="33" t="str">
        <f>IF(AB379&lt;&gt;"",AK379-SUM($AJ$28:AJ379),"")</f>
        <v/>
      </c>
      <c r="AM379" s="11" t="str">
        <f t="shared" si="360"/>
        <v/>
      </c>
      <c r="AN379" s="11" t="str">
        <f>IF(AB379&lt;&gt;"",IF($B$16=listy!$K$8,'RZĄDOWY PROGRAM'!$F$3*'RZĄDOWY PROGRAM'!$F$15,AG378*$F$15),"")</f>
        <v/>
      </c>
      <c r="AO379" s="11" t="str">
        <f t="shared" si="325"/>
        <v/>
      </c>
      <c r="AQ379" s="8" t="str">
        <f t="shared" si="337"/>
        <v/>
      </c>
      <c r="AR379" s="8"/>
      <c r="AS379" s="78" t="str">
        <f>IF(AQ379&lt;&gt;"",ROUND(IF($F$11="raty równe",-PMT(W379/12,$F$4-AQ378+SUM($AR$28:AR379),AV378,2),AT379+AU379),2),"")</f>
        <v/>
      </c>
      <c r="AT379" s="78" t="str">
        <f>IF(AQ379&lt;&gt;"",IF($F$11="raty malejące",AV378/($F$4-AQ378+SUM($AR$28:AR378)),MIN(AS379-AU379,AV378)),"")</f>
        <v/>
      </c>
      <c r="AU379" s="78" t="str">
        <f t="shared" si="338"/>
        <v/>
      </c>
      <c r="AV379" s="79" t="str">
        <f t="shared" si="339"/>
        <v/>
      </c>
      <c r="AW379" s="11"/>
      <c r="AX379" s="33" t="str">
        <f>IF(AQ379&lt;&gt;"",ROUND(IF($F$11="raty równe",-PMT(W379/12,($F$4-AQ378+SUM($AR$27:AR378)),AV378,2),AV378/($F$4-AQ378+SUM($AR$27:AR378))+AV378*W379/12),2),"")</f>
        <v/>
      </c>
      <c r="AY379" s="33" t="str">
        <f t="shared" si="340"/>
        <v/>
      </c>
      <c r="AZ379" s="33" t="str">
        <f t="shared" si="347"/>
        <v/>
      </c>
      <c r="BA379" s="33" t="str">
        <f>IF(AQ379&lt;&gt;"",AZ379-SUM($AY$44:AY379),"")</f>
        <v/>
      </c>
      <c r="BB379" s="11" t="str">
        <f t="shared" si="341"/>
        <v/>
      </c>
      <c r="BC379" s="11" t="str">
        <f>IF(AQ379&lt;&gt;"",IF($B$16=listy!$K$8,'RZĄDOWY PROGRAM'!$F$3*'RZĄDOWY PROGRAM'!$F$15,AV378*$F$15),"")</f>
        <v/>
      </c>
      <c r="BD379" s="11" t="str">
        <f t="shared" si="342"/>
        <v/>
      </c>
      <c r="BF379" s="8" t="str">
        <f t="shared" si="351"/>
        <v/>
      </c>
      <c r="BG379" s="8"/>
      <c r="BH379" s="78" t="str">
        <f>IF(BF379&lt;&gt;"",ROUND(IF($F$11="raty równe",-PMT(W379/12,$F$4-BF378+SUM(BV$28:$BV379)-SUM($BM$29:BM379),BK378,2),BI379+BJ379),2),"")</f>
        <v/>
      </c>
      <c r="BI379" s="78" t="str">
        <f>IF(BF379&lt;&gt;"",IF($F$11="raty malejące",MIN(BK378/($F$4-BF378+SUM($BG$27:BG379)-SUM($BM$27:BM379)),BK378),MIN(BH379-BJ379,BK378)),"")</f>
        <v/>
      </c>
      <c r="BJ379" s="78" t="str">
        <f t="shared" si="352"/>
        <v/>
      </c>
      <c r="BK379" s="79" t="str">
        <f t="shared" si="353"/>
        <v/>
      </c>
      <c r="BL379" s="11"/>
      <c r="BM379" s="33"/>
      <c r="BN379" s="33" t="str">
        <f t="shared" si="348"/>
        <v/>
      </c>
      <c r="BO379" s="33" t="str">
        <f t="shared" si="349"/>
        <v/>
      </c>
      <c r="BP379" s="33" t="str">
        <f>IF(O379&lt;&gt;"",BO379-SUM($BN$44:BN379),"")</f>
        <v/>
      </c>
      <c r="BQ379" s="11" t="str">
        <f t="shared" si="354"/>
        <v/>
      </c>
      <c r="BR379" s="11" t="str">
        <f>IF(BF379&lt;&gt;"",IF($B$16=listy!$K$8,'RZĄDOWY PROGRAM'!$F$3*'RZĄDOWY PROGRAM'!$F$15,BK378*$F$15),"")</f>
        <v/>
      </c>
      <c r="BS379" s="11" t="str">
        <f t="shared" si="355"/>
        <v/>
      </c>
      <c r="BU379" s="8" t="str">
        <f t="shared" si="343"/>
        <v/>
      </c>
      <c r="BV379" s="8"/>
      <c r="BW379" s="78" t="str">
        <f>IF(BU379&lt;&gt;"",ROUND(IF($F$11="raty równe",-PMT(W379/12,$F$4-BU378+SUM($BV$28:BV379)-$CB$43,BZ378,2),BX379+BY379),2),"")</f>
        <v/>
      </c>
      <c r="BX379" s="78" t="str">
        <f>IF(BU379&lt;&gt;"",IF($F$11="raty malejące",MIN(BZ378/($F$4-BU378+SUM($BV$28:BV378)-SUM($CB$28:CB378)),BZ378),MIN(BW379-BY379,BZ378)),"")</f>
        <v/>
      </c>
      <c r="BY379" s="78" t="str">
        <f t="shared" si="356"/>
        <v/>
      </c>
      <c r="BZ379" s="79" t="str">
        <f t="shared" si="346"/>
        <v/>
      </c>
      <c r="CA379" s="11"/>
      <c r="CB379" s="33"/>
      <c r="CC379" s="33" t="str">
        <f t="shared" si="344"/>
        <v/>
      </c>
      <c r="CD379" s="33" t="str">
        <f t="shared" si="350"/>
        <v/>
      </c>
      <c r="CE379" s="33" t="str">
        <f>IF(O379&lt;&gt;"",CD379-SUM($CC$44:CC379),"")</f>
        <v/>
      </c>
      <c r="CF379" s="11" t="str">
        <f t="shared" si="357"/>
        <v/>
      </c>
      <c r="CG379" s="11" t="str">
        <f>IF(BU379&lt;&gt;"",IF($B$16=listy!$K$8,'RZĄDOWY PROGRAM'!$F$3*'RZĄDOWY PROGRAM'!$F$15,BZ378*$F$15),"")</f>
        <v/>
      </c>
      <c r="CH379" s="11" t="str">
        <f t="shared" si="358"/>
        <v/>
      </c>
      <c r="CJ379" s="48" t="str">
        <f t="shared" si="331"/>
        <v/>
      </c>
      <c r="CK379" s="18" t="str">
        <f t="shared" si="332"/>
        <v/>
      </c>
      <c r="CL379" s="11" t="str">
        <f t="shared" si="345"/>
        <v/>
      </c>
      <c r="CM379" s="11" t="str">
        <f t="shared" si="333"/>
        <v/>
      </c>
      <c r="CN379" s="11" t="str">
        <f>IF(AB379&lt;&gt;"",CM379-SUM($CL$28:CL379),"")</f>
        <v/>
      </c>
    </row>
    <row r="380" spans="1:92" x14ac:dyDescent="0.45">
      <c r="A380" s="68" t="str">
        <f t="shared" si="307"/>
        <v/>
      </c>
      <c r="B380" s="8" t="str">
        <f t="shared" si="326"/>
        <v/>
      </c>
      <c r="C380" s="11" t="str">
        <f t="shared" si="327"/>
        <v/>
      </c>
      <c r="D380" s="11" t="str">
        <f t="shared" si="328"/>
        <v/>
      </c>
      <c r="E380" s="11" t="str">
        <f t="shared" si="308"/>
        <v/>
      </c>
      <c r="F380" s="9" t="str">
        <f t="shared" si="309"/>
        <v/>
      </c>
      <c r="G380" s="10" t="str">
        <f t="shared" si="310"/>
        <v/>
      </c>
      <c r="H380" s="10" t="str">
        <f t="shared" si="311"/>
        <v/>
      </c>
      <c r="I380" s="48" t="str">
        <f t="shared" si="334"/>
        <v/>
      </c>
      <c r="J380" s="11" t="str">
        <f t="shared" si="329"/>
        <v/>
      </c>
      <c r="K380" s="11" t="str">
        <f>IF(B380&lt;&gt;"",IF($B$16=listy!$K$8,'RZĄDOWY PROGRAM'!$F$3*'RZĄDOWY PROGRAM'!$F$15,F379*$F$15),"")</f>
        <v/>
      </c>
      <c r="L380" s="11" t="str">
        <f t="shared" si="312"/>
        <v/>
      </c>
      <c r="N380" s="54" t="str">
        <f t="shared" si="313"/>
        <v/>
      </c>
      <c r="O380" s="8" t="str">
        <f t="shared" si="335"/>
        <v/>
      </c>
      <c r="P380" s="8"/>
      <c r="Q380" s="11" t="str">
        <f>IF(O380&lt;&gt;"",ROUND(IF($F$11="raty równe",-PMT(W380/12,$F$4-O379+SUM($P$28:P380),T379,2),R380+S380),2),"")</f>
        <v/>
      </c>
      <c r="R380" s="11" t="str">
        <f>IF(O380&lt;&gt;"",IF($F$11="raty malejące",T379/($F$4-O379+SUM($P$28:P380)),IF(Q380-S380&gt;T379,T379,Q380-S380)),"")</f>
        <v/>
      </c>
      <c r="S380" s="11" t="str">
        <f t="shared" si="314"/>
        <v/>
      </c>
      <c r="T380" s="9" t="str">
        <f t="shared" si="315"/>
        <v/>
      </c>
      <c r="U380" s="10" t="str">
        <f t="shared" si="316"/>
        <v/>
      </c>
      <c r="V380" s="10" t="str">
        <f t="shared" si="317"/>
        <v/>
      </c>
      <c r="W380" s="48" t="str">
        <f t="shared" si="336"/>
        <v/>
      </c>
      <c r="X380" s="11" t="str">
        <f t="shared" si="359"/>
        <v/>
      </c>
      <c r="Y380" s="11" t="str">
        <f>IF(O380&lt;&gt;"",IF($B$16=listy!$K$8,'RZĄDOWY PROGRAM'!$F$3*'RZĄDOWY PROGRAM'!$F$15,T379*$F$15),"")</f>
        <v/>
      </c>
      <c r="Z380" s="11" t="str">
        <f t="shared" si="319"/>
        <v/>
      </c>
      <c r="AB380" s="8" t="str">
        <f t="shared" si="320"/>
        <v/>
      </c>
      <c r="AC380" s="8"/>
      <c r="AD380" s="11" t="str">
        <f>IF(AB380&lt;&gt;"",ROUND(IF($F$11="raty równe",-PMT(W380/12,$F$4-AB379+SUM($AC$28:AC380),AG379,2),AE380+AF380),2),"")</f>
        <v/>
      </c>
      <c r="AE380" s="11" t="str">
        <f>IF(AB380&lt;&gt;"",IF($F$11="raty malejące",AG379/($F$4-AB379+SUM($AC$28:AC379)),MIN(AD380-AF380,AG379)),"")</f>
        <v/>
      </c>
      <c r="AF380" s="11" t="str">
        <f t="shared" si="321"/>
        <v/>
      </c>
      <c r="AG380" s="9" t="str">
        <f t="shared" si="322"/>
        <v/>
      </c>
      <c r="AH380" s="11"/>
      <c r="AI380" s="33" t="str">
        <f>IF(AB380&lt;&gt;"",ROUND(IF($F$11="raty równe",-PMT(W380/12,($F$4-AB379+SUM($AC$27:AC379)),AG379,2),AG379/($F$4-AB379+SUM($AC$27:AC379))+AG379*W380/12),2),"")</f>
        <v/>
      </c>
      <c r="AJ380" s="33" t="str">
        <f t="shared" si="323"/>
        <v/>
      </c>
      <c r="AK380" s="33" t="str">
        <f t="shared" si="330"/>
        <v/>
      </c>
      <c r="AL380" s="33" t="str">
        <f>IF(AB380&lt;&gt;"",AK380-SUM($AJ$28:AJ380),"")</f>
        <v/>
      </c>
      <c r="AM380" s="11" t="str">
        <f t="shared" si="360"/>
        <v/>
      </c>
      <c r="AN380" s="11" t="str">
        <f>IF(AB380&lt;&gt;"",IF($B$16=listy!$K$8,'RZĄDOWY PROGRAM'!$F$3*'RZĄDOWY PROGRAM'!$F$15,AG379*$F$15),"")</f>
        <v/>
      </c>
      <c r="AO380" s="11" t="str">
        <f t="shared" si="325"/>
        <v/>
      </c>
      <c r="AQ380" s="8" t="str">
        <f t="shared" si="337"/>
        <v/>
      </c>
      <c r="AR380" s="8"/>
      <c r="AS380" s="78" t="str">
        <f>IF(AQ380&lt;&gt;"",ROUND(IF($F$11="raty równe",-PMT(W380/12,$F$4-AQ379+SUM($AR$28:AR380),AV379,2),AT380+AU380),2),"")</f>
        <v/>
      </c>
      <c r="AT380" s="78" t="str">
        <f>IF(AQ380&lt;&gt;"",IF($F$11="raty malejące",AV379/($F$4-AQ379+SUM($AR$28:AR379)),MIN(AS380-AU380,AV379)),"")</f>
        <v/>
      </c>
      <c r="AU380" s="78" t="str">
        <f t="shared" si="338"/>
        <v/>
      </c>
      <c r="AV380" s="79" t="str">
        <f t="shared" si="339"/>
        <v/>
      </c>
      <c r="AW380" s="11"/>
      <c r="AX380" s="33" t="str">
        <f>IF(AQ380&lt;&gt;"",ROUND(IF($F$11="raty równe",-PMT(W380/12,($F$4-AQ379+SUM($AR$27:AR379)),AV379,2),AV379/($F$4-AQ379+SUM($AR$27:AR379))+AV379*W380/12),2),"")</f>
        <v/>
      </c>
      <c r="AY380" s="33" t="str">
        <f t="shared" si="340"/>
        <v/>
      </c>
      <c r="AZ380" s="33" t="str">
        <f t="shared" si="347"/>
        <v/>
      </c>
      <c r="BA380" s="33" t="str">
        <f>IF(AQ380&lt;&gt;"",AZ380-SUM($AY$44:AY380),"")</f>
        <v/>
      </c>
      <c r="BB380" s="11" t="str">
        <f t="shared" si="341"/>
        <v/>
      </c>
      <c r="BC380" s="11" t="str">
        <f>IF(AQ380&lt;&gt;"",IF($B$16=listy!$K$8,'RZĄDOWY PROGRAM'!$F$3*'RZĄDOWY PROGRAM'!$F$15,AV379*$F$15),"")</f>
        <v/>
      </c>
      <c r="BD380" s="11" t="str">
        <f t="shared" si="342"/>
        <v/>
      </c>
      <c r="BF380" s="8" t="str">
        <f t="shared" si="351"/>
        <v/>
      </c>
      <c r="BG380" s="8"/>
      <c r="BH380" s="78" t="str">
        <f>IF(BF380&lt;&gt;"",ROUND(IF($F$11="raty równe",-PMT(W380/12,$F$4-BF379+SUM(BV$28:$BV380)-SUM($BM$29:BM380),BK379,2),BI380+BJ380),2),"")</f>
        <v/>
      </c>
      <c r="BI380" s="78" t="str">
        <f>IF(BF380&lt;&gt;"",IF($F$11="raty malejące",MIN(BK379/($F$4-BF379+SUM($BG$27:BG380)-SUM($BM$27:BM380)),BK379),MIN(BH380-BJ380,BK379)),"")</f>
        <v/>
      </c>
      <c r="BJ380" s="78" t="str">
        <f t="shared" si="352"/>
        <v/>
      </c>
      <c r="BK380" s="79" t="str">
        <f t="shared" si="353"/>
        <v/>
      </c>
      <c r="BL380" s="11"/>
      <c r="BM380" s="33"/>
      <c r="BN380" s="33" t="str">
        <f t="shared" si="348"/>
        <v/>
      </c>
      <c r="BO380" s="33" t="str">
        <f t="shared" si="349"/>
        <v/>
      </c>
      <c r="BP380" s="33" t="str">
        <f>IF(O380&lt;&gt;"",BO380-SUM($BN$44:BN380),"")</f>
        <v/>
      </c>
      <c r="BQ380" s="11" t="str">
        <f t="shared" si="354"/>
        <v/>
      </c>
      <c r="BR380" s="11" t="str">
        <f>IF(BF380&lt;&gt;"",IF($B$16=listy!$K$8,'RZĄDOWY PROGRAM'!$F$3*'RZĄDOWY PROGRAM'!$F$15,BK379*$F$15),"")</f>
        <v/>
      </c>
      <c r="BS380" s="11" t="str">
        <f t="shared" si="355"/>
        <v/>
      </c>
      <c r="BU380" s="8" t="str">
        <f t="shared" si="343"/>
        <v/>
      </c>
      <c r="BV380" s="8"/>
      <c r="BW380" s="78" t="str">
        <f>IF(BU380&lt;&gt;"",ROUND(IF($F$11="raty równe",-PMT(W380/12,$F$4-BU379+SUM($BV$28:BV380)-$CB$43,BZ379,2),BX380+BY380),2),"")</f>
        <v/>
      </c>
      <c r="BX380" s="78" t="str">
        <f>IF(BU380&lt;&gt;"",IF($F$11="raty malejące",MIN(BZ379/($F$4-BU379+SUM($BV$28:BV379)-SUM($CB$28:CB379)),BZ379),MIN(BW380-BY380,BZ379)),"")</f>
        <v/>
      </c>
      <c r="BY380" s="78" t="str">
        <f t="shared" si="356"/>
        <v/>
      </c>
      <c r="BZ380" s="79" t="str">
        <f t="shared" si="346"/>
        <v/>
      </c>
      <c r="CA380" s="11"/>
      <c r="CB380" s="33"/>
      <c r="CC380" s="33" t="str">
        <f t="shared" si="344"/>
        <v/>
      </c>
      <c r="CD380" s="33" t="str">
        <f t="shared" si="350"/>
        <v/>
      </c>
      <c r="CE380" s="33" t="str">
        <f>IF(O380&lt;&gt;"",CD380-SUM($CC$44:CC380),"")</f>
        <v/>
      </c>
      <c r="CF380" s="11" t="str">
        <f t="shared" si="357"/>
        <v/>
      </c>
      <c r="CG380" s="11" t="str">
        <f>IF(BU380&lt;&gt;"",IF($B$16=listy!$K$8,'RZĄDOWY PROGRAM'!$F$3*'RZĄDOWY PROGRAM'!$F$15,BZ379*$F$15),"")</f>
        <v/>
      </c>
      <c r="CH380" s="11" t="str">
        <f t="shared" si="358"/>
        <v/>
      </c>
      <c r="CJ380" s="48" t="str">
        <f t="shared" si="331"/>
        <v/>
      </c>
      <c r="CK380" s="18" t="str">
        <f t="shared" si="332"/>
        <v/>
      </c>
      <c r="CL380" s="11" t="str">
        <f t="shared" si="345"/>
        <v/>
      </c>
      <c r="CM380" s="11" t="str">
        <f t="shared" si="333"/>
        <v/>
      </c>
      <c r="CN380" s="11" t="str">
        <f>IF(AB380&lt;&gt;"",CM380-SUM($CL$28:CL380),"")</f>
        <v/>
      </c>
    </row>
    <row r="381" spans="1:92" x14ac:dyDescent="0.45">
      <c r="A381" s="68" t="str">
        <f t="shared" si="307"/>
        <v/>
      </c>
      <c r="B381" s="8" t="str">
        <f t="shared" si="326"/>
        <v/>
      </c>
      <c r="C381" s="11" t="str">
        <f t="shared" si="327"/>
        <v/>
      </c>
      <c r="D381" s="11" t="str">
        <f t="shared" si="328"/>
        <v/>
      </c>
      <c r="E381" s="11" t="str">
        <f t="shared" si="308"/>
        <v/>
      </c>
      <c r="F381" s="9" t="str">
        <f t="shared" si="309"/>
        <v/>
      </c>
      <c r="G381" s="10" t="str">
        <f t="shared" si="310"/>
        <v/>
      </c>
      <c r="H381" s="10" t="str">
        <f t="shared" si="311"/>
        <v/>
      </c>
      <c r="I381" s="48" t="str">
        <f t="shared" si="334"/>
        <v/>
      </c>
      <c r="J381" s="11" t="str">
        <f t="shared" si="329"/>
        <v/>
      </c>
      <c r="K381" s="11" t="str">
        <f>IF(B381&lt;&gt;"",IF($B$16=listy!$K$8,'RZĄDOWY PROGRAM'!$F$3*'RZĄDOWY PROGRAM'!$F$15,F380*$F$15),"")</f>
        <v/>
      </c>
      <c r="L381" s="11" t="str">
        <f t="shared" si="312"/>
        <v/>
      </c>
      <c r="N381" s="54" t="str">
        <f t="shared" si="313"/>
        <v/>
      </c>
      <c r="O381" s="8" t="str">
        <f t="shared" si="335"/>
        <v/>
      </c>
      <c r="P381" s="8"/>
      <c r="Q381" s="11" t="str">
        <f>IF(O381&lt;&gt;"",ROUND(IF($F$11="raty równe",-PMT(W381/12,$F$4-O380+SUM($P$28:P381),T380,2),R381+S381),2),"")</f>
        <v/>
      </c>
      <c r="R381" s="11" t="str">
        <f>IF(O381&lt;&gt;"",IF($F$11="raty malejące",T380/($F$4-O380+SUM($P$28:P381)),IF(Q381-S381&gt;T380,T380,Q381-S381)),"")</f>
        <v/>
      </c>
      <c r="S381" s="11" t="str">
        <f t="shared" si="314"/>
        <v/>
      </c>
      <c r="T381" s="9" t="str">
        <f t="shared" si="315"/>
        <v/>
      </c>
      <c r="U381" s="10" t="str">
        <f t="shared" si="316"/>
        <v/>
      </c>
      <c r="V381" s="10" t="str">
        <f t="shared" si="317"/>
        <v/>
      </c>
      <c r="W381" s="48" t="str">
        <f t="shared" si="336"/>
        <v/>
      </c>
      <c r="X381" s="11" t="str">
        <f t="shared" si="359"/>
        <v/>
      </c>
      <c r="Y381" s="11" t="str">
        <f>IF(O381&lt;&gt;"",IF($B$16=listy!$K$8,'RZĄDOWY PROGRAM'!$F$3*'RZĄDOWY PROGRAM'!$F$15,T380*$F$15),"")</f>
        <v/>
      </c>
      <c r="Z381" s="11" t="str">
        <f t="shared" si="319"/>
        <v/>
      </c>
      <c r="AB381" s="8" t="str">
        <f t="shared" si="320"/>
        <v/>
      </c>
      <c r="AC381" s="8"/>
      <c r="AD381" s="11" t="str">
        <f>IF(AB381&lt;&gt;"",ROUND(IF($F$11="raty równe",-PMT(W381/12,$F$4-AB380+SUM($AC$28:AC381),AG380,2),AE381+AF381),2),"")</f>
        <v/>
      </c>
      <c r="AE381" s="11" t="str">
        <f>IF(AB381&lt;&gt;"",IF($F$11="raty malejące",AG380/($F$4-AB380+SUM($AC$28:AC380)),MIN(AD381-AF381,AG380)),"")</f>
        <v/>
      </c>
      <c r="AF381" s="11" t="str">
        <f t="shared" si="321"/>
        <v/>
      </c>
      <c r="AG381" s="9" t="str">
        <f t="shared" si="322"/>
        <v/>
      </c>
      <c r="AH381" s="11"/>
      <c r="AI381" s="33" t="str">
        <f>IF(AB381&lt;&gt;"",ROUND(IF($F$11="raty równe",-PMT(W381/12,($F$4-AB380+SUM($AC$27:AC380)),AG380,2),AG380/($F$4-AB380+SUM($AC$27:AC380))+AG380*W381/12),2),"")</f>
        <v/>
      </c>
      <c r="AJ381" s="33" t="str">
        <f t="shared" si="323"/>
        <v/>
      </c>
      <c r="AK381" s="33" t="str">
        <f t="shared" si="330"/>
        <v/>
      </c>
      <c r="AL381" s="33" t="str">
        <f>IF(AB381&lt;&gt;"",AK381-SUM($AJ$28:AJ381),"")</f>
        <v/>
      </c>
      <c r="AM381" s="11" t="str">
        <f t="shared" si="360"/>
        <v/>
      </c>
      <c r="AN381" s="11" t="str">
        <f>IF(AB381&lt;&gt;"",IF($B$16=listy!$K$8,'RZĄDOWY PROGRAM'!$F$3*'RZĄDOWY PROGRAM'!$F$15,AG380*$F$15),"")</f>
        <v/>
      </c>
      <c r="AO381" s="11" t="str">
        <f t="shared" si="325"/>
        <v/>
      </c>
      <c r="AQ381" s="8" t="str">
        <f t="shared" si="337"/>
        <v/>
      </c>
      <c r="AR381" s="8"/>
      <c r="AS381" s="78" t="str">
        <f>IF(AQ381&lt;&gt;"",ROUND(IF($F$11="raty równe",-PMT(W381/12,$F$4-AQ380+SUM($AR$28:AR381),AV380,2),AT381+AU381),2),"")</f>
        <v/>
      </c>
      <c r="AT381" s="78" t="str">
        <f>IF(AQ381&lt;&gt;"",IF($F$11="raty malejące",AV380/($F$4-AQ380+SUM($AR$28:AR380)),MIN(AS381-AU381,AV380)),"")</f>
        <v/>
      </c>
      <c r="AU381" s="78" t="str">
        <f t="shared" si="338"/>
        <v/>
      </c>
      <c r="AV381" s="79" t="str">
        <f t="shared" si="339"/>
        <v/>
      </c>
      <c r="AW381" s="11"/>
      <c r="AX381" s="33" t="str">
        <f>IF(AQ381&lt;&gt;"",ROUND(IF($F$11="raty równe",-PMT(W381/12,($F$4-AQ380+SUM($AR$27:AR380)),AV380,2),AV380/($F$4-AQ380+SUM($AR$27:AR380))+AV380*W381/12),2),"")</f>
        <v/>
      </c>
      <c r="AY381" s="33" t="str">
        <f t="shared" si="340"/>
        <v/>
      </c>
      <c r="AZ381" s="33" t="str">
        <f t="shared" si="347"/>
        <v/>
      </c>
      <c r="BA381" s="33" t="str">
        <f>IF(AQ381&lt;&gt;"",AZ381-SUM($AY$44:AY381),"")</f>
        <v/>
      </c>
      <c r="BB381" s="11" t="str">
        <f t="shared" si="341"/>
        <v/>
      </c>
      <c r="BC381" s="11" t="str">
        <f>IF(AQ381&lt;&gt;"",IF($B$16=listy!$K$8,'RZĄDOWY PROGRAM'!$F$3*'RZĄDOWY PROGRAM'!$F$15,AV380*$F$15),"")</f>
        <v/>
      </c>
      <c r="BD381" s="11" t="str">
        <f t="shared" si="342"/>
        <v/>
      </c>
      <c r="BF381" s="8" t="str">
        <f t="shared" si="351"/>
        <v/>
      </c>
      <c r="BG381" s="8"/>
      <c r="BH381" s="78" t="str">
        <f>IF(BF381&lt;&gt;"",ROUND(IF($F$11="raty równe",-PMT(W381/12,$F$4-BF380+SUM(BV$28:$BV381)-SUM($BM$29:BM381),BK380,2),BI381+BJ381),2),"")</f>
        <v/>
      </c>
      <c r="BI381" s="78" t="str">
        <f>IF(BF381&lt;&gt;"",IF($F$11="raty malejące",MIN(BK380/($F$4-BF380+SUM($BG$27:BG381)-SUM($BM$27:BM381)),BK380),MIN(BH381-BJ381,BK380)),"")</f>
        <v/>
      </c>
      <c r="BJ381" s="78" t="str">
        <f t="shared" si="352"/>
        <v/>
      </c>
      <c r="BK381" s="79" t="str">
        <f t="shared" si="353"/>
        <v/>
      </c>
      <c r="BL381" s="11"/>
      <c r="BM381" s="33"/>
      <c r="BN381" s="33" t="str">
        <f t="shared" si="348"/>
        <v/>
      </c>
      <c r="BO381" s="33" t="str">
        <f t="shared" si="349"/>
        <v/>
      </c>
      <c r="BP381" s="33" t="str">
        <f>IF(O381&lt;&gt;"",BO381-SUM($BN$44:BN381),"")</f>
        <v/>
      </c>
      <c r="BQ381" s="11" t="str">
        <f t="shared" si="354"/>
        <v/>
      </c>
      <c r="BR381" s="11" t="str">
        <f>IF(BF381&lt;&gt;"",IF($B$16=listy!$K$8,'RZĄDOWY PROGRAM'!$F$3*'RZĄDOWY PROGRAM'!$F$15,BK380*$F$15),"")</f>
        <v/>
      </c>
      <c r="BS381" s="11" t="str">
        <f t="shared" si="355"/>
        <v/>
      </c>
      <c r="BU381" s="8" t="str">
        <f t="shared" si="343"/>
        <v/>
      </c>
      <c r="BV381" s="8"/>
      <c r="BW381" s="78" t="str">
        <f>IF(BU381&lt;&gt;"",ROUND(IF($F$11="raty równe",-PMT(W381/12,$F$4-BU380+SUM($BV$28:BV381)-$CB$43,BZ380,2),BX381+BY381),2),"")</f>
        <v/>
      </c>
      <c r="BX381" s="78" t="str">
        <f>IF(BU381&lt;&gt;"",IF($F$11="raty malejące",MIN(BZ380/($F$4-BU380+SUM($BV$28:BV380)-SUM($CB$28:CB380)),BZ380),MIN(BW381-BY381,BZ380)),"")</f>
        <v/>
      </c>
      <c r="BY381" s="78" t="str">
        <f t="shared" si="356"/>
        <v/>
      </c>
      <c r="BZ381" s="79" t="str">
        <f t="shared" si="346"/>
        <v/>
      </c>
      <c r="CA381" s="11"/>
      <c r="CB381" s="33"/>
      <c r="CC381" s="33" t="str">
        <f t="shared" si="344"/>
        <v/>
      </c>
      <c r="CD381" s="33" t="str">
        <f t="shared" si="350"/>
        <v/>
      </c>
      <c r="CE381" s="33" t="str">
        <f>IF(O381&lt;&gt;"",CD381-SUM($CC$44:CC381),"")</f>
        <v/>
      </c>
      <c r="CF381" s="11" t="str">
        <f t="shared" si="357"/>
        <v/>
      </c>
      <c r="CG381" s="11" t="str">
        <f>IF(BU381&lt;&gt;"",IF($B$16=listy!$K$8,'RZĄDOWY PROGRAM'!$F$3*'RZĄDOWY PROGRAM'!$F$15,BZ380*$F$15),"")</f>
        <v/>
      </c>
      <c r="CH381" s="11" t="str">
        <f t="shared" si="358"/>
        <v/>
      </c>
      <c r="CJ381" s="48" t="str">
        <f t="shared" si="331"/>
        <v/>
      </c>
      <c r="CK381" s="18" t="str">
        <f t="shared" si="332"/>
        <v/>
      </c>
      <c r="CL381" s="11" t="str">
        <f t="shared" si="345"/>
        <v/>
      </c>
      <c r="CM381" s="11" t="str">
        <f t="shared" si="333"/>
        <v/>
      </c>
      <c r="CN381" s="11" t="str">
        <f>IF(AB381&lt;&gt;"",CM381-SUM($CL$28:CL381),"")</f>
        <v/>
      </c>
    </row>
    <row r="382" spans="1:92" x14ac:dyDescent="0.45">
      <c r="A382" s="68" t="str">
        <f t="shared" si="307"/>
        <v/>
      </c>
      <c r="B382" s="8" t="str">
        <f t="shared" si="326"/>
        <v/>
      </c>
      <c r="C382" s="11" t="str">
        <f t="shared" si="327"/>
        <v/>
      </c>
      <c r="D382" s="11" t="str">
        <f t="shared" si="328"/>
        <v/>
      </c>
      <c r="E382" s="11" t="str">
        <f t="shared" si="308"/>
        <v/>
      </c>
      <c r="F382" s="9" t="str">
        <f t="shared" si="309"/>
        <v/>
      </c>
      <c r="G382" s="10" t="str">
        <f t="shared" si="310"/>
        <v/>
      </c>
      <c r="H382" s="10" t="str">
        <f t="shared" si="311"/>
        <v/>
      </c>
      <c r="I382" s="48" t="str">
        <f t="shared" si="334"/>
        <v/>
      </c>
      <c r="J382" s="11" t="str">
        <f t="shared" si="329"/>
        <v/>
      </c>
      <c r="K382" s="11" t="str">
        <f>IF(B382&lt;&gt;"",IF($B$16=listy!$K$8,'RZĄDOWY PROGRAM'!$F$3*'RZĄDOWY PROGRAM'!$F$15,F381*$F$15),"")</f>
        <v/>
      </c>
      <c r="L382" s="11" t="str">
        <f t="shared" si="312"/>
        <v/>
      </c>
      <c r="N382" s="54" t="str">
        <f t="shared" si="313"/>
        <v/>
      </c>
      <c r="O382" s="8" t="str">
        <f t="shared" si="335"/>
        <v/>
      </c>
      <c r="P382" s="8"/>
      <c r="Q382" s="11" t="str">
        <f>IF(O382&lt;&gt;"",ROUND(IF($F$11="raty równe",-PMT(W382/12,$F$4-O381+SUM($P$28:P382),T381,2),R382+S382),2),"")</f>
        <v/>
      </c>
      <c r="R382" s="11" t="str">
        <f>IF(O382&lt;&gt;"",IF($F$11="raty malejące",T381/($F$4-O381+SUM($P$28:P382)),IF(Q382-S382&gt;T381,T381,Q382-S382)),"")</f>
        <v/>
      </c>
      <c r="S382" s="11" t="str">
        <f t="shared" si="314"/>
        <v/>
      </c>
      <c r="T382" s="9" t="str">
        <f t="shared" si="315"/>
        <v/>
      </c>
      <c r="U382" s="10" t="str">
        <f t="shared" si="316"/>
        <v/>
      </c>
      <c r="V382" s="10" t="str">
        <f t="shared" si="317"/>
        <v/>
      </c>
      <c r="W382" s="48" t="str">
        <f t="shared" si="336"/>
        <v/>
      </c>
      <c r="X382" s="11" t="str">
        <f t="shared" si="359"/>
        <v/>
      </c>
      <c r="Y382" s="11" t="str">
        <f>IF(O382&lt;&gt;"",IF($B$16=listy!$K$8,'RZĄDOWY PROGRAM'!$F$3*'RZĄDOWY PROGRAM'!$F$15,T381*$F$15),"")</f>
        <v/>
      </c>
      <c r="Z382" s="11" t="str">
        <f t="shared" si="319"/>
        <v/>
      </c>
      <c r="AB382" s="8" t="str">
        <f t="shared" si="320"/>
        <v/>
      </c>
      <c r="AC382" s="8"/>
      <c r="AD382" s="11" t="str">
        <f>IF(AB382&lt;&gt;"",ROUND(IF($F$11="raty równe",-PMT(W382/12,$F$4-AB381+SUM($AC$28:AC382),AG381,2),AE382+AF382),2),"")</f>
        <v/>
      </c>
      <c r="AE382" s="11" t="str">
        <f>IF(AB382&lt;&gt;"",IF($F$11="raty malejące",AG381/($F$4-AB381+SUM($AC$28:AC381)),MIN(AD382-AF382,AG381)),"")</f>
        <v/>
      </c>
      <c r="AF382" s="11" t="str">
        <f t="shared" si="321"/>
        <v/>
      </c>
      <c r="AG382" s="9" t="str">
        <f t="shared" si="322"/>
        <v/>
      </c>
      <c r="AH382" s="11"/>
      <c r="AI382" s="33" t="str">
        <f>IF(AB382&lt;&gt;"",ROUND(IF($F$11="raty równe",-PMT(W382/12,($F$4-AB381+SUM($AC$27:AC381)),AG381,2),AG381/($F$4-AB381+SUM($AC$27:AC381))+AG381*W382/12),2),"")</f>
        <v/>
      </c>
      <c r="AJ382" s="33" t="str">
        <f t="shared" si="323"/>
        <v/>
      </c>
      <c r="AK382" s="33" t="str">
        <f t="shared" si="330"/>
        <v/>
      </c>
      <c r="AL382" s="33" t="str">
        <f>IF(AB382&lt;&gt;"",AK382-SUM($AJ$28:AJ382),"")</f>
        <v/>
      </c>
      <c r="AM382" s="11" t="str">
        <f t="shared" si="360"/>
        <v/>
      </c>
      <c r="AN382" s="11" t="str">
        <f>IF(AB382&lt;&gt;"",IF($B$16=listy!$K$8,'RZĄDOWY PROGRAM'!$F$3*'RZĄDOWY PROGRAM'!$F$15,AG381*$F$15),"")</f>
        <v/>
      </c>
      <c r="AO382" s="11" t="str">
        <f t="shared" si="325"/>
        <v/>
      </c>
      <c r="AQ382" s="8" t="str">
        <f t="shared" si="337"/>
        <v/>
      </c>
      <c r="AR382" s="8"/>
      <c r="AS382" s="78" t="str">
        <f>IF(AQ382&lt;&gt;"",ROUND(IF($F$11="raty równe",-PMT(W382/12,$F$4-AQ381+SUM($AR$28:AR382),AV381,2),AT382+AU382),2),"")</f>
        <v/>
      </c>
      <c r="AT382" s="78" t="str">
        <f>IF(AQ382&lt;&gt;"",IF($F$11="raty malejące",AV381/($F$4-AQ381+SUM($AR$28:AR381)),MIN(AS382-AU382,AV381)),"")</f>
        <v/>
      </c>
      <c r="AU382" s="78" t="str">
        <f t="shared" si="338"/>
        <v/>
      </c>
      <c r="AV382" s="79" t="str">
        <f t="shared" si="339"/>
        <v/>
      </c>
      <c r="AW382" s="11"/>
      <c r="AX382" s="33" t="str">
        <f>IF(AQ382&lt;&gt;"",ROUND(IF($F$11="raty równe",-PMT(W382/12,($F$4-AQ381+SUM($AR$27:AR381)),AV381,2),AV381/($F$4-AQ381+SUM($AR$27:AR381))+AV381*W382/12),2),"")</f>
        <v/>
      </c>
      <c r="AY382" s="33" t="str">
        <f t="shared" si="340"/>
        <v/>
      </c>
      <c r="AZ382" s="33" t="str">
        <f t="shared" si="347"/>
        <v/>
      </c>
      <c r="BA382" s="33" t="str">
        <f>IF(AQ382&lt;&gt;"",AZ382-SUM($AY$44:AY382),"")</f>
        <v/>
      </c>
      <c r="BB382" s="11" t="str">
        <f t="shared" si="341"/>
        <v/>
      </c>
      <c r="BC382" s="11" t="str">
        <f>IF(AQ382&lt;&gt;"",IF($B$16=listy!$K$8,'RZĄDOWY PROGRAM'!$F$3*'RZĄDOWY PROGRAM'!$F$15,AV381*$F$15),"")</f>
        <v/>
      </c>
      <c r="BD382" s="11" t="str">
        <f t="shared" si="342"/>
        <v/>
      </c>
      <c r="BF382" s="8" t="str">
        <f t="shared" si="351"/>
        <v/>
      </c>
      <c r="BG382" s="8"/>
      <c r="BH382" s="78" t="str">
        <f>IF(BF382&lt;&gt;"",ROUND(IF($F$11="raty równe",-PMT(W382/12,$F$4-BF381+SUM(BV$28:$BV382)-SUM($BM$29:BM382),BK381,2),BI382+BJ382),2),"")</f>
        <v/>
      </c>
      <c r="BI382" s="78" t="str">
        <f>IF(BF382&lt;&gt;"",IF($F$11="raty malejące",MIN(BK381/($F$4-BF381+SUM($BG$27:BG382)-SUM($BM$27:BM382)),BK381),MIN(BH382-BJ382,BK381)),"")</f>
        <v/>
      </c>
      <c r="BJ382" s="78" t="str">
        <f t="shared" si="352"/>
        <v/>
      </c>
      <c r="BK382" s="79" t="str">
        <f t="shared" si="353"/>
        <v/>
      </c>
      <c r="BL382" s="11"/>
      <c r="BM382" s="33"/>
      <c r="BN382" s="33" t="str">
        <f t="shared" si="348"/>
        <v/>
      </c>
      <c r="BO382" s="33" t="str">
        <f t="shared" si="349"/>
        <v/>
      </c>
      <c r="BP382" s="33" t="str">
        <f>IF(O382&lt;&gt;"",BO382-SUM($BN$44:BN382),"")</f>
        <v/>
      </c>
      <c r="BQ382" s="11" t="str">
        <f t="shared" si="354"/>
        <v/>
      </c>
      <c r="BR382" s="11" t="str">
        <f>IF(BF382&lt;&gt;"",IF($B$16=listy!$K$8,'RZĄDOWY PROGRAM'!$F$3*'RZĄDOWY PROGRAM'!$F$15,BK381*$F$15),"")</f>
        <v/>
      </c>
      <c r="BS382" s="11" t="str">
        <f t="shared" si="355"/>
        <v/>
      </c>
      <c r="BU382" s="8" t="str">
        <f t="shared" si="343"/>
        <v/>
      </c>
      <c r="BV382" s="8"/>
      <c r="BW382" s="78" t="str">
        <f>IF(BU382&lt;&gt;"",ROUND(IF($F$11="raty równe",-PMT(W382/12,$F$4-BU381+SUM($BV$28:BV382)-$CB$43,BZ381,2),BX382+BY382),2),"")</f>
        <v/>
      </c>
      <c r="BX382" s="78" t="str">
        <f>IF(BU382&lt;&gt;"",IF($F$11="raty malejące",MIN(BZ381/($F$4-BU381+SUM($BV$28:BV381)-SUM($CB$28:CB381)),BZ381),MIN(BW382-BY382,BZ381)),"")</f>
        <v/>
      </c>
      <c r="BY382" s="78" t="str">
        <f t="shared" si="356"/>
        <v/>
      </c>
      <c r="BZ382" s="79" t="str">
        <f t="shared" si="346"/>
        <v/>
      </c>
      <c r="CA382" s="11"/>
      <c r="CB382" s="33"/>
      <c r="CC382" s="33" t="str">
        <f t="shared" si="344"/>
        <v/>
      </c>
      <c r="CD382" s="33" t="str">
        <f t="shared" si="350"/>
        <v/>
      </c>
      <c r="CE382" s="33" t="str">
        <f>IF(O382&lt;&gt;"",CD382-SUM($CC$44:CC382),"")</f>
        <v/>
      </c>
      <c r="CF382" s="11" t="str">
        <f t="shared" si="357"/>
        <v/>
      </c>
      <c r="CG382" s="11" t="str">
        <f>IF(BU382&lt;&gt;"",IF($B$16=listy!$K$8,'RZĄDOWY PROGRAM'!$F$3*'RZĄDOWY PROGRAM'!$F$15,BZ381*$F$15),"")</f>
        <v/>
      </c>
      <c r="CH382" s="11" t="str">
        <f t="shared" si="358"/>
        <v/>
      </c>
      <c r="CJ382" s="48" t="str">
        <f t="shared" si="331"/>
        <v/>
      </c>
      <c r="CK382" s="18" t="str">
        <f t="shared" si="332"/>
        <v/>
      </c>
      <c r="CL382" s="11" t="str">
        <f t="shared" si="345"/>
        <v/>
      </c>
      <c r="CM382" s="11" t="str">
        <f t="shared" si="333"/>
        <v/>
      </c>
      <c r="CN382" s="11" t="str">
        <f>IF(AB382&lt;&gt;"",CM382-SUM($CL$28:CL382),"")</f>
        <v/>
      </c>
    </row>
    <row r="383" spans="1:92" x14ac:dyDescent="0.45">
      <c r="A383" s="68" t="str">
        <f t="shared" si="307"/>
        <v/>
      </c>
      <c r="B383" s="8" t="str">
        <f t="shared" si="326"/>
        <v/>
      </c>
      <c r="C383" s="11" t="str">
        <f t="shared" si="327"/>
        <v/>
      </c>
      <c r="D383" s="11" t="str">
        <f t="shared" si="328"/>
        <v/>
      </c>
      <c r="E383" s="11" t="str">
        <f t="shared" si="308"/>
        <v/>
      </c>
      <c r="F383" s="9" t="str">
        <f t="shared" si="309"/>
        <v/>
      </c>
      <c r="G383" s="10" t="str">
        <f t="shared" si="310"/>
        <v/>
      </c>
      <c r="H383" s="10" t="str">
        <f t="shared" si="311"/>
        <v/>
      </c>
      <c r="I383" s="48" t="str">
        <f t="shared" si="334"/>
        <v/>
      </c>
      <c r="J383" s="11" t="str">
        <f t="shared" si="329"/>
        <v/>
      </c>
      <c r="K383" s="11" t="str">
        <f>IF(B383&lt;&gt;"",IF($B$16=listy!$K$8,'RZĄDOWY PROGRAM'!$F$3*'RZĄDOWY PROGRAM'!$F$15,F382*$F$15),"")</f>
        <v/>
      </c>
      <c r="L383" s="11" t="str">
        <f t="shared" si="312"/>
        <v/>
      </c>
      <c r="N383" s="54" t="str">
        <f t="shared" si="313"/>
        <v/>
      </c>
      <c r="O383" s="8" t="str">
        <f t="shared" si="335"/>
        <v/>
      </c>
      <c r="P383" s="8"/>
      <c r="Q383" s="11" t="str">
        <f>IF(O383&lt;&gt;"",ROUND(IF($F$11="raty równe",-PMT(W383/12,$F$4-O382+SUM($P$28:P383),T382,2),R383+S383),2),"")</f>
        <v/>
      </c>
      <c r="R383" s="11" t="str">
        <f>IF(O383&lt;&gt;"",IF($F$11="raty malejące",T382/($F$4-O382+SUM($P$28:P383)),IF(Q383-S383&gt;T382,T382,Q383-S383)),"")</f>
        <v/>
      </c>
      <c r="S383" s="11" t="str">
        <f t="shared" si="314"/>
        <v/>
      </c>
      <c r="T383" s="9" t="str">
        <f t="shared" si="315"/>
        <v/>
      </c>
      <c r="U383" s="10" t="str">
        <f t="shared" si="316"/>
        <v/>
      </c>
      <c r="V383" s="10" t="str">
        <f t="shared" si="317"/>
        <v/>
      </c>
      <c r="W383" s="48" t="str">
        <f t="shared" si="336"/>
        <v/>
      </c>
      <c r="X383" s="11" t="str">
        <f t="shared" si="359"/>
        <v/>
      </c>
      <c r="Y383" s="11" t="str">
        <f>IF(O383&lt;&gt;"",IF($B$16=listy!$K$8,'RZĄDOWY PROGRAM'!$F$3*'RZĄDOWY PROGRAM'!$F$15,T382*$F$15),"")</f>
        <v/>
      </c>
      <c r="Z383" s="11" t="str">
        <f t="shared" si="319"/>
        <v/>
      </c>
      <c r="AB383" s="8" t="str">
        <f t="shared" si="320"/>
        <v/>
      </c>
      <c r="AC383" s="8"/>
      <c r="AD383" s="11" t="str">
        <f>IF(AB383&lt;&gt;"",ROUND(IF($F$11="raty równe",-PMT(W383/12,$F$4-AB382+SUM($AC$28:AC383),AG382,2),AE383+AF383),2),"")</f>
        <v/>
      </c>
      <c r="AE383" s="11" t="str">
        <f>IF(AB383&lt;&gt;"",IF($F$11="raty malejące",AG382/($F$4-AB382+SUM($AC$28:AC382)),MIN(AD383-AF383,AG382)),"")</f>
        <v/>
      </c>
      <c r="AF383" s="11" t="str">
        <f t="shared" si="321"/>
        <v/>
      </c>
      <c r="AG383" s="9" t="str">
        <f t="shared" si="322"/>
        <v/>
      </c>
      <c r="AH383" s="11"/>
      <c r="AI383" s="33" t="str">
        <f>IF(AB383&lt;&gt;"",ROUND(IF($F$11="raty równe",-PMT(W383/12,($F$4-AB382+SUM($AC$27:AC382)),AG382,2),AG382/($F$4-AB382+SUM($AC$27:AC382))+AG382*W383/12),2),"")</f>
        <v/>
      </c>
      <c r="AJ383" s="33" t="str">
        <f t="shared" si="323"/>
        <v/>
      </c>
      <c r="AK383" s="33" t="str">
        <f t="shared" si="330"/>
        <v/>
      </c>
      <c r="AL383" s="33" t="str">
        <f>IF(AB383&lt;&gt;"",AK383-SUM($AJ$28:AJ383),"")</f>
        <v/>
      </c>
      <c r="AM383" s="11" t="str">
        <f t="shared" si="360"/>
        <v/>
      </c>
      <c r="AN383" s="11" t="str">
        <f>IF(AB383&lt;&gt;"",IF($B$16=listy!$K$8,'RZĄDOWY PROGRAM'!$F$3*'RZĄDOWY PROGRAM'!$F$15,AG382*$F$15),"")</f>
        <v/>
      </c>
      <c r="AO383" s="11" t="str">
        <f t="shared" si="325"/>
        <v/>
      </c>
      <c r="AQ383" s="8" t="str">
        <f t="shared" si="337"/>
        <v/>
      </c>
      <c r="AR383" s="8"/>
      <c r="AS383" s="78" t="str">
        <f>IF(AQ383&lt;&gt;"",ROUND(IF($F$11="raty równe",-PMT(W383/12,$F$4-AQ382+SUM($AR$28:AR383),AV382,2),AT383+AU383),2),"")</f>
        <v/>
      </c>
      <c r="AT383" s="78" t="str">
        <f>IF(AQ383&lt;&gt;"",IF($F$11="raty malejące",AV382/($F$4-AQ382+SUM($AR$28:AR382)),MIN(AS383-AU383,AV382)),"")</f>
        <v/>
      </c>
      <c r="AU383" s="78" t="str">
        <f t="shared" si="338"/>
        <v/>
      </c>
      <c r="AV383" s="79" t="str">
        <f t="shared" si="339"/>
        <v/>
      </c>
      <c r="AW383" s="11"/>
      <c r="AX383" s="33" t="str">
        <f>IF(AQ383&lt;&gt;"",ROUND(IF($F$11="raty równe",-PMT(W383/12,($F$4-AQ382+SUM($AR$27:AR382)),AV382,2),AV382/($F$4-AQ382+SUM($AR$27:AR382))+AV382*W383/12),2),"")</f>
        <v/>
      </c>
      <c r="AY383" s="33" t="str">
        <f t="shared" si="340"/>
        <v/>
      </c>
      <c r="AZ383" s="33" t="str">
        <f t="shared" si="347"/>
        <v/>
      </c>
      <c r="BA383" s="33" t="str">
        <f>IF(AQ383&lt;&gt;"",AZ383-SUM($AY$44:AY383),"")</f>
        <v/>
      </c>
      <c r="BB383" s="11" t="str">
        <f t="shared" si="341"/>
        <v/>
      </c>
      <c r="BC383" s="11" t="str">
        <f>IF(AQ383&lt;&gt;"",IF($B$16=listy!$K$8,'RZĄDOWY PROGRAM'!$F$3*'RZĄDOWY PROGRAM'!$F$15,AV382*$F$15),"")</f>
        <v/>
      </c>
      <c r="BD383" s="11" t="str">
        <f t="shared" si="342"/>
        <v/>
      </c>
      <c r="BF383" s="8" t="str">
        <f t="shared" si="351"/>
        <v/>
      </c>
      <c r="BG383" s="8"/>
      <c r="BH383" s="78" t="str">
        <f>IF(BF383&lt;&gt;"",ROUND(IF($F$11="raty równe",-PMT(W383/12,$F$4-BF382+SUM(BV$28:$BV383)-SUM($BM$29:BM383),BK382,2),BI383+BJ383),2),"")</f>
        <v/>
      </c>
      <c r="BI383" s="78" t="str">
        <f>IF(BF383&lt;&gt;"",IF($F$11="raty malejące",MIN(BK382/($F$4-BF382+SUM($BG$27:BG383)-SUM($BM$27:BM383)),BK382),MIN(BH383-BJ383,BK382)),"")</f>
        <v/>
      </c>
      <c r="BJ383" s="78" t="str">
        <f t="shared" si="352"/>
        <v/>
      </c>
      <c r="BK383" s="79" t="str">
        <f t="shared" si="353"/>
        <v/>
      </c>
      <c r="BL383" s="11"/>
      <c r="BM383" s="33"/>
      <c r="BN383" s="33" t="str">
        <f t="shared" si="348"/>
        <v/>
      </c>
      <c r="BO383" s="33" t="str">
        <f t="shared" si="349"/>
        <v/>
      </c>
      <c r="BP383" s="33" t="str">
        <f>IF(O383&lt;&gt;"",BO383-SUM($BN$44:BN383),"")</f>
        <v/>
      </c>
      <c r="BQ383" s="11" t="str">
        <f t="shared" si="354"/>
        <v/>
      </c>
      <c r="BR383" s="11" t="str">
        <f>IF(BF383&lt;&gt;"",IF($B$16=listy!$K$8,'RZĄDOWY PROGRAM'!$F$3*'RZĄDOWY PROGRAM'!$F$15,BK382*$F$15),"")</f>
        <v/>
      </c>
      <c r="BS383" s="11" t="str">
        <f t="shared" si="355"/>
        <v/>
      </c>
      <c r="BU383" s="8" t="str">
        <f t="shared" si="343"/>
        <v/>
      </c>
      <c r="BV383" s="8"/>
      <c r="BW383" s="78" t="str">
        <f>IF(BU383&lt;&gt;"",ROUND(IF($F$11="raty równe",-PMT(W383/12,$F$4-BU382+SUM($BV$28:BV383)-$CB$43,BZ382,2),BX383+BY383),2),"")</f>
        <v/>
      </c>
      <c r="BX383" s="78" t="str">
        <f>IF(BU383&lt;&gt;"",IF($F$11="raty malejące",MIN(BZ382/($F$4-BU382+SUM($BV$28:BV382)-SUM($CB$28:CB382)),BZ382),MIN(BW383-BY383,BZ382)),"")</f>
        <v/>
      </c>
      <c r="BY383" s="78" t="str">
        <f t="shared" si="356"/>
        <v/>
      </c>
      <c r="BZ383" s="79" t="str">
        <f t="shared" si="346"/>
        <v/>
      </c>
      <c r="CA383" s="11"/>
      <c r="CB383" s="33"/>
      <c r="CC383" s="33" t="str">
        <f t="shared" si="344"/>
        <v/>
      </c>
      <c r="CD383" s="33" t="str">
        <f t="shared" si="350"/>
        <v/>
      </c>
      <c r="CE383" s="33" t="str">
        <f>IF(O383&lt;&gt;"",CD383-SUM($CC$44:CC383),"")</f>
        <v/>
      </c>
      <c r="CF383" s="11" t="str">
        <f t="shared" si="357"/>
        <v/>
      </c>
      <c r="CG383" s="11" t="str">
        <f>IF(BU383&lt;&gt;"",IF($B$16=listy!$K$8,'RZĄDOWY PROGRAM'!$F$3*'RZĄDOWY PROGRAM'!$F$15,BZ382*$F$15),"")</f>
        <v/>
      </c>
      <c r="CH383" s="11" t="str">
        <f t="shared" si="358"/>
        <v/>
      </c>
      <c r="CJ383" s="48" t="str">
        <f t="shared" si="331"/>
        <v/>
      </c>
      <c r="CK383" s="18" t="str">
        <f t="shared" si="332"/>
        <v/>
      </c>
      <c r="CL383" s="11" t="str">
        <f t="shared" si="345"/>
        <v/>
      </c>
      <c r="CM383" s="11" t="str">
        <f t="shared" si="333"/>
        <v/>
      </c>
      <c r="CN383" s="11" t="str">
        <f>IF(AB383&lt;&gt;"",CM383-SUM($CL$28:CL383),"")</f>
        <v/>
      </c>
    </row>
    <row r="384" spans="1:92" x14ac:dyDescent="0.45">
      <c r="A384" s="68" t="str">
        <f t="shared" si="307"/>
        <v/>
      </c>
      <c r="B384" s="8" t="str">
        <f t="shared" si="326"/>
        <v/>
      </c>
      <c r="C384" s="11" t="str">
        <f t="shared" si="327"/>
        <v/>
      </c>
      <c r="D384" s="11" t="str">
        <f t="shared" si="328"/>
        <v/>
      </c>
      <c r="E384" s="11" t="str">
        <f t="shared" si="308"/>
        <v/>
      </c>
      <c r="F384" s="9" t="str">
        <f t="shared" si="309"/>
        <v/>
      </c>
      <c r="G384" s="10" t="str">
        <f t="shared" si="310"/>
        <v/>
      </c>
      <c r="H384" s="10" t="str">
        <f t="shared" si="311"/>
        <v/>
      </c>
      <c r="I384" s="48" t="str">
        <f t="shared" si="334"/>
        <v/>
      </c>
      <c r="J384" s="11" t="str">
        <f t="shared" si="329"/>
        <v/>
      </c>
      <c r="K384" s="11" t="str">
        <f>IF(B384&lt;&gt;"",IF($B$16=listy!$K$8,'RZĄDOWY PROGRAM'!$F$3*'RZĄDOWY PROGRAM'!$F$15,F383*$F$15),"")</f>
        <v/>
      </c>
      <c r="L384" s="11" t="str">
        <f t="shared" si="312"/>
        <v/>
      </c>
      <c r="N384" s="54" t="str">
        <f t="shared" si="313"/>
        <v/>
      </c>
      <c r="O384" s="8" t="str">
        <f t="shared" si="335"/>
        <v/>
      </c>
      <c r="P384" s="8"/>
      <c r="Q384" s="11" t="str">
        <f>IF(O384&lt;&gt;"",ROUND(IF($F$11="raty równe",-PMT(W384/12,$F$4-O383+SUM($P$28:P384),T383,2),R384+S384),2),"")</f>
        <v/>
      </c>
      <c r="R384" s="11" t="str">
        <f>IF(O384&lt;&gt;"",IF($F$11="raty malejące",T383/($F$4-O383+SUM($P$28:P384)),IF(Q384-S384&gt;T383,T383,Q384-S384)),"")</f>
        <v/>
      </c>
      <c r="S384" s="11" t="str">
        <f t="shared" si="314"/>
        <v/>
      </c>
      <c r="T384" s="9" t="str">
        <f t="shared" si="315"/>
        <v/>
      </c>
      <c r="U384" s="10" t="str">
        <f t="shared" si="316"/>
        <v/>
      </c>
      <c r="V384" s="10" t="str">
        <f t="shared" si="317"/>
        <v/>
      </c>
      <c r="W384" s="48" t="str">
        <f t="shared" si="336"/>
        <v/>
      </c>
      <c r="X384" s="11" t="str">
        <f t="shared" si="359"/>
        <v/>
      </c>
      <c r="Y384" s="11" t="str">
        <f>IF(O384&lt;&gt;"",IF($B$16=listy!$K$8,'RZĄDOWY PROGRAM'!$F$3*'RZĄDOWY PROGRAM'!$F$15,T383*$F$15),"")</f>
        <v/>
      </c>
      <c r="Z384" s="11" t="str">
        <f t="shared" si="319"/>
        <v/>
      </c>
      <c r="AB384" s="8" t="str">
        <f t="shared" si="320"/>
        <v/>
      </c>
      <c r="AC384" s="8"/>
      <c r="AD384" s="11" t="str">
        <f>IF(AB384&lt;&gt;"",ROUND(IF($F$11="raty równe",-PMT(W384/12,$F$4-AB383+SUM($AC$28:AC384),AG383,2),AE384+AF384),2),"")</f>
        <v/>
      </c>
      <c r="AE384" s="11" t="str">
        <f>IF(AB384&lt;&gt;"",IF($F$11="raty malejące",AG383/($F$4-AB383+SUM($AC$28:AC383)),MIN(AD384-AF384,AG383)),"")</f>
        <v/>
      </c>
      <c r="AF384" s="11" t="str">
        <f t="shared" si="321"/>
        <v/>
      </c>
      <c r="AG384" s="9" t="str">
        <f t="shared" si="322"/>
        <v/>
      </c>
      <c r="AH384" s="11"/>
      <c r="AI384" s="33" t="str">
        <f>IF(AB384&lt;&gt;"",ROUND(IF($F$11="raty równe",-PMT(W384/12,($F$4-AB383+SUM($AC$27:AC383)),AG383,2),AG383/($F$4-AB383+SUM($AC$27:AC383))+AG383*W384/12),2),"")</f>
        <v/>
      </c>
      <c r="AJ384" s="33" t="str">
        <f t="shared" si="323"/>
        <v/>
      </c>
      <c r="AK384" s="33" t="str">
        <f t="shared" si="330"/>
        <v/>
      </c>
      <c r="AL384" s="33" t="str">
        <f>IF(AB384&lt;&gt;"",AK384-SUM($AJ$28:AJ384),"")</f>
        <v/>
      </c>
      <c r="AM384" s="11" t="str">
        <f t="shared" si="360"/>
        <v/>
      </c>
      <c r="AN384" s="11" t="str">
        <f>IF(AB384&lt;&gt;"",IF($B$16=listy!$K$8,'RZĄDOWY PROGRAM'!$F$3*'RZĄDOWY PROGRAM'!$F$15,AG383*$F$15),"")</f>
        <v/>
      </c>
      <c r="AO384" s="11" t="str">
        <f t="shared" si="325"/>
        <v/>
      </c>
      <c r="AQ384" s="8" t="str">
        <f t="shared" si="337"/>
        <v/>
      </c>
      <c r="AR384" s="8"/>
      <c r="AS384" s="78" t="str">
        <f>IF(AQ384&lt;&gt;"",ROUND(IF($F$11="raty równe",-PMT(W384/12,$F$4-AQ383+SUM($AR$28:AR384),AV383,2),AT384+AU384),2),"")</f>
        <v/>
      </c>
      <c r="AT384" s="78" t="str">
        <f>IF(AQ384&lt;&gt;"",IF($F$11="raty malejące",AV383/($F$4-AQ383+SUM($AR$28:AR383)),MIN(AS384-AU384,AV383)),"")</f>
        <v/>
      </c>
      <c r="AU384" s="78" t="str">
        <f t="shared" si="338"/>
        <v/>
      </c>
      <c r="AV384" s="79" t="str">
        <f t="shared" si="339"/>
        <v/>
      </c>
      <c r="AW384" s="11"/>
      <c r="AX384" s="33" t="str">
        <f>IF(AQ384&lt;&gt;"",ROUND(IF($F$11="raty równe",-PMT(W384/12,($F$4-AQ383+SUM($AR$27:AR383)),AV383,2),AV383/($F$4-AQ383+SUM($AR$27:AR383))+AV383*W384/12),2),"")</f>
        <v/>
      </c>
      <c r="AY384" s="33" t="str">
        <f t="shared" si="340"/>
        <v/>
      </c>
      <c r="AZ384" s="33" t="str">
        <f t="shared" si="347"/>
        <v/>
      </c>
      <c r="BA384" s="33" t="str">
        <f>IF(AQ384&lt;&gt;"",AZ384-SUM($AY$44:AY384),"")</f>
        <v/>
      </c>
      <c r="BB384" s="11" t="str">
        <f t="shared" si="341"/>
        <v/>
      </c>
      <c r="BC384" s="11" t="str">
        <f>IF(AQ384&lt;&gt;"",IF($B$16=listy!$K$8,'RZĄDOWY PROGRAM'!$F$3*'RZĄDOWY PROGRAM'!$F$15,AV383*$F$15),"")</f>
        <v/>
      </c>
      <c r="BD384" s="11" t="str">
        <f t="shared" si="342"/>
        <v/>
      </c>
      <c r="BF384" s="8" t="str">
        <f t="shared" si="351"/>
        <v/>
      </c>
      <c r="BG384" s="8"/>
      <c r="BH384" s="78" t="str">
        <f>IF(BF384&lt;&gt;"",ROUND(IF($F$11="raty równe",-PMT(W384/12,$F$4-BF383+SUM(BV$28:$BV384)-SUM($BM$29:BM384),BK383,2),BI384+BJ384),2),"")</f>
        <v/>
      </c>
      <c r="BI384" s="78" t="str">
        <f>IF(BF384&lt;&gt;"",IF($F$11="raty malejące",MIN(BK383/($F$4-BF383+SUM($BG$27:BG384)-SUM($BM$27:BM384)),BK383),MIN(BH384-BJ384,BK383)),"")</f>
        <v/>
      </c>
      <c r="BJ384" s="78" t="str">
        <f t="shared" si="352"/>
        <v/>
      </c>
      <c r="BK384" s="79" t="str">
        <f t="shared" si="353"/>
        <v/>
      </c>
      <c r="BL384" s="11"/>
      <c r="BM384" s="33"/>
      <c r="BN384" s="33" t="str">
        <f t="shared" si="348"/>
        <v/>
      </c>
      <c r="BO384" s="33" t="str">
        <f t="shared" si="349"/>
        <v/>
      </c>
      <c r="BP384" s="33" t="str">
        <f>IF(O384&lt;&gt;"",BO384-SUM($BN$44:BN384),"")</f>
        <v/>
      </c>
      <c r="BQ384" s="11" t="str">
        <f t="shared" si="354"/>
        <v/>
      </c>
      <c r="BR384" s="11" t="str">
        <f>IF(BF384&lt;&gt;"",IF($B$16=listy!$K$8,'RZĄDOWY PROGRAM'!$F$3*'RZĄDOWY PROGRAM'!$F$15,BK383*$F$15),"")</f>
        <v/>
      </c>
      <c r="BS384" s="11" t="str">
        <f t="shared" si="355"/>
        <v/>
      </c>
      <c r="BU384" s="8" t="str">
        <f t="shared" si="343"/>
        <v/>
      </c>
      <c r="BV384" s="8"/>
      <c r="BW384" s="78" t="str">
        <f>IF(BU384&lt;&gt;"",ROUND(IF($F$11="raty równe",-PMT(W384/12,$F$4-BU383+SUM($BV$28:BV384)-$CB$43,BZ383,2),BX384+BY384),2),"")</f>
        <v/>
      </c>
      <c r="BX384" s="78" t="str">
        <f>IF(BU384&lt;&gt;"",IF($F$11="raty malejące",MIN(BZ383/($F$4-BU383+SUM($BV$28:BV383)-SUM($CB$28:CB383)),BZ383),MIN(BW384-BY384,BZ383)),"")</f>
        <v/>
      </c>
      <c r="BY384" s="78" t="str">
        <f t="shared" si="356"/>
        <v/>
      </c>
      <c r="BZ384" s="79" t="str">
        <f t="shared" si="346"/>
        <v/>
      </c>
      <c r="CA384" s="11"/>
      <c r="CB384" s="33"/>
      <c r="CC384" s="33" t="str">
        <f t="shared" si="344"/>
        <v/>
      </c>
      <c r="CD384" s="33" t="str">
        <f t="shared" si="350"/>
        <v/>
      </c>
      <c r="CE384" s="33" t="str">
        <f>IF(O384&lt;&gt;"",CD384-SUM($CC$44:CC384),"")</f>
        <v/>
      </c>
      <c r="CF384" s="11" t="str">
        <f t="shared" si="357"/>
        <v/>
      </c>
      <c r="CG384" s="11" t="str">
        <f>IF(BU384&lt;&gt;"",IF($B$16=listy!$K$8,'RZĄDOWY PROGRAM'!$F$3*'RZĄDOWY PROGRAM'!$F$15,BZ383*$F$15),"")</f>
        <v/>
      </c>
      <c r="CH384" s="11" t="str">
        <f t="shared" si="358"/>
        <v/>
      </c>
      <c r="CJ384" s="48" t="str">
        <f t="shared" si="331"/>
        <v/>
      </c>
      <c r="CK384" s="18" t="str">
        <f t="shared" si="332"/>
        <v/>
      </c>
      <c r="CL384" s="11" t="str">
        <f t="shared" si="345"/>
        <v/>
      </c>
      <c r="CM384" s="11" t="str">
        <f t="shared" si="333"/>
        <v/>
      </c>
      <c r="CN384" s="11" t="str">
        <f>IF(AB384&lt;&gt;"",CM384-SUM($CL$28:CL384),"")</f>
        <v/>
      </c>
    </row>
    <row r="385" spans="1:92" x14ac:dyDescent="0.45">
      <c r="A385" s="68" t="str">
        <f t="shared" si="307"/>
        <v/>
      </c>
      <c r="B385" s="8" t="str">
        <f t="shared" si="326"/>
        <v/>
      </c>
      <c r="C385" s="11" t="str">
        <f t="shared" si="327"/>
        <v/>
      </c>
      <c r="D385" s="11" t="str">
        <f t="shared" si="328"/>
        <v/>
      </c>
      <c r="E385" s="11" t="str">
        <f t="shared" si="308"/>
        <v/>
      </c>
      <c r="F385" s="9" t="str">
        <f t="shared" si="309"/>
        <v/>
      </c>
      <c r="G385" s="10" t="str">
        <f t="shared" si="310"/>
        <v/>
      </c>
      <c r="H385" s="10" t="str">
        <f t="shared" si="311"/>
        <v/>
      </c>
      <c r="I385" s="48" t="str">
        <f t="shared" si="334"/>
        <v/>
      </c>
      <c r="J385" s="11" t="str">
        <f t="shared" si="329"/>
        <v/>
      </c>
      <c r="K385" s="11" t="str">
        <f>IF(B385&lt;&gt;"",IF($B$16=listy!$K$8,'RZĄDOWY PROGRAM'!$F$3*'RZĄDOWY PROGRAM'!$F$15,F384*$F$15),"")</f>
        <v/>
      </c>
      <c r="L385" s="11" t="str">
        <f t="shared" si="312"/>
        <v/>
      </c>
      <c r="N385" s="54" t="str">
        <f t="shared" si="313"/>
        <v/>
      </c>
      <c r="O385" s="8" t="str">
        <f t="shared" si="335"/>
        <v/>
      </c>
      <c r="P385" s="8"/>
      <c r="Q385" s="11" t="str">
        <f>IF(O385&lt;&gt;"",ROUND(IF($F$11="raty równe",-PMT(W385/12,$F$4-O384+SUM($P$28:P385),T384,2),R385+S385),2),"")</f>
        <v/>
      </c>
      <c r="R385" s="11" t="str">
        <f>IF(O385&lt;&gt;"",IF($F$11="raty malejące",T384/($F$4-O384+SUM($P$28:P385)),IF(Q385-S385&gt;T384,T384,Q385-S385)),"")</f>
        <v/>
      </c>
      <c r="S385" s="11" t="str">
        <f t="shared" si="314"/>
        <v/>
      </c>
      <c r="T385" s="9" t="str">
        <f t="shared" si="315"/>
        <v/>
      </c>
      <c r="U385" s="10" t="str">
        <f t="shared" si="316"/>
        <v/>
      </c>
      <c r="V385" s="10" t="str">
        <f t="shared" si="317"/>
        <v/>
      </c>
      <c r="W385" s="48" t="str">
        <f t="shared" si="336"/>
        <v/>
      </c>
      <c r="X385" s="11" t="str">
        <f t="shared" si="359"/>
        <v/>
      </c>
      <c r="Y385" s="11" t="str">
        <f>IF(O385&lt;&gt;"",IF($B$16=listy!$K$8,'RZĄDOWY PROGRAM'!$F$3*'RZĄDOWY PROGRAM'!$F$15,T384*$F$15),"")</f>
        <v/>
      </c>
      <c r="Z385" s="11" t="str">
        <f t="shared" si="319"/>
        <v/>
      </c>
      <c r="AB385" s="8" t="str">
        <f t="shared" si="320"/>
        <v/>
      </c>
      <c r="AC385" s="8"/>
      <c r="AD385" s="11" t="str">
        <f>IF(AB385&lt;&gt;"",ROUND(IF($F$11="raty równe",-PMT(W385/12,$F$4-AB384+SUM($AC$28:AC385),AG384,2),AE385+AF385),2),"")</f>
        <v/>
      </c>
      <c r="AE385" s="11" t="str">
        <f>IF(AB385&lt;&gt;"",IF($F$11="raty malejące",AG384/($F$4-AB384+SUM($AC$28:AC384)),MIN(AD385-AF385,AG384)),"")</f>
        <v/>
      </c>
      <c r="AF385" s="11" t="str">
        <f t="shared" si="321"/>
        <v/>
      </c>
      <c r="AG385" s="9" t="str">
        <f t="shared" si="322"/>
        <v/>
      </c>
      <c r="AH385" s="11"/>
      <c r="AI385" s="33" t="str">
        <f>IF(AB385&lt;&gt;"",ROUND(IF($F$11="raty równe",-PMT(W385/12,($F$4-AB384+SUM($AC$27:AC384)),AG384,2),AG384/($F$4-AB384+SUM($AC$27:AC384))+AG384*W385/12),2),"")</f>
        <v/>
      </c>
      <c r="AJ385" s="33" t="str">
        <f t="shared" si="323"/>
        <v/>
      </c>
      <c r="AK385" s="33" t="str">
        <f t="shared" si="330"/>
        <v/>
      </c>
      <c r="AL385" s="33" t="str">
        <f>IF(AB385&lt;&gt;"",AK385-SUM($AJ$28:AJ385),"")</f>
        <v/>
      </c>
      <c r="AM385" s="11" t="str">
        <f t="shared" si="360"/>
        <v/>
      </c>
      <c r="AN385" s="11" t="str">
        <f>IF(AB385&lt;&gt;"",IF($B$16=listy!$K$8,'RZĄDOWY PROGRAM'!$F$3*'RZĄDOWY PROGRAM'!$F$15,AG384*$F$15),"")</f>
        <v/>
      </c>
      <c r="AO385" s="11" t="str">
        <f t="shared" si="325"/>
        <v/>
      </c>
      <c r="AQ385" s="8" t="str">
        <f t="shared" si="337"/>
        <v/>
      </c>
      <c r="AR385" s="8"/>
      <c r="AS385" s="78" t="str">
        <f>IF(AQ385&lt;&gt;"",ROUND(IF($F$11="raty równe",-PMT(W385/12,$F$4-AQ384+SUM($AR$28:AR385),AV384,2),AT385+AU385),2),"")</f>
        <v/>
      </c>
      <c r="AT385" s="78" t="str">
        <f>IF(AQ385&lt;&gt;"",IF($F$11="raty malejące",AV384/($F$4-AQ384+SUM($AR$28:AR384)),MIN(AS385-AU385,AV384)),"")</f>
        <v/>
      </c>
      <c r="AU385" s="78" t="str">
        <f t="shared" si="338"/>
        <v/>
      </c>
      <c r="AV385" s="79" t="str">
        <f t="shared" si="339"/>
        <v/>
      </c>
      <c r="AW385" s="11"/>
      <c r="AX385" s="33" t="str">
        <f>IF(AQ385&lt;&gt;"",ROUND(IF($F$11="raty równe",-PMT(W385/12,($F$4-AQ384+SUM($AR$27:AR384)),AV384,2),AV384/($F$4-AQ384+SUM($AR$27:AR384))+AV384*W385/12),2),"")</f>
        <v/>
      </c>
      <c r="AY385" s="33" t="str">
        <f t="shared" si="340"/>
        <v/>
      </c>
      <c r="AZ385" s="33" t="str">
        <f t="shared" si="347"/>
        <v/>
      </c>
      <c r="BA385" s="33" t="str">
        <f>IF(AQ385&lt;&gt;"",AZ385-SUM($AY$44:AY385),"")</f>
        <v/>
      </c>
      <c r="BB385" s="11" t="str">
        <f t="shared" si="341"/>
        <v/>
      </c>
      <c r="BC385" s="11" t="str">
        <f>IF(AQ385&lt;&gt;"",IF($B$16=listy!$K$8,'RZĄDOWY PROGRAM'!$F$3*'RZĄDOWY PROGRAM'!$F$15,AV384*$F$15),"")</f>
        <v/>
      </c>
      <c r="BD385" s="11" t="str">
        <f t="shared" si="342"/>
        <v/>
      </c>
      <c r="BF385" s="8" t="str">
        <f t="shared" si="351"/>
        <v/>
      </c>
      <c r="BG385" s="8"/>
      <c r="BH385" s="78" t="str">
        <f>IF(BF385&lt;&gt;"",ROUND(IF($F$11="raty równe",-PMT(W385/12,$F$4-BF384+SUM(BV$28:$BV385)-SUM($BM$29:BM385),BK384,2),BI385+BJ385),2),"")</f>
        <v/>
      </c>
      <c r="BI385" s="78" t="str">
        <f>IF(BF385&lt;&gt;"",IF($F$11="raty malejące",MIN(BK384/($F$4-BF384+SUM($BG$27:BG385)-SUM($BM$27:BM385)),BK384),MIN(BH385-BJ385,BK384)),"")</f>
        <v/>
      </c>
      <c r="BJ385" s="78" t="str">
        <f t="shared" si="352"/>
        <v/>
      </c>
      <c r="BK385" s="79" t="str">
        <f t="shared" si="353"/>
        <v/>
      </c>
      <c r="BL385" s="11"/>
      <c r="BM385" s="33"/>
      <c r="BN385" s="33" t="str">
        <f t="shared" si="348"/>
        <v/>
      </c>
      <c r="BO385" s="33" t="str">
        <f t="shared" si="349"/>
        <v/>
      </c>
      <c r="BP385" s="33" t="str">
        <f>IF(O385&lt;&gt;"",BO385-SUM($BN$44:BN385),"")</f>
        <v/>
      </c>
      <c r="BQ385" s="11" t="str">
        <f t="shared" si="354"/>
        <v/>
      </c>
      <c r="BR385" s="11" t="str">
        <f>IF(BF385&lt;&gt;"",IF($B$16=listy!$K$8,'RZĄDOWY PROGRAM'!$F$3*'RZĄDOWY PROGRAM'!$F$15,BK384*$F$15),"")</f>
        <v/>
      </c>
      <c r="BS385" s="11" t="str">
        <f t="shared" si="355"/>
        <v/>
      </c>
      <c r="BU385" s="8" t="str">
        <f t="shared" si="343"/>
        <v/>
      </c>
      <c r="BV385" s="8"/>
      <c r="BW385" s="78" t="str">
        <f>IF(BU385&lt;&gt;"",ROUND(IF($F$11="raty równe",-PMT(W385/12,$F$4-BU384+SUM($BV$28:BV385)-$CB$43,BZ384,2),BX385+BY385),2),"")</f>
        <v/>
      </c>
      <c r="BX385" s="78" t="str">
        <f>IF(BU385&lt;&gt;"",IF($F$11="raty malejące",MIN(BZ384/($F$4-BU384+SUM($BV$28:BV384)-SUM($CB$28:CB384)),BZ384),MIN(BW385-BY385,BZ384)),"")</f>
        <v/>
      </c>
      <c r="BY385" s="78" t="str">
        <f t="shared" si="356"/>
        <v/>
      </c>
      <c r="BZ385" s="79" t="str">
        <f t="shared" si="346"/>
        <v/>
      </c>
      <c r="CA385" s="11"/>
      <c r="CB385" s="33"/>
      <c r="CC385" s="33" t="str">
        <f t="shared" si="344"/>
        <v/>
      </c>
      <c r="CD385" s="33" t="str">
        <f t="shared" si="350"/>
        <v/>
      </c>
      <c r="CE385" s="33" t="str">
        <f>IF(O385&lt;&gt;"",CD385-SUM($CC$44:CC385),"")</f>
        <v/>
      </c>
      <c r="CF385" s="11" t="str">
        <f t="shared" si="357"/>
        <v/>
      </c>
      <c r="CG385" s="11" t="str">
        <f>IF(BU385&lt;&gt;"",IF($B$16=listy!$K$8,'RZĄDOWY PROGRAM'!$F$3*'RZĄDOWY PROGRAM'!$F$15,BZ384*$F$15),"")</f>
        <v/>
      </c>
      <c r="CH385" s="11" t="str">
        <f t="shared" si="358"/>
        <v/>
      </c>
      <c r="CJ385" s="48" t="str">
        <f t="shared" si="331"/>
        <v/>
      </c>
      <c r="CK385" s="18" t="str">
        <f t="shared" si="332"/>
        <v/>
      </c>
      <c r="CL385" s="11" t="str">
        <f t="shared" si="345"/>
        <v/>
      </c>
      <c r="CM385" s="11" t="str">
        <f t="shared" si="333"/>
        <v/>
      </c>
      <c r="CN385" s="11" t="str">
        <f>IF(AB385&lt;&gt;"",CM385-SUM($CL$28:CL385),"")</f>
        <v/>
      </c>
    </row>
    <row r="386" spans="1:92" x14ac:dyDescent="0.45">
      <c r="A386" s="68" t="str">
        <f t="shared" si="307"/>
        <v/>
      </c>
      <c r="B386" s="8" t="str">
        <f t="shared" si="326"/>
        <v/>
      </c>
      <c r="C386" s="11" t="str">
        <f t="shared" si="327"/>
        <v/>
      </c>
      <c r="D386" s="11" t="str">
        <f t="shared" si="328"/>
        <v/>
      </c>
      <c r="E386" s="11" t="str">
        <f t="shared" si="308"/>
        <v/>
      </c>
      <c r="F386" s="9" t="str">
        <f t="shared" si="309"/>
        <v/>
      </c>
      <c r="G386" s="10" t="str">
        <f t="shared" si="310"/>
        <v/>
      </c>
      <c r="H386" s="10" t="str">
        <f t="shared" si="311"/>
        <v/>
      </c>
      <c r="I386" s="48" t="str">
        <f t="shared" si="334"/>
        <v/>
      </c>
      <c r="J386" s="11" t="str">
        <f t="shared" si="329"/>
        <v/>
      </c>
      <c r="K386" s="11" t="str">
        <f>IF(B386&lt;&gt;"",IF($B$16=listy!$K$8,'RZĄDOWY PROGRAM'!$F$3*'RZĄDOWY PROGRAM'!$F$15,F385*$F$15),"")</f>
        <v/>
      </c>
      <c r="L386" s="11" t="str">
        <f t="shared" si="312"/>
        <v/>
      </c>
      <c r="N386" s="54" t="str">
        <f t="shared" si="313"/>
        <v/>
      </c>
      <c r="O386" s="8" t="str">
        <f t="shared" si="335"/>
        <v/>
      </c>
      <c r="P386" s="8"/>
      <c r="Q386" s="11" t="str">
        <f>IF(O386&lt;&gt;"",ROUND(IF($F$11="raty równe",-PMT(W386/12,$F$4-O385+SUM($P$28:P386),T385,2),R386+S386),2),"")</f>
        <v/>
      </c>
      <c r="R386" s="11" t="str">
        <f>IF(O386&lt;&gt;"",IF($F$11="raty malejące",T385/($F$4-O385+SUM($P$28:P386)),IF(Q386-S386&gt;T385,T385,Q386-S386)),"")</f>
        <v/>
      </c>
      <c r="S386" s="11" t="str">
        <f t="shared" si="314"/>
        <v/>
      </c>
      <c r="T386" s="9" t="str">
        <f t="shared" si="315"/>
        <v/>
      </c>
      <c r="U386" s="10" t="str">
        <f t="shared" si="316"/>
        <v/>
      </c>
      <c r="V386" s="10" t="str">
        <f t="shared" si="317"/>
        <v/>
      </c>
      <c r="W386" s="48" t="str">
        <f t="shared" si="336"/>
        <v/>
      </c>
      <c r="X386" s="11" t="str">
        <f t="shared" si="359"/>
        <v/>
      </c>
      <c r="Y386" s="11" t="str">
        <f>IF(O386&lt;&gt;"",IF($B$16=listy!$K$8,'RZĄDOWY PROGRAM'!$F$3*'RZĄDOWY PROGRAM'!$F$15,T385*$F$15),"")</f>
        <v/>
      </c>
      <c r="Z386" s="11" t="str">
        <f t="shared" si="319"/>
        <v/>
      </c>
      <c r="AB386" s="8" t="str">
        <f t="shared" si="320"/>
        <v/>
      </c>
      <c r="AC386" s="8"/>
      <c r="AD386" s="11" t="str">
        <f>IF(AB386&lt;&gt;"",ROUND(IF($F$11="raty równe",-PMT(W386/12,$F$4-AB385+SUM($AC$28:AC386),AG385,2),AE386+AF386),2),"")</f>
        <v/>
      </c>
      <c r="AE386" s="11" t="str">
        <f>IF(AB386&lt;&gt;"",IF($F$11="raty malejące",AG385/($F$4-AB385+SUM($AC$28:AC385)),MIN(AD386-AF386,AG385)),"")</f>
        <v/>
      </c>
      <c r="AF386" s="11" t="str">
        <f t="shared" si="321"/>
        <v/>
      </c>
      <c r="AG386" s="9" t="str">
        <f t="shared" si="322"/>
        <v/>
      </c>
      <c r="AH386" s="11"/>
      <c r="AI386" s="33" t="str">
        <f>IF(AB386&lt;&gt;"",ROUND(IF($F$11="raty równe",-PMT(W386/12,($F$4-AB385+SUM($AC$27:AC385)),AG385,2),AG385/($F$4-AB385+SUM($AC$27:AC385))+AG385*W386/12),2),"")</f>
        <v/>
      </c>
      <c r="AJ386" s="33" t="str">
        <f t="shared" si="323"/>
        <v/>
      </c>
      <c r="AK386" s="33" t="str">
        <f t="shared" si="330"/>
        <v/>
      </c>
      <c r="AL386" s="33" t="str">
        <f>IF(AB386&lt;&gt;"",AK386-SUM($AJ$28:AJ386),"")</f>
        <v/>
      </c>
      <c r="AM386" s="11" t="str">
        <f t="shared" si="360"/>
        <v/>
      </c>
      <c r="AN386" s="11" t="str">
        <f>IF(AB386&lt;&gt;"",IF($B$16=listy!$K$8,'RZĄDOWY PROGRAM'!$F$3*'RZĄDOWY PROGRAM'!$F$15,AG385*$F$15),"")</f>
        <v/>
      </c>
      <c r="AO386" s="11" t="str">
        <f t="shared" si="325"/>
        <v/>
      </c>
      <c r="AQ386" s="8" t="str">
        <f t="shared" si="337"/>
        <v/>
      </c>
      <c r="AR386" s="8"/>
      <c r="AS386" s="78" t="str">
        <f>IF(AQ386&lt;&gt;"",ROUND(IF($F$11="raty równe",-PMT(W386/12,$F$4-AQ385+SUM($AR$28:AR386),AV385,2),AT386+AU386),2),"")</f>
        <v/>
      </c>
      <c r="AT386" s="78" t="str">
        <f>IF(AQ386&lt;&gt;"",IF($F$11="raty malejące",AV385/($F$4-AQ385+SUM($AR$28:AR385)),MIN(AS386-AU386,AV385)),"")</f>
        <v/>
      </c>
      <c r="AU386" s="78" t="str">
        <f t="shared" si="338"/>
        <v/>
      </c>
      <c r="AV386" s="79" t="str">
        <f t="shared" si="339"/>
        <v/>
      </c>
      <c r="AW386" s="11"/>
      <c r="AX386" s="33" t="str">
        <f>IF(AQ386&lt;&gt;"",ROUND(IF($F$11="raty równe",-PMT(W386/12,($F$4-AQ385+SUM($AR$27:AR385)),AV385,2),AV385/($F$4-AQ385+SUM($AR$27:AR385))+AV385*W386/12),2),"")</f>
        <v/>
      </c>
      <c r="AY386" s="33" t="str">
        <f t="shared" si="340"/>
        <v/>
      </c>
      <c r="AZ386" s="33" t="str">
        <f t="shared" si="347"/>
        <v/>
      </c>
      <c r="BA386" s="33" t="str">
        <f>IF(AQ386&lt;&gt;"",AZ386-SUM($AY$44:AY386),"")</f>
        <v/>
      </c>
      <c r="BB386" s="11" t="str">
        <f t="shared" si="341"/>
        <v/>
      </c>
      <c r="BC386" s="11" t="str">
        <f>IF(AQ386&lt;&gt;"",IF($B$16=listy!$K$8,'RZĄDOWY PROGRAM'!$F$3*'RZĄDOWY PROGRAM'!$F$15,AV385*$F$15),"")</f>
        <v/>
      </c>
      <c r="BD386" s="11" t="str">
        <f t="shared" si="342"/>
        <v/>
      </c>
      <c r="BF386" s="8" t="str">
        <f t="shared" si="351"/>
        <v/>
      </c>
      <c r="BG386" s="8"/>
      <c r="BH386" s="78" t="str">
        <f>IF(BF386&lt;&gt;"",ROUND(IF($F$11="raty równe",-PMT(W386/12,$F$4-BF385+SUM(BV$28:$BV386)-SUM($BM$29:BM386),BK385,2),BI386+BJ386),2),"")</f>
        <v/>
      </c>
      <c r="BI386" s="78" t="str">
        <f>IF(BF386&lt;&gt;"",IF($F$11="raty malejące",MIN(BK385/($F$4-BF385+SUM($BG$27:BG386)-SUM($BM$27:BM386)),BK385),MIN(BH386-BJ386,BK385)),"")</f>
        <v/>
      </c>
      <c r="BJ386" s="78" t="str">
        <f t="shared" si="352"/>
        <v/>
      </c>
      <c r="BK386" s="79" t="str">
        <f t="shared" si="353"/>
        <v/>
      </c>
      <c r="BL386" s="11"/>
      <c r="BM386" s="33"/>
      <c r="BN386" s="33" t="str">
        <f t="shared" si="348"/>
        <v/>
      </c>
      <c r="BO386" s="33" t="str">
        <f t="shared" si="349"/>
        <v/>
      </c>
      <c r="BP386" s="33" t="str">
        <f>IF(O386&lt;&gt;"",BO386-SUM($BN$44:BN386),"")</f>
        <v/>
      </c>
      <c r="BQ386" s="11" t="str">
        <f t="shared" si="354"/>
        <v/>
      </c>
      <c r="BR386" s="11" t="str">
        <f>IF(BF386&lt;&gt;"",IF($B$16=listy!$K$8,'RZĄDOWY PROGRAM'!$F$3*'RZĄDOWY PROGRAM'!$F$15,BK385*$F$15),"")</f>
        <v/>
      </c>
      <c r="BS386" s="11" t="str">
        <f t="shared" si="355"/>
        <v/>
      </c>
      <c r="BU386" s="8" t="str">
        <f t="shared" si="343"/>
        <v/>
      </c>
      <c r="BV386" s="8"/>
      <c r="BW386" s="78" t="str">
        <f>IF(BU386&lt;&gt;"",ROUND(IF($F$11="raty równe",-PMT(W386/12,$F$4-BU385+SUM($BV$28:BV386)-$CB$43,BZ385,2),BX386+BY386),2),"")</f>
        <v/>
      </c>
      <c r="BX386" s="78" t="str">
        <f>IF(BU386&lt;&gt;"",IF($F$11="raty malejące",MIN(BZ385/($F$4-BU385+SUM($BV$28:BV385)-SUM($CB$28:CB385)),BZ385),MIN(BW386-BY386,BZ385)),"")</f>
        <v/>
      </c>
      <c r="BY386" s="78" t="str">
        <f t="shared" si="356"/>
        <v/>
      </c>
      <c r="BZ386" s="79" t="str">
        <f t="shared" si="346"/>
        <v/>
      </c>
      <c r="CA386" s="11"/>
      <c r="CB386" s="33"/>
      <c r="CC386" s="33" t="str">
        <f t="shared" si="344"/>
        <v/>
      </c>
      <c r="CD386" s="33" t="str">
        <f t="shared" si="350"/>
        <v/>
      </c>
      <c r="CE386" s="33" t="str">
        <f>IF(O386&lt;&gt;"",CD386-SUM($CC$44:CC386),"")</f>
        <v/>
      </c>
      <c r="CF386" s="11" t="str">
        <f t="shared" si="357"/>
        <v/>
      </c>
      <c r="CG386" s="11" t="str">
        <f>IF(BU386&lt;&gt;"",IF($B$16=listy!$K$8,'RZĄDOWY PROGRAM'!$F$3*'RZĄDOWY PROGRAM'!$F$15,BZ385*$F$15),"")</f>
        <v/>
      </c>
      <c r="CH386" s="11" t="str">
        <f t="shared" si="358"/>
        <v/>
      </c>
      <c r="CJ386" s="48" t="str">
        <f t="shared" si="331"/>
        <v/>
      </c>
      <c r="CK386" s="18" t="str">
        <f t="shared" si="332"/>
        <v/>
      </c>
      <c r="CL386" s="11" t="str">
        <f t="shared" si="345"/>
        <v/>
      </c>
      <c r="CM386" s="11" t="str">
        <f t="shared" si="333"/>
        <v/>
      </c>
      <c r="CN386" s="11" t="str">
        <f>IF(AB386&lt;&gt;"",CM386-SUM($CL$28:CL386),"")</f>
        <v/>
      </c>
    </row>
    <row r="387" spans="1:92" x14ac:dyDescent="0.45">
      <c r="A387" s="68" t="str">
        <f t="shared" si="307"/>
        <v/>
      </c>
      <c r="B387" s="8" t="str">
        <f t="shared" si="326"/>
        <v/>
      </c>
      <c r="C387" s="11" t="str">
        <f t="shared" si="327"/>
        <v/>
      </c>
      <c r="D387" s="11" t="str">
        <f t="shared" si="328"/>
        <v/>
      </c>
      <c r="E387" s="11" t="str">
        <f t="shared" si="308"/>
        <v/>
      </c>
      <c r="F387" s="9" t="str">
        <f t="shared" si="309"/>
        <v/>
      </c>
      <c r="G387" s="10" t="str">
        <f t="shared" si="310"/>
        <v/>
      </c>
      <c r="H387" s="10" t="str">
        <f t="shared" si="311"/>
        <v/>
      </c>
      <c r="I387" s="48" t="str">
        <f t="shared" si="334"/>
        <v/>
      </c>
      <c r="J387" s="11" t="str">
        <f t="shared" si="329"/>
        <v/>
      </c>
      <c r="K387" s="11" t="str">
        <f>IF(B387&lt;&gt;"",IF($B$16=listy!$K$8,'RZĄDOWY PROGRAM'!$F$3*'RZĄDOWY PROGRAM'!$F$15,F386*$F$15),"")</f>
        <v/>
      </c>
      <c r="L387" s="11" t="str">
        <f t="shared" si="312"/>
        <v/>
      </c>
      <c r="N387" s="54" t="str">
        <f t="shared" si="313"/>
        <v/>
      </c>
      <c r="O387" s="8" t="str">
        <f t="shared" si="335"/>
        <v/>
      </c>
      <c r="P387" s="8"/>
      <c r="Q387" s="11" t="str">
        <f>IF(O387&lt;&gt;"",ROUND(IF($F$11="raty równe",-PMT(W387/12,$F$4-O386+SUM($P$28:P387),T386,2),R387+S387),2),"")</f>
        <v/>
      </c>
      <c r="R387" s="11" t="str">
        <f>IF(O387&lt;&gt;"",IF($F$11="raty malejące",T386/($F$4-O386+SUM($P$28:P387)),IF(Q387-S387&gt;T386,T386,Q387-S387)),"")</f>
        <v/>
      </c>
      <c r="S387" s="11" t="str">
        <f t="shared" si="314"/>
        <v/>
      </c>
      <c r="T387" s="9" t="str">
        <f t="shared" si="315"/>
        <v/>
      </c>
      <c r="U387" s="10" t="str">
        <f t="shared" si="316"/>
        <v/>
      </c>
      <c r="V387" s="10" t="str">
        <f t="shared" si="317"/>
        <v/>
      </c>
      <c r="W387" s="48" t="str">
        <f t="shared" si="336"/>
        <v/>
      </c>
      <c r="X387" s="11" t="str">
        <f t="shared" si="359"/>
        <v/>
      </c>
      <c r="Y387" s="11" t="str">
        <f>IF(O387&lt;&gt;"",IF($B$16=listy!$K$8,'RZĄDOWY PROGRAM'!$F$3*'RZĄDOWY PROGRAM'!$F$15,T386*$F$15),"")</f>
        <v/>
      </c>
      <c r="Z387" s="11" t="str">
        <f t="shared" si="319"/>
        <v/>
      </c>
      <c r="AB387" s="8" t="str">
        <f t="shared" si="320"/>
        <v/>
      </c>
      <c r="AC387" s="8"/>
      <c r="AD387" s="11" t="str">
        <f>IF(AB387&lt;&gt;"",ROUND(IF($F$11="raty równe",-PMT(W387/12,$F$4-AB386+SUM($AC$28:AC387),AG386,2),AE387+AF387),2),"")</f>
        <v/>
      </c>
      <c r="AE387" s="11" t="str">
        <f>IF(AB387&lt;&gt;"",IF($F$11="raty malejące",AG386/($F$4-AB386+SUM($AC$28:AC386)),MIN(AD387-AF387,AG386)),"")</f>
        <v/>
      </c>
      <c r="AF387" s="11" t="str">
        <f t="shared" si="321"/>
        <v/>
      </c>
      <c r="AG387" s="9" t="str">
        <f t="shared" si="322"/>
        <v/>
      </c>
      <c r="AH387" s="11"/>
      <c r="AI387" s="33" t="str">
        <f>IF(AB387&lt;&gt;"",ROUND(IF($F$11="raty równe",-PMT(W387/12,($F$4-AB386+SUM($AC$27:AC386)),AG386,2),AG386/($F$4-AB386+SUM($AC$27:AC386))+AG386*W387/12),2),"")</f>
        <v/>
      </c>
      <c r="AJ387" s="33" t="str">
        <f t="shared" si="323"/>
        <v/>
      </c>
      <c r="AK387" s="33" t="str">
        <f t="shared" si="330"/>
        <v/>
      </c>
      <c r="AL387" s="33" t="str">
        <f>IF(AB387&lt;&gt;"",AK387-SUM($AJ$28:AJ387),"")</f>
        <v/>
      </c>
      <c r="AM387" s="11" t="str">
        <f t="shared" si="360"/>
        <v/>
      </c>
      <c r="AN387" s="11" t="str">
        <f>IF(AB387&lt;&gt;"",IF($B$16=listy!$K$8,'RZĄDOWY PROGRAM'!$F$3*'RZĄDOWY PROGRAM'!$F$15,AG386*$F$15),"")</f>
        <v/>
      </c>
      <c r="AO387" s="11" t="str">
        <f t="shared" si="325"/>
        <v/>
      </c>
      <c r="AQ387" s="8" t="str">
        <f t="shared" si="337"/>
        <v/>
      </c>
      <c r="AR387" s="8"/>
      <c r="AS387" s="78" t="str">
        <f>IF(AQ387&lt;&gt;"",ROUND(IF($F$11="raty równe",-PMT(W387/12,$F$4-AQ386+SUM($AR$28:AR387),AV386,2),AT387+AU387),2),"")</f>
        <v/>
      </c>
      <c r="AT387" s="78" t="str">
        <f>IF(AQ387&lt;&gt;"",IF($F$11="raty malejące",AV386/($F$4-AQ386+SUM($AR$28:AR386)),MIN(AS387-AU387,AV386)),"")</f>
        <v/>
      </c>
      <c r="AU387" s="78" t="str">
        <f t="shared" si="338"/>
        <v/>
      </c>
      <c r="AV387" s="79" t="str">
        <f t="shared" si="339"/>
        <v/>
      </c>
      <c r="AW387" s="11"/>
      <c r="AX387" s="33" t="str">
        <f>IF(AQ387&lt;&gt;"",ROUND(IF($F$11="raty równe",-PMT(W387/12,($F$4-AQ386+SUM($AR$27:AR386)),AV386,2),AV386/($F$4-AQ386+SUM($AR$27:AR386))+AV386*W387/12),2),"")</f>
        <v/>
      </c>
      <c r="AY387" s="33" t="str">
        <f t="shared" si="340"/>
        <v/>
      </c>
      <c r="AZ387" s="33" t="str">
        <f t="shared" si="347"/>
        <v/>
      </c>
      <c r="BA387" s="33" t="str">
        <f>IF(AQ387&lt;&gt;"",AZ387-SUM($AY$44:AY387),"")</f>
        <v/>
      </c>
      <c r="BB387" s="11" t="str">
        <f t="shared" si="341"/>
        <v/>
      </c>
      <c r="BC387" s="11" t="str">
        <f>IF(AQ387&lt;&gt;"",IF($B$16=listy!$K$8,'RZĄDOWY PROGRAM'!$F$3*'RZĄDOWY PROGRAM'!$F$15,AV386*$F$15),"")</f>
        <v/>
      </c>
      <c r="BD387" s="11" t="str">
        <f t="shared" si="342"/>
        <v/>
      </c>
      <c r="BF387" s="8" t="str">
        <f t="shared" si="351"/>
        <v/>
      </c>
      <c r="BG387" s="8"/>
      <c r="BH387" s="78" t="str">
        <f>IF(BF387&lt;&gt;"",ROUND(IF($F$11="raty równe",-PMT(W387/12,$F$4-BF386+SUM(BV$28:$BV387)-SUM($BM$29:BM387),BK386,2),BI387+BJ387),2),"")</f>
        <v/>
      </c>
      <c r="BI387" s="78" t="str">
        <f>IF(BF387&lt;&gt;"",IF($F$11="raty malejące",MIN(BK386/($F$4-BF386+SUM($BG$27:BG387)-SUM($BM$27:BM387)),BK386),MIN(BH387-BJ387,BK386)),"")</f>
        <v/>
      </c>
      <c r="BJ387" s="78" t="str">
        <f t="shared" si="352"/>
        <v/>
      </c>
      <c r="BK387" s="79" t="str">
        <f t="shared" si="353"/>
        <v/>
      </c>
      <c r="BL387" s="11"/>
      <c r="BM387" s="33"/>
      <c r="BN387" s="33" t="str">
        <f t="shared" si="348"/>
        <v/>
      </c>
      <c r="BO387" s="33" t="str">
        <f t="shared" si="349"/>
        <v/>
      </c>
      <c r="BP387" s="33" t="str">
        <f>IF(O387&lt;&gt;"",BO387-SUM($BN$44:BN387),"")</f>
        <v/>
      </c>
      <c r="BQ387" s="11" t="str">
        <f t="shared" si="354"/>
        <v/>
      </c>
      <c r="BR387" s="11" t="str">
        <f>IF(BF387&lt;&gt;"",IF($B$16=listy!$K$8,'RZĄDOWY PROGRAM'!$F$3*'RZĄDOWY PROGRAM'!$F$15,BK386*$F$15),"")</f>
        <v/>
      </c>
      <c r="BS387" s="11" t="str">
        <f t="shared" si="355"/>
        <v/>
      </c>
      <c r="BU387" s="8" t="str">
        <f t="shared" si="343"/>
        <v/>
      </c>
      <c r="BV387" s="8"/>
      <c r="BW387" s="78" t="str">
        <f>IF(BU387&lt;&gt;"",ROUND(IF($F$11="raty równe",-PMT(W387/12,$F$4-BU386+SUM($BV$28:BV387)-$CB$43,BZ386,2),BX387+BY387),2),"")</f>
        <v/>
      </c>
      <c r="BX387" s="78" t="str">
        <f>IF(BU387&lt;&gt;"",IF($F$11="raty malejące",MIN(BZ386/($F$4-BU386+SUM($BV$28:BV386)-SUM($CB$28:CB386)),BZ386),MIN(BW387-BY387,BZ386)),"")</f>
        <v/>
      </c>
      <c r="BY387" s="78" t="str">
        <f t="shared" si="356"/>
        <v/>
      </c>
      <c r="BZ387" s="79" t="str">
        <f t="shared" si="346"/>
        <v/>
      </c>
      <c r="CA387" s="11"/>
      <c r="CB387" s="33"/>
      <c r="CC387" s="33" t="str">
        <f t="shared" si="344"/>
        <v/>
      </c>
      <c r="CD387" s="33" t="str">
        <f t="shared" si="350"/>
        <v/>
      </c>
      <c r="CE387" s="33" t="str">
        <f>IF(O387&lt;&gt;"",CD387-SUM($CC$44:CC387),"")</f>
        <v/>
      </c>
      <c r="CF387" s="11" t="str">
        <f t="shared" si="357"/>
        <v/>
      </c>
      <c r="CG387" s="11" t="str">
        <f>IF(BU387&lt;&gt;"",IF($B$16=listy!$K$8,'RZĄDOWY PROGRAM'!$F$3*'RZĄDOWY PROGRAM'!$F$15,BZ386*$F$15),"")</f>
        <v/>
      </c>
      <c r="CH387" s="11" t="str">
        <f t="shared" si="358"/>
        <v/>
      </c>
      <c r="CJ387" s="48" t="str">
        <f t="shared" si="331"/>
        <v/>
      </c>
      <c r="CK387" s="18" t="str">
        <f t="shared" si="332"/>
        <v/>
      </c>
      <c r="CL387" s="11" t="str">
        <f t="shared" si="345"/>
        <v/>
      </c>
      <c r="CM387" s="11" t="str">
        <f t="shared" si="333"/>
        <v/>
      </c>
      <c r="CN387" s="11" t="str">
        <f>IF(AB387&lt;&gt;"",CM387-SUM($CL$28:CL387),"")</f>
        <v/>
      </c>
    </row>
    <row r="388" spans="1:92" x14ac:dyDescent="0.45">
      <c r="A388" s="68" t="str">
        <f t="shared" si="307"/>
        <v/>
      </c>
      <c r="B388" s="8" t="str">
        <f t="shared" si="326"/>
        <v/>
      </c>
      <c r="C388" s="11" t="str">
        <f t="shared" si="327"/>
        <v/>
      </c>
      <c r="D388" s="11" t="str">
        <f t="shared" si="328"/>
        <v/>
      </c>
      <c r="E388" s="11" t="str">
        <f t="shared" si="308"/>
        <v/>
      </c>
      <c r="F388" s="9" t="str">
        <f t="shared" si="309"/>
        <v/>
      </c>
      <c r="G388" s="10" t="str">
        <f t="shared" si="310"/>
        <v/>
      </c>
      <c r="H388" s="10" t="str">
        <f t="shared" si="311"/>
        <v/>
      </c>
      <c r="I388" s="48" t="str">
        <f t="shared" si="334"/>
        <v/>
      </c>
      <c r="J388" s="11" t="str">
        <f t="shared" si="329"/>
        <v/>
      </c>
      <c r="K388" s="11" t="str">
        <f>IF(B388&lt;&gt;"",IF($B$16=listy!$K$8,'RZĄDOWY PROGRAM'!$F$3*'RZĄDOWY PROGRAM'!$F$15,F387*$F$15),"")</f>
        <v/>
      </c>
      <c r="L388" s="11" t="str">
        <f t="shared" si="312"/>
        <v/>
      </c>
      <c r="N388" s="54" t="str">
        <f t="shared" si="313"/>
        <v/>
      </c>
      <c r="O388" s="8" t="str">
        <f t="shared" si="335"/>
        <v/>
      </c>
      <c r="P388" s="8"/>
      <c r="Q388" s="11" t="str">
        <f>IF(O388&lt;&gt;"",ROUND(IF($F$11="raty równe",-PMT(W388/12,$F$4-O387+SUM($P$28:P388),T387,2),R388+S388),2),"")</f>
        <v/>
      </c>
      <c r="R388" s="11" t="str">
        <f>IF(O388&lt;&gt;"",IF($F$11="raty malejące",T387/($F$4-O387+SUM($P$28:P388)),IF(Q388-S388&gt;T387,T387,Q388-S388)),"")</f>
        <v/>
      </c>
      <c r="S388" s="11" t="str">
        <f t="shared" si="314"/>
        <v/>
      </c>
      <c r="T388" s="9" t="str">
        <f t="shared" si="315"/>
        <v/>
      </c>
      <c r="U388" s="10" t="str">
        <f t="shared" si="316"/>
        <v/>
      </c>
      <c r="V388" s="10" t="str">
        <f t="shared" si="317"/>
        <v/>
      </c>
      <c r="W388" s="48" t="str">
        <f t="shared" si="336"/>
        <v/>
      </c>
      <c r="X388" s="11" t="str">
        <f t="shared" si="359"/>
        <v/>
      </c>
      <c r="Y388" s="11" t="str">
        <f>IF(O388&lt;&gt;"",IF($B$16=listy!$K$8,'RZĄDOWY PROGRAM'!$F$3*'RZĄDOWY PROGRAM'!$F$15,T387*$F$15),"")</f>
        <v/>
      </c>
      <c r="Z388" s="11" t="str">
        <f t="shared" si="319"/>
        <v/>
      </c>
      <c r="AB388" s="8" t="str">
        <f t="shared" si="320"/>
        <v/>
      </c>
      <c r="AC388" s="8"/>
      <c r="AD388" s="11" t="str">
        <f>IF(AB388&lt;&gt;"",ROUND(IF($F$11="raty równe",-PMT(W388/12,$F$4-AB387+SUM($AC$28:AC388),AG387,2),AE388+AF388),2),"")</f>
        <v/>
      </c>
      <c r="AE388" s="11" t="str">
        <f>IF(AB388&lt;&gt;"",IF($F$11="raty malejące",AG387/($F$4-AB387+SUM($AC$28:AC387)),MIN(AD388-AF388,AG387)),"")</f>
        <v/>
      </c>
      <c r="AF388" s="11" t="str">
        <f t="shared" si="321"/>
        <v/>
      </c>
      <c r="AG388" s="9" t="str">
        <f t="shared" si="322"/>
        <v/>
      </c>
      <c r="AH388" s="11"/>
      <c r="AI388" s="33" t="str">
        <f>IF(AB388&lt;&gt;"",ROUND(IF($F$11="raty równe",-PMT(W388/12,($F$4-AB387+SUM($AC$27:AC387)),AG387,2),AG387/($F$4-AB387+SUM($AC$27:AC387))+AG387*W388/12),2),"")</f>
        <v/>
      </c>
      <c r="AJ388" s="33" t="str">
        <f t="shared" si="323"/>
        <v/>
      </c>
      <c r="AK388" s="33" t="str">
        <f t="shared" si="330"/>
        <v/>
      </c>
      <c r="AL388" s="33" t="str">
        <f>IF(AB388&lt;&gt;"",AK388-SUM($AJ$28:AJ388),"")</f>
        <v/>
      </c>
      <c r="AM388" s="11" t="str">
        <f t="shared" si="360"/>
        <v/>
      </c>
      <c r="AN388" s="11" t="str">
        <f>IF(AB388&lt;&gt;"",IF($B$16=listy!$K$8,'RZĄDOWY PROGRAM'!$F$3*'RZĄDOWY PROGRAM'!$F$15,AG387*$F$15),"")</f>
        <v/>
      </c>
      <c r="AO388" s="11" t="str">
        <f t="shared" si="325"/>
        <v/>
      </c>
      <c r="AQ388" s="8" t="str">
        <f t="shared" si="337"/>
        <v/>
      </c>
      <c r="AR388" s="8"/>
      <c r="AS388" s="78" t="str">
        <f>IF(AQ388&lt;&gt;"",ROUND(IF($F$11="raty równe",-PMT(W388/12,$F$4-AQ387+SUM($AR$28:AR388),AV387,2),AT388+AU388),2),"")</f>
        <v/>
      </c>
      <c r="AT388" s="78" t="str">
        <f>IF(AQ388&lt;&gt;"",IF($F$11="raty malejące",AV387/($F$4-AQ387+SUM($AR$28:AR387)),MIN(AS388-AU388,AV387)),"")</f>
        <v/>
      </c>
      <c r="AU388" s="78" t="str">
        <f t="shared" si="338"/>
        <v/>
      </c>
      <c r="AV388" s="79" t="str">
        <f t="shared" si="339"/>
        <v/>
      </c>
      <c r="AW388" s="11"/>
      <c r="AX388" s="33" t="str">
        <f>IF(AQ388&lt;&gt;"",ROUND(IF($F$11="raty równe",-PMT(W388/12,($F$4-AQ387+SUM($AR$27:AR387)),AV387,2),AV387/($F$4-AQ387+SUM($AR$27:AR387))+AV387*W388/12),2),"")</f>
        <v/>
      </c>
      <c r="AY388" s="33" t="str">
        <f t="shared" si="340"/>
        <v/>
      </c>
      <c r="AZ388" s="33" t="str">
        <f t="shared" si="347"/>
        <v/>
      </c>
      <c r="BA388" s="33" t="str">
        <f>IF(AQ388&lt;&gt;"",AZ388-SUM($AY$44:AY388),"")</f>
        <v/>
      </c>
      <c r="BB388" s="11" t="str">
        <f t="shared" si="341"/>
        <v/>
      </c>
      <c r="BC388" s="11" t="str">
        <f>IF(AQ388&lt;&gt;"",IF($B$16=listy!$K$8,'RZĄDOWY PROGRAM'!$F$3*'RZĄDOWY PROGRAM'!$F$15,AV387*$F$15),"")</f>
        <v/>
      </c>
      <c r="BD388" s="11" t="str">
        <f t="shared" si="342"/>
        <v/>
      </c>
      <c r="BF388" s="8" t="str">
        <f t="shared" si="351"/>
        <v/>
      </c>
      <c r="BG388" s="8"/>
      <c r="BH388" s="78" t="str">
        <f>IF(BF388&lt;&gt;"",ROUND(IF($F$11="raty równe",-PMT(W388/12,$F$4-BF387+SUM(BV$28:$BV388)-SUM($BM$29:BM388),BK387,2),BI388+BJ388),2),"")</f>
        <v/>
      </c>
      <c r="BI388" s="78" t="str">
        <f>IF(BF388&lt;&gt;"",IF($F$11="raty malejące",MIN(BK387/($F$4-BF387+SUM($BG$27:BG388)-SUM($BM$27:BM388)),BK387),MIN(BH388-BJ388,BK387)),"")</f>
        <v/>
      </c>
      <c r="BJ388" s="78" t="str">
        <f t="shared" si="352"/>
        <v/>
      </c>
      <c r="BK388" s="79" t="str">
        <f t="shared" si="353"/>
        <v/>
      </c>
      <c r="BL388" s="11"/>
      <c r="BM388" s="33"/>
      <c r="BN388" s="33" t="str">
        <f t="shared" si="348"/>
        <v/>
      </c>
      <c r="BO388" s="33" t="str">
        <f t="shared" si="349"/>
        <v/>
      </c>
      <c r="BP388" s="33" t="str">
        <f>IF(O388&lt;&gt;"",BO388-SUM($BN$44:BN388),"")</f>
        <v/>
      </c>
      <c r="BQ388" s="11" t="str">
        <f t="shared" si="354"/>
        <v/>
      </c>
      <c r="BR388" s="11" t="str">
        <f>IF(BF388&lt;&gt;"",IF($B$16=listy!$K$8,'RZĄDOWY PROGRAM'!$F$3*'RZĄDOWY PROGRAM'!$F$15,BK387*$F$15),"")</f>
        <v/>
      </c>
      <c r="BS388" s="11" t="str">
        <f t="shared" si="355"/>
        <v/>
      </c>
      <c r="BU388" s="8" t="str">
        <f t="shared" si="343"/>
        <v/>
      </c>
      <c r="BV388" s="8"/>
      <c r="BW388" s="78" t="str">
        <f>IF(BU388&lt;&gt;"",ROUND(IF($F$11="raty równe",-PMT(W388/12,$F$4-BU387+SUM($BV$28:BV388)-$CB$43,BZ387,2),BX388+BY388),2),"")</f>
        <v/>
      </c>
      <c r="BX388" s="78" t="str">
        <f>IF(BU388&lt;&gt;"",IF($F$11="raty malejące",MIN(BZ387/($F$4-BU387+SUM($BV$28:BV387)-SUM($CB$28:CB387)),BZ387),MIN(BW388-BY388,BZ387)),"")</f>
        <v/>
      </c>
      <c r="BY388" s="78" t="str">
        <f t="shared" si="356"/>
        <v/>
      </c>
      <c r="BZ388" s="79" t="str">
        <f t="shared" si="346"/>
        <v/>
      </c>
      <c r="CA388" s="11"/>
      <c r="CB388" s="33"/>
      <c r="CC388" s="33" t="str">
        <f t="shared" si="344"/>
        <v/>
      </c>
      <c r="CD388" s="33" t="str">
        <f t="shared" si="350"/>
        <v/>
      </c>
      <c r="CE388" s="33" t="str">
        <f>IF(O388&lt;&gt;"",CD388-SUM($CC$44:CC388),"")</f>
        <v/>
      </c>
      <c r="CF388" s="11" t="str">
        <f t="shared" si="357"/>
        <v/>
      </c>
      <c r="CG388" s="11" t="str">
        <f>IF(BU388&lt;&gt;"",IF($B$16=listy!$K$8,'RZĄDOWY PROGRAM'!$F$3*'RZĄDOWY PROGRAM'!$F$15,BZ387*$F$15),"")</f>
        <v/>
      </c>
      <c r="CH388" s="11" t="str">
        <f t="shared" si="358"/>
        <v/>
      </c>
      <c r="CJ388" s="48" t="str">
        <f t="shared" si="331"/>
        <v/>
      </c>
      <c r="CK388" s="18" t="str">
        <f t="shared" si="332"/>
        <v/>
      </c>
      <c r="CL388" s="11" t="str">
        <f t="shared" si="345"/>
        <v/>
      </c>
      <c r="CM388" s="11" t="str">
        <f t="shared" si="333"/>
        <v/>
      </c>
      <c r="CN388" s="11" t="str">
        <f>IF(AB388&lt;&gt;"",CM388-SUM($CL$28:CL388),"")</f>
        <v/>
      </c>
    </row>
    <row r="389" spans="1:92" x14ac:dyDescent="0.45">
      <c r="A389" s="68" t="str">
        <f t="shared" si="307"/>
        <v/>
      </c>
      <c r="B389" s="8" t="str">
        <f t="shared" si="326"/>
        <v/>
      </c>
      <c r="C389" s="11" t="str">
        <f t="shared" si="327"/>
        <v/>
      </c>
      <c r="D389" s="11" t="str">
        <f t="shared" si="328"/>
        <v/>
      </c>
      <c r="E389" s="11" t="str">
        <f t="shared" si="308"/>
        <v/>
      </c>
      <c r="F389" s="9" t="str">
        <f t="shared" si="309"/>
        <v/>
      </c>
      <c r="G389" s="10" t="str">
        <f t="shared" si="310"/>
        <v/>
      </c>
      <c r="H389" s="10" t="str">
        <f t="shared" si="311"/>
        <v/>
      </c>
      <c r="I389" s="48" t="str">
        <f t="shared" si="334"/>
        <v/>
      </c>
      <c r="J389" s="11" t="str">
        <f t="shared" si="329"/>
        <v/>
      </c>
      <c r="K389" s="11" t="str">
        <f>IF(B389&lt;&gt;"",IF($B$16=listy!$K$8,'RZĄDOWY PROGRAM'!$F$3*'RZĄDOWY PROGRAM'!$F$15,F388*$F$15),"")</f>
        <v/>
      </c>
      <c r="L389" s="11" t="str">
        <f t="shared" si="312"/>
        <v/>
      </c>
      <c r="N389" s="54" t="str">
        <f t="shared" si="313"/>
        <v/>
      </c>
      <c r="O389" s="8" t="str">
        <f t="shared" si="335"/>
        <v/>
      </c>
      <c r="P389" s="8"/>
      <c r="Q389" s="11" t="str">
        <f>IF(O389&lt;&gt;"",ROUND(IF($F$11="raty równe",-PMT(W389/12,$F$4-O388+SUM($P$28:P389),T388,2),R389+S389),2),"")</f>
        <v/>
      </c>
      <c r="R389" s="11" t="str">
        <f>IF(O389&lt;&gt;"",IF($F$11="raty malejące",T388/($F$4-O388+SUM($P$28:P389)),IF(Q389-S389&gt;T388,T388,Q389-S389)),"")</f>
        <v/>
      </c>
      <c r="S389" s="11" t="str">
        <f t="shared" si="314"/>
        <v/>
      </c>
      <c r="T389" s="9" t="str">
        <f t="shared" si="315"/>
        <v/>
      </c>
      <c r="U389" s="10" t="str">
        <f t="shared" si="316"/>
        <v/>
      </c>
      <c r="V389" s="10" t="str">
        <f t="shared" si="317"/>
        <v/>
      </c>
      <c r="W389" s="48" t="str">
        <f t="shared" si="336"/>
        <v/>
      </c>
      <c r="X389" s="11" t="str">
        <f t="shared" si="359"/>
        <v/>
      </c>
      <c r="Y389" s="11" t="str">
        <f>IF(O389&lt;&gt;"",IF($B$16=listy!$K$8,'RZĄDOWY PROGRAM'!$F$3*'RZĄDOWY PROGRAM'!$F$15,T388*$F$15),"")</f>
        <v/>
      </c>
      <c r="Z389" s="11" t="str">
        <f t="shared" si="319"/>
        <v/>
      </c>
      <c r="AB389" s="8" t="str">
        <f t="shared" si="320"/>
        <v/>
      </c>
      <c r="AC389" s="8"/>
      <c r="AD389" s="11" t="str">
        <f>IF(AB389&lt;&gt;"",ROUND(IF($F$11="raty równe",-PMT(W389/12,$F$4-AB388+SUM($AC$28:AC389),AG388,2),AE389+AF389),2),"")</f>
        <v/>
      </c>
      <c r="AE389" s="11" t="str">
        <f>IF(AB389&lt;&gt;"",IF($F$11="raty malejące",AG388/($F$4-AB388+SUM($AC$28:AC388)),MIN(AD389-AF389,AG388)),"")</f>
        <v/>
      </c>
      <c r="AF389" s="11" t="str">
        <f t="shared" si="321"/>
        <v/>
      </c>
      <c r="AG389" s="9" t="str">
        <f t="shared" si="322"/>
        <v/>
      </c>
      <c r="AH389" s="11"/>
      <c r="AI389" s="33" t="str">
        <f>IF(AB389&lt;&gt;"",ROUND(IF($F$11="raty równe",-PMT(W389/12,($F$4-AB388+SUM($AC$27:AC388)),AG388,2),AG388/($F$4-AB388+SUM($AC$27:AC388))+AG388*W389/12),2),"")</f>
        <v/>
      </c>
      <c r="AJ389" s="33" t="str">
        <f t="shared" si="323"/>
        <v/>
      </c>
      <c r="AK389" s="33" t="str">
        <f t="shared" si="330"/>
        <v/>
      </c>
      <c r="AL389" s="33" t="str">
        <f>IF(AB389&lt;&gt;"",AK389-SUM($AJ$28:AJ389),"")</f>
        <v/>
      </c>
      <c r="AM389" s="11" t="str">
        <f t="shared" si="360"/>
        <v/>
      </c>
      <c r="AN389" s="11" t="str">
        <f>IF(AB389&lt;&gt;"",IF($B$16=listy!$K$8,'RZĄDOWY PROGRAM'!$F$3*'RZĄDOWY PROGRAM'!$F$15,AG388*$F$15),"")</f>
        <v/>
      </c>
      <c r="AO389" s="11" t="str">
        <f t="shared" si="325"/>
        <v/>
      </c>
      <c r="AQ389" s="8" t="str">
        <f t="shared" si="337"/>
        <v/>
      </c>
      <c r="AR389" s="8"/>
      <c r="AS389" s="78" t="str">
        <f>IF(AQ389&lt;&gt;"",ROUND(IF($F$11="raty równe",-PMT(W389/12,$F$4-AQ388+SUM($AR$28:AR389),AV388,2),AT389+AU389),2),"")</f>
        <v/>
      </c>
      <c r="AT389" s="78" t="str">
        <f>IF(AQ389&lt;&gt;"",IF($F$11="raty malejące",AV388/($F$4-AQ388+SUM($AR$28:AR388)),MIN(AS389-AU389,AV388)),"")</f>
        <v/>
      </c>
      <c r="AU389" s="78" t="str">
        <f t="shared" si="338"/>
        <v/>
      </c>
      <c r="AV389" s="79" t="str">
        <f t="shared" si="339"/>
        <v/>
      </c>
      <c r="AW389" s="11"/>
      <c r="AX389" s="33" t="str">
        <f>IF(AQ389&lt;&gt;"",ROUND(IF($F$11="raty równe",-PMT(W389/12,($F$4-AQ388+SUM($AR$27:AR388)),AV388,2),AV388/($F$4-AQ388+SUM($AR$27:AR388))+AV388*W389/12),2),"")</f>
        <v/>
      </c>
      <c r="AY389" s="33" t="str">
        <f t="shared" si="340"/>
        <v/>
      </c>
      <c r="AZ389" s="33" t="str">
        <f t="shared" si="347"/>
        <v/>
      </c>
      <c r="BA389" s="33" t="str">
        <f>IF(AQ389&lt;&gt;"",AZ389-SUM($AY$44:AY389),"")</f>
        <v/>
      </c>
      <c r="BB389" s="11" t="str">
        <f t="shared" si="341"/>
        <v/>
      </c>
      <c r="BC389" s="11" t="str">
        <f>IF(AQ389&lt;&gt;"",IF($B$16=listy!$K$8,'RZĄDOWY PROGRAM'!$F$3*'RZĄDOWY PROGRAM'!$F$15,AV388*$F$15),"")</f>
        <v/>
      </c>
      <c r="BD389" s="11" t="str">
        <f t="shared" si="342"/>
        <v/>
      </c>
      <c r="BF389" s="8" t="str">
        <f t="shared" si="351"/>
        <v/>
      </c>
      <c r="BG389" s="8"/>
      <c r="BH389" s="78" t="str">
        <f>IF(BF389&lt;&gt;"",ROUND(IF($F$11="raty równe",-PMT(W389/12,$F$4-BF388+SUM(BV$28:$BV389)-SUM($BM$29:BM389),BK388,2),BI389+BJ389),2),"")</f>
        <v/>
      </c>
      <c r="BI389" s="78" t="str">
        <f>IF(BF389&lt;&gt;"",IF($F$11="raty malejące",MIN(BK388/($F$4-BF388+SUM($BG$27:BG389)-SUM($BM$27:BM389)),BK388),MIN(BH389-BJ389,BK388)),"")</f>
        <v/>
      </c>
      <c r="BJ389" s="78" t="str">
        <f t="shared" si="352"/>
        <v/>
      </c>
      <c r="BK389" s="79" t="str">
        <f t="shared" si="353"/>
        <v/>
      </c>
      <c r="BL389" s="11"/>
      <c r="BM389" s="33"/>
      <c r="BN389" s="33" t="str">
        <f t="shared" si="348"/>
        <v/>
      </c>
      <c r="BO389" s="33" t="str">
        <f t="shared" si="349"/>
        <v/>
      </c>
      <c r="BP389" s="33" t="str">
        <f>IF(O389&lt;&gt;"",BO389-SUM($BN$44:BN389),"")</f>
        <v/>
      </c>
      <c r="BQ389" s="11" t="str">
        <f t="shared" si="354"/>
        <v/>
      </c>
      <c r="BR389" s="11" t="str">
        <f>IF(BF389&lt;&gt;"",IF($B$16=listy!$K$8,'RZĄDOWY PROGRAM'!$F$3*'RZĄDOWY PROGRAM'!$F$15,BK388*$F$15),"")</f>
        <v/>
      </c>
      <c r="BS389" s="11" t="str">
        <f t="shared" si="355"/>
        <v/>
      </c>
      <c r="BU389" s="8" t="str">
        <f t="shared" si="343"/>
        <v/>
      </c>
      <c r="BV389" s="8"/>
      <c r="BW389" s="78" t="str">
        <f>IF(BU389&lt;&gt;"",ROUND(IF($F$11="raty równe",-PMT(W389/12,$F$4-BU388+SUM($BV$28:BV389)-$CB$43,BZ388,2),BX389+BY389),2),"")</f>
        <v/>
      </c>
      <c r="BX389" s="78" t="str">
        <f>IF(BU389&lt;&gt;"",IF($F$11="raty malejące",MIN(BZ388/($F$4-BU388+SUM($BV$28:BV388)-SUM($CB$28:CB388)),BZ388),MIN(BW389-BY389,BZ388)),"")</f>
        <v/>
      </c>
      <c r="BY389" s="78" t="str">
        <f t="shared" si="356"/>
        <v/>
      </c>
      <c r="BZ389" s="79" t="str">
        <f t="shared" si="346"/>
        <v/>
      </c>
      <c r="CA389" s="11"/>
      <c r="CB389" s="33"/>
      <c r="CC389" s="33" t="str">
        <f t="shared" si="344"/>
        <v/>
      </c>
      <c r="CD389" s="33" t="str">
        <f t="shared" si="350"/>
        <v/>
      </c>
      <c r="CE389" s="33" t="str">
        <f>IF(O389&lt;&gt;"",CD389-SUM($CC$44:CC389),"")</f>
        <v/>
      </c>
      <c r="CF389" s="11" t="str">
        <f t="shared" si="357"/>
        <v/>
      </c>
      <c r="CG389" s="11" t="str">
        <f>IF(BU389&lt;&gt;"",IF($B$16=listy!$K$8,'RZĄDOWY PROGRAM'!$F$3*'RZĄDOWY PROGRAM'!$F$15,BZ388*$F$15),"")</f>
        <v/>
      </c>
      <c r="CH389" s="11" t="str">
        <f t="shared" si="358"/>
        <v/>
      </c>
      <c r="CJ389" s="48" t="str">
        <f t="shared" si="331"/>
        <v/>
      </c>
      <c r="CK389" s="18" t="str">
        <f t="shared" si="332"/>
        <v/>
      </c>
      <c r="CL389" s="11" t="str">
        <f t="shared" ref="CL389:CL395" si="361">IF(N389&lt;&gt;"",IF(ISNUMBER(C389),C389,0)-Q389,"")</f>
        <v/>
      </c>
      <c r="CM389" s="11" t="str">
        <f t="shared" si="333"/>
        <v/>
      </c>
      <c r="CN389" s="11" t="str">
        <f>IF(AB389&lt;&gt;"",CM389-SUM($CL$28:CL389),"")</f>
        <v/>
      </c>
    </row>
    <row r="390" spans="1:92" x14ac:dyDescent="0.45">
      <c r="A390" s="68" t="str">
        <f t="shared" si="307"/>
        <v/>
      </c>
      <c r="B390" s="8" t="str">
        <f t="shared" si="326"/>
        <v/>
      </c>
      <c r="C390" s="11" t="str">
        <f t="shared" si="327"/>
        <v/>
      </c>
      <c r="D390" s="11" t="str">
        <f t="shared" si="328"/>
        <v/>
      </c>
      <c r="E390" s="11" t="str">
        <f t="shared" si="308"/>
        <v/>
      </c>
      <c r="F390" s="9" t="str">
        <f t="shared" si="309"/>
        <v/>
      </c>
      <c r="G390" s="10" t="str">
        <f t="shared" si="310"/>
        <v/>
      </c>
      <c r="H390" s="10" t="str">
        <f t="shared" si="311"/>
        <v/>
      </c>
      <c r="I390" s="48" t="str">
        <f t="shared" si="334"/>
        <v/>
      </c>
      <c r="J390" s="11" t="str">
        <f t="shared" si="329"/>
        <v/>
      </c>
      <c r="K390" s="11" t="str">
        <f>IF(B390&lt;&gt;"",IF($B$16=listy!$K$8,'RZĄDOWY PROGRAM'!$F$3*'RZĄDOWY PROGRAM'!$F$15,F389*$F$15),"")</f>
        <v/>
      </c>
      <c r="L390" s="11" t="str">
        <f t="shared" si="312"/>
        <v/>
      </c>
      <c r="N390" s="54" t="str">
        <f t="shared" si="313"/>
        <v/>
      </c>
      <c r="O390" s="8" t="str">
        <f t="shared" si="335"/>
        <v/>
      </c>
      <c r="P390" s="8"/>
      <c r="Q390" s="11" t="str">
        <f>IF(O390&lt;&gt;"",ROUND(IF($F$11="raty równe",-PMT(W390/12,$F$4-O389+SUM($P$28:P390),T389,2),R390+S390),2),"")</f>
        <v/>
      </c>
      <c r="R390" s="11" t="str">
        <f>IF(O390&lt;&gt;"",IF($F$11="raty malejące",T389/($F$4-O389+SUM($P$28:P390)),IF(Q390-S390&gt;T389,T389,Q390-S390)),"")</f>
        <v/>
      </c>
      <c r="S390" s="11" t="str">
        <f t="shared" si="314"/>
        <v/>
      </c>
      <c r="T390" s="9" t="str">
        <f t="shared" si="315"/>
        <v/>
      </c>
      <c r="U390" s="10" t="str">
        <f t="shared" si="316"/>
        <v/>
      </c>
      <c r="V390" s="10" t="str">
        <f t="shared" si="317"/>
        <v/>
      </c>
      <c r="W390" s="48" t="str">
        <f t="shared" si="336"/>
        <v/>
      </c>
      <c r="X390" s="11" t="str">
        <f t="shared" si="359"/>
        <v/>
      </c>
      <c r="Y390" s="11" t="str">
        <f>IF(O390&lt;&gt;"",IF($B$16=listy!$K$8,'RZĄDOWY PROGRAM'!$F$3*'RZĄDOWY PROGRAM'!$F$15,T389*$F$15),"")</f>
        <v/>
      </c>
      <c r="Z390" s="11" t="str">
        <f t="shared" si="319"/>
        <v/>
      </c>
      <c r="AB390" s="8" t="str">
        <f t="shared" si="320"/>
        <v/>
      </c>
      <c r="AC390" s="8"/>
      <c r="AD390" s="11" t="str">
        <f>IF(AB390&lt;&gt;"",ROUND(IF($F$11="raty równe",-PMT(W390/12,$F$4-AB389+SUM($AC$28:AC390),AG389,2),AE390+AF390),2),"")</f>
        <v/>
      </c>
      <c r="AE390" s="11" t="str">
        <f>IF(AB390&lt;&gt;"",IF($F$11="raty malejące",AG389/($F$4-AB389+SUM($AC$28:AC389)),MIN(AD390-AF390,AG389)),"")</f>
        <v/>
      </c>
      <c r="AF390" s="11" t="str">
        <f t="shared" si="321"/>
        <v/>
      </c>
      <c r="AG390" s="9" t="str">
        <f t="shared" si="322"/>
        <v/>
      </c>
      <c r="AH390" s="11"/>
      <c r="AI390" s="33" t="str">
        <f>IF(AB390&lt;&gt;"",ROUND(IF($F$11="raty równe",-PMT(W390/12,($F$4-AB389+SUM($AC$27:AC389)),AG389,2),AG389/($F$4-AB389+SUM($AC$27:AC389))+AG389*W390/12),2),"")</f>
        <v/>
      </c>
      <c r="AJ390" s="33" t="str">
        <f t="shared" si="323"/>
        <v/>
      </c>
      <c r="AK390" s="33" t="str">
        <f t="shared" si="330"/>
        <v/>
      </c>
      <c r="AL390" s="33" t="str">
        <f>IF(AB390&lt;&gt;"",AK390-SUM($AJ$28:AJ390),"")</f>
        <v/>
      </c>
      <c r="AM390" s="11" t="str">
        <f t="shared" si="360"/>
        <v/>
      </c>
      <c r="AN390" s="11" t="str">
        <f>IF(AB390&lt;&gt;"",IF($B$16=listy!$K$8,'RZĄDOWY PROGRAM'!$F$3*'RZĄDOWY PROGRAM'!$F$15,AG389*$F$15),"")</f>
        <v/>
      </c>
      <c r="AO390" s="11" t="str">
        <f t="shared" si="325"/>
        <v/>
      </c>
      <c r="AQ390" s="8" t="str">
        <f t="shared" si="337"/>
        <v/>
      </c>
      <c r="AR390" s="8"/>
      <c r="AS390" s="78" t="str">
        <f>IF(AQ390&lt;&gt;"",ROUND(IF($F$11="raty równe",-PMT(W390/12,$F$4-AQ389+SUM($AR$28:AR390),AV389,2),AT390+AU390),2),"")</f>
        <v/>
      </c>
      <c r="AT390" s="78" t="str">
        <f>IF(AQ390&lt;&gt;"",IF($F$11="raty malejące",AV389/($F$4-AQ389+SUM($AR$28:AR389)),MIN(AS390-AU390,AV389)),"")</f>
        <v/>
      </c>
      <c r="AU390" s="78" t="str">
        <f t="shared" si="338"/>
        <v/>
      </c>
      <c r="AV390" s="79" t="str">
        <f t="shared" si="339"/>
        <v/>
      </c>
      <c r="AW390" s="11"/>
      <c r="AX390" s="33" t="str">
        <f>IF(AQ390&lt;&gt;"",ROUND(IF($F$11="raty równe",-PMT(W390/12,($F$4-AQ389+SUM($AR$27:AR389)),AV389,2),AV389/($F$4-AQ389+SUM($AR$27:AR389))+AV389*W390/12),2),"")</f>
        <v/>
      </c>
      <c r="AY390" s="33" t="str">
        <f t="shared" si="340"/>
        <v/>
      </c>
      <c r="AZ390" s="33" t="str">
        <f t="shared" si="347"/>
        <v/>
      </c>
      <c r="BA390" s="33" t="str">
        <f>IF(AQ390&lt;&gt;"",AZ390-SUM($AY$44:AY390),"")</f>
        <v/>
      </c>
      <c r="BB390" s="11" t="str">
        <f t="shared" si="341"/>
        <v/>
      </c>
      <c r="BC390" s="11" t="str">
        <f>IF(AQ390&lt;&gt;"",IF($B$16=listy!$K$8,'RZĄDOWY PROGRAM'!$F$3*'RZĄDOWY PROGRAM'!$F$15,AV389*$F$15),"")</f>
        <v/>
      </c>
      <c r="BD390" s="11" t="str">
        <f t="shared" si="342"/>
        <v/>
      </c>
      <c r="BF390" s="8" t="str">
        <f t="shared" si="351"/>
        <v/>
      </c>
      <c r="BG390" s="8"/>
      <c r="BH390" s="78" t="str">
        <f>IF(BF390&lt;&gt;"",ROUND(IF($F$11="raty równe",-PMT(W390/12,$F$4-BF389+SUM(BV$28:$BV390)-SUM($BM$29:BM390),BK389,2),BI390+BJ390),2),"")</f>
        <v/>
      </c>
      <c r="BI390" s="78" t="str">
        <f>IF(BF390&lt;&gt;"",IF($F$11="raty malejące",MIN(BK389/($F$4-BF389+SUM($BG$27:BG390)-SUM($BM$27:BM390)),BK389),MIN(BH390-BJ390,BK389)),"")</f>
        <v/>
      </c>
      <c r="BJ390" s="78" t="str">
        <f t="shared" si="352"/>
        <v/>
      </c>
      <c r="BK390" s="79" t="str">
        <f t="shared" si="353"/>
        <v/>
      </c>
      <c r="BL390" s="11"/>
      <c r="BM390" s="33"/>
      <c r="BN390" s="33" t="str">
        <f t="shared" si="348"/>
        <v/>
      </c>
      <c r="BO390" s="33" t="str">
        <f t="shared" si="349"/>
        <v/>
      </c>
      <c r="BP390" s="33" t="str">
        <f>IF(O390&lt;&gt;"",BO390-SUM($BN$44:BN390),"")</f>
        <v/>
      </c>
      <c r="BQ390" s="11" t="str">
        <f t="shared" si="354"/>
        <v/>
      </c>
      <c r="BR390" s="11" t="str">
        <f>IF(BF390&lt;&gt;"",IF($B$16=listy!$K$8,'RZĄDOWY PROGRAM'!$F$3*'RZĄDOWY PROGRAM'!$F$15,BK389*$F$15),"")</f>
        <v/>
      </c>
      <c r="BS390" s="11" t="str">
        <f t="shared" si="355"/>
        <v/>
      </c>
      <c r="BU390" s="8" t="str">
        <f t="shared" si="343"/>
        <v/>
      </c>
      <c r="BV390" s="8"/>
      <c r="BW390" s="78" t="str">
        <f>IF(BU390&lt;&gt;"",ROUND(IF($F$11="raty równe",-PMT(W390/12,$F$4-BU389+SUM($BV$28:BV390)-$CB$43,BZ389,2),BX390+BY390),2),"")</f>
        <v/>
      </c>
      <c r="BX390" s="78" t="str">
        <f>IF(BU390&lt;&gt;"",IF($F$11="raty malejące",MIN(BZ389/($F$4-BU389+SUM($BV$28:BV389)-SUM($CB$28:CB389)),BZ389),MIN(BW390-BY390,BZ389)),"")</f>
        <v/>
      </c>
      <c r="BY390" s="78" t="str">
        <f t="shared" si="356"/>
        <v/>
      </c>
      <c r="BZ390" s="79" t="str">
        <f t="shared" si="346"/>
        <v/>
      </c>
      <c r="CA390" s="11"/>
      <c r="CB390" s="33"/>
      <c r="CC390" s="33" t="str">
        <f t="shared" si="344"/>
        <v/>
      </c>
      <c r="CD390" s="33" t="str">
        <f t="shared" si="350"/>
        <v/>
      </c>
      <c r="CE390" s="33" t="str">
        <f>IF(O390&lt;&gt;"",CD390-SUM($CC$44:CC390),"")</f>
        <v/>
      </c>
      <c r="CF390" s="11" t="str">
        <f t="shared" si="357"/>
        <v/>
      </c>
      <c r="CG390" s="11" t="str">
        <f>IF(BU390&lt;&gt;"",IF($B$16=listy!$K$8,'RZĄDOWY PROGRAM'!$F$3*'RZĄDOWY PROGRAM'!$F$15,BZ389*$F$15),"")</f>
        <v/>
      </c>
      <c r="CH390" s="11" t="str">
        <f t="shared" si="358"/>
        <v/>
      </c>
      <c r="CJ390" s="48" t="str">
        <f t="shared" si="331"/>
        <v/>
      </c>
      <c r="CK390" s="18" t="str">
        <f t="shared" si="332"/>
        <v/>
      </c>
      <c r="CL390" s="11" t="str">
        <f t="shared" si="361"/>
        <v/>
      </c>
      <c r="CM390" s="11" t="str">
        <f t="shared" si="333"/>
        <v/>
      </c>
      <c r="CN390" s="11" t="str">
        <f>IF(AB390&lt;&gt;"",CM390-SUM($CL$28:CL390),"")</f>
        <v/>
      </c>
    </row>
    <row r="391" spans="1:92" x14ac:dyDescent="0.45">
      <c r="A391" s="68" t="str">
        <f t="shared" si="307"/>
        <v/>
      </c>
      <c r="B391" s="8" t="str">
        <f t="shared" si="326"/>
        <v/>
      </c>
      <c r="C391" s="11" t="str">
        <f t="shared" si="327"/>
        <v/>
      </c>
      <c r="D391" s="11" t="str">
        <f t="shared" si="328"/>
        <v/>
      </c>
      <c r="E391" s="11" t="str">
        <f t="shared" si="308"/>
        <v/>
      </c>
      <c r="F391" s="9" t="str">
        <f t="shared" si="309"/>
        <v/>
      </c>
      <c r="G391" s="10" t="str">
        <f t="shared" si="310"/>
        <v/>
      </c>
      <c r="H391" s="10" t="str">
        <f t="shared" si="311"/>
        <v/>
      </c>
      <c r="I391" s="48" t="str">
        <f t="shared" si="334"/>
        <v/>
      </c>
      <c r="J391" s="11" t="str">
        <f t="shared" si="329"/>
        <v/>
      </c>
      <c r="K391" s="11" t="str">
        <f>IF(B391&lt;&gt;"",IF($B$16=listy!$K$8,'RZĄDOWY PROGRAM'!$F$3*'RZĄDOWY PROGRAM'!$F$15,F390*$F$15),"")</f>
        <v/>
      </c>
      <c r="L391" s="11" t="str">
        <f t="shared" si="312"/>
        <v/>
      </c>
      <c r="N391" s="54" t="str">
        <f t="shared" si="313"/>
        <v/>
      </c>
      <c r="O391" s="8" t="str">
        <f t="shared" si="335"/>
        <v/>
      </c>
      <c r="P391" s="8"/>
      <c r="Q391" s="11" t="str">
        <f>IF(O391&lt;&gt;"",ROUND(IF($F$11="raty równe",-PMT(W391/12,$F$4-O390+SUM($P$28:P391),T390,2),R391+S391),2),"")</f>
        <v/>
      </c>
      <c r="R391" s="11" t="str">
        <f>IF(O391&lt;&gt;"",IF($F$11="raty malejące",T390/($F$4-O390+SUM($P$28:P391)),IF(Q391-S391&gt;T390,T390,Q391-S391)),"")</f>
        <v/>
      </c>
      <c r="S391" s="11" t="str">
        <f t="shared" si="314"/>
        <v/>
      </c>
      <c r="T391" s="9" t="str">
        <f t="shared" si="315"/>
        <v/>
      </c>
      <c r="U391" s="10" t="str">
        <f t="shared" si="316"/>
        <v/>
      </c>
      <c r="V391" s="10" t="str">
        <f t="shared" si="317"/>
        <v/>
      </c>
      <c r="W391" s="48" t="str">
        <f t="shared" si="336"/>
        <v/>
      </c>
      <c r="X391" s="11" t="str">
        <f t="shared" si="359"/>
        <v/>
      </c>
      <c r="Y391" s="11" t="str">
        <f>IF(O391&lt;&gt;"",IF($B$16=listy!$K$8,'RZĄDOWY PROGRAM'!$F$3*'RZĄDOWY PROGRAM'!$F$15,T390*$F$15),"")</f>
        <v/>
      </c>
      <c r="Z391" s="11" t="str">
        <f t="shared" si="319"/>
        <v/>
      </c>
      <c r="AB391" s="8" t="str">
        <f t="shared" si="320"/>
        <v/>
      </c>
      <c r="AC391" s="8"/>
      <c r="AD391" s="11" t="str">
        <f>IF(AB391&lt;&gt;"",ROUND(IF($F$11="raty równe",-PMT(W391/12,$F$4-AB390+SUM($AC$28:AC391),AG390,2),AE391+AF391),2),"")</f>
        <v/>
      </c>
      <c r="AE391" s="11" t="str">
        <f>IF(AB391&lt;&gt;"",IF($F$11="raty malejące",AG390/($F$4-AB390+SUM($AC$28:AC390)),MIN(AD391-AF391,AG390)),"")</f>
        <v/>
      </c>
      <c r="AF391" s="11" t="str">
        <f t="shared" si="321"/>
        <v/>
      </c>
      <c r="AG391" s="9" t="str">
        <f t="shared" si="322"/>
        <v/>
      </c>
      <c r="AH391" s="11"/>
      <c r="AI391" s="33" t="str">
        <f>IF(AB391&lt;&gt;"",ROUND(IF($F$11="raty równe",-PMT(W391/12,($F$4-AB390+SUM($AC$27:AC390)),AG390,2),AG390/($F$4-AB390+SUM($AC$27:AC390))+AG390*W391/12),2),"")</f>
        <v/>
      </c>
      <c r="AJ391" s="33" t="str">
        <f t="shared" si="323"/>
        <v/>
      </c>
      <c r="AK391" s="33" t="str">
        <f t="shared" si="330"/>
        <v/>
      </c>
      <c r="AL391" s="33" t="str">
        <f>IF(AB391&lt;&gt;"",AK391-SUM($AJ$28:AJ391),"")</f>
        <v/>
      </c>
      <c r="AM391" s="11" t="str">
        <f t="shared" si="360"/>
        <v/>
      </c>
      <c r="AN391" s="11" t="str">
        <f>IF(AB391&lt;&gt;"",IF($B$16=listy!$K$8,'RZĄDOWY PROGRAM'!$F$3*'RZĄDOWY PROGRAM'!$F$15,AG390*$F$15),"")</f>
        <v/>
      </c>
      <c r="AO391" s="11" t="str">
        <f t="shared" si="325"/>
        <v/>
      </c>
      <c r="AQ391" s="8" t="str">
        <f t="shared" si="337"/>
        <v/>
      </c>
      <c r="AR391" s="8"/>
      <c r="AS391" s="78" t="str">
        <f>IF(AQ391&lt;&gt;"",ROUND(IF($F$11="raty równe",-PMT(W391/12,$F$4-AQ390+SUM($AR$28:AR391),AV390,2),AT391+AU391),2),"")</f>
        <v/>
      </c>
      <c r="AT391" s="78" t="str">
        <f>IF(AQ391&lt;&gt;"",IF($F$11="raty malejące",AV390/($F$4-AQ390+SUM($AR$28:AR390)),MIN(AS391-AU391,AV390)),"")</f>
        <v/>
      </c>
      <c r="AU391" s="78" t="str">
        <f t="shared" si="338"/>
        <v/>
      </c>
      <c r="AV391" s="79" t="str">
        <f t="shared" si="339"/>
        <v/>
      </c>
      <c r="AW391" s="11"/>
      <c r="AX391" s="33" t="str">
        <f>IF(AQ391&lt;&gt;"",ROUND(IF($F$11="raty równe",-PMT(W391/12,($F$4-AQ390+SUM($AR$27:AR390)),AV390,2),AV390/($F$4-AQ390+SUM($AR$27:AR390))+AV390*W391/12),2),"")</f>
        <v/>
      </c>
      <c r="AY391" s="33" t="str">
        <f t="shared" si="340"/>
        <v/>
      </c>
      <c r="AZ391" s="33" t="str">
        <f t="shared" si="347"/>
        <v/>
      </c>
      <c r="BA391" s="33" t="str">
        <f>IF(AQ391&lt;&gt;"",AZ391-SUM($AY$44:AY391),"")</f>
        <v/>
      </c>
      <c r="BB391" s="11" t="str">
        <f t="shared" si="341"/>
        <v/>
      </c>
      <c r="BC391" s="11" t="str">
        <f>IF(AQ391&lt;&gt;"",IF($B$16=listy!$K$8,'RZĄDOWY PROGRAM'!$F$3*'RZĄDOWY PROGRAM'!$F$15,AV390*$F$15),"")</f>
        <v/>
      </c>
      <c r="BD391" s="11" t="str">
        <f t="shared" si="342"/>
        <v/>
      </c>
      <c r="BF391" s="8" t="str">
        <f t="shared" si="351"/>
        <v/>
      </c>
      <c r="BG391" s="8"/>
      <c r="BH391" s="78" t="str">
        <f>IF(BF391&lt;&gt;"",ROUND(IF($F$11="raty równe",-PMT(W391/12,$F$4-BF390+SUM(BV$28:$BV391)-SUM($BM$29:BM391),BK390,2),BI391+BJ391),2),"")</f>
        <v/>
      </c>
      <c r="BI391" s="78" t="str">
        <f>IF(BF391&lt;&gt;"",IF($F$11="raty malejące",MIN(BK390/($F$4-BF390+SUM($BG$27:BG391)-SUM($BM$27:BM391)),BK390),MIN(BH391-BJ391,BK390)),"")</f>
        <v/>
      </c>
      <c r="BJ391" s="78" t="str">
        <f t="shared" si="352"/>
        <v/>
      </c>
      <c r="BK391" s="79" t="str">
        <f t="shared" si="353"/>
        <v/>
      </c>
      <c r="BL391" s="11"/>
      <c r="BM391" s="33"/>
      <c r="BN391" s="33" t="str">
        <f t="shared" si="348"/>
        <v/>
      </c>
      <c r="BO391" s="33" t="str">
        <f t="shared" si="349"/>
        <v/>
      </c>
      <c r="BP391" s="33" t="str">
        <f>IF(O391&lt;&gt;"",BO391-SUM($BN$44:BN391),"")</f>
        <v/>
      </c>
      <c r="BQ391" s="11" t="str">
        <f t="shared" si="354"/>
        <v/>
      </c>
      <c r="BR391" s="11" t="str">
        <f>IF(BF391&lt;&gt;"",IF($B$16=listy!$K$8,'RZĄDOWY PROGRAM'!$F$3*'RZĄDOWY PROGRAM'!$F$15,BK390*$F$15),"")</f>
        <v/>
      </c>
      <c r="BS391" s="11" t="str">
        <f t="shared" si="355"/>
        <v/>
      </c>
      <c r="BU391" s="8" t="str">
        <f t="shared" si="343"/>
        <v/>
      </c>
      <c r="BV391" s="8"/>
      <c r="BW391" s="78" t="str">
        <f>IF(BU391&lt;&gt;"",ROUND(IF($F$11="raty równe",-PMT(W391/12,$F$4-BU390+SUM($BV$28:BV391)-$CB$43,BZ390,2),BX391+BY391),2),"")</f>
        <v/>
      </c>
      <c r="BX391" s="78" t="str">
        <f>IF(BU391&lt;&gt;"",IF($F$11="raty malejące",MIN(BZ390/($F$4-BU390+SUM($BV$28:BV390)-SUM($CB$28:CB390)),BZ390),MIN(BW391-BY391,BZ390)),"")</f>
        <v/>
      </c>
      <c r="BY391" s="78" t="str">
        <f t="shared" si="356"/>
        <v/>
      </c>
      <c r="BZ391" s="79" t="str">
        <f t="shared" si="346"/>
        <v/>
      </c>
      <c r="CA391" s="11"/>
      <c r="CB391" s="33"/>
      <c r="CC391" s="33" t="str">
        <f t="shared" si="344"/>
        <v/>
      </c>
      <c r="CD391" s="33" t="str">
        <f t="shared" si="350"/>
        <v/>
      </c>
      <c r="CE391" s="33" t="str">
        <f>IF(O391&lt;&gt;"",CD391-SUM($CC$44:CC391),"")</f>
        <v/>
      </c>
      <c r="CF391" s="11" t="str">
        <f t="shared" si="357"/>
        <v/>
      </c>
      <c r="CG391" s="11" t="str">
        <f>IF(BU391&lt;&gt;"",IF($B$16=listy!$K$8,'RZĄDOWY PROGRAM'!$F$3*'RZĄDOWY PROGRAM'!$F$15,BZ390*$F$15),"")</f>
        <v/>
      </c>
      <c r="CH391" s="11" t="str">
        <f t="shared" si="358"/>
        <v/>
      </c>
      <c r="CJ391" s="48" t="str">
        <f t="shared" si="331"/>
        <v/>
      </c>
      <c r="CK391" s="18" t="str">
        <f t="shared" si="332"/>
        <v/>
      </c>
      <c r="CL391" s="11" t="str">
        <f t="shared" si="361"/>
        <v/>
      </c>
      <c r="CM391" s="11" t="str">
        <f t="shared" si="333"/>
        <v/>
      </c>
      <c r="CN391" s="11" t="str">
        <f>IF(AB391&lt;&gt;"",CM391-SUM($CL$28:CL391),"")</f>
        <v/>
      </c>
    </row>
    <row r="392" spans="1:92" x14ac:dyDescent="0.45">
      <c r="A392" s="68" t="str">
        <f t="shared" si="307"/>
        <v/>
      </c>
      <c r="B392" s="8" t="str">
        <f t="shared" si="326"/>
        <v/>
      </c>
      <c r="C392" s="11" t="str">
        <f t="shared" si="327"/>
        <v/>
      </c>
      <c r="D392" s="11" t="str">
        <f t="shared" si="328"/>
        <v/>
      </c>
      <c r="E392" s="11" t="str">
        <f t="shared" si="308"/>
        <v/>
      </c>
      <c r="F392" s="9" t="str">
        <f t="shared" si="309"/>
        <v/>
      </c>
      <c r="G392" s="10" t="str">
        <f t="shared" si="310"/>
        <v/>
      </c>
      <c r="H392" s="10" t="str">
        <f t="shared" si="311"/>
        <v/>
      </c>
      <c r="I392" s="48" t="str">
        <f t="shared" si="334"/>
        <v/>
      </c>
      <c r="J392" s="11" t="str">
        <f t="shared" si="329"/>
        <v/>
      </c>
      <c r="K392" s="11" t="str">
        <f>IF(B392&lt;&gt;"",IF($B$16=listy!$K$8,'RZĄDOWY PROGRAM'!$F$3*'RZĄDOWY PROGRAM'!$F$15,F391*$F$15),"")</f>
        <v/>
      </c>
      <c r="L392" s="11" t="str">
        <f t="shared" si="312"/>
        <v/>
      </c>
      <c r="N392" s="54" t="str">
        <f t="shared" si="313"/>
        <v/>
      </c>
      <c r="O392" s="8" t="str">
        <f t="shared" si="335"/>
        <v/>
      </c>
      <c r="P392" s="8"/>
      <c r="Q392" s="11" t="str">
        <f>IF(O392&lt;&gt;"",ROUND(IF($F$11="raty równe",-PMT(W392/12,$F$4-O391+SUM($P$28:P392),T391,2),R392+S392),2),"")</f>
        <v/>
      </c>
      <c r="R392" s="11" t="str">
        <f>IF(O392&lt;&gt;"",IF($F$11="raty malejące",T391/($F$4-O391+SUM($P$28:P392)),IF(Q392-S392&gt;T391,T391,Q392-S392)),"")</f>
        <v/>
      </c>
      <c r="S392" s="11" t="str">
        <f t="shared" si="314"/>
        <v/>
      </c>
      <c r="T392" s="9" t="str">
        <f t="shared" si="315"/>
        <v/>
      </c>
      <c r="U392" s="10" t="str">
        <f t="shared" si="316"/>
        <v/>
      </c>
      <c r="V392" s="10" t="str">
        <f t="shared" si="317"/>
        <v/>
      </c>
      <c r="W392" s="48" t="str">
        <f t="shared" si="336"/>
        <v/>
      </c>
      <c r="X392" s="11" t="str">
        <f t="shared" si="359"/>
        <v/>
      </c>
      <c r="Y392" s="11" t="str">
        <f>IF(O392&lt;&gt;"",IF($B$16=listy!$K$8,'RZĄDOWY PROGRAM'!$F$3*'RZĄDOWY PROGRAM'!$F$15,T391*$F$15),"")</f>
        <v/>
      </c>
      <c r="Z392" s="11" t="str">
        <f t="shared" si="319"/>
        <v/>
      </c>
      <c r="AB392" s="8" t="str">
        <f t="shared" si="320"/>
        <v/>
      </c>
      <c r="AC392" s="8"/>
      <c r="AD392" s="11" t="str">
        <f>IF(AB392&lt;&gt;"",ROUND(IF($F$11="raty równe",-PMT(W392/12,$F$4-AB391+SUM($AC$28:AC392),AG391,2),AE392+AF392),2),"")</f>
        <v/>
      </c>
      <c r="AE392" s="11" t="str">
        <f>IF(AB392&lt;&gt;"",IF($F$11="raty malejące",AG391/($F$4-AB391+SUM($AC$28:AC391)),MIN(AD392-AF392,AG391)),"")</f>
        <v/>
      </c>
      <c r="AF392" s="11" t="str">
        <f t="shared" si="321"/>
        <v/>
      </c>
      <c r="AG392" s="9" t="str">
        <f t="shared" si="322"/>
        <v/>
      </c>
      <c r="AH392" s="11"/>
      <c r="AI392" s="33" t="str">
        <f>IF(AB392&lt;&gt;"",ROUND(IF($F$11="raty równe",-PMT(W392/12,($F$4-AB391+SUM($AC$27:AC391)),AG391,2),AG391/($F$4-AB391+SUM($AC$27:AC391))+AG391*W392/12),2),"")</f>
        <v/>
      </c>
      <c r="AJ392" s="33" t="str">
        <f t="shared" si="323"/>
        <v/>
      </c>
      <c r="AK392" s="33" t="str">
        <f t="shared" si="330"/>
        <v/>
      </c>
      <c r="AL392" s="33" t="str">
        <f>IF(AB392&lt;&gt;"",AK392-SUM($AJ$28:AJ392),"")</f>
        <v/>
      </c>
      <c r="AM392" s="11" t="str">
        <f t="shared" si="360"/>
        <v/>
      </c>
      <c r="AN392" s="11" t="str">
        <f>IF(AB392&lt;&gt;"",IF($B$16=listy!$K$8,'RZĄDOWY PROGRAM'!$F$3*'RZĄDOWY PROGRAM'!$F$15,AG391*$F$15),"")</f>
        <v/>
      </c>
      <c r="AO392" s="11" t="str">
        <f t="shared" si="325"/>
        <v/>
      </c>
      <c r="AQ392" s="8" t="str">
        <f t="shared" si="337"/>
        <v/>
      </c>
      <c r="AR392" s="8"/>
      <c r="AS392" s="78" t="str">
        <f>IF(AQ392&lt;&gt;"",ROUND(IF($F$11="raty równe",-PMT(W392/12,$F$4-AQ391+SUM($AR$28:AR392),AV391,2),AT392+AU392),2),"")</f>
        <v/>
      </c>
      <c r="AT392" s="78" t="str">
        <f>IF(AQ392&lt;&gt;"",IF($F$11="raty malejące",AV391/($F$4-AQ391+SUM($AR$28:AR391)),MIN(AS392-AU392,AV391)),"")</f>
        <v/>
      </c>
      <c r="AU392" s="78" t="str">
        <f t="shared" si="338"/>
        <v/>
      </c>
      <c r="AV392" s="79" t="str">
        <f t="shared" si="339"/>
        <v/>
      </c>
      <c r="AW392" s="11"/>
      <c r="AX392" s="33" t="str">
        <f>IF(AQ392&lt;&gt;"",ROUND(IF($F$11="raty równe",-PMT(W392/12,($F$4-AQ391+SUM($AR$27:AR391)),AV391,2),AV391/($F$4-AQ391+SUM($AR$27:AR391))+AV391*W392/12),2),"")</f>
        <v/>
      </c>
      <c r="AY392" s="33" t="str">
        <f t="shared" si="340"/>
        <v/>
      </c>
      <c r="AZ392" s="33" t="str">
        <f t="shared" si="347"/>
        <v/>
      </c>
      <c r="BA392" s="33" t="str">
        <f>IF(AQ392&lt;&gt;"",AZ392-SUM($AY$44:AY392),"")</f>
        <v/>
      </c>
      <c r="BB392" s="11" t="str">
        <f t="shared" si="341"/>
        <v/>
      </c>
      <c r="BC392" s="11" t="str">
        <f>IF(AQ392&lt;&gt;"",IF($B$16=listy!$K$8,'RZĄDOWY PROGRAM'!$F$3*'RZĄDOWY PROGRAM'!$F$15,AV391*$F$15),"")</f>
        <v/>
      </c>
      <c r="BD392" s="11" t="str">
        <f t="shared" si="342"/>
        <v/>
      </c>
      <c r="BF392" s="8" t="str">
        <f t="shared" si="351"/>
        <v/>
      </c>
      <c r="BG392" s="8"/>
      <c r="BH392" s="78" t="str">
        <f>IF(BF392&lt;&gt;"",ROUND(IF($F$11="raty równe",-PMT(W392/12,$F$4-BF391+SUM(BV$28:$BV392)-SUM($BM$29:BM392),BK391,2),BI392+BJ392),2),"")</f>
        <v/>
      </c>
      <c r="BI392" s="78" t="str">
        <f>IF(BF392&lt;&gt;"",IF($F$11="raty malejące",MIN(BK391/($F$4-BF391+SUM($BG$27:BG392)-SUM($BM$27:BM392)),BK391),MIN(BH392-BJ392,BK391)),"")</f>
        <v/>
      </c>
      <c r="BJ392" s="78" t="str">
        <f t="shared" si="352"/>
        <v/>
      </c>
      <c r="BK392" s="79" t="str">
        <f t="shared" si="353"/>
        <v/>
      </c>
      <c r="BL392" s="11"/>
      <c r="BM392" s="33"/>
      <c r="BN392" s="33" t="str">
        <f t="shared" si="348"/>
        <v/>
      </c>
      <c r="BO392" s="33" t="str">
        <f t="shared" si="349"/>
        <v/>
      </c>
      <c r="BP392" s="33" t="str">
        <f>IF(O392&lt;&gt;"",BO392-SUM($BN$44:BN392),"")</f>
        <v/>
      </c>
      <c r="BQ392" s="11" t="str">
        <f t="shared" si="354"/>
        <v/>
      </c>
      <c r="BR392" s="11" t="str">
        <f>IF(BF392&lt;&gt;"",IF($B$16=listy!$K$8,'RZĄDOWY PROGRAM'!$F$3*'RZĄDOWY PROGRAM'!$F$15,BK391*$F$15),"")</f>
        <v/>
      </c>
      <c r="BS392" s="11" t="str">
        <f t="shared" si="355"/>
        <v/>
      </c>
      <c r="BU392" s="8" t="str">
        <f t="shared" si="343"/>
        <v/>
      </c>
      <c r="BV392" s="8"/>
      <c r="BW392" s="78" t="str">
        <f>IF(BU392&lt;&gt;"",ROUND(IF($F$11="raty równe",-PMT(W392/12,$F$4-BU391+SUM($BV$28:BV392)-$CB$43,BZ391,2),BX392+BY392),2),"")</f>
        <v/>
      </c>
      <c r="BX392" s="78" t="str">
        <f>IF(BU392&lt;&gt;"",IF($F$11="raty malejące",MIN(BZ391/($F$4-BU391+SUM($BV$28:BV391)-SUM($CB$28:CB391)),BZ391),MIN(BW392-BY392,BZ391)),"")</f>
        <v/>
      </c>
      <c r="BY392" s="78" t="str">
        <f t="shared" si="356"/>
        <v/>
      </c>
      <c r="BZ392" s="79" t="str">
        <f t="shared" si="346"/>
        <v/>
      </c>
      <c r="CA392" s="11"/>
      <c r="CB392" s="33"/>
      <c r="CC392" s="33" t="str">
        <f t="shared" si="344"/>
        <v/>
      </c>
      <c r="CD392" s="33" t="str">
        <f t="shared" si="350"/>
        <v/>
      </c>
      <c r="CE392" s="33" t="str">
        <f>IF(O392&lt;&gt;"",CD392-SUM($CC$44:CC392),"")</f>
        <v/>
      </c>
      <c r="CF392" s="11" t="str">
        <f t="shared" si="357"/>
        <v/>
      </c>
      <c r="CG392" s="11" t="str">
        <f>IF(BU392&lt;&gt;"",IF($B$16=listy!$K$8,'RZĄDOWY PROGRAM'!$F$3*'RZĄDOWY PROGRAM'!$F$15,BZ391*$F$15),"")</f>
        <v/>
      </c>
      <c r="CH392" s="11" t="str">
        <f t="shared" si="358"/>
        <v/>
      </c>
      <c r="CJ392" s="48" t="str">
        <f t="shared" si="331"/>
        <v/>
      </c>
      <c r="CK392" s="18" t="str">
        <f t="shared" si="332"/>
        <v/>
      </c>
      <c r="CL392" s="11" t="str">
        <f t="shared" si="361"/>
        <v/>
      </c>
      <c r="CM392" s="11" t="str">
        <f t="shared" si="333"/>
        <v/>
      </c>
      <c r="CN392" s="11" t="str">
        <f>IF(AB392&lt;&gt;"",CM392-SUM($CL$28:CL392),"")</f>
        <v/>
      </c>
    </row>
    <row r="393" spans="1:92" x14ac:dyDescent="0.45">
      <c r="A393" s="68" t="str">
        <f t="shared" si="307"/>
        <v/>
      </c>
      <c r="B393" s="8" t="str">
        <f t="shared" si="326"/>
        <v/>
      </c>
      <c r="C393" s="11" t="str">
        <f t="shared" si="327"/>
        <v/>
      </c>
      <c r="D393" s="11" t="str">
        <f t="shared" si="328"/>
        <v/>
      </c>
      <c r="E393" s="11" t="str">
        <f t="shared" si="308"/>
        <v/>
      </c>
      <c r="F393" s="9" t="str">
        <f t="shared" si="309"/>
        <v/>
      </c>
      <c r="G393" s="10" t="str">
        <f t="shared" si="310"/>
        <v/>
      </c>
      <c r="H393" s="10" t="str">
        <f t="shared" si="311"/>
        <v/>
      </c>
      <c r="I393" s="48" t="str">
        <f t="shared" si="334"/>
        <v/>
      </c>
      <c r="J393" s="11" t="str">
        <f t="shared" si="329"/>
        <v/>
      </c>
      <c r="K393" s="11" t="str">
        <f>IF(B393&lt;&gt;"",IF($B$16=listy!$K$8,'RZĄDOWY PROGRAM'!$F$3*'RZĄDOWY PROGRAM'!$F$15,F392*$F$15),"")</f>
        <v/>
      </c>
      <c r="L393" s="11" t="str">
        <f t="shared" si="312"/>
        <v/>
      </c>
      <c r="N393" s="54" t="str">
        <f t="shared" si="313"/>
        <v/>
      </c>
      <c r="O393" s="8" t="str">
        <f t="shared" si="335"/>
        <v/>
      </c>
      <c r="P393" s="8"/>
      <c r="Q393" s="11" t="str">
        <f>IF(O393&lt;&gt;"",ROUND(IF($F$11="raty równe",-PMT(W393/12,$F$4-O392+SUM($P$28:P393),T392,2),R393+S393),2),"")</f>
        <v/>
      </c>
      <c r="R393" s="11" t="str">
        <f>IF(O393&lt;&gt;"",IF($F$11="raty malejące",T392/($F$4-O392+SUM($P$28:P393)),IF(Q393-S393&gt;T392,T392,Q393-S393)),"")</f>
        <v/>
      </c>
      <c r="S393" s="11" t="str">
        <f t="shared" si="314"/>
        <v/>
      </c>
      <c r="T393" s="9" t="str">
        <f t="shared" si="315"/>
        <v/>
      </c>
      <c r="U393" s="10" t="str">
        <f t="shared" si="316"/>
        <v/>
      </c>
      <c r="V393" s="10" t="str">
        <f t="shared" si="317"/>
        <v/>
      </c>
      <c r="W393" s="48" t="str">
        <f t="shared" si="336"/>
        <v/>
      </c>
      <c r="X393" s="11" t="str">
        <f t="shared" si="359"/>
        <v/>
      </c>
      <c r="Y393" s="11" t="str">
        <f>IF(O393&lt;&gt;"",IF($B$16=listy!$K$8,'RZĄDOWY PROGRAM'!$F$3*'RZĄDOWY PROGRAM'!$F$15,T392*$F$15),"")</f>
        <v/>
      </c>
      <c r="Z393" s="11" t="str">
        <f t="shared" si="319"/>
        <v/>
      </c>
      <c r="AB393" s="8" t="str">
        <f t="shared" si="320"/>
        <v/>
      </c>
      <c r="AC393" s="8"/>
      <c r="AD393" s="11" t="str">
        <f>IF(AB393&lt;&gt;"",ROUND(IF($F$11="raty równe",-PMT(W393/12,$F$4-AB392+SUM($AC$28:AC393),AG392,2),AE393+AF393),2),"")</f>
        <v/>
      </c>
      <c r="AE393" s="11" t="str">
        <f>IF(AB393&lt;&gt;"",IF($F$11="raty malejące",AG392/($F$4-AB392+SUM($AC$28:AC392)),MIN(AD393-AF393,AG392)),"")</f>
        <v/>
      </c>
      <c r="AF393" s="11" t="str">
        <f t="shared" si="321"/>
        <v/>
      </c>
      <c r="AG393" s="9" t="str">
        <f t="shared" si="322"/>
        <v/>
      </c>
      <c r="AH393" s="11"/>
      <c r="AI393" s="33" t="str">
        <f>IF(AB393&lt;&gt;"",ROUND(IF($F$11="raty równe",-PMT(W393/12,($F$4-AB392+SUM($AC$27:AC392)),AG392,2),AG392/($F$4-AB392+SUM($AC$27:AC392))+AG392*W393/12),2),"")</f>
        <v/>
      </c>
      <c r="AJ393" s="33" t="str">
        <f t="shared" si="323"/>
        <v/>
      </c>
      <c r="AK393" s="33" t="str">
        <f t="shared" si="330"/>
        <v/>
      </c>
      <c r="AL393" s="33" t="str">
        <f>IF(AB393&lt;&gt;"",AK393-SUM($AJ$28:AJ393),"")</f>
        <v/>
      </c>
      <c r="AM393" s="11" t="str">
        <f t="shared" si="360"/>
        <v/>
      </c>
      <c r="AN393" s="11" t="str">
        <f>IF(AB393&lt;&gt;"",IF($B$16=listy!$K$8,'RZĄDOWY PROGRAM'!$F$3*'RZĄDOWY PROGRAM'!$F$15,AG392*$F$15),"")</f>
        <v/>
      </c>
      <c r="AO393" s="11" t="str">
        <f t="shared" si="325"/>
        <v/>
      </c>
      <c r="AQ393" s="8" t="str">
        <f t="shared" si="337"/>
        <v/>
      </c>
      <c r="AR393" s="8"/>
      <c r="AS393" s="78" t="str">
        <f>IF(AQ393&lt;&gt;"",ROUND(IF($F$11="raty równe",-PMT(W393/12,$F$4-AQ392+SUM($AR$28:AR393),AV392,2),AT393+AU393),2),"")</f>
        <v/>
      </c>
      <c r="AT393" s="78" t="str">
        <f>IF(AQ393&lt;&gt;"",IF($F$11="raty malejące",AV392/($F$4-AQ392+SUM($AR$28:AR392)),MIN(AS393-AU393,AV392)),"")</f>
        <v/>
      </c>
      <c r="AU393" s="78" t="str">
        <f t="shared" si="338"/>
        <v/>
      </c>
      <c r="AV393" s="79" t="str">
        <f t="shared" si="339"/>
        <v/>
      </c>
      <c r="AW393" s="11"/>
      <c r="AX393" s="33" t="str">
        <f>IF(AQ393&lt;&gt;"",ROUND(IF($F$11="raty równe",-PMT(W393/12,($F$4-AQ392+SUM($AR$27:AR392)),AV392,2),AV392/($F$4-AQ392+SUM($AR$27:AR392))+AV392*W393/12),2),"")</f>
        <v/>
      </c>
      <c r="AY393" s="33" t="str">
        <f t="shared" si="340"/>
        <v/>
      </c>
      <c r="AZ393" s="33" t="str">
        <f t="shared" si="347"/>
        <v/>
      </c>
      <c r="BA393" s="33" t="str">
        <f>IF(AQ393&lt;&gt;"",AZ393-SUM($AY$44:AY393),"")</f>
        <v/>
      </c>
      <c r="BB393" s="11" t="str">
        <f t="shared" si="341"/>
        <v/>
      </c>
      <c r="BC393" s="11" t="str">
        <f>IF(AQ393&lt;&gt;"",IF($B$16=listy!$K$8,'RZĄDOWY PROGRAM'!$F$3*'RZĄDOWY PROGRAM'!$F$15,AV392*$F$15),"")</f>
        <v/>
      </c>
      <c r="BD393" s="11" t="str">
        <f t="shared" si="342"/>
        <v/>
      </c>
      <c r="BF393" s="8" t="str">
        <f t="shared" si="351"/>
        <v/>
      </c>
      <c r="BG393" s="8"/>
      <c r="BH393" s="78" t="str">
        <f>IF(BF393&lt;&gt;"",ROUND(IF($F$11="raty równe",-PMT(W393/12,$F$4-BF392+SUM(BV$28:$BV393)-SUM($BM$29:BM393),BK392,2),BI393+BJ393),2),"")</f>
        <v/>
      </c>
      <c r="BI393" s="78" t="str">
        <f>IF(BF393&lt;&gt;"",IF($F$11="raty malejące",MIN(BK392/($F$4-BF392+SUM($BG$27:BG393)-SUM($BM$27:BM393)),BK392),MIN(BH393-BJ393,BK392)),"")</f>
        <v/>
      </c>
      <c r="BJ393" s="78" t="str">
        <f t="shared" si="352"/>
        <v/>
      </c>
      <c r="BK393" s="79" t="str">
        <f t="shared" si="353"/>
        <v/>
      </c>
      <c r="BL393" s="11"/>
      <c r="BM393" s="33"/>
      <c r="BN393" s="33" t="str">
        <f t="shared" si="348"/>
        <v/>
      </c>
      <c r="BO393" s="33" t="str">
        <f t="shared" si="349"/>
        <v/>
      </c>
      <c r="BP393" s="33" t="str">
        <f>IF(O393&lt;&gt;"",BO393-SUM($BN$44:BN393),"")</f>
        <v/>
      </c>
      <c r="BQ393" s="11" t="str">
        <f t="shared" si="354"/>
        <v/>
      </c>
      <c r="BR393" s="11" t="str">
        <f>IF(BF393&lt;&gt;"",IF($B$16=listy!$K$8,'RZĄDOWY PROGRAM'!$F$3*'RZĄDOWY PROGRAM'!$F$15,BK392*$F$15),"")</f>
        <v/>
      </c>
      <c r="BS393" s="11" t="str">
        <f t="shared" si="355"/>
        <v/>
      </c>
      <c r="BU393" s="8" t="str">
        <f t="shared" si="343"/>
        <v/>
      </c>
      <c r="BV393" s="8"/>
      <c r="BW393" s="78" t="str">
        <f>IF(BU393&lt;&gt;"",ROUND(IF($F$11="raty równe",-PMT(W393/12,$F$4-BU392+SUM($BV$28:BV393)-$CB$43,BZ392,2),BX393+BY393),2),"")</f>
        <v/>
      </c>
      <c r="BX393" s="78" t="str">
        <f>IF(BU393&lt;&gt;"",IF($F$11="raty malejące",MIN(BZ392/($F$4-BU392+SUM($BV$28:BV392)-SUM($CB$28:CB392)),BZ392),MIN(BW393-BY393,BZ392)),"")</f>
        <v/>
      </c>
      <c r="BY393" s="78" t="str">
        <f t="shared" si="356"/>
        <v/>
      </c>
      <c r="BZ393" s="79" t="str">
        <f t="shared" si="346"/>
        <v/>
      </c>
      <c r="CA393" s="11"/>
      <c r="CB393" s="33"/>
      <c r="CC393" s="33" t="str">
        <f t="shared" si="344"/>
        <v/>
      </c>
      <c r="CD393" s="33" t="str">
        <f t="shared" si="350"/>
        <v/>
      </c>
      <c r="CE393" s="33" t="str">
        <f>IF(O393&lt;&gt;"",CD393-SUM($CC$44:CC393),"")</f>
        <v/>
      </c>
      <c r="CF393" s="11" t="str">
        <f t="shared" si="357"/>
        <v/>
      </c>
      <c r="CG393" s="11" t="str">
        <f>IF(BU393&lt;&gt;"",IF($B$16=listy!$K$8,'RZĄDOWY PROGRAM'!$F$3*'RZĄDOWY PROGRAM'!$F$15,BZ392*$F$15),"")</f>
        <v/>
      </c>
      <c r="CH393" s="11" t="str">
        <f t="shared" si="358"/>
        <v/>
      </c>
      <c r="CJ393" s="48" t="str">
        <f t="shared" si="331"/>
        <v/>
      </c>
      <c r="CK393" s="18" t="str">
        <f t="shared" si="332"/>
        <v/>
      </c>
      <c r="CL393" s="11" t="str">
        <f t="shared" si="361"/>
        <v/>
      </c>
      <c r="CM393" s="11" t="str">
        <f t="shared" si="333"/>
        <v/>
      </c>
      <c r="CN393" s="11" t="str">
        <f>IF(AB393&lt;&gt;"",CM393-SUM($CL$28:CL393),"")</f>
        <v/>
      </c>
    </row>
    <row r="394" spans="1:92" x14ac:dyDescent="0.45">
      <c r="A394" s="68" t="str">
        <f t="shared" si="307"/>
        <v/>
      </c>
      <c r="B394" s="8" t="str">
        <f t="shared" si="326"/>
        <v/>
      </c>
      <c r="C394" s="11" t="str">
        <f t="shared" si="327"/>
        <v/>
      </c>
      <c r="D394" s="11" t="str">
        <f t="shared" si="328"/>
        <v/>
      </c>
      <c r="E394" s="11" t="str">
        <f t="shared" si="308"/>
        <v/>
      </c>
      <c r="F394" s="9" t="str">
        <f t="shared" si="309"/>
        <v/>
      </c>
      <c r="G394" s="10" t="str">
        <f t="shared" si="310"/>
        <v/>
      </c>
      <c r="H394" s="10" t="str">
        <f t="shared" si="311"/>
        <v/>
      </c>
      <c r="I394" s="48" t="str">
        <f t="shared" si="334"/>
        <v/>
      </c>
      <c r="J394" s="11" t="str">
        <f t="shared" si="329"/>
        <v/>
      </c>
      <c r="K394" s="11" t="str">
        <f>IF(B394&lt;&gt;"",IF($B$16=listy!$K$8,'RZĄDOWY PROGRAM'!$F$3*'RZĄDOWY PROGRAM'!$F$15,F393*$F$15),"")</f>
        <v/>
      </c>
      <c r="L394" s="11" t="str">
        <f t="shared" si="312"/>
        <v/>
      </c>
      <c r="N394" s="54" t="str">
        <f t="shared" si="313"/>
        <v/>
      </c>
      <c r="O394" s="8" t="str">
        <f t="shared" si="335"/>
        <v/>
      </c>
      <c r="P394" s="8"/>
      <c r="Q394" s="11" t="str">
        <f>IF(O394&lt;&gt;"",ROUND(IF($F$11="raty równe",-PMT(W394/12,$F$4-O393+SUM($P$28:P394),T393,2),R394+S394),2),"")</f>
        <v/>
      </c>
      <c r="R394" s="11" t="str">
        <f>IF(O394&lt;&gt;"",IF($F$11="raty malejące",T393/($F$4-O393+SUM($P$28:P394)),IF(Q394-S394&gt;T393,T393,Q394-S394)),"")</f>
        <v/>
      </c>
      <c r="S394" s="11" t="str">
        <f t="shared" si="314"/>
        <v/>
      </c>
      <c r="T394" s="9" t="str">
        <f t="shared" si="315"/>
        <v/>
      </c>
      <c r="U394" s="10" t="str">
        <f t="shared" si="316"/>
        <v/>
      </c>
      <c r="V394" s="10" t="str">
        <f t="shared" si="317"/>
        <v/>
      </c>
      <c r="W394" s="48" t="str">
        <f t="shared" si="336"/>
        <v/>
      </c>
      <c r="X394" s="11" t="str">
        <f t="shared" si="359"/>
        <v/>
      </c>
      <c r="Y394" s="11" t="str">
        <f>IF(O394&lt;&gt;"",IF($B$16=listy!$K$8,'RZĄDOWY PROGRAM'!$F$3*'RZĄDOWY PROGRAM'!$F$15,T393*$F$15),"")</f>
        <v/>
      </c>
      <c r="Z394" s="11" t="str">
        <f t="shared" si="319"/>
        <v/>
      </c>
      <c r="AB394" s="8" t="str">
        <f t="shared" si="320"/>
        <v/>
      </c>
      <c r="AC394" s="8"/>
      <c r="AD394" s="11" t="str">
        <f>IF(AB394&lt;&gt;"",ROUND(IF($F$11="raty równe",-PMT(W394/12,$F$4-AB393+SUM($AC$28:AC394),AG393,2),AE394+AF394),2),"")</f>
        <v/>
      </c>
      <c r="AE394" s="11" t="str">
        <f>IF(AB394&lt;&gt;"",IF($F$11="raty malejące",AG393/($F$4-AB393+SUM($AC$28:AC393)),MIN(AD394-AF394,AG393)),"")</f>
        <v/>
      </c>
      <c r="AF394" s="11" t="str">
        <f t="shared" si="321"/>
        <v/>
      </c>
      <c r="AG394" s="9" t="str">
        <f t="shared" si="322"/>
        <v/>
      </c>
      <c r="AH394" s="11"/>
      <c r="AI394" s="33" t="str">
        <f>IF(AB394&lt;&gt;"",ROUND(IF($F$11="raty równe",-PMT(W394/12,($F$4-AB393+SUM($AC$27:AC393)),AG393,2),AG393/($F$4-AB393+SUM($AC$27:AC393))+AG393*W394/12),2),"")</f>
        <v/>
      </c>
      <c r="AJ394" s="33" t="str">
        <f t="shared" si="323"/>
        <v/>
      </c>
      <c r="AK394" s="33" t="str">
        <f t="shared" si="330"/>
        <v/>
      </c>
      <c r="AL394" s="33" t="str">
        <f>IF(AB394&lt;&gt;"",AK394-SUM($AJ$28:AJ394),"")</f>
        <v/>
      </c>
      <c r="AM394" s="11" t="str">
        <f t="shared" si="360"/>
        <v/>
      </c>
      <c r="AN394" s="11" t="str">
        <f>IF(AB394&lt;&gt;"",IF($B$16=listy!$K$8,'RZĄDOWY PROGRAM'!$F$3*'RZĄDOWY PROGRAM'!$F$15,AG393*$F$15),"")</f>
        <v/>
      </c>
      <c r="AO394" s="11" t="str">
        <f t="shared" si="325"/>
        <v/>
      </c>
      <c r="AQ394" s="8" t="str">
        <f t="shared" si="337"/>
        <v/>
      </c>
      <c r="AR394" s="8"/>
      <c r="AS394" s="78" t="str">
        <f>IF(AQ394&lt;&gt;"",ROUND(IF($F$11="raty równe",-PMT(W394/12,$F$4-AQ393+SUM($AR$28:AR394),AV393,2),AT394+AU394),2),"")</f>
        <v/>
      </c>
      <c r="AT394" s="78" t="str">
        <f>IF(AQ394&lt;&gt;"",IF($F$11="raty malejące",AV393/($F$4-AQ393+SUM($AR$28:AR393)),MIN(AS394-AU394,AV393)),"")</f>
        <v/>
      </c>
      <c r="AU394" s="78" t="str">
        <f t="shared" si="338"/>
        <v/>
      </c>
      <c r="AV394" s="79" t="str">
        <f t="shared" si="339"/>
        <v/>
      </c>
      <c r="AW394" s="11"/>
      <c r="AX394" s="33" t="str">
        <f>IF(AQ394&lt;&gt;"",ROUND(IF($F$11="raty równe",-PMT(W394/12,($F$4-AQ393+SUM($AR$27:AR393)),AV393,2),AV393/($F$4-AQ393+SUM($AR$27:AR393))+AV393*W394/12),2),"")</f>
        <v/>
      </c>
      <c r="AY394" s="33" t="str">
        <f t="shared" si="340"/>
        <v/>
      </c>
      <c r="AZ394" s="33" t="str">
        <f t="shared" si="347"/>
        <v/>
      </c>
      <c r="BA394" s="33" t="str">
        <f>IF(AQ394&lt;&gt;"",AZ394-SUM($AY$44:AY394),"")</f>
        <v/>
      </c>
      <c r="BB394" s="11" t="str">
        <f t="shared" si="341"/>
        <v/>
      </c>
      <c r="BC394" s="11" t="str">
        <f>IF(AQ394&lt;&gt;"",IF($B$16=listy!$K$8,'RZĄDOWY PROGRAM'!$F$3*'RZĄDOWY PROGRAM'!$F$15,AV393*$F$15),"")</f>
        <v/>
      </c>
      <c r="BD394" s="11" t="str">
        <f t="shared" si="342"/>
        <v/>
      </c>
      <c r="BF394" s="8" t="str">
        <f t="shared" si="351"/>
        <v/>
      </c>
      <c r="BG394" s="8"/>
      <c r="BH394" s="78" t="str">
        <f>IF(BF394&lt;&gt;"",ROUND(IF($F$11="raty równe",-PMT(W394/12,$F$4-BF393+SUM(BV$28:$BV394)-SUM($BM$29:BM394),BK393,2),BI394+BJ394),2),"")</f>
        <v/>
      </c>
      <c r="BI394" s="78" t="str">
        <f>IF(BF394&lt;&gt;"",IF($F$11="raty malejące",MIN(BK393/($F$4-BF393+SUM($BG$27:BG394)-SUM($BM$27:BM394)),BK393),MIN(BH394-BJ394,BK393)),"")</f>
        <v/>
      </c>
      <c r="BJ394" s="78" t="str">
        <f t="shared" si="352"/>
        <v/>
      </c>
      <c r="BK394" s="79" t="str">
        <f t="shared" si="353"/>
        <v/>
      </c>
      <c r="BL394" s="11"/>
      <c r="BM394" s="33"/>
      <c r="BN394" s="33" t="str">
        <f t="shared" si="348"/>
        <v/>
      </c>
      <c r="BO394" s="33" t="str">
        <f t="shared" si="349"/>
        <v/>
      </c>
      <c r="BP394" s="33" t="str">
        <f>IF(O394&lt;&gt;"",BO394-SUM($BN$44:BN394),"")</f>
        <v/>
      </c>
      <c r="BQ394" s="11" t="str">
        <f t="shared" si="354"/>
        <v/>
      </c>
      <c r="BR394" s="11" t="str">
        <f>IF(BF394&lt;&gt;"",IF($B$16=listy!$K$8,'RZĄDOWY PROGRAM'!$F$3*'RZĄDOWY PROGRAM'!$F$15,BK393*$F$15),"")</f>
        <v/>
      </c>
      <c r="BS394" s="11" t="str">
        <f t="shared" si="355"/>
        <v/>
      </c>
      <c r="BU394" s="8" t="str">
        <f t="shared" si="343"/>
        <v/>
      </c>
      <c r="BV394" s="8"/>
      <c r="BW394" s="78" t="str">
        <f>IF(BU394&lt;&gt;"",ROUND(IF($F$11="raty równe",-PMT(W394/12,$F$4-BU393+SUM($BV$28:BV394)-$CB$43,BZ393,2),BX394+BY394),2),"")</f>
        <v/>
      </c>
      <c r="BX394" s="78" t="str">
        <f>IF(BU394&lt;&gt;"",IF($F$11="raty malejące",MIN(BZ393/($F$4-BU393+SUM($BV$28:BV393)-SUM($CB$28:CB393)),BZ393),MIN(BW394-BY394,BZ393)),"")</f>
        <v/>
      </c>
      <c r="BY394" s="78" t="str">
        <f t="shared" si="356"/>
        <v/>
      </c>
      <c r="BZ394" s="79" t="str">
        <f t="shared" si="346"/>
        <v/>
      </c>
      <c r="CA394" s="11"/>
      <c r="CB394" s="33"/>
      <c r="CC394" s="33" t="str">
        <f t="shared" si="344"/>
        <v/>
      </c>
      <c r="CD394" s="33" t="str">
        <f t="shared" si="350"/>
        <v/>
      </c>
      <c r="CE394" s="33" t="str">
        <f>IF(O394&lt;&gt;"",CD394-SUM($CC$44:CC394),"")</f>
        <v/>
      </c>
      <c r="CF394" s="11" t="str">
        <f t="shared" si="357"/>
        <v/>
      </c>
      <c r="CG394" s="11" t="str">
        <f>IF(BU394&lt;&gt;"",IF($B$16=listy!$K$8,'RZĄDOWY PROGRAM'!$F$3*'RZĄDOWY PROGRAM'!$F$15,BZ393*$F$15),"")</f>
        <v/>
      </c>
      <c r="CH394" s="11" t="str">
        <f t="shared" si="358"/>
        <v/>
      </c>
      <c r="CJ394" s="48" t="str">
        <f t="shared" si="331"/>
        <v/>
      </c>
      <c r="CK394" s="18" t="str">
        <f t="shared" si="332"/>
        <v/>
      </c>
      <c r="CL394" s="11" t="str">
        <f t="shared" si="361"/>
        <v/>
      </c>
      <c r="CM394" s="11" t="str">
        <f t="shared" si="333"/>
        <v/>
      </c>
      <c r="CN394" s="11" t="str">
        <f>IF(AB394&lt;&gt;"",CM394-SUM($CL$28:CL394),"")</f>
        <v/>
      </c>
    </row>
    <row r="395" spans="1:92" x14ac:dyDescent="0.45">
      <c r="A395" s="68" t="str">
        <f t="shared" si="307"/>
        <v/>
      </c>
      <c r="B395" s="8" t="str">
        <f t="shared" si="326"/>
        <v/>
      </c>
      <c r="C395" s="11" t="str">
        <f t="shared" si="327"/>
        <v/>
      </c>
      <c r="D395" s="11" t="str">
        <f t="shared" si="328"/>
        <v/>
      </c>
      <c r="E395" s="11" t="str">
        <f t="shared" si="308"/>
        <v/>
      </c>
      <c r="F395" s="9" t="str">
        <f t="shared" si="309"/>
        <v/>
      </c>
      <c r="G395" s="10" t="str">
        <f t="shared" si="310"/>
        <v/>
      </c>
      <c r="H395" s="10" t="str">
        <f t="shared" si="311"/>
        <v/>
      </c>
      <c r="I395" s="48" t="str">
        <f t="shared" si="334"/>
        <v/>
      </c>
      <c r="J395" s="11" t="str">
        <f t="shared" si="329"/>
        <v/>
      </c>
      <c r="K395" s="11" t="str">
        <f>IF(B395&lt;&gt;"",IF($B$16=listy!$K$8,'RZĄDOWY PROGRAM'!$F$3*'RZĄDOWY PROGRAM'!$F$15,F394*$F$15),"")</f>
        <v/>
      </c>
      <c r="L395" s="11" t="str">
        <f t="shared" si="312"/>
        <v/>
      </c>
      <c r="N395" s="54" t="str">
        <f t="shared" si="313"/>
        <v/>
      </c>
      <c r="O395" s="8" t="str">
        <f t="shared" si="335"/>
        <v/>
      </c>
      <c r="P395" s="8"/>
      <c r="Q395" s="11" t="str">
        <f>IF(O395&lt;&gt;"",ROUND(IF($F$11="raty równe",-PMT(W395/12,$F$4-O394+SUM($P$28:P395),T394,2),R395+S395),2),"")</f>
        <v/>
      </c>
      <c r="R395" s="11" t="str">
        <f>IF(O395&lt;&gt;"",IF($F$11="raty malejące",T394/($F$4-O394+SUM($P$28:P395)),IF(Q395-S395&gt;T394,T394,Q395-S395)),"")</f>
        <v/>
      </c>
      <c r="S395" s="11" t="str">
        <f t="shared" si="314"/>
        <v/>
      </c>
      <c r="T395" s="9" t="str">
        <f t="shared" si="315"/>
        <v/>
      </c>
      <c r="U395" s="10" t="str">
        <f t="shared" si="316"/>
        <v/>
      </c>
      <c r="V395" s="10" t="str">
        <f t="shared" si="317"/>
        <v/>
      </c>
      <c r="W395" s="48" t="str">
        <f t="shared" si="336"/>
        <v/>
      </c>
      <c r="X395" s="11" t="str">
        <f t="shared" si="359"/>
        <v/>
      </c>
      <c r="Y395" s="11" t="str">
        <f>IF(O395&lt;&gt;"",IF($B$16=listy!$K$8,'RZĄDOWY PROGRAM'!$F$3*'RZĄDOWY PROGRAM'!$F$15,T394*$F$15),"")</f>
        <v/>
      </c>
      <c r="Z395" s="11" t="str">
        <f t="shared" si="319"/>
        <v/>
      </c>
      <c r="AB395" s="8" t="str">
        <f t="shared" si="320"/>
        <v/>
      </c>
      <c r="AC395" s="8"/>
      <c r="AD395" s="11" t="str">
        <f>IF(AB395&lt;&gt;"",ROUND(IF($F$11="raty równe",-PMT(W395/12,$F$4-AB394+SUM($AC$28:AC395),AG394,2),AE395+AF395),2),"")</f>
        <v/>
      </c>
      <c r="AE395" s="11" t="str">
        <f>IF(AB395&lt;&gt;"",IF($F$11="raty malejące",AG394/($F$4-AB394+SUM($AC$28:AC394)),MIN(AD395-AF395,AG394)),"")</f>
        <v/>
      </c>
      <c r="AF395" s="11" t="str">
        <f t="shared" si="321"/>
        <v/>
      </c>
      <c r="AG395" s="9" t="str">
        <f t="shared" si="322"/>
        <v/>
      </c>
      <c r="AH395" s="11"/>
      <c r="AI395" s="33" t="str">
        <f>IF(AB395&lt;&gt;"",ROUND(IF($F$11="raty równe",-PMT(W395/12,($F$4-AB394+SUM($AC$27:AC394)),AG394,2),AG394/($F$4-AB394+SUM($AC$27:AC394))+AG394*W395/12),2),"")</f>
        <v/>
      </c>
      <c r="AJ395" s="33" t="str">
        <f t="shared" si="323"/>
        <v/>
      </c>
      <c r="AK395" s="33" t="str">
        <f t="shared" si="330"/>
        <v/>
      </c>
      <c r="AL395" s="33" t="str">
        <f>IF(AB395&lt;&gt;"",AK395-SUM($AJ$28:AJ395),"")</f>
        <v/>
      </c>
      <c r="AM395" s="11" t="str">
        <f t="shared" si="360"/>
        <v/>
      </c>
      <c r="AN395" s="11" t="str">
        <f>IF(AB395&lt;&gt;"",IF($B$16=listy!$K$8,'RZĄDOWY PROGRAM'!$F$3*'RZĄDOWY PROGRAM'!$F$15,AG394*$F$15),"")</f>
        <v/>
      </c>
      <c r="AO395" s="11" t="str">
        <f t="shared" si="325"/>
        <v/>
      </c>
      <c r="AQ395" s="8" t="str">
        <f t="shared" si="337"/>
        <v/>
      </c>
      <c r="AR395" s="8"/>
      <c r="AS395" s="78" t="str">
        <f>IF(AQ395&lt;&gt;"",ROUND(IF($F$11="raty równe",-PMT(W395/12,$F$4-AQ394+SUM($AR$28:AR395),AV394,2),AT395+AU395),2),"")</f>
        <v/>
      </c>
      <c r="AT395" s="78" t="str">
        <f>IF(AQ395&lt;&gt;"",IF($F$11="raty malejące",AV394/($F$4-AQ394+SUM($AR$28:AR394)),MIN(AS395-AU395,AV394)),"")</f>
        <v/>
      </c>
      <c r="AU395" s="78" t="str">
        <f t="shared" si="338"/>
        <v/>
      </c>
      <c r="AV395" s="79" t="str">
        <f t="shared" si="339"/>
        <v/>
      </c>
      <c r="AW395" s="11"/>
      <c r="AX395" s="33" t="str">
        <f>IF(AQ395&lt;&gt;"",ROUND(IF($F$11="raty równe",-PMT(W395/12,($F$4-AQ394+SUM($AR$27:AR394)),AV394,2),AV394/($F$4-AQ394+SUM($AR$27:AR394))+AV394*W395/12),2),"")</f>
        <v/>
      </c>
      <c r="AY395" s="33" t="str">
        <f t="shared" si="340"/>
        <v/>
      </c>
      <c r="AZ395" s="33" t="str">
        <f t="shared" si="347"/>
        <v/>
      </c>
      <c r="BA395" s="33" t="str">
        <f>IF(AQ395&lt;&gt;"",AZ395-SUM($AY$44:AY395),"")</f>
        <v/>
      </c>
      <c r="BB395" s="11" t="str">
        <f t="shared" si="341"/>
        <v/>
      </c>
      <c r="BC395" s="11" t="str">
        <f>IF(AQ395&lt;&gt;"",IF($B$16=listy!$K$8,'RZĄDOWY PROGRAM'!$F$3*'RZĄDOWY PROGRAM'!$F$15,AV394*$F$15),"")</f>
        <v/>
      </c>
      <c r="BD395" s="11" t="str">
        <f t="shared" si="342"/>
        <v/>
      </c>
      <c r="BF395" s="8" t="str">
        <f t="shared" si="351"/>
        <v/>
      </c>
      <c r="BG395" s="8"/>
      <c r="BH395" s="78" t="str">
        <f>IF(BF395&lt;&gt;"",ROUND(IF($F$11="raty równe",-PMT(W395/12,$F$4-BF394+SUM(BV$28:$BV395)-SUM($BM$29:BM395),BK394,2),BI395+BJ395),2),"")</f>
        <v/>
      </c>
      <c r="BI395" s="78" t="str">
        <f>IF(BF395&lt;&gt;"",IF($F$11="raty malejące",BK394/($F$4-BF394+SUM(BG$28:$BV394)),MIN(BH395-BJ395,BK394)),"")</f>
        <v/>
      </c>
      <c r="BJ395" s="78" t="str">
        <f t="shared" si="352"/>
        <v/>
      </c>
      <c r="BK395" s="79" t="str">
        <f t="shared" si="353"/>
        <v/>
      </c>
      <c r="BL395" s="11"/>
      <c r="BM395" s="33"/>
      <c r="BN395" s="33" t="str">
        <f t="shared" ref="BN395" si="362">IF(BF395&lt;&gt;"",IF(AF395&lt;&gt;"",AG395-BH395-BL395,-(BH395+BL395)),"")</f>
        <v/>
      </c>
      <c r="BO395" s="33" t="str">
        <f t="shared" si="349"/>
        <v/>
      </c>
      <c r="BP395" s="33" t="str">
        <f>IF(O395&lt;&gt;"",BO395-SUM($BN$44:BN395),"")</f>
        <v/>
      </c>
      <c r="BQ395" s="11" t="str">
        <f t="shared" si="354"/>
        <v/>
      </c>
      <c r="BR395" s="11" t="str">
        <f>IF(BF395&lt;&gt;"",IF($B$16=listy!$K$8,'RZĄDOWY PROGRAM'!$F$3*'RZĄDOWY PROGRAM'!$F$15,BK394*$F$15),"")</f>
        <v/>
      </c>
      <c r="BS395" s="11" t="str">
        <f t="shared" si="355"/>
        <v/>
      </c>
      <c r="BU395" s="8" t="str">
        <f t="shared" si="343"/>
        <v/>
      </c>
      <c r="BV395" s="8"/>
      <c r="BW395" s="78" t="str">
        <f>IF(BU395&lt;&gt;"",ROUND(IF($F$11="raty równe",-PMT(W395/12,$F$4-BU394+SUM($BV$28:BV395)-$CB$43,BZ394,2),BX395+BY395),2),"")</f>
        <v/>
      </c>
      <c r="BX395" s="78" t="str">
        <f>IF(BU395&lt;&gt;"",IF($F$11="raty malejące",MIN(BZ394/($F$4-BU394+SUM($BV$28:BV394)-SUM($CB$28:CB394)),BZ394),MIN(BW395-BY395,BZ394)),"")</f>
        <v/>
      </c>
      <c r="BY395" s="78" t="str">
        <f t="shared" si="356"/>
        <v/>
      </c>
      <c r="BZ395" s="79" t="str">
        <f t="shared" si="346"/>
        <v/>
      </c>
      <c r="CA395" s="11"/>
      <c r="CB395" s="33"/>
      <c r="CC395" s="33" t="str">
        <f t="shared" si="344"/>
        <v/>
      </c>
      <c r="CD395" s="33" t="str">
        <f t="shared" si="350"/>
        <v/>
      </c>
      <c r="CE395" s="33" t="str">
        <f>IF(O395&lt;&gt;"",CD395-SUM($CC$44:CC395),"")</f>
        <v/>
      </c>
      <c r="CF395" s="11" t="str">
        <f t="shared" si="357"/>
        <v/>
      </c>
      <c r="CG395" s="11" t="str">
        <f>IF(BU395&lt;&gt;"",IF($B$16=listy!$K$8,'RZĄDOWY PROGRAM'!$F$3*'RZĄDOWY PROGRAM'!$F$15,BZ394*$F$15),"")</f>
        <v/>
      </c>
      <c r="CH395" s="11" t="str">
        <f t="shared" si="358"/>
        <v/>
      </c>
      <c r="CJ395" s="48" t="str">
        <f t="shared" si="331"/>
        <v/>
      </c>
      <c r="CK395" s="18" t="str">
        <f t="shared" si="332"/>
        <v/>
      </c>
      <c r="CL395" s="11" t="str">
        <f t="shared" si="361"/>
        <v/>
      </c>
      <c r="CM395" s="11" t="str">
        <f t="shared" si="333"/>
        <v/>
      </c>
      <c r="CN395" s="11" t="str">
        <f>IF(AB395&lt;&gt;"",CM395-SUM($CL$28:CL395),"")</f>
        <v/>
      </c>
    </row>
    <row r="396" spans="1:92" x14ac:dyDescent="0.45">
      <c r="C396" s="6"/>
      <c r="P396" s="6"/>
      <c r="AC396" s="6"/>
      <c r="AR396" s="6"/>
      <c r="BG396" s="6"/>
      <c r="BV396" s="6"/>
    </row>
    <row r="397" spans="1:92" x14ac:dyDescent="0.45">
      <c r="C397" s="6"/>
      <c r="P397" s="6"/>
      <c r="AC397" s="6"/>
      <c r="AR397" s="6"/>
      <c r="BG397" s="6"/>
      <c r="BV397" s="6"/>
    </row>
    <row r="398" spans="1:92" x14ac:dyDescent="0.45">
      <c r="C398" s="6"/>
      <c r="P398" s="6"/>
      <c r="AC398" s="6"/>
      <c r="AR398" s="6"/>
      <c r="BG398" s="6"/>
      <c r="BV398" s="6"/>
    </row>
    <row r="399" spans="1:92" x14ac:dyDescent="0.45">
      <c r="C399" s="6"/>
      <c r="P399" s="6"/>
      <c r="AC399" s="6"/>
      <c r="AR399" s="6"/>
      <c r="BG399" s="6"/>
      <c r="BV399" s="6"/>
    </row>
    <row r="400" spans="1:92" x14ac:dyDescent="0.45">
      <c r="C400" s="6"/>
      <c r="P400" s="6"/>
      <c r="AC400" s="6"/>
      <c r="AR400" s="6"/>
      <c r="BG400" s="6"/>
      <c r="BV400" s="6"/>
    </row>
    <row r="401" spans="3:74" x14ac:dyDescent="0.45">
      <c r="C401" s="6"/>
      <c r="P401" s="6"/>
      <c r="AC401" s="6"/>
      <c r="AR401" s="6"/>
      <c r="BG401" s="6"/>
      <c r="BV401" s="6"/>
    </row>
    <row r="402" spans="3:74" x14ac:dyDescent="0.45">
      <c r="C402" s="6"/>
      <c r="P402" s="6"/>
      <c r="AC402" s="6"/>
      <c r="AR402" s="6"/>
      <c r="BG402" s="6"/>
      <c r="BV402" s="6"/>
    </row>
    <row r="403" spans="3:74" x14ac:dyDescent="0.45">
      <c r="C403" s="6"/>
      <c r="P403" s="6"/>
      <c r="AC403" s="6"/>
      <c r="AR403" s="6"/>
      <c r="BG403" s="6"/>
      <c r="BV403" s="6"/>
    </row>
    <row r="404" spans="3:74" x14ac:dyDescent="0.45">
      <c r="C404" s="6"/>
      <c r="P404" s="6"/>
      <c r="AC404" s="6"/>
      <c r="AR404" s="6"/>
      <c r="BG404" s="6"/>
      <c r="BV404" s="6"/>
    </row>
    <row r="511" spans="2:74" x14ac:dyDescent="0.45">
      <c r="B511" s="34"/>
      <c r="C511" s="20"/>
      <c r="D511" s="20"/>
      <c r="E511" s="20"/>
      <c r="F511" s="20"/>
      <c r="G511" s="20"/>
      <c r="H511" s="20"/>
      <c r="I511" s="20"/>
      <c r="J511" s="20"/>
      <c r="K511" s="20"/>
      <c r="L511" s="35"/>
      <c r="O511" s="34"/>
      <c r="P511" s="20"/>
      <c r="Q511" s="20"/>
      <c r="R511" s="20"/>
      <c r="S511" s="20"/>
      <c r="T511" s="20"/>
      <c r="U511" s="20"/>
      <c r="V511" s="20"/>
      <c r="W511" s="20"/>
      <c r="X511" s="20"/>
      <c r="Y511" s="35"/>
      <c r="AC511" s="20"/>
      <c r="AR511" s="20"/>
      <c r="BG511" s="20"/>
      <c r="BV511" s="20"/>
    </row>
    <row r="512" spans="2:74" x14ac:dyDescent="0.45">
      <c r="B512" s="34"/>
      <c r="C512" s="20"/>
      <c r="D512" s="20"/>
      <c r="E512" s="20"/>
      <c r="F512" s="20"/>
      <c r="G512" s="20"/>
      <c r="H512" s="20"/>
      <c r="I512" s="20"/>
      <c r="J512" s="20"/>
      <c r="K512" s="20"/>
      <c r="L512" s="35"/>
      <c r="O512" s="34"/>
      <c r="P512" s="20"/>
      <c r="Q512" s="20"/>
      <c r="R512" s="20"/>
      <c r="S512" s="20"/>
      <c r="T512" s="20"/>
      <c r="U512" s="20"/>
      <c r="V512" s="20"/>
      <c r="W512" s="20"/>
      <c r="X512" s="20"/>
      <c r="Y512" s="35"/>
      <c r="AC512" s="20"/>
      <c r="AR512" s="20"/>
      <c r="BG512" s="20"/>
      <c r="BV512" s="20"/>
    </row>
    <row r="513" spans="2:74" x14ac:dyDescent="0.45">
      <c r="B513" s="34"/>
      <c r="C513" s="20"/>
      <c r="D513" s="20"/>
      <c r="E513" s="20"/>
      <c r="F513" s="20"/>
      <c r="G513" s="20"/>
      <c r="H513" s="20"/>
      <c r="I513" s="20"/>
      <c r="J513" s="20"/>
      <c r="K513" s="20"/>
      <c r="L513" s="35"/>
      <c r="O513" s="34"/>
      <c r="P513" s="20"/>
      <c r="Q513" s="20"/>
      <c r="R513" s="20"/>
      <c r="S513" s="20"/>
      <c r="T513" s="20"/>
      <c r="U513" s="20"/>
      <c r="V513" s="20"/>
      <c r="W513" s="20"/>
      <c r="X513" s="20"/>
      <c r="Y513" s="35"/>
      <c r="AC513" s="20"/>
      <c r="AR513" s="20"/>
      <c r="BG513" s="20"/>
      <c r="BV513" s="20"/>
    </row>
    <row r="514" spans="2:74" x14ac:dyDescent="0.45">
      <c r="B514" s="34"/>
      <c r="C514" s="20"/>
      <c r="D514" s="20"/>
      <c r="E514" s="20"/>
      <c r="F514" s="20"/>
      <c r="G514" s="20"/>
      <c r="H514" s="20"/>
      <c r="I514" s="20"/>
      <c r="J514" s="20"/>
      <c r="K514" s="20"/>
      <c r="L514" s="35"/>
      <c r="O514" s="34"/>
      <c r="P514" s="20"/>
      <c r="Q514" s="20"/>
      <c r="R514" s="20"/>
      <c r="S514" s="20"/>
      <c r="T514" s="20"/>
      <c r="U514" s="20"/>
      <c r="V514" s="20"/>
      <c r="W514" s="20"/>
      <c r="X514" s="20"/>
      <c r="Y514" s="35"/>
      <c r="AC514" s="20"/>
      <c r="AR514" s="20"/>
      <c r="BG514" s="20"/>
      <c r="BV514" s="20"/>
    </row>
    <row r="515" spans="2:74" x14ac:dyDescent="0.45">
      <c r="B515" s="34"/>
      <c r="C515" s="20"/>
      <c r="D515" s="20"/>
      <c r="E515" s="20"/>
      <c r="F515" s="20"/>
      <c r="G515" s="20"/>
      <c r="H515" s="20"/>
      <c r="I515" s="20"/>
      <c r="J515" s="20"/>
      <c r="K515" s="20"/>
      <c r="L515" s="35"/>
      <c r="O515" s="34"/>
      <c r="P515" s="20"/>
      <c r="Q515" s="20"/>
      <c r="R515" s="20"/>
      <c r="S515" s="20"/>
      <c r="T515" s="20"/>
      <c r="U515" s="20"/>
      <c r="V515" s="20"/>
      <c r="W515" s="20"/>
      <c r="X515" s="20"/>
      <c r="Y515" s="35"/>
      <c r="AC515" s="20"/>
      <c r="AR515" s="20"/>
      <c r="BG515" s="20"/>
      <c r="BV515" s="20"/>
    </row>
    <row r="516" spans="2:74" x14ac:dyDescent="0.45">
      <c r="B516" s="34"/>
      <c r="C516" s="20"/>
      <c r="D516" s="20"/>
      <c r="E516" s="20"/>
      <c r="F516" s="20"/>
      <c r="G516" s="20"/>
      <c r="H516" s="20"/>
      <c r="I516" s="20"/>
      <c r="J516" s="20"/>
      <c r="K516" s="20"/>
      <c r="L516" s="35"/>
      <c r="O516" s="34"/>
      <c r="P516" s="20"/>
      <c r="Q516" s="20"/>
      <c r="R516" s="20"/>
      <c r="S516" s="20"/>
      <c r="T516" s="20"/>
      <c r="U516" s="20"/>
      <c r="V516" s="20"/>
      <c r="W516" s="20"/>
      <c r="X516" s="20"/>
      <c r="Y516" s="35"/>
      <c r="AC516" s="20"/>
      <c r="AR516" s="20"/>
      <c r="BG516" s="20"/>
      <c r="BV516" s="20"/>
    </row>
    <row r="517" spans="2:74" x14ac:dyDescent="0.45">
      <c r="B517" s="34"/>
      <c r="C517" s="20"/>
      <c r="D517" s="20"/>
      <c r="E517" s="20"/>
      <c r="F517" s="20"/>
      <c r="G517" s="20"/>
      <c r="H517" s="20"/>
      <c r="I517" s="20"/>
      <c r="J517" s="20"/>
      <c r="K517" s="20"/>
      <c r="L517" s="35"/>
      <c r="O517" s="34"/>
      <c r="P517" s="20"/>
      <c r="Q517" s="20"/>
      <c r="R517" s="20"/>
      <c r="S517" s="20"/>
      <c r="T517" s="20"/>
      <c r="U517" s="20"/>
      <c r="V517" s="20"/>
      <c r="W517" s="20"/>
      <c r="X517" s="20"/>
      <c r="Y517" s="35"/>
      <c r="AC517" s="20"/>
      <c r="AR517" s="20"/>
      <c r="BG517" s="20"/>
      <c r="BV517" s="20"/>
    </row>
    <row r="518" spans="2:74" x14ac:dyDescent="0.45">
      <c r="B518" s="34"/>
      <c r="C518" s="20"/>
      <c r="D518" s="20"/>
      <c r="E518" s="20"/>
      <c r="F518" s="20"/>
      <c r="G518" s="20"/>
      <c r="H518" s="20"/>
      <c r="I518" s="20"/>
      <c r="J518" s="20"/>
      <c r="K518" s="20"/>
      <c r="L518" s="35"/>
      <c r="O518" s="34"/>
      <c r="P518" s="20"/>
      <c r="Q518" s="20"/>
      <c r="R518" s="20"/>
      <c r="S518" s="20"/>
      <c r="T518" s="20"/>
      <c r="U518" s="20"/>
      <c r="V518" s="20"/>
      <c r="W518" s="20"/>
      <c r="X518" s="20"/>
      <c r="Y518" s="35"/>
      <c r="AC518" s="20"/>
      <c r="AR518" s="20"/>
      <c r="BG518" s="20"/>
      <c r="BV518" s="20"/>
    </row>
    <row r="519" spans="2:74" x14ac:dyDescent="0.45">
      <c r="B519" s="34"/>
      <c r="C519" s="20"/>
      <c r="D519" s="20"/>
      <c r="E519" s="20"/>
      <c r="F519" s="20"/>
      <c r="G519" s="20"/>
      <c r="H519" s="20"/>
      <c r="I519" s="20"/>
      <c r="J519" s="20"/>
      <c r="K519" s="20"/>
      <c r="L519" s="35"/>
      <c r="O519" s="34"/>
      <c r="P519" s="20"/>
      <c r="Q519" s="20"/>
      <c r="R519" s="20"/>
      <c r="S519" s="20"/>
      <c r="T519" s="20"/>
      <c r="U519" s="20"/>
      <c r="V519" s="20"/>
      <c r="W519" s="20"/>
      <c r="X519" s="20"/>
      <c r="Y519" s="35"/>
      <c r="AC519" s="20"/>
      <c r="AR519" s="20"/>
      <c r="BG519" s="20"/>
      <c r="BV519" s="20"/>
    </row>
    <row r="520" spans="2:74" x14ac:dyDescent="0.45">
      <c r="B520" s="34"/>
      <c r="C520" s="20"/>
      <c r="D520" s="20"/>
      <c r="E520" s="20"/>
      <c r="F520" s="20"/>
      <c r="G520" s="20"/>
      <c r="H520" s="20"/>
      <c r="I520" s="20"/>
      <c r="J520" s="20"/>
      <c r="K520" s="20"/>
      <c r="L520" s="35"/>
      <c r="O520" s="34"/>
      <c r="P520" s="20"/>
      <c r="Q520" s="20"/>
      <c r="R520" s="20"/>
      <c r="S520" s="20"/>
      <c r="T520" s="20"/>
      <c r="U520" s="20"/>
      <c r="V520" s="20"/>
      <c r="W520" s="20"/>
      <c r="X520" s="20"/>
      <c r="Y520" s="35"/>
      <c r="AC520" s="20"/>
      <c r="AR520" s="20"/>
      <c r="BG520" s="20"/>
      <c r="BV520" s="20"/>
    </row>
    <row r="521" spans="2:74" x14ac:dyDescent="0.45">
      <c r="B521" s="34"/>
      <c r="C521" s="20"/>
      <c r="D521" s="20"/>
      <c r="E521" s="20"/>
      <c r="F521" s="20"/>
      <c r="G521" s="20"/>
      <c r="H521" s="20"/>
      <c r="I521" s="20"/>
      <c r="J521" s="20"/>
      <c r="K521" s="20"/>
      <c r="L521" s="35"/>
      <c r="O521" s="34"/>
      <c r="P521" s="20"/>
      <c r="Q521" s="20"/>
      <c r="R521" s="20"/>
      <c r="S521" s="20"/>
      <c r="T521" s="20"/>
      <c r="U521" s="20"/>
      <c r="V521" s="20"/>
      <c r="W521" s="20"/>
      <c r="X521" s="20"/>
      <c r="Y521" s="35"/>
      <c r="AC521" s="20"/>
      <c r="AR521" s="20"/>
      <c r="BG521" s="20"/>
      <c r="BV521" s="20"/>
    </row>
    <row r="522" spans="2:74" x14ac:dyDescent="0.45">
      <c r="B522" s="34"/>
      <c r="C522" s="20"/>
      <c r="D522" s="20"/>
      <c r="E522" s="20"/>
      <c r="F522" s="20"/>
      <c r="G522" s="20"/>
      <c r="H522" s="20"/>
      <c r="I522" s="20"/>
      <c r="J522" s="20"/>
      <c r="K522" s="20"/>
      <c r="L522" s="35"/>
      <c r="O522" s="34"/>
      <c r="P522" s="20"/>
      <c r="Q522" s="20"/>
      <c r="R522" s="20"/>
      <c r="S522" s="20"/>
      <c r="T522" s="20"/>
      <c r="U522" s="20"/>
      <c r="V522" s="20"/>
      <c r="W522" s="20"/>
      <c r="X522" s="20"/>
      <c r="Y522" s="35"/>
      <c r="AC522" s="20"/>
      <c r="AR522" s="20"/>
      <c r="BG522" s="20"/>
      <c r="BV522" s="20"/>
    </row>
    <row r="523" spans="2:74" x14ac:dyDescent="0.45">
      <c r="B523" s="34"/>
      <c r="C523" s="20"/>
      <c r="D523" s="20"/>
      <c r="E523" s="20"/>
      <c r="F523" s="20"/>
      <c r="G523" s="20"/>
      <c r="H523" s="20"/>
      <c r="I523" s="20"/>
      <c r="J523" s="20"/>
      <c r="K523" s="20"/>
      <c r="L523" s="35"/>
      <c r="O523" s="34"/>
      <c r="P523" s="20"/>
      <c r="Q523" s="20"/>
      <c r="R523" s="20"/>
      <c r="S523" s="20"/>
      <c r="T523" s="20"/>
      <c r="U523" s="20"/>
      <c r="V523" s="20"/>
      <c r="W523" s="20"/>
      <c r="X523" s="20"/>
      <c r="Y523" s="35"/>
      <c r="AC523" s="20"/>
      <c r="AR523" s="20"/>
      <c r="BG523" s="20"/>
      <c r="BV523" s="20"/>
    </row>
    <row r="524" spans="2:74" x14ac:dyDescent="0.45">
      <c r="B524" s="34"/>
      <c r="C524" s="20"/>
      <c r="D524" s="20"/>
      <c r="E524" s="20"/>
      <c r="F524" s="20"/>
      <c r="G524" s="20"/>
      <c r="H524" s="20"/>
      <c r="I524" s="20"/>
      <c r="J524" s="20"/>
      <c r="K524" s="20"/>
      <c r="L524" s="35"/>
      <c r="O524" s="34"/>
      <c r="P524" s="20"/>
      <c r="Q524" s="20"/>
      <c r="R524" s="20"/>
      <c r="S524" s="20"/>
      <c r="T524" s="20"/>
      <c r="U524" s="20"/>
      <c r="V524" s="20"/>
      <c r="W524" s="20"/>
      <c r="X524" s="20"/>
      <c r="Y524" s="35"/>
      <c r="AC524" s="20"/>
      <c r="AR524" s="20"/>
      <c r="BG524" s="20"/>
      <c r="BV524" s="20"/>
    </row>
    <row r="525" spans="2:74" x14ac:dyDescent="0.45">
      <c r="B525" s="34"/>
      <c r="C525" s="20"/>
      <c r="D525" s="20"/>
      <c r="E525" s="20"/>
      <c r="F525" s="20"/>
      <c r="G525" s="20"/>
      <c r="H525" s="20"/>
      <c r="I525" s="20"/>
      <c r="J525" s="20"/>
      <c r="K525" s="20"/>
      <c r="L525" s="35"/>
      <c r="O525" s="34"/>
      <c r="P525" s="20"/>
      <c r="Q525" s="20"/>
      <c r="R525" s="20"/>
      <c r="S525" s="20"/>
      <c r="T525" s="20"/>
      <c r="U525" s="20"/>
      <c r="V525" s="20"/>
      <c r="W525" s="20"/>
      <c r="X525" s="20"/>
      <c r="Y525" s="35"/>
      <c r="AC525" s="20"/>
      <c r="AR525" s="20"/>
      <c r="BG525" s="20"/>
      <c r="BV525" s="20"/>
    </row>
    <row r="526" spans="2:74" x14ac:dyDescent="0.45">
      <c r="B526" s="34"/>
      <c r="C526" s="20"/>
      <c r="D526" s="20"/>
      <c r="E526" s="20"/>
      <c r="F526" s="20"/>
      <c r="G526" s="20"/>
      <c r="H526" s="20"/>
      <c r="I526" s="20"/>
      <c r="J526" s="20"/>
      <c r="K526" s="20"/>
      <c r="L526" s="35"/>
      <c r="O526" s="34"/>
      <c r="P526" s="20"/>
      <c r="Q526" s="20"/>
      <c r="R526" s="20"/>
      <c r="S526" s="20"/>
      <c r="T526" s="20"/>
      <c r="U526" s="20"/>
      <c r="V526" s="20"/>
      <c r="W526" s="20"/>
      <c r="X526" s="20"/>
      <c r="Y526" s="35"/>
      <c r="AC526" s="20"/>
      <c r="AR526" s="20"/>
      <c r="BG526" s="20"/>
      <c r="BV526" s="20"/>
    </row>
    <row r="527" spans="2:74" x14ac:dyDescent="0.45">
      <c r="B527" s="34"/>
      <c r="C527" s="20"/>
      <c r="D527" s="20"/>
      <c r="E527" s="20"/>
      <c r="F527" s="20"/>
      <c r="G527" s="20"/>
      <c r="H527" s="20"/>
      <c r="I527" s="20"/>
      <c r="J527" s="20"/>
      <c r="K527" s="20"/>
      <c r="L527" s="35"/>
      <c r="O527" s="34"/>
      <c r="P527" s="20"/>
      <c r="Q527" s="20"/>
      <c r="R527" s="20"/>
      <c r="S527" s="20"/>
      <c r="T527" s="20"/>
      <c r="U527" s="20"/>
      <c r="V527" s="20"/>
      <c r="W527" s="20"/>
      <c r="X527" s="20"/>
      <c r="Y527" s="35"/>
      <c r="AC527" s="20"/>
      <c r="AR527" s="20"/>
      <c r="BG527" s="20"/>
      <c r="BV527" s="20"/>
    </row>
    <row r="528" spans="2:74" x14ac:dyDescent="0.45">
      <c r="B528" s="34"/>
      <c r="C528" s="20"/>
      <c r="D528" s="20"/>
      <c r="E528" s="20"/>
      <c r="F528" s="20"/>
      <c r="G528" s="20"/>
      <c r="H528" s="20"/>
      <c r="I528" s="20"/>
      <c r="J528" s="20"/>
      <c r="K528" s="20"/>
      <c r="L528" s="35"/>
      <c r="O528" s="34"/>
      <c r="P528" s="20"/>
      <c r="Q528" s="20"/>
      <c r="R528" s="20"/>
      <c r="S528" s="20"/>
      <c r="T528" s="20"/>
      <c r="U528" s="20"/>
      <c r="V528" s="20"/>
      <c r="W528" s="20"/>
      <c r="X528" s="20"/>
      <c r="Y528" s="35"/>
      <c r="AC528" s="20"/>
      <c r="AR528" s="20"/>
      <c r="BG528" s="20"/>
      <c r="BV528" s="20"/>
    </row>
    <row r="529" spans="2:74" x14ac:dyDescent="0.45">
      <c r="B529" s="34"/>
      <c r="C529" s="20"/>
      <c r="D529" s="20"/>
      <c r="E529" s="20"/>
      <c r="F529" s="20"/>
      <c r="G529" s="20"/>
      <c r="H529" s="20"/>
      <c r="I529" s="20"/>
      <c r="J529" s="20"/>
      <c r="K529" s="20"/>
      <c r="L529" s="35"/>
      <c r="O529" s="34"/>
      <c r="P529" s="20"/>
      <c r="Q529" s="20"/>
      <c r="R529" s="20"/>
      <c r="S529" s="20"/>
      <c r="T529" s="20"/>
      <c r="U529" s="20"/>
      <c r="V529" s="20"/>
      <c r="W529" s="20"/>
      <c r="X529" s="20"/>
      <c r="Y529" s="35"/>
      <c r="AC529" s="20"/>
      <c r="AR529" s="20"/>
      <c r="BG529" s="20"/>
      <c r="BV529" s="20"/>
    </row>
    <row r="530" spans="2:74" x14ac:dyDescent="0.45">
      <c r="B530" s="34"/>
      <c r="C530" s="20"/>
      <c r="D530" s="20"/>
      <c r="E530" s="20"/>
      <c r="F530" s="20"/>
      <c r="G530" s="20"/>
      <c r="H530" s="20"/>
      <c r="I530" s="20"/>
      <c r="J530" s="20"/>
      <c r="K530" s="20"/>
      <c r="L530" s="35"/>
      <c r="O530" s="34"/>
      <c r="P530" s="20"/>
      <c r="Q530" s="20"/>
      <c r="R530" s="20"/>
      <c r="S530" s="20"/>
      <c r="T530" s="20"/>
      <c r="U530" s="20"/>
      <c r="V530" s="20"/>
      <c r="W530" s="20"/>
      <c r="X530" s="20"/>
      <c r="Y530" s="35"/>
      <c r="AC530" s="20"/>
      <c r="AR530" s="20"/>
      <c r="BG530" s="20"/>
      <c r="BV530" s="20"/>
    </row>
    <row r="531" spans="2:74" x14ac:dyDescent="0.45">
      <c r="B531" s="34"/>
      <c r="C531" s="20"/>
      <c r="D531" s="20"/>
      <c r="E531" s="20"/>
      <c r="F531" s="20"/>
      <c r="G531" s="20"/>
      <c r="H531" s="20"/>
      <c r="I531" s="20"/>
      <c r="J531" s="20"/>
      <c r="K531" s="20"/>
      <c r="L531" s="35"/>
      <c r="O531" s="34"/>
      <c r="P531" s="20"/>
      <c r="Q531" s="20"/>
      <c r="R531" s="20"/>
      <c r="S531" s="20"/>
      <c r="T531" s="20"/>
      <c r="U531" s="20"/>
      <c r="V531" s="20"/>
      <c r="W531" s="20"/>
      <c r="X531" s="20"/>
      <c r="Y531" s="35"/>
      <c r="AC531" s="20"/>
      <c r="AR531" s="20"/>
      <c r="BG531" s="20"/>
      <c r="BV531" s="20"/>
    </row>
    <row r="532" spans="2:74" x14ac:dyDescent="0.45">
      <c r="B532" s="34"/>
      <c r="C532" s="20"/>
      <c r="D532" s="20"/>
      <c r="E532" s="20"/>
      <c r="F532" s="20"/>
      <c r="G532" s="20"/>
      <c r="H532" s="20"/>
      <c r="I532" s="20"/>
      <c r="J532" s="20"/>
      <c r="K532" s="20"/>
      <c r="L532" s="35"/>
      <c r="O532" s="34"/>
      <c r="P532" s="20"/>
      <c r="Q532" s="20"/>
      <c r="R532" s="20"/>
      <c r="S532" s="20"/>
      <c r="T532" s="20"/>
      <c r="U532" s="20"/>
      <c r="V532" s="20"/>
      <c r="W532" s="20"/>
      <c r="X532" s="20"/>
      <c r="Y532" s="35"/>
      <c r="AC532" s="20"/>
      <c r="AR532" s="20"/>
      <c r="BG532" s="20"/>
      <c r="BV532" s="20"/>
    </row>
    <row r="533" spans="2:74" x14ac:dyDescent="0.45">
      <c r="B533" s="34"/>
      <c r="C533" s="20"/>
      <c r="D533" s="20"/>
      <c r="E533" s="20"/>
      <c r="F533" s="20"/>
      <c r="G533" s="20"/>
      <c r="H533" s="20"/>
      <c r="I533" s="20"/>
      <c r="J533" s="20"/>
      <c r="K533" s="20"/>
      <c r="L533" s="35"/>
      <c r="O533" s="34"/>
      <c r="P533" s="20"/>
      <c r="Q533" s="20"/>
      <c r="R533" s="20"/>
      <c r="S533" s="20"/>
      <c r="T533" s="20"/>
      <c r="U533" s="20"/>
      <c r="V533" s="20"/>
      <c r="W533" s="20"/>
      <c r="X533" s="20"/>
      <c r="Y533" s="35"/>
      <c r="AC533" s="20"/>
      <c r="AR533" s="20"/>
      <c r="BG533" s="20"/>
      <c r="BV533" s="20"/>
    </row>
    <row r="534" spans="2:74" x14ac:dyDescent="0.45">
      <c r="B534" s="34"/>
      <c r="C534" s="20"/>
      <c r="D534" s="20"/>
      <c r="E534" s="20"/>
      <c r="F534" s="20"/>
      <c r="G534" s="20"/>
      <c r="H534" s="20"/>
      <c r="I534" s="20"/>
      <c r="J534" s="20"/>
      <c r="K534" s="20"/>
      <c r="L534" s="35"/>
      <c r="O534" s="34"/>
      <c r="P534" s="20"/>
      <c r="Q534" s="20"/>
      <c r="R534" s="20"/>
      <c r="S534" s="20"/>
      <c r="T534" s="20"/>
      <c r="U534" s="20"/>
      <c r="V534" s="20"/>
      <c r="W534" s="20"/>
      <c r="X534" s="20"/>
      <c r="Y534" s="35"/>
      <c r="AC534" s="20"/>
      <c r="AR534" s="20"/>
      <c r="BG534" s="20"/>
      <c r="BV534" s="20"/>
    </row>
    <row r="535" spans="2:74" x14ac:dyDescent="0.45">
      <c r="B535" s="34"/>
      <c r="C535" s="20"/>
      <c r="D535" s="20"/>
      <c r="E535" s="20"/>
      <c r="F535" s="20"/>
      <c r="G535" s="20"/>
      <c r="H535" s="20"/>
      <c r="I535" s="20"/>
      <c r="J535" s="20"/>
      <c r="K535" s="20"/>
      <c r="L535" s="35"/>
      <c r="O535" s="34"/>
      <c r="P535" s="20"/>
      <c r="Q535" s="20"/>
      <c r="R535" s="20"/>
      <c r="S535" s="20"/>
      <c r="T535" s="20"/>
      <c r="U535" s="20"/>
      <c r="V535" s="20"/>
      <c r="W535" s="20"/>
      <c r="X535" s="20"/>
      <c r="Y535" s="35"/>
      <c r="AC535" s="20"/>
      <c r="AR535" s="20"/>
      <c r="BG535" s="20"/>
      <c r="BV535" s="20"/>
    </row>
    <row r="536" spans="2:74" x14ac:dyDescent="0.45">
      <c r="B536" s="34"/>
      <c r="C536" s="20"/>
      <c r="D536" s="20"/>
      <c r="E536" s="20"/>
      <c r="F536" s="20"/>
      <c r="G536" s="20"/>
      <c r="H536" s="20"/>
      <c r="I536" s="20"/>
      <c r="J536" s="20"/>
      <c r="K536" s="20"/>
      <c r="L536" s="35"/>
      <c r="O536" s="34"/>
      <c r="P536" s="20"/>
      <c r="Q536" s="20"/>
      <c r="R536" s="20"/>
      <c r="S536" s="20"/>
      <c r="T536" s="20"/>
      <c r="U536" s="20"/>
      <c r="V536" s="20"/>
      <c r="W536" s="20"/>
      <c r="X536" s="20"/>
      <c r="Y536" s="35"/>
      <c r="AC536" s="20"/>
      <c r="AR536" s="20"/>
      <c r="BG536" s="20"/>
      <c r="BV536" s="20"/>
    </row>
    <row r="537" spans="2:74" x14ac:dyDescent="0.45">
      <c r="B537" s="34"/>
      <c r="C537" s="20"/>
      <c r="D537" s="20"/>
      <c r="E537" s="20"/>
      <c r="F537" s="20"/>
      <c r="G537" s="20"/>
      <c r="H537" s="20"/>
      <c r="I537" s="20"/>
      <c r="J537" s="20"/>
      <c r="K537" s="20"/>
      <c r="L537" s="35"/>
      <c r="O537" s="34"/>
      <c r="P537" s="20"/>
      <c r="Q537" s="20"/>
      <c r="R537" s="20"/>
      <c r="S537" s="20"/>
      <c r="T537" s="20"/>
      <c r="U537" s="20"/>
      <c r="V537" s="20"/>
      <c r="W537" s="20"/>
      <c r="X537" s="20"/>
      <c r="Y537" s="35"/>
      <c r="AC537" s="20"/>
      <c r="AR537" s="20"/>
      <c r="BG537" s="20"/>
      <c r="BV537" s="20"/>
    </row>
    <row r="538" spans="2:74" x14ac:dyDescent="0.45">
      <c r="B538" s="34"/>
      <c r="C538" s="20"/>
      <c r="D538" s="20"/>
      <c r="E538" s="20"/>
      <c r="F538" s="20"/>
      <c r="G538" s="20"/>
      <c r="H538" s="20"/>
      <c r="I538" s="20"/>
      <c r="J538" s="20"/>
      <c r="K538" s="20"/>
      <c r="L538" s="35"/>
      <c r="O538" s="34"/>
      <c r="P538" s="20"/>
      <c r="Q538" s="20"/>
      <c r="R538" s="20"/>
      <c r="S538" s="20"/>
      <c r="T538" s="20"/>
      <c r="U538" s="20"/>
      <c r="V538" s="20"/>
      <c r="W538" s="20"/>
      <c r="X538" s="20"/>
      <c r="Y538" s="35"/>
      <c r="AC538" s="20"/>
      <c r="AR538" s="20"/>
      <c r="BG538" s="20"/>
      <c r="BV538" s="20"/>
    </row>
    <row r="539" spans="2:74" x14ac:dyDescent="0.45">
      <c r="B539" s="34"/>
      <c r="C539" s="20"/>
      <c r="D539" s="20"/>
      <c r="E539" s="20"/>
      <c r="F539" s="20"/>
      <c r="G539" s="20"/>
      <c r="H539" s="20"/>
      <c r="I539" s="20"/>
      <c r="J539" s="20"/>
      <c r="K539" s="20"/>
      <c r="L539" s="35"/>
      <c r="O539" s="34"/>
      <c r="P539" s="20"/>
      <c r="Q539" s="20"/>
      <c r="R539" s="20"/>
      <c r="S539" s="20"/>
      <c r="T539" s="20"/>
      <c r="U539" s="20"/>
      <c r="V539" s="20"/>
      <c r="W539" s="20"/>
      <c r="X539" s="20"/>
      <c r="Y539" s="35"/>
      <c r="AC539" s="20"/>
      <c r="AR539" s="20"/>
      <c r="BG539" s="20"/>
      <c r="BV539" s="20"/>
    </row>
    <row r="540" spans="2:74" x14ac:dyDescent="0.45">
      <c r="B540" s="34"/>
      <c r="C540" s="20"/>
      <c r="D540" s="20"/>
      <c r="E540" s="20"/>
      <c r="F540" s="20"/>
      <c r="G540" s="20"/>
      <c r="H540" s="20"/>
      <c r="I540" s="20"/>
      <c r="J540" s="20"/>
      <c r="K540" s="20"/>
      <c r="L540" s="35"/>
      <c r="O540" s="34"/>
      <c r="P540" s="20"/>
      <c r="Q540" s="20"/>
      <c r="R540" s="20"/>
      <c r="S540" s="20"/>
      <c r="T540" s="20"/>
      <c r="U540" s="20"/>
      <c r="V540" s="20"/>
      <c r="W540" s="20"/>
      <c r="X540" s="20"/>
      <c r="Y540" s="35"/>
      <c r="AC540" s="20"/>
      <c r="AR540" s="20"/>
      <c r="BG540" s="20"/>
      <c r="BV540" s="20"/>
    </row>
    <row r="541" spans="2:74" x14ac:dyDescent="0.45">
      <c r="B541" s="34"/>
      <c r="C541" s="20"/>
      <c r="D541" s="20"/>
      <c r="E541" s="20"/>
      <c r="F541" s="20"/>
      <c r="G541" s="20"/>
      <c r="H541" s="20"/>
      <c r="I541" s="20"/>
      <c r="J541" s="20"/>
      <c r="K541" s="20"/>
      <c r="L541" s="35"/>
      <c r="O541" s="34"/>
      <c r="P541" s="20"/>
      <c r="Q541" s="20"/>
      <c r="R541" s="20"/>
      <c r="S541" s="20"/>
      <c r="T541" s="20"/>
      <c r="U541" s="20"/>
      <c r="V541" s="20"/>
      <c r="W541" s="20"/>
      <c r="X541" s="20"/>
      <c r="Y541" s="35"/>
      <c r="AC541" s="20"/>
      <c r="AR541" s="20"/>
      <c r="BG541" s="20"/>
      <c r="BV541" s="20"/>
    </row>
    <row r="542" spans="2:74" x14ac:dyDescent="0.45">
      <c r="B542" s="34"/>
      <c r="C542" s="20"/>
      <c r="D542" s="20"/>
      <c r="E542" s="20"/>
      <c r="F542" s="20"/>
      <c r="G542" s="20"/>
      <c r="H542" s="20"/>
      <c r="I542" s="20"/>
      <c r="J542" s="20"/>
      <c r="K542" s="20"/>
      <c r="L542" s="35"/>
      <c r="O542" s="34"/>
      <c r="P542" s="20"/>
      <c r="Q542" s="20"/>
      <c r="R542" s="20"/>
      <c r="S542" s="20"/>
      <c r="T542" s="20"/>
      <c r="U542" s="20"/>
      <c r="V542" s="20"/>
      <c r="W542" s="20"/>
      <c r="X542" s="20"/>
      <c r="Y542" s="35"/>
      <c r="AC542" s="20"/>
      <c r="AR542" s="20"/>
      <c r="BG542" s="20"/>
      <c r="BV542" s="20"/>
    </row>
    <row r="543" spans="2:74" x14ac:dyDescent="0.45">
      <c r="B543" s="34"/>
      <c r="C543" s="20"/>
      <c r="D543" s="20"/>
      <c r="E543" s="20"/>
      <c r="F543" s="20"/>
      <c r="G543" s="20"/>
      <c r="H543" s="20"/>
      <c r="I543" s="20"/>
      <c r="J543" s="20"/>
      <c r="K543" s="20"/>
      <c r="L543" s="35"/>
      <c r="O543" s="34"/>
      <c r="P543" s="20"/>
      <c r="Q543" s="20"/>
      <c r="R543" s="20"/>
      <c r="S543" s="20"/>
      <c r="T543" s="20"/>
      <c r="U543" s="20"/>
      <c r="V543" s="20"/>
      <c r="W543" s="20"/>
      <c r="X543" s="20"/>
      <c r="Y543" s="35"/>
      <c r="AC543" s="20"/>
      <c r="AR543" s="20"/>
      <c r="BG543" s="20"/>
      <c r="BV543" s="20"/>
    </row>
    <row r="544" spans="2:74" x14ac:dyDescent="0.45">
      <c r="B544" s="34"/>
      <c r="C544" s="20"/>
      <c r="D544" s="20"/>
      <c r="E544" s="20"/>
      <c r="F544" s="20"/>
      <c r="G544" s="20"/>
      <c r="H544" s="20"/>
      <c r="I544" s="20"/>
      <c r="J544" s="20"/>
      <c r="K544" s="20"/>
      <c r="L544" s="35"/>
      <c r="O544" s="34"/>
      <c r="P544" s="20"/>
      <c r="Q544" s="20"/>
      <c r="R544" s="20"/>
      <c r="S544" s="20"/>
      <c r="T544" s="20"/>
      <c r="U544" s="20"/>
      <c r="V544" s="20"/>
      <c r="W544" s="20"/>
      <c r="X544" s="20"/>
      <c r="Y544" s="35"/>
      <c r="AC544" s="20"/>
      <c r="AR544" s="20"/>
      <c r="BG544" s="20"/>
      <c r="BV544" s="20"/>
    </row>
    <row r="545" spans="2:74" x14ac:dyDescent="0.45">
      <c r="B545" s="34"/>
      <c r="C545" s="20"/>
      <c r="D545" s="20"/>
      <c r="E545" s="20"/>
      <c r="F545" s="20"/>
      <c r="G545" s="20"/>
      <c r="H545" s="20"/>
      <c r="I545" s="20"/>
      <c r="J545" s="20"/>
      <c r="K545" s="20"/>
      <c r="L545" s="35"/>
      <c r="O545" s="34"/>
      <c r="P545" s="20"/>
      <c r="Q545" s="20"/>
      <c r="R545" s="20"/>
      <c r="S545" s="20"/>
      <c r="T545" s="20"/>
      <c r="U545" s="20"/>
      <c r="V545" s="20"/>
      <c r="W545" s="20"/>
      <c r="X545" s="20"/>
      <c r="Y545" s="35"/>
      <c r="AC545" s="20"/>
      <c r="AR545" s="20"/>
      <c r="BG545" s="20"/>
      <c r="BV545" s="20"/>
    </row>
    <row r="546" spans="2:74" x14ac:dyDescent="0.45">
      <c r="B546" s="34"/>
      <c r="C546" s="20"/>
      <c r="D546" s="20"/>
      <c r="E546" s="20"/>
      <c r="F546" s="20"/>
      <c r="G546" s="20"/>
      <c r="H546" s="20"/>
      <c r="I546" s="20"/>
      <c r="J546" s="20"/>
      <c r="K546" s="20"/>
      <c r="L546" s="35"/>
      <c r="O546" s="34"/>
      <c r="P546" s="20"/>
      <c r="Q546" s="20"/>
      <c r="R546" s="20"/>
      <c r="S546" s="20"/>
      <c r="T546" s="20"/>
      <c r="U546" s="20"/>
      <c r="V546" s="20"/>
      <c r="W546" s="20"/>
      <c r="X546" s="20"/>
      <c r="Y546" s="35"/>
      <c r="AC546" s="20"/>
      <c r="AR546" s="20"/>
      <c r="BG546" s="20"/>
      <c r="BV546" s="20"/>
    </row>
    <row r="547" spans="2:74" x14ac:dyDescent="0.45">
      <c r="B547" s="34"/>
      <c r="C547" s="20"/>
      <c r="D547" s="20"/>
      <c r="E547" s="20"/>
      <c r="F547" s="20"/>
      <c r="G547" s="20"/>
      <c r="H547" s="20"/>
      <c r="I547" s="20"/>
      <c r="J547" s="20"/>
      <c r="K547" s="20"/>
      <c r="L547" s="35"/>
      <c r="O547" s="34"/>
      <c r="P547" s="20"/>
      <c r="Q547" s="20"/>
      <c r="R547" s="20"/>
      <c r="S547" s="20"/>
      <c r="T547" s="20"/>
      <c r="U547" s="20"/>
      <c r="V547" s="20"/>
      <c r="W547" s="20"/>
      <c r="X547" s="20"/>
      <c r="Y547" s="35"/>
      <c r="AC547" s="20"/>
      <c r="AR547" s="20"/>
      <c r="BG547" s="20"/>
      <c r="BV547" s="20"/>
    </row>
    <row r="548" spans="2:74" x14ac:dyDescent="0.45">
      <c r="B548" s="34"/>
      <c r="C548" s="20"/>
      <c r="D548" s="20"/>
      <c r="E548" s="20"/>
      <c r="F548" s="20"/>
      <c r="G548" s="20"/>
      <c r="H548" s="20"/>
      <c r="I548" s="20"/>
      <c r="J548" s="20"/>
      <c r="K548" s="20"/>
      <c r="L548" s="35"/>
      <c r="O548" s="34"/>
      <c r="P548" s="20"/>
      <c r="Q548" s="20"/>
      <c r="R548" s="20"/>
      <c r="S548" s="20"/>
      <c r="T548" s="20"/>
      <c r="U548" s="20"/>
      <c r="V548" s="20"/>
      <c r="W548" s="20"/>
      <c r="X548" s="20"/>
      <c r="Y548" s="35"/>
      <c r="AC548" s="20"/>
      <c r="AR548" s="20"/>
      <c r="BG548" s="20"/>
      <c r="BV548" s="20"/>
    </row>
    <row r="549" spans="2:74" x14ac:dyDescent="0.45">
      <c r="B549" s="34"/>
      <c r="C549" s="20"/>
      <c r="D549" s="20"/>
      <c r="E549" s="20"/>
      <c r="F549" s="20"/>
      <c r="G549" s="20"/>
      <c r="H549" s="20"/>
      <c r="I549" s="20"/>
      <c r="J549" s="20"/>
      <c r="K549" s="20"/>
      <c r="L549" s="35"/>
      <c r="O549" s="34"/>
      <c r="P549" s="20"/>
      <c r="Q549" s="20"/>
      <c r="R549" s="20"/>
      <c r="S549" s="20"/>
      <c r="T549" s="20"/>
      <c r="U549" s="20"/>
      <c r="V549" s="20"/>
      <c r="W549" s="20"/>
      <c r="X549" s="20"/>
      <c r="Y549" s="35"/>
      <c r="AC549" s="20"/>
      <c r="AR549" s="20"/>
      <c r="BG549" s="20"/>
      <c r="BV549" s="20"/>
    </row>
    <row r="550" spans="2:74" x14ac:dyDescent="0.45">
      <c r="B550" s="34"/>
      <c r="C550" s="20"/>
      <c r="D550" s="20"/>
      <c r="E550" s="20"/>
      <c r="F550" s="20"/>
      <c r="G550" s="20"/>
      <c r="H550" s="20"/>
      <c r="I550" s="20"/>
      <c r="J550" s="20"/>
      <c r="K550" s="20"/>
      <c r="L550" s="35"/>
      <c r="O550" s="34"/>
      <c r="P550" s="20"/>
      <c r="Q550" s="20"/>
      <c r="R550" s="20"/>
      <c r="S550" s="20"/>
      <c r="T550" s="20"/>
      <c r="U550" s="20"/>
      <c r="V550" s="20"/>
      <c r="W550" s="20"/>
      <c r="X550" s="20"/>
      <c r="Y550" s="35"/>
      <c r="AC550" s="20"/>
      <c r="AR550" s="20"/>
      <c r="BG550" s="20"/>
      <c r="BV550" s="20"/>
    </row>
    <row r="551" spans="2:74" x14ac:dyDescent="0.45">
      <c r="B551" s="34"/>
      <c r="C551" s="20"/>
      <c r="D551" s="20"/>
      <c r="E551" s="20"/>
      <c r="F551" s="20"/>
      <c r="G551" s="20"/>
      <c r="H551" s="20"/>
      <c r="I551" s="20"/>
      <c r="J551" s="20"/>
      <c r="K551" s="20"/>
      <c r="L551" s="35"/>
      <c r="O551" s="34"/>
      <c r="P551" s="20"/>
      <c r="Q551" s="20"/>
      <c r="R551" s="20"/>
      <c r="S551" s="20"/>
      <c r="T551" s="20"/>
      <c r="U551" s="20"/>
      <c r="V551" s="20"/>
      <c r="W551" s="20"/>
      <c r="X551" s="20"/>
      <c r="Y551" s="35"/>
      <c r="AC551" s="20"/>
      <c r="AR551" s="20"/>
      <c r="BG551" s="20"/>
      <c r="BV551" s="20"/>
    </row>
    <row r="552" spans="2:74" x14ac:dyDescent="0.45">
      <c r="B552" s="34"/>
      <c r="C552" s="20"/>
      <c r="D552" s="20"/>
      <c r="E552" s="20"/>
      <c r="F552" s="20"/>
      <c r="G552" s="20"/>
      <c r="H552" s="20"/>
      <c r="I552" s="20"/>
      <c r="J552" s="20"/>
      <c r="K552" s="20"/>
      <c r="L552" s="35"/>
      <c r="O552" s="34"/>
      <c r="P552" s="20"/>
      <c r="Q552" s="20"/>
      <c r="R552" s="20"/>
      <c r="S552" s="20"/>
      <c r="T552" s="20"/>
      <c r="U552" s="20"/>
      <c r="V552" s="20"/>
      <c r="W552" s="20"/>
      <c r="X552" s="20"/>
      <c r="Y552" s="35"/>
      <c r="AC552" s="20"/>
      <c r="AR552" s="20"/>
      <c r="BG552" s="20"/>
      <c r="BV552" s="20"/>
    </row>
    <row r="553" spans="2:74" x14ac:dyDescent="0.45">
      <c r="B553" s="34"/>
      <c r="C553" s="20"/>
      <c r="D553" s="20"/>
      <c r="E553" s="20"/>
      <c r="F553" s="20"/>
      <c r="G553" s="20"/>
      <c r="H553" s="20"/>
      <c r="I553" s="20"/>
      <c r="J553" s="20"/>
      <c r="K553" s="20"/>
      <c r="L553" s="35"/>
      <c r="O553" s="34"/>
      <c r="P553" s="20"/>
      <c r="Q553" s="20"/>
      <c r="R553" s="20"/>
      <c r="S553" s="20"/>
      <c r="T553" s="20"/>
      <c r="U553" s="20"/>
      <c r="V553" s="20"/>
      <c r="W553" s="20"/>
      <c r="X553" s="20"/>
      <c r="Y553" s="35"/>
      <c r="AC553" s="20"/>
      <c r="AR553" s="20"/>
      <c r="BG553" s="20"/>
      <c r="BV553" s="20"/>
    </row>
    <row r="554" spans="2:74" x14ac:dyDescent="0.45">
      <c r="B554" s="34"/>
      <c r="C554" s="20"/>
      <c r="D554" s="20"/>
      <c r="E554" s="20"/>
      <c r="F554" s="20"/>
      <c r="G554" s="20"/>
      <c r="H554" s="20"/>
      <c r="I554" s="20"/>
      <c r="J554" s="20"/>
      <c r="K554" s="20"/>
      <c r="L554" s="35"/>
      <c r="O554" s="34"/>
      <c r="P554" s="20"/>
      <c r="Q554" s="20"/>
      <c r="R554" s="20"/>
      <c r="S554" s="20"/>
      <c r="T554" s="20"/>
      <c r="U554" s="20"/>
      <c r="V554" s="20"/>
      <c r="W554" s="20"/>
      <c r="X554" s="20"/>
      <c r="Y554" s="35"/>
      <c r="AC554" s="20"/>
      <c r="AR554" s="20"/>
      <c r="BG554" s="20"/>
      <c r="BV554" s="20"/>
    </row>
    <row r="555" spans="2:74" x14ac:dyDescent="0.45">
      <c r="B555" s="34"/>
      <c r="C555" s="20"/>
      <c r="D555" s="20"/>
      <c r="E555" s="20"/>
      <c r="F555" s="20"/>
      <c r="G555" s="20"/>
      <c r="H555" s="20"/>
      <c r="I555" s="20"/>
      <c r="J555" s="20"/>
      <c r="K555" s="20"/>
      <c r="L555" s="35"/>
      <c r="O555" s="34"/>
      <c r="P555" s="20"/>
      <c r="Q555" s="20"/>
      <c r="R555" s="20"/>
      <c r="S555" s="20"/>
      <c r="T555" s="20"/>
      <c r="U555" s="20"/>
      <c r="V555" s="20"/>
      <c r="W555" s="20"/>
      <c r="X555" s="20"/>
      <c r="Y555" s="35"/>
      <c r="AC555" s="20"/>
      <c r="AR555" s="20"/>
      <c r="BG555" s="20"/>
      <c r="BV555" s="20"/>
    </row>
    <row r="556" spans="2:74" x14ac:dyDescent="0.45">
      <c r="B556" s="34"/>
      <c r="C556" s="20"/>
      <c r="D556" s="20"/>
      <c r="E556" s="20"/>
      <c r="F556" s="20"/>
      <c r="G556" s="20"/>
      <c r="H556" s="20"/>
      <c r="I556" s="20"/>
      <c r="J556" s="20"/>
      <c r="K556" s="20"/>
      <c r="L556" s="35"/>
      <c r="O556" s="34"/>
      <c r="P556" s="20"/>
      <c r="Q556" s="20"/>
      <c r="R556" s="20"/>
      <c r="S556" s="20"/>
      <c r="T556" s="20"/>
      <c r="U556" s="20"/>
      <c r="V556" s="20"/>
      <c r="W556" s="20"/>
      <c r="X556" s="20"/>
      <c r="Y556" s="35"/>
      <c r="AC556" s="20"/>
      <c r="AR556" s="20"/>
      <c r="BG556" s="20"/>
      <c r="BV556" s="20"/>
    </row>
    <row r="557" spans="2:74" x14ac:dyDescent="0.45">
      <c r="B557" s="34"/>
      <c r="C557" s="20"/>
      <c r="D557" s="20"/>
      <c r="E557" s="20"/>
      <c r="F557" s="20"/>
      <c r="G557" s="20"/>
      <c r="H557" s="20"/>
      <c r="I557" s="20"/>
      <c r="J557" s="20"/>
      <c r="K557" s="20"/>
      <c r="L557" s="35"/>
      <c r="O557" s="34"/>
      <c r="P557" s="20"/>
      <c r="Q557" s="20"/>
      <c r="R557" s="20"/>
      <c r="S557" s="20"/>
      <c r="T557" s="20"/>
      <c r="U557" s="20"/>
      <c r="V557" s="20"/>
      <c r="W557" s="20"/>
      <c r="X557" s="20"/>
      <c r="Y557" s="35"/>
      <c r="AC557" s="20"/>
      <c r="AR557" s="20"/>
      <c r="BG557" s="20"/>
      <c r="BV557" s="20"/>
    </row>
    <row r="558" spans="2:74" x14ac:dyDescent="0.45">
      <c r="B558" s="34"/>
      <c r="C558" s="20"/>
      <c r="D558" s="20"/>
      <c r="E558" s="20"/>
      <c r="F558" s="20"/>
      <c r="G558" s="20"/>
      <c r="H558" s="20"/>
      <c r="I558" s="20"/>
      <c r="J558" s="20"/>
      <c r="K558" s="20"/>
      <c r="L558" s="35"/>
      <c r="O558" s="34"/>
      <c r="P558" s="20"/>
      <c r="Q558" s="20"/>
      <c r="R558" s="20"/>
      <c r="S558" s="20"/>
      <c r="T558" s="20"/>
      <c r="U558" s="20"/>
      <c r="V558" s="20"/>
      <c r="W558" s="20"/>
      <c r="X558" s="20"/>
      <c r="Y558" s="35"/>
      <c r="AC558" s="20"/>
      <c r="AR558" s="20"/>
      <c r="BG558" s="20"/>
      <c r="BV558" s="20"/>
    </row>
    <row r="559" spans="2:74" x14ac:dyDescent="0.45">
      <c r="B559" s="34"/>
      <c r="C559" s="20"/>
      <c r="D559" s="20"/>
      <c r="E559" s="20"/>
      <c r="F559" s="20"/>
      <c r="G559" s="20"/>
      <c r="H559" s="20"/>
      <c r="I559" s="20"/>
      <c r="J559" s="20"/>
      <c r="K559" s="20"/>
      <c r="L559" s="35"/>
      <c r="O559" s="34"/>
      <c r="P559" s="20"/>
      <c r="Q559" s="20"/>
      <c r="R559" s="20"/>
      <c r="S559" s="20"/>
      <c r="T559" s="20"/>
      <c r="U559" s="20"/>
      <c r="V559" s="20"/>
      <c r="W559" s="20"/>
      <c r="X559" s="20"/>
      <c r="Y559" s="35"/>
      <c r="AC559" s="20"/>
      <c r="AR559" s="20"/>
      <c r="BG559" s="20"/>
      <c r="BV559" s="20"/>
    </row>
    <row r="560" spans="2:74" x14ac:dyDescent="0.45">
      <c r="B560" s="34"/>
      <c r="C560" s="20"/>
      <c r="D560" s="20"/>
      <c r="E560" s="20"/>
      <c r="F560" s="20"/>
      <c r="G560" s="20"/>
      <c r="H560" s="20"/>
      <c r="I560" s="20"/>
      <c r="J560" s="20"/>
      <c r="K560" s="20"/>
      <c r="L560" s="35"/>
      <c r="O560" s="34"/>
      <c r="P560" s="20"/>
      <c r="Q560" s="20"/>
      <c r="R560" s="20"/>
      <c r="S560" s="20"/>
      <c r="T560" s="20"/>
      <c r="U560" s="20"/>
      <c r="V560" s="20"/>
      <c r="W560" s="20"/>
      <c r="X560" s="20"/>
      <c r="Y560" s="35"/>
      <c r="AC560" s="20"/>
      <c r="AR560" s="20"/>
      <c r="BG560" s="20"/>
      <c r="BV560" s="20"/>
    </row>
    <row r="561" spans="2:74" x14ac:dyDescent="0.45">
      <c r="B561" s="34"/>
      <c r="C561" s="20"/>
      <c r="D561" s="20"/>
      <c r="E561" s="20"/>
      <c r="F561" s="20"/>
      <c r="G561" s="20"/>
      <c r="H561" s="20"/>
      <c r="I561" s="20"/>
      <c r="J561" s="20"/>
      <c r="K561" s="20"/>
      <c r="L561" s="35"/>
      <c r="O561" s="34"/>
      <c r="P561" s="20"/>
      <c r="Q561" s="20"/>
      <c r="R561" s="20"/>
      <c r="S561" s="20"/>
      <c r="T561" s="20"/>
      <c r="U561" s="20"/>
      <c r="V561" s="20"/>
      <c r="W561" s="20"/>
      <c r="X561" s="20"/>
      <c r="Y561" s="35"/>
      <c r="AC561" s="20"/>
      <c r="AR561" s="20"/>
      <c r="BG561" s="20"/>
      <c r="BV561" s="20"/>
    </row>
    <row r="562" spans="2:74" x14ac:dyDescent="0.45">
      <c r="B562" s="34"/>
      <c r="C562" s="20"/>
      <c r="D562" s="20"/>
      <c r="E562" s="20"/>
      <c r="F562" s="20"/>
      <c r="G562" s="20"/>
      <c r="H562" s="20"/>
      <c r="I562" s="20"/>
      <c r="J562" s="20"/>
      <c r="K562" s="20"/>
      <c r="L562" s="35"/>
      <c r="O562" s="34"/>
      <c r="P562" s="20"/>
      <c r="Q562" s="20"/>
      <c r="R562" s="20"/>
      <c r="S562" s="20"/>
      <c r="T562" s="20"/>
      <c r="U562" s="20"/>
      <c r="V562" s="20"/>
      <c r="W562" s="20"/>
      <c r="X562" s="20"/>
      <c r="Y562" s="35"/>
      <c r="AC562" s="20"/>
      <c r="AR562" s="20"/>
      <c r="BG562" s="20"/>
      <c r="BV562" s="20"/>
    </row>
    <row r="563" spans="2:74" x14ac:dyDescent="0.45">
      <c r="B563" s="34"/>
      <c r="C563" s="20"/>
      <c r="D563" s="20"/>
      <c r="E563" s="20"/>
      <c r="F563" s="20"/>
      <c r="G563" s="20"/>
      <c r="H563" s="20"/>
      <c r="I563" s="20"/>
      <c r="J563" s="20"/>
      <c r="K563" s="20"/>
      <c r="L563" s="35"/>
      <c r="O563" s="34"/>
      <c r="P563" s="20"/>
      <c r="Q563" s="20"/>
      <c r="R563" s="20"/>
      <c r="S563" s="20"/>
      <c r="T563" s="20"/>
      <c r="U563" s="20"/>
      <c r="V563" s="20"/>
      <c r="W563" s="20"/>
      <c r="X563" s="20"/>
      <c r="Y563" s="35"/>
      <c r="AC563" s="20"/>
      <c r="AR563" s="20"/>
      <c r="BG563" s="20"/>
      <c r="BV563" s="20"/>
    </row>
    <row r="564" spans="2:74" x14ac:dyDescent="0.45">
      <c r="B564" s="34"/>
      <c r="C564" s="20"/>
      <c r="D564" s="20"/>
      <c r="E564" s="20"/>
      <c r="F564" s="20"/>
      <c r="G564" s="20"/>
      <c r="H564" s="20"/>
      <c r="I564" s="20"/>
      <c r="J564" s="20"/>
      <c r="K564" s="20"/>
      <c r="L564" s="35"/>
      <c r="O564" s="34"/>
      <c r="P564" s="20"/>
      <c r="Q564" s="20"/>
      <c r="R564" s="20"/>
      <c r="S564" s="20"/>
      <c r="T564" s="20"/>
      <c r="U564" s="20"/>
      <c r="V564" s="20"/>
      <c r="W564" s="20"/>
      <c r="X564" s="20"/>
      <c r="Y564" s="35"/>
      <c r="AC564" s="20"/>
      <c r="AR564" s="20"/>
      <c r="BG564" s="20"/>
      <c r="BV564" s="20"/>
    </row>
    <row r="565" spans="2:74" x14ac:dyDescent="0.45">
      <c r="B565" s="34"/>
      <c r="C565" s="20"/>
      <c r="D565" s="20"/>
      <c r="E565" s="20"/>
      <c r="F565" s="20"/>
      <c r="G565" s="20"/>
      <c r="H565" s="20"/>
      <c r="I565" s="20"/>
      <c r="J565" s="20"/>
      <c r="K565" s="20"/>
      <c r="L565" s="35"/>
      <c r="O565" s="34"/>
      <c r="P565" s="20"/>
      <c r="Q565" s="20"/>
      <c r="R565" s="20"/>
      <c r="S565" s="20"/>
      <c r="T565" s="20"/>
      <c r="U565" s="20"/>
      <c r="V565" s="20"/>
      <c r="W565" s="20"/>
      <c r="X565" s="20"/>
      <c r="Y565" s="35"/>
      <c r="AC565" s="20"/>
      <c r="AR565" s="20"/>
      <c r="BG565" s="20"/>
      <c r="BV565" s="20"/>
    </row>
    <row r="566" spans="2:74" x14ac:dyDescent="0.45">
      <c r="B566" s="34"/>
      <c r="C566" s="20"/>
      <c r="D566" s="20"/>
      <c r="E566" s="20"/>
      <c r="F566" s="20"/>
      <c r="G566" s="20"/>
      <c r="H566" s="20"/>
      <c r="I566" s="20"/>
      <c r="J566" s="20"/>
      <c r="K566" s="20"/>
      <c r="L566" s="35"/>
      <c r="O566" s="34"/>
      <c r="P566" s="20"/>
      <c r="Q566" s="20"/>
      <c r="R566" s="20"/>
      <c r="S566" s="20"/>
      <c r="T566" s="20"/>
      <c r="U566" s="20"/>
      <c r="V566" s="20"/>
      <c r="W566" s="20"/>
      <c r="X566" s="20"/>
      <c r="Y566" s="35"/>
      <c r="AC566" s="20"/>
      <c r="AR566" s="20"/>
      <c r="BG566" s="20"/>
      <c r="BV566" s="20"/>
    </row>
    <row r="567" spans="2:74" x14ac:dyDescent="0.45">
      <c r="B567" s="34"/>
      <c r="C567" s="20"/>
      <c r="D567" s="20"/>
      <c r="E567" s="20"/>
      <c r="F567" s="20"/>
      <c r="G567" s="20"/>
      <c r="H567" s="20"/>
      <c r="I567" s="20"/>
      <c r="J567" s="20"/>
      <c r="K567" s="20"/>
      <c r="L567" s="35"/>
      <c r="O567" s="34"/>
      <c r="P567" s="20"/>
      <c r="Q567" s="20"/>
      <c r="R567" s="20"/>
      <c r="S567" s="20"/>
      <c r="T567" s="20"/>
      <c r="U567" s="20"/>
      <c r="V567" s="20"/>
      <c r="W567" s="20"/>
      <c r="X567" s="20"/>
      <c r="Y567" s="35"/>
      <c r="AC567" s="20"/>
      <c r="AR567" s="20"/>
      <c r="BG567" s="20"/>
      <c r="BV567" s="20"/>
    </row>
    <row r="568" spans="2:74" x14ac:dyDescent="0.45">
      <c r="B568" s="34"/>
      <c r="C568" s="20"/>
      <c r="D568" s="20"/>
      <c r="E568" s="20"/>
      <c r="F568" s="20"/>
      <c r="G568" s="20"/>
      <c r="H568" s="20"/>
      <c r="I568" s="20"/>
      <c r="J568" s="20"/>
      <c r="K568" s="20"/>
      <c r="L568" s="35"/>
      <c r="O568" s="34"/>
      <c r="P568" s="20"/>
      <c r="Q568" s="20"/>
      <c r="R568" s="20"/>
      <c r="S568" s="20"/>
      <c r="T568" s="20"/>
      <c r="U568" s="20"/>
      <c r="V568" s="20"/>
      <c r="W568" s="20"/>
      <c r="X568" s="20"/>
      <c r="Y568" s="35"/>
      <c r="AC568" s="20"/>
      <c r="AR568" s="20"/>
      <c r="BG568" s="20"/>
      <c r="BV568" s="20"/>
    </row>
    <row r="569" spans="2:74" x14ac:dyDescent="0.45">
      <c r="B569" s="34"/>
      <c r="C569" s="20"/>
      <c r="D569" s="20"/>
      <c r="E569" s="20"/>
      <c r="F569" s="20"/>
      <c r="G569" s="20"/>
      <c r="H569" s="20"/>
      <c r="I569" s="20"/>
      <c r="J569" s="20"/>
      <c r="K569" s="20"/>
      <c r="L569" s="35"/>
      <c r="O569" s="34"/>
      <c r="P569" s="20"/>
      <c r="Q569" s="20"/>
      <c r="R569" s="20"/>
      <c r="S569" s="20"/>
      <c r="T569" s="20"/>
      <c r="U569" s="20"/>
      <c r="V569" s="20"/>
      <c r="W569" s="20"/>
      <c r="X569" s="20"/>
      <c r="Y569" s="35"/>
      <c r="AC569" s="20"/>
      <c r="AR569" s="20"/>
      <c r="BG569" s="20"/>
      <c r="BV569" s="20"/>
    </row>
    <row r="570" spans="2:74" x14ac:dyDescent="0.45">
      <c r="B570" s="34"/>
      <c r="C570" s="20"/>
      <c r="D570" s="20"/>
      <c r="E570" s="20"/>
      <c r="F570" s="20"/>
      <c r="G570" s="20"/>
      <c r="H570" s="20"/>
      <c r="I570" s="20"/>
      <c r="J570" s="20"/>
      <c r="K570" s="20"/>
      <c r="L570" s="35"/>
      <c r="O570" s="34"/>
      <c r="P570" s="20"/>
      <c r="Q570" s="20"/>
      <c r="R570" s="20"/>
      <c r="S570" s="20"/>
      <c r="T570" s="20"/>
      <c r="U570" s="20"/>
      <c r="V570" s="20"/>
      <c r="W570" s="20"/>
      <c r="X570" s="20"/>
      <c r="Y570" s="35"/>
      <c r="AC570" s="20"/>
      <c r="AR570" s="20"/>
      <c r="BG570" s="20"/>
      <c r="BV570" s="20"/>
    </row>
    <row r="571" spans="2:74" x14ac:dyDescent="0.45">
      <c r="B571" s="34"/>
      <c r="C571" s="20"/>
      <c r="D571" s="20"/>
      <c r="E571" s="20"/>
      <c r="F571" s="20"/>
      <c r="G571" s="20"/>
      <c r="H571" s="20"/>
      <c r="I571" s="20"/>
      <c r="J571" s="20"/>
      <c r="K571" s="20"/>
      <c r="L571" s="35"/>
      <c r="O571" s="34"/>
      <c r="P571" s="20"/>
      <c r="Q571" s="20"/>
      <c r="R571" s="20"/>
      <c r="S571" s="20"/>
      <c r="T571" s="20"/>
      <c r="U571" s="20"/>
      <c r="V571" s="20"/>
      <c r="W571" s="20"/>
      <c r="X571" s="20"/>
      <c r="Y571" s="35"/>
      <c r="AC571" s="20"/>
      <c r="AR571" s="20"/>
      <c r="BG571" s="20"/>
      <c r="BV571" s="20"/>
    </row>
    <row r="572" spans="2:74" x14ac:dyDescent="0.45">
      <c r="B572" s="34"/>
      <c r="C572" s="20"/>
      <c r="D572" s="20"/>
      <c r="E572" s="20"/>
      <c r="F572" s="20"/>
      <c r="G572" s="20"/>
      <c r="H572" s="20"/>
      <c r="I572" s="20"/>
      <c r="J572" s="20"/>
      <c r="K572" s="20"/>
      <c r="L572" s="35"/>
      <c r="O572" s="34"/>
      <c r="P572" s="20"/>
      <c r="Q572" s="20"/>
      <c r="R572" s="20"/>
      <c r="S572" s="20"/>
      <c r="T572" s="20"/>
      <c r="U572" s="20"/>
      <c r="V572" s="20"/>
      <c r="W572" s="20"/>
      <c r="X572" s="20"/>
      <c r="Y572" s="35"/>
      <c r="AC572" s="20"/>
      <c r="AR572" s="20"/>
      <c r="BG572" s="20"/>
      <c r="BV572" s="20"/>
    </row>
    <row r="573" spans="2:74" x14ac:dyDescent="0.45">
      <c r="B573" s="34"/>
      <c r="C573" s="20"/>
      <c r="D573" s="20"/>
      <c r="E573" s="20"/>
      <c r="F573" s="20"/>
      <c r="G573" s="20"/>
      <c r="H573" s="20"/>
      <c r="I573" s="20"/>
      <c r="J573" s="20"/>
      <c r="K573" s="20"/>
      <c r="L573" s="35"/>
      <c r="O573" s="34"/>
      <c r="P573" s="20"/>
      <c r="Q573" s="20"/>
      <c r="R573" s="20"/>
      <c r="S573" s="20"/>
      <c r="T573" s="20"/>
      <c r="U573" s="20"/>
      <c r="V573" s="20"/>
      <c r="W573" s="20"/>
      <c r="X573" s="20"/>
      <c r="Y573" s="35"/>
      <c r="AC573" s="20"/>
      <c r="AR573" s="20"/>
      <c r="BG573" s="20"/>
      <c r="BV573" s="20"/>
    </row>
    <row r="574" spans="2:74" x14ac:dyDescent="0.45">
      <c r="B574" s="34"/>
      <c r="C574" s="20"/>
      <c r="D574" s="20"/>
      <c r="E574" s="20"/>
      <c r="F574" s="20"/>
      <c r="G574" s="20"/>
      <c r="H574" s="20"/>
      <c r="I574" s="20"/>
      <c r="J574" s="20"/>
      <c r="K574" s="20"/>
      <c r="L574" s="35"/>
      <c r="O574" s="34"/>
      <c r="P574" s="20"/>
      <c r="Q574" s="20"/>
      <c r="R574" s="20"/>
      <c r="S574" s="20"/>
      <c r="T574" s="20"/>
      <c r="U574" s="20"/>
      <c r="V574" s="20"/>
      <c r="W574" s="20"/>
      <c r="X574" s="20"/>
      <c r="Y574" s="35"/>
      <c r="AC574" s="20"/>
      <c r="AR574" s="20"/>
      <c r="BG574" s="20"/>
      <c r="BV574" s="20"/>
    </row>
    <row r="575" spans="2:74" x14ac:dyDescent="0.45">
      <c r="B575" s="34"/>
      <c r="C575" s="20"/>
      <c r="D575" s="20"/>
      <c r="E575" s="20"/>
      <c r="F575" s="20"/>
      <c r="G575" s="20"/>
      <c r="H575" s="20"/>
      <c r="I575" s="20"/>
      <c r="J575" s="20"/>
      <c r="K575" s="20"/>
      <c r="L575" s="35"/>
      <c r="O575" s="34"/>
      <c r="P575" s="20"/>
      <c r="Q575" s="20"/>
      <c r="R575" s="20"/>
      <c r="S575" s="20"/>
      <c r="T575" s="20"/>
      <c r="U575" s="20"/>
      <c r="V575" s="20"/>
      <c r="W575" s="20"/>
      <c r="X575" s="20"/>
      <c r="Y575" s="35"/>
      <c r="AC575" s="20"/>
      <c r="AR575" s="20"/>
      <c r="BG575" s="20"/>
      <c r="BV575" s="20"/>
    </row>
    <row r="576" spans="2:74" x14ac:dyDescent="0.45">
      <c r="B576" s="34"/>
      <c r="C576" s="20"/>
      <c r="D576" s="20"/>
      <c r="E576" s="20"/>
      <c r="F576" s="20"/>
      <c r="G576" s="20"/>
      <c r="H576" s="20"/>
      <c r="I576" s="20"/>
      <c r="J576" s="20"/>
      <c r="K576" s="20"/>
      <c r="L576" s="35"/>
      <c r="O576" s="34"/>
      <c r="P576" s="20"/>
      <c r="Q576" s="20"/>
      <c r="R576" s="20"/>
      <c r="S576" s="20"/>
      <c r="T576" s="20"/>
      <c r="U576" s="20"/>
      <c r="V576" s="20"/>
      <c r="W576" s="20"/>
      <c r="X576" s="20"/>
      <c r="Y576" s="35"/>
      <c r="AC576" s="20"/>
      <c r="AR576" s="20"/>
      <c r="BG576" s="20"/>
      <c r="BV576" s="20"/>
    </row>
    <row r="577" spans="2:74" x14ac:dyDescent="0.45">
      <c r="B577" s="34"/>
      <c r="C577" s="20"/>
      <c r="D577" s="20"/>
      <c r="E577" s="20"/>
      <c r="F577" s="20"/>
      <c r="G577" s="20"/>
      <c r="H577" s="20"/>
      <c r="I577" s="20"/>
      <c r="J577" s="20"/>
      <c r="K577" s="20"/>
      <c r="L577" s="35"/>
      <c r="O577" s="34"/>
      <c r="P577" s="20"/>
      <c r="Q577" s="20"/>
      <c r="R577" s="20"/>
      <c r="S577" s="20"/>
      <c r="T577" s="20"/>
      <c r="U577" s="20"/>
      <c r="V577" s="20"/>
      <c r="W577" s="20"/>
      <c r="X577" s="20"/>
      <c r="Y577" s="35"/>
      <c r="AC577" s="20"/>
      <c r="AR577" s="20"/>
      <c r="BG577" s="20"/>
      <c r="BV577" s="20"/>
    </row>
    <row r="578" spans="2:74" x14ac:dyDescent="0.45">
      <c r="B578" s="34"/>
      <c r="C578" s="20"/>
      <c r="D578" s="20"/>
      <c r="E578" s="20"/>
      <c r="F578" s="20"/>
      <c r="G578" s="20"/>
      <c r="H578" s="20"/>
      <c r="I578" s="20"/>
      <c r="J578" s="20"/>
      <c r="K578" s="20"/>
      <c r="L578" s="35"/>
      <c r="O578" s="34"/>
      <c r="P578" s="20"/>
      <c r="Q578" s="20"/>
      <c r="R578" s="20"/>
      <c r="S578" s="20"/>
      <c r="T578" s="20"/>
      <c r="U578" s="20"/>
      <c r="V578" s="20"/>
      <c r="W578" s="20"/>
      <c r="X578" s="20"/>
      <c r="Y578" s="35"/>
      <c r="AC578" s="20"/>
      <c r="AR578" s="20"/>
      <c r="BG578" s="20"/>
      <c r="BV578" s="20"/>
    </row>
    <row r="579" spans="2:74" x14ac:dyDescent="0.45">
      <c r="B579" s="34"/>
      <c r="C579" s="20"/>
      <c r="D579" s="20"/>
      <c r="E579" s="20"/>
      <c r="F579" s="20"/>
      <c r="G579" s="20"/>
      <c r="H579" s="20"/>
      <c r="I579" s="20"/>
      <c r="J579" s="20"/>
      <c r="K579" s="20"/>
      <c r="L579" s="35"/>
      <c r="O579" s="34"/>
      <c r="P579" s="20"/>
      <c r="Q579" s="20"/>
      <c r="R579" s="20"/>
      <c r="S579" s="20"/>
      <c r="T579" s="20"/>
      <c r="U579" s="20"/>
      <c r="V579" s="20"/>
      <c r="W579" s="20"/>
      <c r="X579" s="20"/>
      <c r="Y579" s="35"/>
      <c r="AC579" s="20"/>
      <c r="AR579" s="20"/>
      <c r="BG579" s="20"/>
      <c r="BV579" s="20"/>
    </row>
    <row r="580" spans="2:74" x14ac:dyDescent="0.45">
      <c r="B580" s="34"/>
      <c r="C580" s="20"/>
      <c r="D580" s="20"/>
      <c r="E580" s="20"/>
      <c r="F580" s="20"/>
      <c r="G580" s="20"/>
      <c r="H580" s="20"/>
      <c r="I580" s="20"/>
      <c r="J580" s="20"/>
      <c r="K580" s="20"/>
      <c r="L580" s="35"/>
      <c r="O580" s="34"/>
      <c r="P580" s="20"/>
      <c r="Q580" s="20"/>
      <c r="R580" s="20"/>
      <c r="S580" s="20"/>
      <c r="T580" s="20"/>
      <c r="U580" s="20"/>
      <c r="V580" s="20"/>
      <c r="W580" s="20"/>
      <c r="X580" s="20"/>
      <c r="Y580" s="35"/>
      <c r="AC580" s="20"/>
      <c r="AR580" s="20"/>
      <c r="BG580" s="20"/>
      <c r="BV580" s="20"/>
    </row>
    <row r="581" spans="2:74" x14ac:dyDescent="0.45">
      <c r="B581" s="34"/>
      <c r="C581" s="20"/>
      <c r="D581" s="20"/>
      <c r="E581" s="20"/>
      <c r="F581" s="20"/>
      <c r="G581" s="20"/>
      <c r="H581" s="20"/>
      <c r="I581" s="20"/>
      <c r="J581" s="20"/>
      <c r="K581" s="20"/>
      <c r="L581" s="35"/>
      <c r="O581" s="34"/>
      <c r="P581" s="20"/>
      <c r="Q581" s="20"/>
      <c r="R581" s="20"/>
      <c r="S581" s="20"/>
      <c r="T581" s="20"/>
      <c r="U581" s="20"/>
      <c r="V581" s="20"/>
      <c r="W581" s="20"/>
      <c r="X581" s="20"/>
      <c r="Y581" s="35"/>
      <c r="AC581" s="20"/>
      <c r="AR581" s="20"/>
      <c r="BG581" s="20"/>
      <c r="BV581" s="20"/>
    </row>
    <row r="582" spans="2:74" x14ac:dyDescent="0.45">
      <c r="B582" s="34"/>
      <c r="C582" s="20"/>
      <c r="D582" s="20"/>
      <c r="E582" s="20"/>
      <c r="F582" s="20"/>
      <c r="G582" s="20"/>
      <c r="H582" s="20"/>
      <c r="I582" s="20"/>
      <c r="J582" s="20"/>
      <c r="K582" s="20"/>
      <c r="L582" s="35"/>
      <c r="O582" s="34"/>
      <c r="P582" s="20"/>
      <c r="Q582" s="20"/>
      <c r="R582" s="20"/>
      <c r="S582" s="20"/>
      <c r="T582" s="20"/>
      <c r="U582" s="20"/>
      <c r="V582" s="20"/>
      <c r="W582" s="20"/>
      <c r="X582" s="20"/>
      <c r="Y582" s="35"/>
      <c r="AC582" s="20"/>
      <c r="AR582" s="20"/>
      <c r="BG582" s="20"/>
      <c r="BV582" s="20"/>
    </row>
    <row r="583" spans="2:74" x14ac:dyDescent="0.45">
      <c r="B583" s="34"/>
      <c r="C583" s="20"/>
      <c r="D583" s="20"/>
      <c r="E583" s="20"/>
      <c r="F583" s="20"/>
      <c r="G583" s="20"/>
      <c r="H583" s="20"/>
      <c r="I583" s="20"/>
      <c r="J583" s="20"/>
      <c r="K583" s="20"/>
      <c r="L583" s="35"/>
      <c r="O583" s="34"/>
      <c r="P583" s="20"/>
      <c r="Q583" s="20"/>
      <c r="R583" s="20"/>
      <c r="S583" s="20"/>
      <c r="T583" s="20"/>
      <c r="U583" s="20"/>
      <c r="V583" s="20"/>
      <c r="W583" s="20"/>
      <c r="X583" s="20"/>
      <c r="Y583" s="35"/>
      <c r="AC583" s="20"/>
      <c r="AR583" s="20"/>
      <c r="BG583" s="20"/>
      <c r="BV583" s="20"/>
    </row>
    <row r="584" spans="2:74" x14ac:dyDescent="0.45">
      <c r="B584" s="34"/>
      <c r="C584" s="20"/>
      <c r="D584" s="20"/>
      <c r="E584" s="20"/>
      <c r="F584" s="20"/>
      <c r="G584" s="20"/>
      <c r="H584" s="20"/>
      <c r="I584" s="20"/>
      <c r="J584" s="20"/>
      <c r="K584" s="20"/>
      <c r="L584" s="35"/>
      <c r="O584" s="34"/>
      <c r="P584" s="20"/>
      <c r="Q584" s="20"/>
      <c r="R584" s="20"/>
      <c r="S584" s="20"/>
      <c r="T584" s="20"/>
      <c r="U584" s="20"/>
      <c r="V584" s="20"/>
      <c r="W584" s="20"/>
      <c r="X584" s="20"/>
      <c r="Y584" s="35"/>
      <c r="AC584" s="20"/>
      <c r="AR584" s="20"/>
      <c r="BG584" s="20"/>
      <c r="BV584" s="20"/>
    </row>
    <row r="585" spans="2:74" x14ac:dyDescent="0.45">
      <c r="B585" s="34"/>
      <c r="C585" s="20"/>
      <c r="D585" s="20"/>
      <c r="E585" s="20"/>
      <c r="F585" s="20"/>
      <c r="G585" s="20"/>
      <c r="H585" s="20"/>
      <c r="I585" s="20"/>
      <c r="J585" s="20"/>
      <c r="K585" s="20"/>
      <c r="L585" s="35"/>
      <c r="O585" s="34"/>
      <c r="P585" s="20"/>
      <c r="Q585" s="20"/>
      <c r="R585" s="20"/>
      <c r="S585" s="20"/>
      <c r="T585" s="20"/>
      <c r="U585" s="20"/>
      <c r="V585" s="20"/>
      <c r="W585" s="20"/>
      <c r="X585" s="20"/>
      <c r="Y585" s="35"/>
      <c r="AC585" s="20"/>
      <c r="AR585" s="20"/>
      <c r="BG585" s="20"/>
      <c r="BV585" s="20"/>
    </row>
    <row r="586" spans="2:74" x14ac:dyDescent="0.45">
      <c r="B586" s="34"/>
      <c r="C586" s="20"/>
      <c r="D586" s="20"/>
      <c r="E586" s="20"/>
      <c r="F586" s="20"/>
      <c r="G586" s="20"/>
      <c r="H586" s="20"/>
      <c r="I586" s="20"/>
      <c r="J586" s="20"/>
      <c r="K586" s="20"/>
      <c r="L586" s="35"/>
      <c r="O586" s="34"/>
      <c r="P586" s="20"/>
      <c r="Q586" s="20"/>
      <c r="R586" s="20"/>
      <c r="S586" s="20"/>
      <c r="T586" s="20"/>
      <c r="U586" s="20"/>
      <c r="V586" s="20"/>
      <c r="W586" s="20"/>
      <c r="X586" s="20"/>
      <c r="Y586" s="35"/>
      <c r="AC586" s="20"/>
      <c r="AR586" s="20"/>
      <c r="BG586" s="20"/>
      <c r="BV586" s="20"/>
    </row>
    <row r="587" spans="2:74" x14ac:dyDescent="0.45">
      <c r="B587" s="34"/>
      <c r="C587" s="20"/>
      <c r="D587" s="20"/>
      <c r="E587" s="20"/>
      <c r="F587" s="20"/>
      <c r="G587" s="20"/>
      <c r="H587" s="20"/>
      <c r="I587" s="20"/>
      <c r="J587" s="20"/>
      <c r="K587" s="20"/>
      <c r="L587" s="35"/>
      <c r="O587" s="34"/>
      <c r="P587" s="20"/>
      <c r="Q587" s="20"/>
      <c r="R587" s="20"/>
      <c r="S587" s="20"/>
      <c r="T587" s="20"/>
      <c r="U587" s="20"/>
      <c r="V587" s="20"/>
      <c r="W587" s="20"/>
      <c r="X587" s="20"/>
      <c r="Y587" s="35"/>
      <c r="AC587" s="20"/>
      <c r="AR587" s="20"/>
      <c r="BG587" s="20"/>
      <c r="BV587" s="20"/>
    </row>
    <row r="588" spans="2:74" x14ac:dyDescent="0.45">
      <c r="B588" s="34"/>
      <c r="C588" s="20"/>
      <c r="D588" s="20"/>
      <c r="E588" s="20"/>
      <c r="F588" s="20"/>
      <c r="G588" s="20"/>
      <c r="H588" s="20"/>
      <c r="I588" s="20"/>
      <c r="J588" s="20"/>
      <c r="K588" s="20"/>
      <c r="L588" s="35"/>
      <c r="O588" s="34"/>
      <c r="P588" s="20"/>
      <c r="Q588" s="20"/>
      <c r="R588" s="20"/>
      <c r="S588" s="20"/>
      <c r="T588" s="20"/>
      <c r="U588" s="20"/>
      <c r="V588" s="20"/>
      <c r="W588" s="20"/>
      <c r="X588" s="20"/>
      <c r="Y588" s="35"/>
      <c r="AC588" s="20"/>
      <c r="AR588" s="20"/>
      <c r="BG588" s="20"/>
      <c r="BV588" s="20"/>
    </row>
    <row r="589" spans="2:74" x14ac:dyDescent="0.45">
      <c r="B589" s="34"/>
      <c r="C589" s="20"/>
      <c r="D589" s="20"/>
      <c r="E589" s="20"/>
      <c r="F589" s="20"/>
      <c r="G589" s="20"/>
      <c r="H589" s="20"/>
      <c r="I589" s="20"/>
      <c r="J589" s="20"/>
      <c r="K589" s="20"/>
      <c r="L589" s="35"/>
      <c r="O589" s="34"/>
      <c r="P589" s="20"/>
      <c r="Q589" s="20"/>
      <c r="R589" s="20"/>
      <c r="S589" s="20"/>
      <c r="T589" s="20"/>
      <c r="U589" s="20"/>
      <c r="V589" s="20"/>
      <c r="W589" s="20"/>
      <c r="X589" s="20"/>
      <c r="Y589" s="35"/>
      <c r="AC589" s="20"/>
      <c r="AR589" s="20"/>
      <c r="BG589" s="20"/>
      <c r="BV589" s="20"/>
    </row>
    <row r="590" spans="2:74" x14ac:dyDescent="0.45">
      <c r="B590" s="34"/>
      <c r="C590" s="20"/>
      <c r="D590" s="20"/>
      <c r="E590" s="20"/>
      <c r="F590" s="20"/>
      <c r="G590" s="20"/>
      <c r="H590" s="20"/>
      <c r="I590" s="20"/>
      <c r="J590" s="20"/>
      <c r="K590" s="20"/>
      <c r="L590" s="35"/>
      <c r="O590" s="34"/>
      <c r="P590" s="20"/>
      <c r="Q590" s="20"/>
      <c r="R590" s="20"/>
      <c r="S590" s="20"/>
      <c r="T590" s="20"/>
      <c r="U590" s="20"/>
      <c r="V590" s="20"/>
      <c r="W590" s="20"/>
      <c r="X590" s="20"/>
      <c r="Y590" s="35"/>
      <c r="AC590" s="20"/>
      <c r="AR590" s="20"/>
      <c r="BG590" s="20"/>
      <c r="BV590" s="20"/>
    </row>
    <row r="591" spans="2:74" x14ac:dyDescent="0.45">
      <c r="B591" s="34"/>
      <c r="C591" s="20"/>
      <c r="D591" s="20"/>
      <c r="E591" s="20"/>
      <c r="F591" s="20"/>
      <c r="G591" s="20"/>
      <c r="H591" s="20"/>
      <c r="I591" s="20"/>
      <c r="J591" s="20"/>
      <c r="K591" s="20"/>
      <c r="L591" s="35"/>
      <c r="O591" s="34"/>
      <c r="P591" s="20"/>
      <c r="Q591" s="20"/>
      <c r="R591" s="20"/>
      <c r="S591" s="20"/>
      <c r="T591" s="20"/>
      <c r="U591" s="20"/>
      <c r="V591" s="20"/>
      <c r="W591" s="20"/>
      <c r="X591" s="20"/>
      <c r="Y591" s="35"/>
      <c r="AC591" s="20"/>
      <c r="AR591" s="20"/>
      <c r="BG591" s="20"/>
      <c r="BV591" s="20"/>
    </row>
    <row r="592" spans="2:74" x14ac:dyDescent="0.45">
      <c r="B592" s="34"/>
      <c r="C592" s="20"/>
      <c r="D592" s="20"/>
      <c r="E592" s="20"/>
      <c r="F592" s="20"/>
      <c r="G592" s="20"/>
      <c r="H592" s="20"/>
      <c r="I592" s="20"/>
      <c r="J592" s="20"/>
      <c r="K592" s="20"/>
      <c r="L592" s="35"/>
      <c r="O592" s="34"/>
      <c r="P592" s="20"/>
      <c r="Q592" s="20"/>
      <c r="R592" s="20"/>
      <c r="S592" s="20"/>
      <c r="T592" s="20"/>
      <c r="U592" s="20"/>
      <c r="V592" s="20"/>
      <c r="W592" s="20"/>
      <c r="X592" s="20"/>
      <c r="Y592" s="35"/>
      <c r="AC592" s="20"/>
      <c r="AR592" s="20"/>
      <c r="BG592" s="20"/>
      <c r="BV592" s="20"/>
    </row>
    <row r="593" spans="2:74" x14ac:dyDescent="0.45">
      <c r="B593" s="34"/>
      <c r="C593" s="20"/>
      <c r="D593" s="20"/>
      <c r="E593" s="20"/>
      <c r="F593" s="20"/>
      <c r="G593" s="20"/>
      <c r="H593" s="20"/>
      <c r="I593" s="20"/>
      <c r="J593" s="20"/>
      <c r="K593" s="20"/>
      <c r="L593" s="35"/>
      <c r="O593" s="34"/>
      <c r="P593" s="20"/>
      <c r="Q593" s="20"/>
      <c r="R593" s="20"/>
      <c r="S593" s="20"/>
      <c r="T593" s="20"/>
      <c r="U593" s="20"/>
      <c r="V593" s="20"/>
      <c r="W593" s="20"/>
      <c r="X593" s="20"/>
      <c r="Y593" s="35"/>
      <c r="AC593" s="20"/>
      <c r="AR593" s="20"/>
      <c r="BG593" s="20"/>
      <c r="BV593" s="20"/>
    </row>
    <row r="594" spans="2:74" x14ac:dyDescent="0.45">
      <c r="B594" s="34"/>
      <c r="C594" s="20"/>
      <c r="D594" s="20"/>
      <c r="E594" s="20"/>
      <c r="F594" s="20"/>
      <c r="G594" s="20"/>
      <c r="H594" s="20"/>
      <c r="I594" s="20"/>
      <c r="J594" s="20"/>
      <c r="K594" s="20"/>
      <c r="L594" s="35"/>
      <c r="O594" s="34"/>
      <c r="P594" s="20"/>
      <c r="Q594" s="20"/>
      <c r="R594" s="20"/>
      <c r="S594" s="20"/>
      <c r="T594" s="20"/>
      <c r="U594" s="20"/>
      <c r="V594" s="20"/>
      <c r="W594" s="20"/>
      <c r="X594" s="20"/>
      <c r="Y594" s="35"/>
      <c r="AC594" s="20"/>
      <c r="AR594" s="20"/>
      <c r="BG594" s="20"/>
      <c r="BV594" s="20"/>
    </row>
    <row r="595" spans="2:74" x14ac:dyDescent="0.45">
      <c r="B595" s="34"/>
      <c r="C595" s="20"/>
      <c r="D595" s="20"/>
      <c r="E595" s="20"/>
      <c r="F595" s="20"/>
      <c r="G595" s="20"/>
      <c r="H595" s="20"/>
      <c r="I595" s="20"/>
      <c r="J595" s="20"/>
      <c r="K595" s="20"/>
      <c r="L595" s="35"/>
      <c r="O595" s="34"/>
      <c r="P595" s="20"/>
      <c r="Q595" s="20"/>
      <c r="R595" s="20"/>
      <c r="S595" s="20"/>
      <c r="T595" s="20"/>
      <c r="U595" s="20"/>
      <c r="V595" s="20"/>
      <c r="W595" s="20"/>
      <c r="X595" s="20"/>
      <c r="Y595" s="35"/>
      <c r="AC595" s="20"/>
      <c r="AR595" s="20"/>
      <c r="BG595" s="20"/>
      <c r="BV595" s="20"/>
    </row>
    <row r="596" spans="2:74" x14ac:dyDescent="0.45">
      <c r="B596" s="34"/>
      <c r="C596" s="20"/>
      <c r="D596" s="20"/>
      <c r="E596" s="20"/>
      <c r="F596" s="20"/>
      <c r="G596" s="20"/>
      <c r="H596" s="20"/>
      <c r="I596" s="20"/>
      <c r="J596" s="20"/>
      <c r="K596" s="20"/>
      <c r="L596" s="35"/>
      <c r="O596" s="34"/>
      <c r="P596" s="20"/>
      <c r="Q596" s="20"/>
      <c r="R596" s="20"/>
      <c r="S596" s="20"/>
      <c r="T596" s="20"/>
      <c r="U596" s="20"/>
      <c r="V596" s="20"/>
      <c r="W596" s="20"/>
      <c r="X596" s="20"/>
      <c r="Y596" s="35"/>
      <c r="AC596" s="20"/>
      <c r="AR596" s="20"/>
      <c r="BG596" s="20"/>
      <c r="BV596" s="20"/>
    </row>
    <row r="597" spans="2:74" x14ac:dyDescent="0.45">
      <c r="B597" s="34"/>
      <c r="C597" s="20"/>
      <c r="D597" s="20"/>
      <c r="E597" s="20"/>
      <c r="F597" s="20"/>
      <c r="G597" s="20"/>
      <c r="H597" s="20"/>
      <c r="I597" s="20"/>
      <c r="J597" s="20"/>
      <c r="K597" s="20"/>
      <c r="L597" s="35"/>
      <c r="O597" s="34"/>
      <c r="P597" s="20"/>
      <c r="Q597" s="20"/>
      <c r="R597" s="20"/>
      <c r="S597" s="20"/>
      <c r="T597" s="20"/>
      <c r="U597" s="20"/>
      <c r="V597" s="20"/>
      <c r="W597" s="20"/>
      <c r="X597" s="20"/>
      <c r="Y597" s="35"/>
      <c r="AC597" s="20"/>
      <c r="AR597" s="20"/>
      <c r="BG597" s="20"/>
      <c r="BV597" s="20"/>
    </row>
    <row r="598" spans="2:74" x14ac:dyDescent="0.45">
      <c r="B598" s="34"/>
      <c r="C598" s="20"/>
      <c r="D598" s="20"/>
      <c r="E598" s="20"/>
      <c r="F598" s="20"/>
      <c r="G598" s="20"/>
      <c r="H598" s="20"/>
      <c r="I598" s="20"/>
      <c r="J598" s="20"/>
      <c r="K598" s="20"/>
      <c r="L598" s="35"/>
      <c r="O598" s="34"/>
      <c r="P598" s="20"/>
      <c r="Q598" s="20"/>
      <c r="R598" s="20"/>
      <c r="S598" s="20"/>
      <c r="T598" s="20"/>
      <c r="U598" s="20"/>
      <c r="V598" s="20"/>
      <c r="W598" s="20"/>
      <c r="X598" s="20"/>
      <c r="Y598" s="35"/>
      <c r="AC598" s="20"/>
      <c r="AR598" s="20"/>
      <c r="BG598" s="20"/>
      <c r="BV598" s="20"/>
    </row>
    <row r="599" spans="2:74" x14ac:dyDescent="0.45">
      <c r="B599" s="34"/>
      <c r="C599" s="20"/>
      <c r="D599" s="20"/>
      <c r="E599" s="20"/>
      <c r="F599" s="20"/>
      <c r="G599" s="20"/>
      <c r="H599" s="20"/>
      <c r="I599" s="20"/>
      <c r="J599" s="20"/>
      <c r="K599" s="20"/>
      <c r="L599" s="35"/>
      <c r="O599" s="34"/>
      <c r="P599" s="20"/>
      <c r="Q599" s="20"/>
      <c r="R599" s="20"/>
      <c r="S599" s="20"/>
      <c r="T599" s="20"/>
      <c r="U599" s="20"/>
      <c r="V599" s="20"/>
      <c r="W599" s="20"/>
      <c r="X599" s="20"/>
      <c r="Y599" s="35"/>
      <c r="AC599" s="20"/>
      <c r="AR599" s="20"/>
      <c r="BG599" s="20"/>
      <c r="BV599" s="20"/>
    </row>
    <row r="600" spans="2:74" x14ac:dyDescent="0.45">
      <c r="B600" s="34"/>
      <c r="C600" s="20"/>
      <c r="D600" s="20"/>
      <c r="E600" s="20"/>
      <c r="F600" s="20"/>
      <c r="G600" s="20"/>
      <c r="H600" s="20"/>
      <c r="I600" s="20"/>
      <c r="J600" s="20"/>
      <c r="K600" s="20"/>
      <c r="L600" s="35"/>
      <c r="O600" s="34"/>
      <c r="P600" s="20"/>
      <c r="Q600" s="20"/>
      <c r="R600" s="20"/>
      <c r="S600" s="20"/>
      <c r="T600" s="20"/>
      <c r="U600" s="20"/>
      <c r="V600" s="20"/>
      <c r="W600" s="20"/>
      <c r="X600" s="20"/>
      <c r="Y600" s="35"/>
      <c r="AC600" s="20"/>
      <c r="AR600" s="20"/>
      <c r="BG600" s="20"/>
      <c r="BV600" s="20"/>
    </row>
    <row r="601" spans="2:74" x14ac:dyDescent="0.45">
      <c r="B601" s="36"/>
      <c r="C601" s="37"/>
      <c r="D601" s="37"/>
      <c r="E601" s="37"/>
      <c r="F601" s="37"/>
      <c r="G601" s="37"/>
      <c r="H601" s="37"/>
      <c r="I601" s="37"/>
      <c r="J601" s="37"/>
      <c r="K601" s="37"/>
      <c r="L601" s="38"/>
      <c r="O601" s="36"/>
      <c r="P601" s="37"/>
      <c r="Q601" s="37"/>
      <c r="R601" s="37"/>
      <c r="S601" s="37"/>
      <c r="T601" s="37"/>
      <c r="U601" s="37"/>
      <c r="V601" s="37"/>
      <c r="W601" s="37"/>
      <c r="X601" s="37"/>
      <c r="Y601" s="38"/>
      <c r="AC601" s="37"/>
      <c r="AR601" s="37"/>
      <c r="BG601" s="37"/>
      <c r="BV601" s="37"/>
    </row>
  </sheetData>
  <mergeCells count="25">
    <mergeCell ref="B4:E4"/>
    <mergeCell ref="B2:E2"/>
    <mergeCell ref="B3:E3"/>
    <mergeCell ref="B6:E6"/>
    <mergeCell ref="B5:E5"/>
    <mergeCell ref="CJ24:CN24"/>
    <mergeCell ref="B24:L24"/>
    <mergeCell ref="O24:Z24"/>
    <mergeCell ref="G5:G6"/>
    <mergeCell ref="B7:E7"/>
    <mergeCell ref="B8:E8"/>
    <mergeCell ref="B10:E10"/>
    <mergeCell ref="B19:E19"/>
    <mergeCell ref="B11:E11"/>
    <mergeCell ref="B14:E14"/>
    <mergeCell ref="B16:E16"/>
    <mergeCell ref="B15:E15"/>
    <mergeCell ref="F15:F16"/>
    <mergeCell ref="B9:E9"/>
    <mergeCell ref="N1:N2"/>
    <mergeCell ref="AQ24:BD24"/>
    <mergeCell ref="BF24:BS24"/>
    <mergeCell ref="BU24:CH24"/>
    <mergeCell ref="AB24:AL24"/>
    <mergeCell ref="R1:R2"/>
  </mergeCells>
  <conditionalFormatting sqref="F10 F19 F21">
    <cfRule type="expression" dxfId="26" priority="37">
      <formula>"jeżeli($D$7=""NIE')"</formula>
    </cfRule>
  </conditionalFormatting>
  <conditionalFormatting sqref="F10">
    <cfRule type="expression" dxfId="25" priority="36">
      <formula>($F$8="NIE")</formula>
    </cfRule>
  </conditionalFormatting>
  <conditionalFormatting sqref="F8">
    <cfRule type="expression" dxfId="24" priority="32">
      <formula>"jeżeli($D$7=""NIE')"</formula>
    </cfRule>
  </conditionalFormatting>
  <conditionalFormatting sqref="F8">
    <cfRule type="expression" dxfId="23" priority="31">
      <formula>($F$8="NIE")</formula>
    </cfRule>
  </conditionalFormatting>
  <conditionalFormatting sqref="B27:C27 L27">
    <cfRule type="expression" dxfId="22" priority="49">
      <formula>$B27&lt;&gt;""</formula>
    </cfRule>
    <cfRule type="expression" dxfId="21" priority="50">
      <formula>"jeżeli($A$44&lt;&gt;"""")"</formula>
    </cfRule>
  </conditionalFormatting>
  <conditionalFormatting sqref="O27:Q27 Z27">
    <cfRule type="expression" dxfId="20" priority="27">
      <formula>$B27&lt;&gt;""</formula>
    </cfRule>
    <cfRule type="expression" dxfId="19" priority="28">
      <formula>"jeżeli($A$44&lt;&gt;"""")"</formula>
    </cfRule>
  </conditionalFormatting>
  <conditionalFormatting sqref="AC27">
    <cfRule type="expression" dxfId="18" priority="25">
      <formula>$B27&lt;&gt;""</formula>
    </cfRule>
    <cfRule type="expression" dxfId="17" priority="26">
      <formula>"jeżeli($A$44&lt;&gt;"""")"</formula>
    </cfRule>
  </conditionalFormatting>
  <conditionalFormatting sqref="AO27">
    <cfRule type="expression" dxfId="16" priority="23">
      <formula>$B27&lt;&gt;""</formula>
    </cfRule>
    <cfRule type="expression" dxfId="15" priority="24">
      <formula>"jeżeli($A$44&lt;&gt;"""")"</formula>
    </cfRule>
  </conditionalFormatting>
  <conditionalFormatting sqref="AR27">
    <cfRule type="expression" dxfId="14" priority="21">
      <formula>$B27&lt;&gt;""</formula>
    </cfRule>
    <cfRule type="expression" dxfId="13" priority="22">
      <formula>"jeżeli($A$44&lt;&gt;"""")"</formula>
    </cfRule>
  </conditionalFormatting>
  <conditionalFormatting sqref="BD27">
    <cfRule type="expression" dxfId="12" priority="19">
      <formula>$B27&lt;&gt;""</formula>
    </cfRule>
    <cfRule type="expression" dxfId="11" priority="20">
      <formula>"jeżeli($A$44&lt;&gt;"""")"</formula>
    </cfRule>
  </conditionalFormatting>
  <conditionalFormatting sqref="BV27">
    <cfRule type="expression" dxfId="10" priority="13">
      <formula>$B27&lt;&gt;""</formula>
    </cfRule>
    <cfRule type="expression" dxfId="9" priority="14">
      <formula>"jeżeli($A$44&lt;&gt;"""")"</formula>
    </cfRule>
  </conditionalFormatting>
  <conditionalFormatting sqref="CH27">
    <cfRule type="expression" dxfId="8" priority="11">
      <formula>$B27&lt;&gt;""</formula>
    </cfRule>
    <cfRule type="expression" dxfId="7" priority="12">
      <formula>"jeżeli($A$44&lt;&gt;"""")"</formula>
    </cfRule>
  </conditionalFormatting>
  <conditionalFormatting sqref="BG27">
    <cfRule type="expression" dxfId="6" priority="9">
      <formula>$B27&lt;&gt;""</formula>
    </cfRule>
    <cfRule type="expression" dxfId="5" priority="10">
      <formula>"jeżeli($A$44&lt;&gt;"""")"</formula>
    </cfRule>
  </conditionalFormatting>
  <conditionalFormatting sqref="BS27">
    <cfRule type="expression" dxfId="4" priority="7">
      <formula>$B27&lt;&gt;""</formula>
    </cfRule>
    <cfRule type="expression" dxfId="3" priority="8">
      <formula>"jeżeli($A$44&lt;&gt;"""")"</formula>
    </cfRule>
  </conditionalFormatting>
  <conditionalFormatting sqref="F9">
    <cfRule type="expression" dxfId="2" priority="6">
      <formula>"jeżeli($D$7=""NIE')"</formula>
    </cfRule>
  </conditionalFormatting>
  <conditionalFormatting sqref="F9">
    <cfRule type="expression" dxfId="1" priority="5">
      <formula>($F$8="NIE")</formula>
    </cfRule>
  </conditionalFormatting>
  <conditionalFormatting sqref="F19 F21">
    <cfRule type="expression" dxfId="0" priority="56">
      <formula>($N$3="NIE")</formula>
    </cfRule>
  </conditionalFormatting>
  <conditionalFormatting sqref="N4:N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decimal" allowBlank="1" showInputMessage="1" showErrorMessage="1" sqref="F20" xr:uid="{C8534F47-B353-48AF-91AB-C3A0A07CEC18}">
      <formula1>0%</formula1>
      <formula2>30%</formula2>
    </dataValidation>
    <dataValidation type="whole" allowBlank="1" showInputMessage="1" showErrorMessage="1" sqref="F10" xr:uid="{B706DDE0-7C54-410F-8855-F829E5290490}">
      <formula1>0</formula1>
      <formula2>84</formula2>
    </dataValidation>
    <dataValidation type="decimal" showInputMessage="1" showErrorMessage="1" error="Wartość nie może być ujemna" sqref="F6" xr:uid="{E933D19D-5B95-4E84-ADD9-7EB0A52929B5}">
      <formula1>0</formula1>
      <formula2>1</formula2>
    </dataValidation>
    <dataValidation type="decimal" showInputMessage="1" showErrorMessage="1" error="Wartość nie może być ujemna" sqref="F19" xr:uid="{A5024943-27BF-4D3D-B6B7-53DBDA57039A}">
      <formula1>0</formula1>
      <formula2>100</formula2>
    </dataValidation>
    <dataValidation type="whole" allowBlank="1" showInputMessage="1" showErrorMessage="1" error="Wprowadź liczbę miesięcy, w których jeszcze będziesz płacić kredyt. Możliwy okres wynosi od 2 do 360 miesięcy." sqref="F4" xr:uid="{AA848F45-0678-4A8E-92A4-4D848E7DFB85}">
      <formula1>12</formula1>
      <formula2>360</formula2>
    </dataValidation>
    <dataValidation type="whole" allowBlank="1" showInputMessage="1" showErrorMessage="1" sqref="F2" xr:uid="{3960866A-32F1-46E0-9E7B-6E87426B7D0E}">
      <formula1>0</formula1>
      <formula2>2000000</formula2>
    </dataValidation>
    <dataValidation type="decimal" showInputMessage="1" showErrorMessage="1" error="Wartość nie może być ujemna" sqref="F5" xr:uid="{3C03DCB7-CEC9-4E4E-99C1-CA8CB195E309}">
      <formula1>-1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E54224-EA90-463D-AC12-0ED05771B615}">
          <x14:formula1>
            <xm:f>listy!$H$4:$H$5</xm:f>
          </x14:formula1>
          <xm:sqref>F8</xm:sqref>
        </x14:dataValidation>
        <x14:dataValidation type="list" allowBlank="1" showInputMessage="1" showErrorMessage="1" xr:uid="{93976F00-419B-4099-A06D-54EC39680630}">
          <x14:formula1>
            <xm:f>listy!$B$4:$B$5</xm:f>
          </x14:formula1>
          <xm:sqref>F11:F12</xm:sqref>
        </x14:dataValidation>
        <x14:dataValidation type="list" allowBlank="1" showInputMessage="1" showErrorMessage="1" xr:uid="{9F0CBDDF-9E2C-4277-AEC9-F37B178EB1AE}">
          <x14:formula1>
            <xm:f>listy!$G$14:$G$15</xm:f>
          </x14:formula1>
          <xm:sqref>F21</xm:sqref>
        </x14:dataValidation>
        <x14:dataValidation type="list" allowBlank="1" showInputMessage="1" showErrorMessage="1" xr:uid="{011723AC-A7D3-498F-88F1-47813C59AF3C}">
          <x14:formula1>
            <xm:f>listy!$K$7:$K$8</xm:f>
          </x14:formula1>
          <xm:sqref>B16:B17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K25"/>
  <sheetViews>
    <sheetView topLeftCell="A19" workbookViewId="0">
      <selection activeCell="E19" sqref="E19:H26"/>
    </sheetView>
  </sheetViews>
  <sheetFormatPr defaultColWidth="8.81640625" defaultRowHeight="14.5" x14ac:dyDescent="0.35"/>
  <cols>
    <col min="7" max="7" width="13.81640625" customWidth="1"/>
  </cols>
  <sheetData>
    <row r="4" spans="2:11" x14ac:dyDescent="0.35">
      <c r="B4" t="s">
        <v>7</v>
      </c>
      <c r="H4" t="s">
        <v>12</v>
      </c>
    </row>
    <row r="5" spans="2:11" x14ac:dyDescent="0.35">
      <c r="B5" t="s">
        <v>8</v>
      </c>
      <c r="H5" t="s">
        <v>11</v>
      </c>
    </row>
    <row r="7" spans="2:11" x14ac:dyDescent="0.35">
      <c r="K7" t="s">
        <v>31</v>
      </c>
    </row>
    <row r="8" spans="2:11" x14ac:dyDescent="0.35">
      <c r="G8" t="s">
        <v>17</v>
      </c>
      <c r="K8" t="s">
        <v>26</v>
      </c>
    </row>
    <row r="9" spans="2:11" x14ac:dyDescent="0.35">
      <c r="G9" t="s">
        <v>18</v>
      </c>
    </row>
    <row r="14" spans="2:11" x14ac:dyDescent="0.35">
      <c r="G14" t="s">
        <v>20</v>
      </c>
    </row>
    <row r="15" spans="2:11" x14ac:dyDescent="0.35">
      <c r="G15" t="s">
        <v>17</v>
      </c>
    </row>
    <row r="20" spans="5:8" ht="16.5" x14ac:dyDescent="0.45">
      <c r="E20" s="3"/>
      <c r="F20" s="3"/>
      <c r="G20" s="3"/>
      <c r="H20" s="3"/>
    </row>
    <row r="21" spans="5:8" ht="16.5" x14ac:dyDescent="0.45">
      <c r="E21" s="3"/>
      <c r="F21" s="47"/>
      <c r="G21" s="47"/>
      <c r="H21" s="3"/>
    </row>
    <row r="22" spans="5:8" ht="16.5" x14ac:dyDescent="0.45">
      <c r="E22" s="3"/>
      <c r="F22" s="47"/>
      <c r="G22" s="47"/>
      <c r="H22" s="3"/>
    </row>
    <row r="23" spans="5:8" ht="16.5" x14ac:dyDescent="0.45">
      <c r="E23" s="3"/>
      <c r="F23" s="47"/>
      <c r="G23" s="47"/>
      <c r="H23" s="3"/>
    </row>
    <row r="24" spans="5:8" ht="16.5" x14ac:dyDescent="0.45">
      <c r="E24" s="3"/>
      <c r="F24" s="47"/>
      <c r="G24" s="47"/>
      <c r="H24" s="3"/>
    </row>
    <row r="25" spans="5:8" ht="16.5" x14ac:dyDescent="0.45">
      <c r="E25" s="3"/>
      <c r="F25" s="47"/>
      <c r="G25" s="47"/>
      <c r="H25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C A A B Q S w M E F A A A C A g A D V z v V G V H w Y q m A A A A 9 w A A A B I A A A B D b 2 5 m a W c v U G F j a 2 F n Z S 5 4 b W y F j 9 E K g j A Y h V 9 F d u 8 2 N S z k d 1 5 0 q y A E 0 e 2 Y S 0 c 6 x c 3 m u 3 X R I / U K C W V 1 1 + U 5 f A e + 8 7 j d I Z u 7 1 r v K 0 a h e p y j A F H l S i 7 5 S u k 7 R Z M / + D m U M S i 4 u v J b e A m u T z E a l q L F 2 S A h x z m E X 4 X 6 s S U h p Q E 5 F f h C N 7 L i v t L F c C 4 k + q + r / C j E 4 v m R Y i A O 6 x X E c U b w B s r Z Q K P 0 l w k U Y U y A / J e y n 1 k 6 j Z E P r l z m Q N Q J 5 n 2 B P U E s D B B Q A A A g I A A 1 c 7 1 Q o i k e 4 D g A A A B E A A A A T A A A A R m 9 y b X V s Y X M v U 2 V j d G l v b j E u b S t O T S 7 J z M 9 T C I b Q h t Y A U E s D B B Q A A A g I A A 1 c 7 1 Q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D V z v V G V H w Y q m A A A A 9 w A A A B I A A A A A A A A A A A A A A A A A A A A A A E N v b m Z p Z y 9 Q Y W N r Y W d l L n h t b F B L A Q I U A x Q A A A g I A A 1 c 7 1 Q o i k e 4 D g A A A B E A A A A T A A A A A A A A A A A A A A A A A N Y A A A B G b 3 J t d W x h c y 9 T Z W N 0 a W 9 u M S 5 t U E s B A h Q D F A A A C A g A D V z v V A / K 6 a u k A A A A 6 Q A A A B M A A A A A A A A A A A A A A A A A F Q E A A F t D b 2 5 0 Z W 5 0 X 1 R 5 c G V z X S 5 4 b W x Q S w U G A A A A A A M A A w D C A A A A 6 g E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I b Y W l F 9 e D q k w D Q Y J K o Z I h v c N A Q E B B Q A E g g I A U c S 3 5 X / 7 m o L R 9 D f H 7 w i g n t 7 V m e f 4 Q d + A 7 N w s 4 g A u z u s K k V F P N b 2 o b x G L t z y y k e T H A c J f P c 2 4 + i J O + 4 E V 2 0 V U F r Q I n r t w L 5 N p O n X 5 D 1 w N u o D H O c c J 6 O 2 m / i Q 9 N Q t j n t n T 0 Y 5 S h 2 L J E / a c 1 t e 8 K G 6 3 + e 4 H K A y 9 E H d t z n u n s w I r u G N e Y e Y p l 4 D 5 e M M 8 k g f L P F / Y l 8 o 1 O K M x E p T 4 1 x c 9 i E J X O 3 Q q F p v j 9 o n W W j O N p O E i b 9 F k H e Z B e i r p s 3 7 O F e S p q D y Q R o q e K w m Y J x q 1 M e t K D R R q 3 6 2 W U M 3 F 3 r 9 w p r z u a q 9 o P c t U M J A G 3 p E 3 Z E a i N b D t 1 G n Y 4 i T f W S r k + 4 c U 6 a a M H b 5 x H D R G O B R o R w H I 6 n V x t s h 9 u x y i R m G X Q Z d d 6 k 0 m Y b K j W s k o I d x y p q y p W Y t p q D u 0 U J W l 7 U S O H r I n o h 0 G 8 t O H B u 0 U d t i 2 I 3 m a 3 c a 8 / G b w U s Q d M D O O F x l 4 I V F S K 4 W B l S s u Q 0 N r Y x K z b X q 6 j n K P S 2 R r N B i h 3 p m x / 4 j Z 0 V + P u Y l m X Z u D A B T N y / 2 u i i x r F s s 2 m N n 5 q G v / 2 S 6 0 L a j X b b h 3 I 9 q p W M u c X 0 G g L k j 3 I G z M q z l n 2 X t F O M N P O 5 U k f + I J J 0 m M H U 2 z / Z i L g J f 2 7 2 d M z l I w c d p s L t 4 G m e X H m t n W E X 5 V 3 9 l 7 w z U i M G 7 F Y X 5 k T o 8 v T y 1 Z 6 Z V L 4 n 4 / x p 7 D g j N 6 b O J r A W s j 3 i y n e l c w f A Y J K o Z I h v c N A Q c B M B 0 G C W C G S A F l A w Q B K g Q Q a A w g s a b c P L 4 B i s Q e A T C T g o B Q 0 r 6 k D 6 Z y l v x N j T G z M j U B L q c t y g o 1 n 5 H 8 G l j 2 K Y R 7 f B S U y Y h t A M A f q w i s p y U b j A g r r u W N U l s n Q A M Q E r N C e 7 g J y W r W D 9 q 2 0 M P J k 4 m r Z R 5 K H 1 s =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RZĄDOWY PROGRAM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2022-07-25T13:30:27Z</dcterms:modified>
</cp:coreProperties>
</file>